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omments10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13.xml" ContentType="application/vnd.openxmlformats-officedocument.drawing+xml"/>
  <Override PartName="/xl/comments19.xml" ContentType="application/vnd.openxmlformats-officedocument.spreadsheetml.comments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Кредит\Соломаха Э.В. (рабочий стол)\Проект Архыз\Архыз 1700\Модели CW новые\"/>
    </mc:Choice>
  </mc:AlternateContent>
  <bookViews>
    <workbookView xWindow="-45" yWindow="-16320" windowWidth="29040" windowHeight="15840" tabRatio="756" firstSheet="14" activeTab="17"/>
  </bookViews>
  <sheets>
    <sheet name="PEAK'ING ----&gt;&gt;" sheetId="157" r:id="rId1"/>
    <sheet name="Отель5" sheetId="212" r:id="rId2"/>
    <sheet name="Отель4" sheetId="215" r:id="rId3"/>
    <sheet name="Отель3" sheetId="216" r:id="rId4"/>
    <sheet name="Отель2" sheetId="217" r:id="rId5"/>
    <sheet name="Резиденции" sheetId="221" r:id="rId6"/>
    <sheet name="Хостел" sheetId="219" r:id="rId7"/>
    <sheet name="Шале" sheetId="218" r:id="rId8"/>
    <sheet name="Бюджет_Синара" sheetId="239" r:id="rId9"/>
    <sheet name="CW ---&gt;&gt;" sheetId="258" r:id="rId10"/>
    <sheet name="Вводные" sheetId="151" r:id="rId11"/>
    <sheet name="CPI" sheetId="223" r:id="rId12"/>
    <sheet name="Земля" sheetId="198" r:id="rId13"/>
    <sheet name="Бюджетный эффект" sheetId="261" r:id="rId14"/>
    <sheet name="Турпоток" sheetId="262" r:id="rId15"/>
    <sheet name="ШР" sheetId="263" r:id="rId16"/>
    <sheet name="CF_mln" sheetId="259" r:id="rId17"/>
    <sheet name="CF_15" sheetId="224" r:id="rId18"/>
    <sheet name="WACC" sheetId="225" r:id="rId19"/>
    <sheet name="Sensitivity" sheetId="264" r:id="rId20"/>
    <sheet name="KPI" sheetId="260" r:id="rId21"/>
    <sheet name="Объекты" sheetId="222" r:id="rId22"/>
    <sheet name="Бюджет" sheetId="227" r:id="rId23"/>
    <sheet name="Строительство" sheetId="228" r:id="rId24"/>
    <sheet name="Амортизация" sheetId="229" r:id="rId25"/>
    <sheet name="1" sheetId="265" r:id="rId26"/>
    <sheet name="К дв.загр" sheetId="230" r:id="rId27"/>
    <sheet name="СОЧИ_РЫНОК" sheetId="250" r:id="rId28"/>
    <sheet name="ADR_OCC" sheetId="231" r:id="rId29"/>
    <sheet name="Прогноз расходов" sheetId="234" r:id="rId30"/>
    <sheet name="Прогноз F&amp;B" sheetId="241" r:id="rId31"/>
    <sheet name="Прогноз прочих" sheetId="235" r:id="rId32"/>
    <sheet name="Отель5_PL" sheetId="237" r:id="rId33"/>
    <sheet name="Отель4_PL" sheetId="242" r:id="rId34"/>
    <sheet name="Отель3_PL" sheetId="243" r:id="rId35"/>
    <sheet name="Отель2_PL" sheetId="244" r:id="rId36"/>
    <sheet name="Хостел_PL" sheetId="245" r:id="rId37"/>
    <sheet name="Шале_PL" sheetId="246" r:id="rId38"/>
    <sheet name="Резиденции_PL" sheetId="253" r:id="rId39"/>
    <sheet name="СВОД_PL" sheetId="251" r:id="rId40"/>
    <sheet name="Ресторан" sheetId="252" r:id="rId41"/>
    <sheet name="Retail" sheetId="248" r:id="rId42"/>
    <sheet name="Паркинг_PL" sheetId="257" r:id="rId43"/>
    <sheet name="ПРОДАЖА_lease_back" sheetId="204" r:id="rId44"/>
    <sheet name="Курорт-расходы" sheetId="255" r:id="rId45"/>
    <sheet name="Календарь" sheetId="254" r:id="rId46"/>
    <sheet name="ФОТ_УК" sheetId="256" r:id="rId47"/>
  </sheets>
  <externalReferences>
    <externalReference r:id="rId48"/>
    <externalReference r:id="rId49"/>
    <externalReference r:id="rId50"/>
    <externalReference r:id="rId51"/>
  </externalReferences>
  <definedNames>
    <definedName name="_Order1" hidden="1">255</definedName>
    <definedName name="_Order2" hidden="1">255</definedName>
    <definedName name="_Toc95402285" localSheetId="4">Отель2!#REF!</definedName>
    <definedName name="_Toc95402285" localSheetId="3">Отель3!#REF!</definedName>
    <definedName name="_Toc95402285" localSheetId="2">Отель4!#REF!</definedName>
    <definedName name="_Toc95402285" localSheetId="1">Отель5!#REF!</definedName>
    <definedName name="_Toc95402285" localSheetId="5">Резиденции!#REF!</definedName>
    <definedName name="_Toc95402285" localSheetId="6">Хостел!#REF!</definedName>
    <definedName name="_Toc95402285" localSheetId="7">Шале!$C$12</definedName>
    <definedName name="flag">TRUE</definedName>
    <definedName name="vat" localSheetId="19">[1]Вводные!$D$10</definedName>
    <definedName name="vat" localSheetId="13">[2]Вводные!$D$9</definedName>
    <definedName name="vat" localSheetId="40">[3]Вводные!$D$10</definedName>
    <definedName name="vat">[1]Вводные!$D$10</definedName>
  </definedNames>
  <calcPr calcId="162913"/>
  <customWorkbookViews>
    <customWorkbookView name="Yulia Nikitina - Personal View" guid="{61E302A9-DBF2-4216-8CEC-0F83DA1DA6C3}" mergeInterval="0" personalView="1" maximized="1" xWindow="1358" yWindow="-443" windowWidth="1936" windowHeight="1056" tabRatio="859" activeSheetId="23"/>
    <customWorkbookView name="Marina Meshcheryakova - Personal View" guid="{2DA44EC9-80EE-4FB9-B7D9-AE7DD5A864EE}" mergeInterval="0" personalView="1" maximized="1" xWindow="-8" yWindow="-8" windowWidth="1382" windowHeight="744" tabRatio="942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2" i="239" l="1"/>
  <c r="H184" i="224" l="1"/>
  <c r="D158" i="224"/>
  <c r="F12" i="212" l="1"/>
  <c r="C28" i="231"/>
  <c r="G232" i="239"/>
  <c r="F232" i="239"/>
  <c r="F233" i="239"/>
  <c r="D232" i="239"/>
  <c r="C232" i="239"/>
  <c r="C233" i="239"/>
  <c r="C5" i="252"/>
  <c r="E36" i="222"/>
  <c r="C36" i="222"/>
  <c r="B62" i="265"/>
  <c r="B61" i="265"/>
  <c r="D58" i="265"/>
  <c r="D57" i="265"/>
  <c r="B59" i="265"/>
  <c r="B60" i="265"/>
  <c r="B58" i="265"/>
  <c r="I67" i="256"/>
  <c r="J67" i="256"/>
  <c r="K67" i="256"/>
  <c r="L67" i="256"/>
  <c r="M67" i="256"/>
  <c r="N67" i="256"/>
  <c r="O67" i="256"/>
  <c r="P67" i="256"/>
  <c r="Q67" i="256"/>
  <c r="R67" i="256"/>
  <c r="S67" i="256"/>
  <c r="T67" i="256"/>
  <c r="U67" i="256"/>
  <c r="V67" i="256"/>
  <c r="W67" i="256"/>
  <c r="X67" i="256"/>
  <c r="Y67" i="256"/>
  <c r="Z67" i="256"/>
  <c r="AA67" i="256"/>
  <c r="H67" i="256"/>
  <c r="F9" i="216"/>
  <c r="I9" i="217"/>
  <c r="F11" i="221"/>
  <c r="I8" i="221"/>
  <c r="I9" i="221"/>
  <c r="I7" i="221"/>
  <c r="J8" i="216"/>
  <c r="J7" i="216"/>
  <c r="J8" i="215"/>
  <c r="J7" i="215"/>
  <c r="F9" i="215" s="1"/>
  <c r="I9" i="212"/>
  <c r="I8" i="212"/>
  <c r="I7" i="212"/>
  <c r="F10" i="212" l="1"/>
  <c r="D87" i="241" l="1"/>
  <c r="E87" i="241"/>
  <c r="D88" i="241"/>
  <c r="E88" i="241"/>
  <c r="D89" i="241"/>
  <c r="E89" i="241"/>
  <c r="D90" i="241"/>
  <c r="E90" i="241"/>
  <c r="D91" i="241"/>
  <c r="E91" i="241"/>
  <c r="D92" i="241"/>
  <c r="E92" i="241"/>
  <c r="D93" i="241"/>
  <c r="E93" i="241"/>
  <c r="C23" i="241"/>
  <c r="C40" i="265"/>
  <c r="C39" i="265"/>
  <c r="C38" i="265"/>
  <c r="C37" i="265"/>
  <c r="C36" i="265"/>
  <c r="C35" i="265"/>
  <c r="C34" i="265"/>
  <c r="G32" i="265"/>
  <c r="L32" i="265"/>
  <c r="H3" i="265"/>
  <c r="I3" i="265"/>
  <c r="J3" i="265"/>
  <c r="K3" i="265"/>
  <c r="L3" i="265"/>
  <c r="M3" i="265"/>
  <c r="N3" i="265"/>
  <c r="O3" i="265"/>
  <c r="P3" i="265"/>
  <c r="H4" i="265"/>
  <c r="I4" i="265"/>
  <c r="J4" i="265"/>
  <c r="K4" i="265"/>
  <c r="H5" i="265"/>
  <c r="I5" i="265"/>
  <c r="J5" i="265"/>
  <c r="K5" i="265"/>
  <c r="H6" i="265"/>
  <c r="I6" i="265"/>
  <c r="J6" i="265"/>
  <c r="K6" i="265"/>
  <c r="H7" i="265"/>
  <c r="I7" i="265"/>
  <c r="J7" i="265"/>
  <c r="K7" i="265"/>
  <c r="H8" i="265"/>
  <c r="I8" i="265"/>
  <c r="J8" i="265"/>
  <c r="K8" i="265"/>
  <c r="H9" i="265"/>
  <c r="I9" i="265"/>
  <c r="J9" i="265"/>
  <c r="K9" i="265"/>
  <c r="H10" i="265"/>
  <c r="I10" i="265"/>
  <c r="J10" i="265"/>
  <c r="K10" i="265"/>
  <c r="L13" i="265"/>
  <c r="M13" i="265"/>
  <c r="N13" i="265"/>
  <c r="O13" i="265"/>
  <c r="P13" i="265"/>
  <c r="H14" i="265"/>
  <c r="I14" i="265"/>
  <c r="J14" i="265"/>
  <c r="K14" i="265"/>
  <c r="L14" i="265"/>
  <c r="M14" i="265"/>
  <c r="N14" i="265"/>
  <c r="O14" i="265"/>
  <c r="P14" i="265"/>
  <c r="H15" i="265"/>
  <c r="I15" i="265"/>
  <c r="J15" i="265"/>
  <c r="K15" i="265"/>
  <c r="L15" i="265"/>
  <c r="M15" i="265"/>
  <c r="N15" i="265"/>
  <c r="O15" i="265"/>
  <c r="P15" i="265"/>
  <c r="H16" i="265"/>
  <c r="I16" i="265"/>
  <c r="J16" i="265"/>
  <c r="K16" i="265"/>
  <c r="L16" i="265"/>
  <c r="M16" i="265"/>
  <c r="N16" i="265"/>
  <c r="O16" i="265"/>
  <c r="P16" i="265"/>
  <c r="H17" i="265"/>
  <c r="I17" i="265"/>
  <c r="J17" i="265"/>
  <c r="K17" i="265"/>
  <c r="L17" i="265"/>
  <c r="M17" i="265"/>
  <c r="N17" i="265"/>
  <c r="O17" i="265"/>
  <c r="P17" i="265"/>
  <c r="H18" i="265"/>
  <c r="I18" i="265"/>
  <c r="J18" i="265"/>
  <c r="K18" i="265"/>
  <c r="L18" i="265"/>
  <c r="M18" i="265"/>
  <c r="N18" i="265"/>
  <c r="O18" i="265"/>
  <c r="P18" i="265"/>
  <c r="H19" i="265"/>
  <c r="I19" i="265"/>
  <c r="J19" i="265"/>
  <c r="K19" i="265"/>
  <c r="L19" i="265"/>
  <c r="M19" i="265"/>
  <c r="N19" i="265"/>
  <c r="O19" i="265"/>
  <c r="P19" i="265"/>
  <c r="H20" i="265"/>
  <c r="I20" i="265"/>
  <c r="J20" i="265"/>
  <c r="K20" i="265"/>
  <c r="L20" i="265"/>
  <c r="M20" i="265"/>
  <c r="N20" i="265"/>
  <c r="O20" i="265"/>
  <c r="P20" i="265"/>
  <c r="H23" i="265"/>
  <c r="I23" i="265"/>
  <c r="J23" i="265"/>
  <c r="K23" i="265"/>
  <c r="L23" i="265"/>
  <c r="M23" i="265"/>
  <c r="N23" i="265"/>
  <c r="O23" i="265"/>
  <c r="P23" i="265"/>
  <c r="H24" i="265"/>
  <c r="I24" i="265"/>
  <c r="J24" i="265"/>
  <c r="K24" i="265"/>
  <c r="H25" i="265"/>
  <c r="I25" i="265"/>
  <c r="J25" i="265"/>
  <c r="K25" i="265"/>
  <c r="H26" i="265"/>
  <c r="I26" i="265"/>
  <c r="J26" i="265"/>
  <c r="K26" i="265"/>
  <c r="H27" i="265"/>
  <c r="I27" i="265"/>
  <c r="J27" i="265"/>
  <c r="K27" i="265"/>
  <c r="H28" i="265"/>
  <c r="I28" i="265"/>
  <c r="J28" i="265"/>
  <c r="K28" i="265"/>
  <c r="H29" i="265"/>
  <c r="I29" i="265"/>
  <c r="J29" i="265"/>
  <c r="K29" i="265"/>
  <c r="H30" i="265"/>
  <c r="I30" i="265"/>
  <c r="J30" i="265"/>
  <c r="K30" i="265"/>
  <c r="H33" i="265"/>
  <c r="I33" i="265"/>
  <c r="J33" i="265"/>
  <c r="K33" i="265"/>
  <c r="L33" i="265"/>
  <c r="M33" i="265"/>
  <c r="N33" i="265"/>
  <c r="O33" i="265"/>
  <c r="P33" i="265"/>
  <c r="G14" i="265"/>
  <c r="G15" i="265"/>
  <c r="G16" i="265"/>
  <c r="G17" i="265"/>
  <c r="G18" i="265"/>
  <c r="G19" i="265"/>
  <c r="G20" i="265"/>
  <c r="G23" i="265"/>
  <c r="G33" i="265"/>
  <c r="C3" i="265"/>
  <c r="D3" i="265"/>
  <c r="E3" i="265"/>
  <c r="F3" i="265"/>
  <c r="G3" i="265"/>
  <c r="C4" i="265"/>
  <c r="D4" i="265"/>
  <c r="C5" i="265"/>
  <c r="D5" i="265"/>
  <c r="C6" i="265"/>
  <c r="D6" i="265"/>
  <c r="C7" i="265"/>
  <c r="D7" i="265"/>
  <c r="C8" i="265"/>
  <c r="D8" i="265"/>
  <c r="C9" i="265"/>
  <c r="D9" i="265"/>
  <c r="C10" i="265"/>
  <c r="B13" i="265"/>
  <c r="C13" i="265"/>
  <c r="C14" i="265"/>
  <c r="E14" i="265"/>
  <c r="F14" i="265"/>
  <c r="C15" i="265"/>
  <c r="E15" i="265"/>
  <c r="F15" i="265"/>
  <c r="C16" i="265"/>
  <c r="E16" i="265"/>
  <c r="F16" i="265"/>
  <c r="C17" i="265"/>
  <c r="E17" i="265"/>
  <c r="F17" i="265"/>
  <c r="C18" i="265"/>
  <c r="E18" i="265"/>
  <c r="F18" i="265"/>
  <c r="C19" i="265"/>
  <c r="E19" i="265"/>
  <c r="F19" i="265"/>
  <c r="C20" i="265"/>
  <c r="E20" i="265"/>
  <c r="F20" i="265"/>
  <c r="B23" i="265"/>
  <c r="C23" i="265"/>
  <c r="C33" i="265" s="1"/>
  <c r="D23" i="265"/>
  <c r="E23" i="265"/>
  <c r="F23" i="265"/>
  <c r="C24" i="265"/>
  <c r="D24" i="265"/>
  <c r="C25" i="265"/>
  <c r="D25" i="265"/>
  <c r="C26" i="265"/>
  <c r="D26" i="265"/>
  <c r="C27" i="265"/>
  <c r="D27" i="265"/>
  <c r="C28" i="265"/>
  <c r="D28" i="265"/>
  <c r="C29" i="265"/>
  <c r="D29" i="265"/>
  <c r="C30" i="265"/>
  <c r="D30" i="265"/>
  <c r="B33" i="265"/>
  <c r="E33" i="265"/>
  <c r="F33" i="265"/>
  <c r="F34" i="265"/>
  <c r="F35" i="265"/>
  <c r="F36" i="265"/>
  <c r="F37" i="265"/>
  <c r="F38" i="265"/>
  <c r="F39" i="265"/>
  <c r="F40" i="265"/>
  <c r="B3" i="265"/>
  <c r="F93" i="231"/>
  <c r="F94" i="231"/>
  <c r="F95" i="231"/>
  <c r="F96" i="231"/>
  <c r="F97" i="231"/>
  <c r="F98" i="231"/>
  <c r="F92" i="231"/>
  <c r="I177" i="250"/>
  <c r="B138" i="259" l="1"/>
  <c r="B137" i="259"/>
  <c r="B26" i="257"/>
  <c r="B25" i="257"/>
  <c r="A566" i="250" l="1"/>
  <c r="A571" i="250"/>
  <c r="A553" i="250"/>
  <c r="A547" i="250"/>
  <c r="T181" i="224"/>
  <c r="S181" i="224"/>
  <c r="I180" i="224"/>
  <c r="J180" i="224"/>
  <c r="K180" i="224"/>
  <c r="L180" i="224"/>
  <c r="O180" i="224"/>
  <c r="P180" i="224"/>
  <c r="Q180" i="224"/>
  <c r="R180" i="224"/>
  <c r="S180" i="224"/>
  <c r="T180" i="224"/>
  <c r="F70" i="222" l="1"/>
  <c r="D55" i="265" s="1"/>
  <c r="F66" i="222"/>
  <c r="E66" i="222" s="1"/>
  <c r="F175" i="239"/>
  <c r="F174" i="239"/>
  <c r="J179" i="250"/>
  <c r="J178" i="250"/>
  <c r="J126" i="250"/>
  <c r="J125" i="250"/>
  <c r="J73" i="250"/>
  <c r="J72" i="250"/>
  <c r="J18" i="250"/>
  <c r="J17" i="250"/>
  <c r="F3" i="227"/>
  <c r="F8" i="227" s="1"/>
  <c r="I49" i="228"/>
  <c r="J49" i="228"/>
  <c r="K49" i="228"/>
  <c r="M49" i="228"/>
  <c r="N49" i="228"/>
  <c r="O49" i="228"/>
  <c r="Q49" i="228"/>
  <c r="R49" i="228"/>
  <c r="S49" i="228"/>
  <c r="U49" i="228"/>
  <c r="V49" i="228"/>
  <c r="W49" i="228"/>
  <c r="Y49" i="228"/>
  <c r="Z49" i="228"/>
  <c r="J33" i="231"/>
  <c r="J42" i="231" s="1"/>
  <c r="AO379" i="250"/>
  <c r="I119" i="250" s="1"/>
  <c r="K119" i="250" s="1"/>
  <c r="G11" i="231" s="1"/>
  <c r="J44" i="231"/>
  <c r="J53" i="231" s="1"/>
  <c r="AO320" i="250"/>
  <c r="I111" i="250"/>
  <c r="K111" i="250" s="1"/>
  <c r="D20" i="224"/>
  <c r="E20" i="224"/>
  <c r="F20" i="224"/>
  <c r="AO329" i="250"/>
  <c r="AO338" i="250" s="1"/>
  <c r="AQ338" i="250" s="1"/>
  <c r="AE329" i="250"/>
  <c r="AE338" i="250" s="1"/>
  <c r="AE320" i="250"/>
  <c r="AO380" i="250"/>
  <c r="I172" i="250" s="1"/>
  <c r="AO330" i="250"/>
  <c r="AO321" i="250"/>
  <c r="I164" i="250" s="1"/>
  <c r="AE330" i="250"/>
  <c r="AE339" i="250" s="1"/>
  <c r="AE321" i="250"/>
  <c r="AO377" i="250"/>
  <c r="I11" i="250" s="1"/>
  <c r="AO327" i="250"/>
  <c r="AO318" i="250"/>
  <c r="I3" i="250" s="1"/>
  <c r="K3" i="250" s="1"/>
  <c r="L3" i="250" s="1"/>
  <c r="AE327" i="250"/>
  <c r="AE318" i="250"/>
  <c r="G3" i="250" s="1"/>
  <c r="G387" i="250" s="1"/>
  <c r="G543" i="250" s="1"/>
  <c r="AO378" i="250"/>
  <c r="I66" i="250" s="1"/>
  <c r="K66" i="250" s="1"/>
  <c r="G10" i="231" s="1"/>
  <c r="AO328" i="250"/>
  <c r="AO319" i="250"/>
  <c r="AO337" i="250"/>
  <c r="AE328" i="250"/>
  <c r="AE319" i="250"/>
  <c r="G58" i="250" s="1"/>
  <c r="I58" i="250"/>
  <c r="K58" i="250" s="1"/>
  <c r="L58" i="250" s="1"/>
  <c r="AN373" i="250"/>
  <c r="AO373" i="250" s="1"/>
  <c r="AN314" i="250"/>
  <c r="AN282" i="250"/>
  <c r="AO282" i="250" s="1"/>
  <c r="AE332" i="250"/>
  <c r="AE341" i="250" s="1"/>
  <c r="AE323" i="250"/>
  <c r="AA49" i="228"/>
  <c r="AC49" i="228"/>
  <c r="AD49" i="228"/>
  <c r="AE49" i="228"/>
  <c r="M54" i="228" s="1"/>
  <c r="J39" i="224" s="1"/>
  <c r="N53" i="228"/>
  <c r="K37" i="224" s="1"/>
  <c r="N54" i="228"/>
  <c r="K39" i="224" s="1"/>
  <c r="G28" i="252"/>
  <c r="H28" i="252" s="1"/>
  <c r="I28" i="252" s="1"/>
  <c r="J28" i="252" s="1"/>
  <c r="K28" i="252" s="1"/>
  <c r="L28" i="252" s="1"/>
  <c r="M28" i="252" s="1"/>
  <c r="N28" i="252" s="1"/>
  <c r="O28" i="252" s="1"/>
  <c r="P28" i="252" s="1"/>
  <c r="Q28" i="252" s="1"/>
  <c r="R28" i="252" s="1"/>
  <c r="S28" i="252" s="1"/>
  <c r="T28" i="252" s="1"/>
  <c r="U28" i="252" s="1"/>
  <c r="V28" i="252" s="1"/>
  <c r="K13" i="222"/>
  <c r="L13" i="230" s="1"/>
  <c r="F30" i="231" s="1"/>
  <c r="E3" i="223"/>
  <c r="F3" i="223"/>
  <c r="G3" i="223"/>
  <c r="H3" i="223"/>
  <c r="I3" i="223"/>
  <c r="J3" i="223"/>
  <c r="K3" i="223"/>
  <c r="L3" i="223"/>
  <c r="M3" i="223"/>
  <c r="N3" i="223"/>
  <c r="O3" i="223"/>
  <c r="P3" i="223"/>
  <c r="Q3" i="223"/>
  <c r="R3" i="223"/>
  <c r="S3" i="223"/>
  <c r="T3" i="223"/>
  <c r="U3" i="223"/>
  <c r="V3" i="223"/>
  <c r="W3" i="223"/>
  <c r="X3" i="223"/>
  <c r="Y3" i="223"/>
  <c r="Z3" i="223"/>
  <c r="AA3" i="223"/>
  <c r="AB3" i="223"/>
  <c r="AC3" i="223"/>
  <c r="AD3" i="223"/>
  <c r="AE3" i="223"/>
  <c r="AF3" i="223"/>
  <c r="D4" i="253"/>
  <c r="D3" i="253" s="1"/>
  <c r="D11" i="204"/>
  <c r="D12" i="204"/>
  <c r="E11" i="204" s="1"/>
  <c r="F12" i="234"/>
  <c r="E10" i="265" s="1"/>
  <c r="AG3" i="223"/>
  <c r="AH3" i="223"/>
  <c r="AI3" i="223"/>
  <c r="AJ3" i="223"/>
  <c r="AK3" i="223"/>
  <c r="AL3" i="223"/>
  <c r="AM3" i="223"/>
  <c r="AN3" i="223"/>
  <c r="B14" i="204"/>
  <c r="D25" i="204" s="1"/>
  <c r="E15" i="223"/>
  <c r="F15" i="223"/>
  <c r="G15" i="223"/>
  <c r="H15" i="223"/>
  <c r="I15" i="223"/>
  <c r="J15" i="223"/>
  <c r="K15" i="223"/>
  <c r="L15" i="223"/>
  <c r="M15" i="223"/>
  <c r="N15" i="223"/>
  <c r="O15" i="223"/>
  <c r="P15" i="223"/>
  <c r="Q15" i="223"/>
  <c r="R15" i="223"/>
  <c r="S15" i="223"/>
  <c r="T15" i="223"/>
  <c r="U15" i="223"/>
  <c r="V15" i="223"/>
  <c r="W15" i="223"/>
  <c r="X15" i="223"/>
  <c r="Y15" i="223"/>
  <c r="Z15" i="223"/>
  <c r="AA15" i="223"/>
  <c r="AB15" i="223"/>
  <c r="AC15" i="223"/>
  <c r="AD15" i="223"/>
  <c r="AE15" i="223"/>
  <c r="AF15" i="223"/>
  <c r="AG15" i="223"/>
  <c r="AH15" i="223"/>
  <c r="AI15" i="223"/>
  <c r="AJ15" i="223"/>
  <c r="AK15" i="223"/>
  <c r="AL15" i="223"/>
  <c r="AM15" i="223"/>
  <c r="AN15" i="223"/>
  <c r="AO15" i="223"/>
  <c r="AP15" i="223"/>
  <c r="AQ15" i="223"/>
  <c r="AR15" i="223"/>
  <c r="AS15" i="223"/>
  <c r="AT15" i="223"/>
  <c r="AU15" i="223"/>
  <c r="AV15" i="223"/>
  <c r="AW15" i="223"/>
  <c r="AX15" i="223"/>
  <c r="AY15" i="223"/>
  <c r="AZ15" i="223"/>
  <c r="BA15" i="223"/>
  <c r="BB15" i="223"/>
  <c r="BC15" i="223"/>
  <c r="BD15" i="223"/>
  <c r="BE15" i="223"/>
  <c r="BF15" i="223"/>
  <c r="BG15" i="223"/>
  <c r="BH15" i="223"/>
  <c r="BI15" i="223"/>
  <c r="BJ15" i="223"/>
  <c r="BK15" i="223"/>
  <c r="BL15" i="223"/>
  <c r="F16" i="223"/>
  <c r="F12" i="223"/>
  <c r="F20" i="223"/>
  <c r="E16" i="223"/>
  <c r="E12" i="223"/>
  <c r="E20" i="223"/>
  <c r="E24" i="223" s="1"/>
  <c r="G30" i="228" s="1"/>
  <c r="G16" i="223"/>
  <c r="G12" i="223"/>
  <c r="G20" i="223"/>
  <c r="H16" i="223"/>
  <c r="H12" i="223"/>
  <c r="H20" i="223"/>
  <c r="D8" i="204"/>
  <c r="CT8" i="204" s="1"/>
  <c r="I16" i="223"/>
  <c r="I12" i="223"/>
  <c r="I20" i="223"/>
  <c r="J16" i="223"/>
  <c r="J12" i="223"/>
  <c r="J20" i="223"/>
  <c r="K16" i="223"/>
  <c r="K12" i="223"/>
  <c r="K20" i="223"/>
  <c r="L16" i="223"/>
  <c r="L12" i="223"/>
  <c r="L20" i="223"/>
  <c r="M16" i="223"/>
  <c r="M12" i="223"/>
  <c r="M20" i="223"/>
  <c r="N16" i="223"/>
  <c r="N12" i="223"/>
  <c r="N20" i="223"/>
  <c r="O16" i="223"/>
  <c r="O12" i="223"/>
  <c r="O20" i="223"/>
  <c r="P16" i="223"/>
  <c r="P12" i="223"/>
  <c r="P20" i="223"/>
  <c r="Q16" i="223"/>
  <c r="Q12" i="223"/>
  <c r="Q20" i="223"/>
  <c r="R16" i="223"/>
  <c r="R12" i="223"/>
  <c r="R20" i="223"/>
  <c r="S16" i="223"/>
  <c r="S12" i="223"/>
  <c r="S20" i="223"/>
  <c r="T16" i="223"/>
  <c r="T12" i="223"/>
  <c r="T20" i="223"/>
  <c r="U16" i="223"/>
  <c r="U12" i="223"/>
  <c r="U20" i="223"/>
  <c r="V16" i="223"/>
  <c r="V12" i="223"/>
  <c r="V20" i="223"/>
  <c r="W16" i="223"/>
  <c r="W12" i="223"/>
  <c r="W20" i="223"/>
  <c r="X16" i="223"/>
  <c r="X12" i="223"/>
  <c r="X20" i="223"/>
  <c r="Y16" i="223"/>
  <c r="Y12" i="223"/>
  <c r="Z16" i="223"/>
  <c r="Z12" i="223"/>
  <c r="AA16" i="223"/>
  <c r="AA12" i="223"/>
  <c r="AB16" i="223"/>
  <c r="AB12" i="223"/>
  <c r="AC16" i="223"/>
  <c r="AC12" i="223"/>
  <c r="AD16" i="223"/>
  <c r="AD12" i="223"/>
  <c r="AE16" i="223"/>
  <c r="AE12" i="223"/>
  <c r="AF16" i="223"/>
  <c r="AF12" i="223"/>
  <c r="K7" i="222"/>
  <c r="D4" i="243" s="1"/>
  <c r="D3" i="243" s="1"/>
  <c r="L9" i="230"/>
  <c r="F26" i="231" s="1"/>
  <c r="K20" i="222"/>
  <c r="G6" i="248"/>
  <c r="G7" i="248" s="1"/>
  <c r="K22" i="222"/>
  <c r="G8" i="248" s="1"/>
  <c r="K23" i="222"/>
  <c r="G9" i="248" s="1"/>
  <c r="K9" i="222"/>
  <c r="L11" i="230"/>
  <c r="F28" i="231" s="1"/>
  <c r="D4" i="245"/>
  <c r="D3" i="245" s="1"/>
  <c r="F10" i="234"/>
  <c r="E8" i="265" s="1"/>
  <c r="K5" i="222"/>
  <c r="K6" i="222"/>
  <c r="L8" i="230" s="1"/>
  <c r="F25" i="231" s="1"/>
  <c r="D4" i="244"/>
  <c r="D3" i="244" s="1"/>
  <c r="V3" i="244" s="1"/>
  <c r="AO3" i="244" s="1"/>
  <c r="AO11" i="244" s="1"/>
  <c r="K10" i="222"/>
  <c r="D4" i="246" s="1"/>
  <c r="D3" i="246" s="1"/>
  <c r="D4" i="237"/>
  <c r="D3" i="237"/>
  <c r="E3" i="237" s="1"/>
  <c r="L7" i="230"/>
  <c r="F24" i="231"/>
  <c r="L10" i="230"/>
  <c r="F27" i="231" s="1"/>
  <c r="F3" i="252"/>
  <c r="F6" i="252" s="1"/>
  <c r="F5" i="252" s="1"/>
  <c r="G5" i="252" s="1"/>
  <c r="AG16" i="223"/>
  <c r="AG12" i="223"/>
  <c r="AK16" i="223"/>
  <c r="AK12" i="223"/>
  <c r="AJ16" i="223"/>
  <c r="AJ12" i="223"/>
  <c r="AI16" i="223"/>
  <c r="AI12" i="223"/>
  <c r="AH16" i="223"/>
  <c r="AH12" i="223"/>
  <c r="AO16" i="223"/>
  <c r="AO12" i="223"/>
  <c r="AN16" i="223"/>
  <c r="AN12" i="223"/>
  <c r="AM16" i="223"/>
  <c r="AM12" i="223"/>
  <c r="AL16" i="223"/>
  <c r="AL12" i="223"/>
  <c r="AS16" i="223"/>
  <c r="AS12" i="223"/>
  <c r="AR16" i="223"/>
  <c r="AR12" i="223"/>
  <c r="AQ16" i="223"/>
  <c r="AQ12" i="223"/>
  <c r="AP16" i="223"/>
  <c r="AP12" i="223"/>
  <c r="AW16" i="223"/>
  <c r="AW12" i="223"/>
  <c r="AV16" i="223"/>
  <c r="AV12" i="223"/>
  <c r="AU16" i="223"/>
  <c r="AU12" i="223"/>
  <c r="AT16" i="223"/>
  <c r="AT12" i="223"/>
  <c r="BA16" i="223"/>
  <c r="BA12" i="223"/>
  <c r="AZ16" i="223"/>
  <c r="AZ12" i="223"/>
  <c r="AY16" i="223"/>
  <c r="AY12" i="223"/>
  <c r="AX16" i="223"/>
  <c r="AX12" i="223"/>
  <c r="F7" i="234"/>
  <c r="E5" i="265" s="1"/>
  <c r="G37" i="252"/>
  <c r="H37" i="252" s="1"/>
  <c r="I37" i="252" s="1"/>
  <c r="J37" i="252" s="1"/>
  <c r="K37" i="252" s="1"/>
  <c r="L37" i="252" s="1"/>
  <c r="M37" i="252" s="1"/>
  <c r="N37" i="252" s="1"/>
  <c r="O37" i="252" s="1"/>
  <c r="P37" i="252" s="1"/>
  <c r="Q37" i="252" s="1"/>
  <c r="R37" i="252" s="1"/>
  <c r="S37" i="252" s="1"/>
  <c r="T37" i="252" s="1"/>
  <c r="U37" i="252" s="1"/>
  <c r="V37" i="252" s="1"/>
  <c r="G46" i="252"/>
  <c r="H46" i="252" s="1"/>
  <c r="I46" i="252" s="1"/>
  <c r="J46" i="252" s="1"/>
  <c r="K46" i="252" s="1"/>
  <c r="L46" i="252" s="1"/>
  <c r="M46" i="252" s="1"/>
  <c r="N46" i="252" s="1"/>
  <c r="O46" i="252" s="1"/>
  <c r="P46" i="252" s="1"/>
  <c r="Q46" i="252" s="1"/>
  <c r="R46" i="252" s="1"/>
  <c r="S46" i="252" s="1"/>
  <c r="T46" i="252" s="1"/>
  <c r="U46" i="252" s="1"/>
  <c r="V46" i="252" s="1"/>
  <c r="I56" i="252"/>
  <c r="J56" i="252" s="1"/>
  <c r="F9" i="234"/>
  <c r="E7" i="265" s="1"/>
  <c r="E65" i="260"/>
  <c r="B66" i="260"/>
  <c r="B67" i="260"/>
  <c r="F19" i="221"/>
  <c r="E51" i="222" s="1"/>
  <c r="E63" i="260"/>
  <c r="C8" i="248"/>
  <c r="C16" i="248" s="1"/>
  <c r="C29" i="248" s="1"/>
  <c r="C34" i="248" s="1"/>
  <c r="C42" i="248" s="1"/>
  <c r="C47" i="248" s="1"/>
  <c r="C9" i="248"/>
  <c r="C17" i="248" s="1"/>
  <c r="C30" i="248" s="1"/>
  <c r="C35" i="248" s="1"/>
  <c r="C43" i="248" s="1"/>
  <c r="C48" i="248" s="1"/>
  <c r="D37" i="248"/>
  <c r="D38" i="248"/>
  <c r="H14" i="248"/>
  <c r="E37" i="248"/>
  <c r="F37" i="248" s="1"/>
  <c r="G37" i="248" s="1"/>
  <c r="H37" i="248" s="1"/>
  <c r="I37" i="248" s="1"/>
  <c r="J37" i="248" s="1"/>
  <c r="K37" i="248" s="1"/>
  <c r="L37" i="248" s="1"/>
  <c r="M37" i="248" s="1"/>
  <c r="N37" i="248" s="1"/>
  <c r="O37" i="248" s="1"/>
  <c r="P37" i="248" s="1"/>
  <c r="Q37" i="248" s="1"/>
  <c r="R37" i="248" s="1"/>
  <c r="S37" i="248" s="1"/>
  <c r="T37" i="248" s="1"/>
  <c r="U37" i="248" s="1"/>
  <c r="V37" i="248" s="1"/>
  <c r="E38" i="248"/>
  <c r="F38" i="248" s="1"/>
  <c r="G38" i="248" s="1"/>
  <c r="H38" i="248" s="1"/>
  <c r="I38" i="248" s="1"/>
  <c r="J38" i="248" s="1"/>
  <c r="K38" i="248" s="1"/>
  <c r="L38" i="248" s="1"/>
  <c r="M38" i="248" s="1"/>
  <c r="N38" i="248" s="1"/>
  <c r="O38" i="248" s="1"/>
  <c r="P38" i="248" s="1"/>
  <c r="Q38" i="248" s="1"/>
  <c r="R38" i="248" s="1"/>
  <c r="S38" i="248" s="1"/>
  <c r="T38" i="248" s="1"/>
  <c r="U38" i="248" s="1"/>
  <c r="V38" i="248" s="1"/>
  <c r="H40" i="248"/>
  <c r="I40" i="248" s="1"/>
  <c r="J40" i="248" s="1"/>
  <c r="K40" i="248" s="1"/>
  <c r="L40" i="248" s="1"/>
  <c r="M40" i="248" s="1"/>
  <c r="N40" i="248" s="1"/>
  <c r="O40" i="248" s="1"/>
  <c r="P40" i="248" s="1"/>
  <c r="Q40" i="248" s="1"/>
  <c r="R40" i="248" s="1"/>
  <c r="S40" i="248" s="1"/>
  <c r="T40" i="248" s="1"/>
  <c r="U40" i="248" s="1"/>
  <c r="V40" i="248" s="1"/>
  <c r="H41" i="248"/>
  <c r="I41" i="248" s="1"/>
  <c r="J41" i="248" s="1"/>
  <c r="K41" i="248" s="1"/>
  <c r="L41" i="248" s="1"/>
  <c r="M41" i="248" s="1"/>
  <c r="N41" i="248" s="1"/>
  <c r="O41" i="248" s="1"/>
  <c r="P41" i="248" s="1"/>
  <c r="Q41" i="248" s="1"/>
  <c r="R41" i="248" s="1"/>
  <c r="S41" i="248" s="1"/>
  <c r="T41" i="248" s="1"/>
  <c r="U41" i="248" s="1"/>
  <c r="V41" i="248" s="1"/>
  <c r="B60" i="260"/>
  <c r="B61" i="260"/>
  <c r="B62" i="260"/>
  <c r="B63" i="260"/>
  <c r="F6" i="234"/>
  <c r="E4" i="265" s="1"/>
  <c r="G6" i="234"/>
  <c r="F4" i="265" s="1"/>
  <c r="F11" i="234"/>
  <c r="E9" i="265" s="1"/>
  <c r="B176" i="239"/>
  <c r="D176" i="239" s="1"/>
  <c r="G7" i="228"/>
  <c r="G8" i="228"/>
  <c r="BL16" i="223"/>
  <c r="H7" i="228"/>
  <c r="H8" i="228"/>
  <c r="I7" i="228"/>
  <c r="I8" i="228"/>
  <c r="J7" i="228"/>
  <c r="J8" i="228"/>
  <c r="K7" i="228"/>
  <c r="K8" i="228"/>
  <c r="L7" i="228"/>
  <c r="L8" i="228"/>
  <c r="M7" i="228"/>
  <c r="M8" i="228"/>
  <c r="N7" i="228"/>
  <c r="N8" i="228"/>
  <c r="O7" i="228"/>
  <c r="O8" i="228"/>
  <c r="P7" i="228"/>
  <c r="P8" i="228"/>
  <c r="Q7" i="228"/>
  <c r="Q8" i="228"/>
  <c r="R7" i="228"/>
  <c r="R8" i="228"/>
  <c r="S7" i="228"/>
  <c r="S8" i="228"/>
  <c r="T7" i="228"/>
  <c r="T8" i="228"/>
  <c r="U7" i="228"/>
  <c r="U8" i="228"/>
  <c r="V7" i="228"/>
  <c r="V8" i="228"/>
  <c r="W7" i="228"/>
  <c r="W8" i="228"/>
  <c r="X7" i="228"/>
  <c r="X8" i="228"/>
  <c r="Y7" i="228"/>
  <c r="Y8" i="228"/>
  <c r="Z7" i="228"/>
  <c r="Z8" i="228"/>
  <c r="AA7" i="228"/>
  <c r="AA8" i="228"/>
  <c r="AB7" i="228"/>
  <c r="AB8" i="228"/>
  <c r="AC7" i="228"/>
  <c r="AC8" i="228"/>
  <c r="AD7" i="228"/>
  <c r="AD8" i="228"/>
  <c r="AE7" i="228"/>
  <c r="AE8" i="228"/>
  <c r="D175" i="239"/>
  <c r="K175" i="239" s="1"/>
  <c r="H174" i="239"/>
  <c r="J174" i="239"/>
  <c r="F176" i="239"/>
  <c r="D177" i="239"/>
  <c r="H177" i="239"/>
  <c r="J177" i="239"/>
  <c r="F177" i="239"/>
  <c r="D178" i="239"/>
  <c r="H178" i="239"/>
  <c r="J178" i="239"/>
  <c r="F178" i="239"/>
  <c r="K178" i="239"/>
  <c r="M178" i="239" s="1"/>
  <c r="D180" i="239"/>
  <c r="H180" i="239"/>
  <c r="J180" i="239"/>
  <c r="F180" i="239"/>
  <c r="K180" i="239"/>
  <c r="M181" i="239" s="1"/>
  <c r="D182" i="239"/>
  <c r="H182" i="239"/>
  <c r="K182" i="239" s="1"/>
  <c r="M182" i="239" s="1"/>
  <c r="J182" i="239"/>
  <c r="F182" i="239"/>
  <c r="D183" i="239"/>
  <c r="H183" i="239"/>
  <c r="J183" i="239"/>
  <c r="K183" i="239" s="1"/>
  <c r="M183" i="239" s="1"/>
  <c r="F183" i="239"/>
  <c r="D184" i="239"/>
  <c r="K184" i="239" s="1"/>
  <c r="M184" i="239" s="1"/>
  <c r="H184" i="239"/>
  <c r="J184" i="239"/>
  <c r="F184" i="239"/>
  <c r="D193" i="239"/>
  <c r="K193" i="239" s="1"/>
  <c r="H192" i="239"/>
  <c r="J192" i="239"/>
  <c r="F193" i="239"/>
  <c r="D194" i="239"/>
  <c r="K194" i="239" s="1"/>
  <c r="M194" i="239" s="1"/>
  <c r="H194" i="239"/>
  <c r="J194" i="239"/>
  <c r="F194" i="239"/>
  <c r="D196" i="239"/>
  <c r="K196" i="239" s="1"/>
  <c r="M196" i="239" s="1"/>
  <c r="H196" i="239"/>
  <c r="J196" i="239"/>
  <c r="F196" i="239"/>
  <c r="D197" i="239"/>
  <c r="H197" i="239"/>
  <c r="J197" i="239"/>
  <c r="F197" i="239"/>
  <c r="K197" i="239"/>
  <c r="M197" i="239" s="1"/>
  <c r="H199" i="239"/>
  <c r="K199" i="239" s="1"/>
  <c r="M199" i="239" s="1"/>
  <c r="J199" i="239"/>
  <c r="F199" i="239"/>
  <c r="H200" i="239"/>
  <c r="J200" i="239"/>
  <c r="F200" i="239"/>
  <c r="K200" i="239"/>
  <c r="H202" i="239"/>
  <c r="K202" i="239" s="1"/>
  <c r="M202" i="239" s="1"/>
  <c r="J202" i="239"/>
  <c r="F202" i="239"/>
  <c r="H203" i="239"/>
  <c r="J203" i="239"/>
  <c r="F203" i="239"/>
  <c r="K203" i="239"/>
  <c r="M203" i="239" s="1"/>
  <c r="D204" i="239"/>
  <c r="F204" i="239"/>
  <c r="H204" i="239"/>
  <c r="J204" i="239"/>
  <c r="K204" i="239"/>
  <c r="M204" i="239" s="1"/>
  <c r="D205" i="239"/>
  <c r="K205" i="239" s="1"/>
  <c r="M205" i="239" s="1"/>
  <c r="H205" i="239"/>
  <c r="J205" i="239"/>
  <c r="D174" i="239"/>
  <c r="K174" i="239" s="1"/>
  <c r="M174" i="239" s="1"/>
  <c r="D192" i="239"/>
  <c r="K192" i="239" s="1"/>
  <c r="M192" i="239" s="1"/>
  <c r="F192" i="239"/>
  <c r="M200" i="239"/>
  <c r="B221" i="239"/>
  <c r="E54" i="222" s="1"/>
  <c r="D214" i="239"/>
  <c r="F214" i="239"/>
  <c r="H214" i="239"/>
  <c r="J214" i="239"/>
  <c r="K214" i="239"/>
  <c r="M214" i="239" s="1"/>
  <c r="D215" i="239"/>
  <c r="K215" i="239" s="1"/>
  <c r="M215" i="239" s="1"/>
  <c r="F215" i="239"/>
  <c r="H215" i="239"/>
  <c r="J215" i="239"/>
  <c r="D216" i="239"/>
  <c r="K216" i="239" s="1"/>
  <c r="M216" i="239" s="1"/>
  <c r="F216" i="239"/>
  <c r="H216" i="239"/>
  <c r="J216" i="239"/>
  <c r="D217" i="239"/>
  <c r="F217" i="239"/>
  <c r="H217" i="239"/>
  <c r="K217" i="239" s="1"/>
  <c r="M217" i="239" s="1"/>
  <c r="J217" i="239"/>
  <c r="D218" i="239"/>
  <c r="F218" i="239"/>
  <c r="H218" i="239"/>
  <c r="J218" i="239"/>
  <c r="K218" i="239"/>
  <c r="M218" i="239" s="1"/>
  <c r="D219" i="239"/>
  <c r="K219" i="239" s="1"/>
  <c r="M219" i="239" s="1"/>
  <c r="F219" i="239"/>
  <c r="H219" i="239"/>
  <c r="J219" i="239"/>
  <c r="D220" i="239"/>
  <c r="F220" i="239"/>
  <c r="H220" i="239"/>
  <c r="J220" i="239"/>
  <c r="B59" i="260"/>
  <c r="H25" i="229"/>
  <c r="E11" i="228"/>
  <c r="I4" i="229"/>
  <c r="I25" i="229"/>
  <c r="J25" i="229"/>
  <c r="K25" i="229"/>
  <c r="L25" i="229"/>
  <c r="M25" i="229"/>
  <c r="N25" i="229"/>
  <c r="O25" i="229"/>
  <c r="P25" i="229"/>
  <c r="Q25" i="229"/>
  <c r="R25" i="229"/>
  <c r="S25" i="229"/>
  <c r="T25" i="229"/>
  <c r="U25" i="229"/>
  <c r="V25" i="229"/>
  <c r="W25" i="229"/>
  <c r="H26" i="229"/>
  <c r="H37" i="229"/>
  <c r="H48" i="229"/>
  <c r="H59" i="229"/>
  <c r="H70" i="229"/>
  <c r="H81" i="229"/>
  <c r="H114" i="229"/>
  <c r="H136" i="229"/>
  <c r="H147" i="229"/>
  <c r="H158" i="229"/>
  <c r="H180" i="229"/>
  <c r="H194" i="229"/>
  <c r="H213" i="229"/>
  <c r="H232" i="229"/>
  <c r="H230" i="229"/>
  <c r="H252" i="229"/>
  <c r="I252" i="229"/>
  <c r="J252" i="229"/>
  <c r="K252" i="229"/>
  <c r="K254" i="229"/>
  <c r="K275" i="229"/>
  <c r="I26" i="229"/>
  <c r="I37" i="229"/>
  <c r="I48" i="229"/>
  <c r="I59" i="229"/>
  <c r="I70" i="229"/>
  <c r="I81" i="229"/>
  <c r="I114" i="229"/>
  <c r="I136" i="229"/>
  <c r="I147" i="229"/>
  <c r="I158" i="229"/>
  <c r="I180" i="229"/>
  <c r="I194" i="229"/>
  <c r="I213" i="229"/>
  <c r="J26" i="229"/>
  <c r="J37" i="229"/>
  <c r="J48" i="229"/>
  <c r="J59" i="229"/>
  <c r="J70" i="229"/>
  <c r="J81" i="229"/>
  <c r="J114" i="229"/>
  <c r="J136" i="229"/>
  <c r="J147" i="229"/>
  <c r="J158" i="229"/>
  <c r="J180" i="229"/>
  <c r="J194" i="229"/>
  <c r="J213" i="229"/>
  <c r="K26" i="229"/>
  <c r="K37" i="229"/>
  <c r="K48" i="229"/>
  <c r="K59" i="229"/>
  <c r="K70" i="229"/>
  <c r="K81" i="229"/>
  <c r="K114" i="229"/>
  <c r="K136" i="229"/>
  <c r="K147" i="229"/>
  <c r="K158" i="229"/>
  <c r="K180" i="229"/>
  <c r="K194" i="229"/>
  <c r="K213" i="229"/>
  <c r="L26" i="229"/>
  <c r="L37" i="229"/>
  <c r="L48" i="229"/>
  <c r="L59" i="229"/>
  <c r="L70" i="229"/>
  <c r="L81" i="229"/>
  <c r="L114" i="229"/>
  <c r="L136" i="229"/>
  <c r="L147" i="229"/>
  <c r="L158" i="229"/>
  <c r="L180" i="229"/>
  <c r="L194" i="229"/>
  <c r="L213" i="229"/>
  <c r="M26" i="229"/>
  <c r="M37" i="229"/>
  <c r="M48" i="229"/>
  <c r="M59" i="229"/>
  <c r="M70" i="229"/>
  <c r="M81" i="229"/>
  <c r="M114" i="229"/>
  <c r="M136" i="229"/>
  <c r="M147" i="229"/>
  <c r="M158" i="229"/>
  <c r="M180" i="229"/>
  <c r="M194" i="229"/>
  <c r="M213" i="229"/>
  <c r="N26" i="229"/>
  <c r="N37" i="229"/>
  <c r="N48" i="229"/>
  <c r="N59" i="229"/>
  <c r="N70" i="229"/>
  <c r="N81" i="229"/>
  <c r="N114" i="229"/>
  <c r="N136" i="229"/>
  <c r="N147" i="229"/>
  <c r="N158" i="229"/>
  <c r="N180" i="229"/>
  <c r="N194" i="229"/>
  <c r="N213" i="229"/>
  <c r="O26" i="229"/>
  <c r="O37" i="229"/>
  <c r="O48" i="229"/>
  <c r="O59" i="229"/>
  <c r="O70" i="229"/>
  <c r="O81" i="229"/>
  <c r="O114" i="229"/>
  <c r="O136" i="229"/>
  <c r="O147" i="229"/>
  <c r="O158" i="229"/>
  <c r="O180" i="229"/>
  <c r="O194" i="229"/>
  <c r="O213" i="229"/>
  <c r="P26" i="229"/>
  <c r="P37" i="229"/>
  <c r="P48" i="229"/>
  <c r="P59" i="229"/>
  <c r="P70" i="229"/>
  <c r="P81" i="229"/>
  <c r="P114" i="229"/>
  <c r="P136" i="229"/>
  <c r="P147" i="229"/>
  <c r="P158" i="229"/>
  <c r="P180" i="229"/>
  <c r="P194" i="229"/>
  <c r="P213" i="229"/>
  <c r="Q26" i="229"/>
  <c r="Q37" i="229"/>
  <c r="Q48" i="229"/>
  <c r="Q59" i="229"/>
  <c r="Q70" i="229"/>
  <c r="Q81" i="229"/>
  <c r="Q114" i="229"/>
  <c r="Q136" i="229"/>
  <c r="Q147" i="229"/>
  <c r="Q158" i="229"/>
  <c r="Q180" i="229"/>
  <c r="Q194" i="229"/>
  <c r="Q213" i="229"/>
  <c r="R26" i="229"/>
  <c r="R37" i="229"/>
  <c r="R48" i="229"/>
  <c r="R59" i="229"/>
  <c r="R70" i="229"/>
  <c r="R81" i="229"/>
  <c r="R114" i="229"/>
  <c r="R136" i="229"/>
  <c r="R147" i="229"/>
  <c r="R158" i="229"/>
  <c r="R180" i="229"/>
  <c r="R194" i="229"/>
  <c r="R213" i="229"/>
  <c r="S26" i="229"/>
  <c r="S37" i="229"/>
  <c r="S48" i="229"/>
  <c r="S59" i="229"/>
  <c r="S70" i="229"/>
  <c r="S81" i="229"/>
  <c r="S114" i="229"/>
  <c r="S136" i="229"/>
  <c r="S147" i="229"/>
  <c r="S158" i="229"/>
  <c r="S180" i="229"/>
  <c r="S194" i="229"/>
  <c r="S213" i="229"/>
  <c r="T26" i="229"/>
  <c r="T37" i="229"/>
  <c r="T48" i="229"/>
  <c r="T59" i="229"/>
  <c r="T70" i="229"/>
  <c r="T81" i="229"/>
  <c r="T114" i="229"/>
  <c r="T136" i="229"/>
  <c r="T147" i="229"/>
  <c r="T158" i="229"/>
  <c r="T180" i="229"/>
  <c r="T194" i="229"/>
  <c r="T213" i="229"/>
  <c r="U26" i="229"/>
  <c r="U37" i="229"/>
  <c r="U48" i="229"/>
  <c r="U59" i="229"/>
  <c r="U70" i="229"/>
  <c r="U81" i="229"/>
  <c r="U114" i="229"/>
  <c r="U136" i="229"/>
  <c r="U147" i="229"/>
  <c r="U158" i="229"/>
  <c r="U180" i="229"/>
  <c r="U194" i="229"/>
  <c r="U213" i="229"/>
  <c r="V26" i="229"/>
  <c r="V37" i="229"/>
  <c r="V48" i="229"/>
  <c r="V59" i="229"/>
  <c r="V70" i="229"/>
  <c r="V81" i="229"/>
  <c r="V114" i="229"/>
  <c r="V136" i="229"/>
  <c r="V147" i="229"/>
  <c r="V158" i="229"/>
  <c r="V180" i="229"/>
  <c r="V194" i="229"/>
  <c r="V213" i="229"/>
  <c r="W26" i="229"/>
  <c r="W37" i="229"/>
  <c r="W48" i="229"/>
  <c r="W59" i="229"/>
  <c r="W70" i="229"/>
  <c r="W81" i="229"/>
  <c r="W114" i="229"/>
  <c r="W136" i="229"/>
  <c r="W147" i="229"/>
  <c r="W158" i="229"/>
  <c r="W180" i="229"/>
  <c r="W194" i="229"/>
  <c r="W213" i="229"/>
  <c r="X25" i="229"/>
  <c r="X26" i="229"/>
  <c r="X37" i="229"/>
  <c r="X48" i="229"/>
  <c r="X59" i="229"/>
  <c r="X70" i="229"/>
  <c r="X81" i="229"/>
  <c r="X114" i="229"/>
  <c r="X136" i="229"/>
  <c r="X147" i="229"/>
  <c r="X158" i="229"/>
  <c r="X180" i="229"/>
  <c r="X194" i="229"/>
  <c r="X213" i="229"/>
  <c r="Y25" i="229"/>
  <c r="Y26" i="229"/>
  <c r="Y37" i="229"/>
  <c r="Y48" i="229"/>
  <c r="Y59" i="229"/>
  <c r="Y70" i="229"/>
  <c r="Y81" i="229"/>
  <c r="Y114" i="229"/>
  <c r="Y136" i="229"/>
  <c r="Y147" i="229"/>
  <c r="Y158" i="229"/>
  <c r="Y180" i="229"/>
  <c r="Y194" i="229"/>
  <c r="Y213" i="229"/>
  <c r="Z25" i="229"/>
  <c r="Z26" i="229"/>
  <c r="Z37" i="229"/>
  <c r="Z48" i="229"/>
  <c r="Z59" i="229"/>
  <c r="Z70" i="229"/>
  <c r="Z81" i="229"/>
  <c r="Z114" i="229"/>
  <c r="Z136" i="229"/>
  <c r="Z147" i="229"/>
  <c r="Z158" i="229"/>
  <c r="Z180" i="229"/>
  <c r="Z194" i="229"/>
  <c r="Z213" i="229"/>
  <c r="AA25" i="229"/>
  <c r="AA26" i="229"/>
  <c r="AA37" i="229"/>
  <c r="AA48" i="229"/>
  <c r="AA59" i="229"/>
  <c r="AA70" i="229"/>
  <c r="AA81" i="229"/>
  <c r="AA114" i="229"/>
  <c r="AA136" i="229"/>
  <c r="AA147" i="229"/>
  <c r="AA158" i="229"/>
  <c r="AA180" i="229"/>
  <c r="AA194" i="229"/>
  <c r="AA213" i="229"/>
  <c r="AB25" i="229"/>
  <c r="AB26" i="229"/>
  <c r="AB37" i="229"/>
  <c r="AB48" i="229"/>
  <c r="AB59" i="229"/>
  <c r="AB70" i="229"/>
  <c r="AB81" i="229"/>
  <c r="AB114" i="229"/>
  <c r="AB136" i="229"/>
  <c r="AB147" i="229"/>
  <c r="AB158" i="229"/>
  <c r="AB180" i="229"/>
  <c r="AB194" i="229"/>
  <c r="AB213" i="229"/>
  <c r="AC25" i="229"/>
  <c r="AC26" i="229"/>
  <c r="AC37" i="229"/>
  <c r="AC48" i="229"/>
  <c r="AC59" i="229"/>
  <c r="AC70" i="229"/>
  <c r="AC81" i="229"/>
  <c r="AC114" i="229"/>
  <c r="AC136" i="229"/>
  <c r="AC147" i="229"/>
  <c r="AC158" i="229"/>
  <c r="AC180" i="229"/>
  <c r="AC194" i="229"/>
  <c r="AC213" i="229"/>
  <c r="AD25" i="229"/>
  <c r="AD26" i="229"/>
  <c r="AD37" i="229"/>
  <c r="AD48" i="229"/>
  <c r="AD59" i="229"/>
  <c r="AD70" i="229"/>
  <c r="AD81" i="229"/>
  <c r="AD114" i="229"/>
  <c r="AD136" i="229"/>
  <c r="AD147" i="229"/>
  <c r="AD158" i="229"/>
  <c r="AD180" i="229"/>
  <c r="AD194" i="229"/>
  <c r="AD213" i="229"/>
  <c r="AE25" i="229"/>
  <c r="AE26" i="229"/>
  <c r="AE37" i="229"/>
  <c r="AE48" i="229"/>
  <c r="AE59" i="229"/>
  <c r="AE70" i="229"/>
  <c r="AE81" i="229"/>
  <c r="AE114" i="229"/>
  <c r="AE136" i="229"/>
  <c r="AE147" i="229"/>
  <c r="AE158" i="229"/>
  <c r="AE180" i="229"/>
  <c r="AE194" i="229"/>
  <c r="AE213" i="229"/>
  <c r="AF25" i="229"/>
  <c r="AF26" i="229"/>
  <c r="AF37" i="229"/>
  <c r="AF48" i="229"/>
  <c r="AF59" i="229"/>
  <c r="AF70" i="229"/>
  <c r="AF81" i="229"/>
  <c r="AF114" i="229"/>
  <c r="AF136" i="229"/>
  <c r="AF147" i="229"/>
  <c r="AF158" i="229"/>
  <c r="AF180" i="229"/>
  <c r="AF194" i="229"/>
  <c r="AF213" i="229"/>
  <c r="AG25" i="229"/>
  <c r="AG26" i="229"/>
  <c r="AG37" i="229"/>
  <c r="AG48" i="229"/>
  <c r="AG59" i="229"/>
  <c r="AG70" i="229"/>
  <c r="AG81" i="229"/>
  <c r="AG114" i="229"/>
  <c r="AG136" i="229"/>
  <c r="AG147" i="229"/>
  <c r="AG158" i="229"/>
  <c r="AG180" i="229"/>
  <c r="AG194" i="229"/>
  <c r="AG213" i="229"/>
  <c r="AH25" i="229"/>
  <c r="AH26" i="229"/>
  <c r="AH37" i="229"/>
  <c r="AH48" i="229"/>
  <c r="AH59" i="229"/>
  <c r="AH70" i="229"/>
  <c r="AH81" i="229"/>
  <c r="AH114" i="229"/>
  <c r="AH136" i="229"/>
  <c r="AH147" i="229"/>
  <c r="AH158" i="229"/>
  <c r="AH180" i="229"/>
  <c r="AH194" i="229"/>
  <c r="AH213" i="229"/>
  <c r="AI25" i="229"/>
  <c r="AI26" i="229"/>
  <c r="AI37" i="229"/>
  <c r="AI48" i="229"/>
  <c r="AI59" i="229"/>
  <c r="AI70" i="229"/>
  <c r="AI81" i="229"/>
  <c r="AI114" i="229"/>
  <c r="AI136" i="229"/>
  <c r="AI147" i="229"/>
  <c r="AI158" i="229"/>
  <c r="AI180" i="229"/>
  <c r="AI194" i="229"/>
  <c r="AI213" i="229"/>
  <c r="AJ25" i="229"/>
  <c r="AJ26" i="229"/>
  <c r="AJ37" i="229"/>
  <c r="AJ48" i="229"/>
  <c r="AJ59" i="229"/>
  <c r="AJ70" i="229"/>
  <c r="AJ81" i="229"/>
  <c r="AJ114" i="229"/>
  <c r="AJ136" i="229"/>
  <c r="AJ147" i="229"/>
  <c r="AJ158" i="229"/>
  <c r="AJ180" i="229"/>
  <c r="AJ194" i="229"/>
  <c r="AJ213" i="229"/>
  <c r="AK25" i="229"/>
  <c r="AK26" i="229"/>
  <c r="AK37" i="229"/>
  <c r="AK48" i="229"/>
  <c r="AK59" i="229"/>
  <c r="AK70" i="229"/>
  <c r="AK81" i="229"/>
  <c r="AK114" i="229"/>
  <c r="AK136" i="229"/>
  <c r="AK147" i="229"/>
  <c r="AK158" i="229"/>
  <c r="AK180" i="229"/>
  <c r="AK194" i="229"/>
  <c r="AK213" i="229"/>
  <c r="AL25" i="229"/>
  <c r="AL26" i="229"/>
  <c r="AL37" i="229"/>
  <c r="AL48" i="229"/>
  <c r="AL59" i="229"/>
  <c r="AL70" i="229"/>
  <c r="AL81" i="229"/>
  <c r="AL114" i="229"/>
  <c r="AL136" i="229"/>
  <c r="AL147" i="229"/>
  <c r="AL158" i="229"/>
  <c r="AL180" i="229"/>
  <c r="AL194" i="229"/>
  <c r="AL213" i="229"/>
  <c r="AM25" i="229"/>
  <c r="AM26" i="229"/>
  <c r="AM37" i="229"/>
  <c r="AM48" i="229"/>
  <c r="AM59" i="229"/>
  <c r="AM70" i="229"/>
  <c r="AM81" i="229"/>
  <c r="AM114" i="229"/>
  <c r="AM136" i="229"/>
  <c r="AM147" i="229"/>
  <c r="AM158" i="229"/>
  <c r="AM180" i="229"/>
  <c r="AM194" i="229"/>
  <c r="AM213" i="229"/>
  <c r="AN25" i="229"/>
  <c r="AN26" i="229"/>
  <c r="AN37" i="229"/>
  <c r="AN48" i="229"/>
  <c r="AN59" i="229"/>
  <c r="AN70" i="229"/>
  <c r="AN81" i="229"/>
  <c r="AN114" i="229"/>
  <c r="AN136" i="229"/>
  <c r="AN147" i="229"/>
  <c r="AN158" i="229"/>
  <c r="AN180" i="229"/>
  <c r="AN194" i="229"/>
  <c r="AN213" i="229"/>
  <c r="AO25" i="229"/>
  <c r="AO26" i="229"/>
  <c r="AO37" i="229"/>
  <c r="AO48" i="229"/>
  <c r="AO59" i="229"/>
  <c r="AO70" i="229"/>
  <c r="AO81" i="229"/>
  <c r="AO114" i="229"/>
  <c r="AO136" i="229"/>
  <c r="AO147" i="229"/>
  <c r="AO158" i="229"/>
  <c r="AO180" i="229"/>
  <c r="AO194" i="229"/>
  <c r="AO213" i="229"/>
  <c r="AP25" i="229"/>
  <c r="AP26" i="229"/>
  <c r="AP37" i="229"/>
  <c r="AP48" i="229"/>
  <c r="AP59" i="229"/>
  <c r="AP70" i="229"/>
  <c r="AP81" i="229"/>
  <c r="AP114" i="229"/>
  <c r="AP136" i="229"/>
  <c r="AP147" i="229"/>
  <c r="AP158" i="229"/>
  <c r="AP180" i="229"/>
  <c r="AP194" i="229"/>
  <c r="AP213" i="229"/>
  <c r="AQ25" i="229"/>
  <c r="AQ26" i="229"/>
  <c r="AQ37" i="229"/>
  <c r="AQ48" i="229"/>
  <c r="AQ59" i="229"/>
  <c r="AQ70" i="229"/>
  <c r="AQ81" i="229"/>
  <c r="AQ114" i="229"/>
  <c r="AQ136" i="229"/>
  <c r="AQ147" i="229"/>
  <c r="AQ158" i="229"/>
  <c r="AQ180" i="229"/>
  <c r="AQ194" i="229"/>
  <c r="AQ213" i="229"/>
  <c r="AR25" i="229"/>
  <c r="AR26" i="229"/>
  <c r="AR37" i="229"/>
  <c r="AR48" i="229"/>
  <c r="AR59" i="229"/>
  <c r="AR70" i="229"/>
  <c r="AR81" i="229"/>
  <c r="AR114" i="229"/>
  <c r="AR136" i="229"/>
  <c r="AR147" i="229"/>
  <c r="AR158" i="229"/>
  <c r="AR180" i="229"/>
  <c r="AR194" i="229"/>
  <c r="AR213" i="229"/>
  <c r="AS25" i="229"/>
  <c r="AS26" i="229"/>
  <c r="AS37" i="229"/>
  <c r="AS48" i="229"/>
  <c r="AS59" i="229"/>
  <c r="AS70" i="229"/>
  <c r="AS81" i="229"/>
  <c r="AS114" i="229"/>
  <c r="AS136" i="229"/>
  <c r="AS147" i="229"/>
  <c r="AS158" i="229"/>
  <c r="AS180" i="229"/>
  <c r="AS194" i="229"/>
  <c r="AS213" i="229"/>
  <c r="AT25" i="229"/>
  <c r="AT26" i="229"/>
  <c r="AT37" i="229"/>
  <c r="AT48" i="229"/>
  <c r="AT59" i="229"/>
  <c r="AT70" i="229"/>
  <c r="AT81" i="229"/>
  <c r="AT114" i="229"/>
  <c r="AT136" i="229"/>
  <c r="AT147" i="229"/>
  <c r="AT158" i="229"/>
  <c r="AT180" i="229"/>
  <c r="AT194" i="229"/>
  <c r="AT213" i="229"/>
  <c r="AU25" i="229"/>
  <c r="AU26" i="229"/>
  <c r="AU37" i="229"/>
  <c r="AU48" i="229"/>
  <c r="AU59" i="229"/>
  <c r="AU70" i="229"/>
  <c r="AU81" i="229"/>
  <c r="AU114" i="229"/>
  <c r="AU136" i="229"/>
  <c r="AU147" i="229"/>
  <c r="AU158" i="229"/>
  <c r="AU180" i="229"/>
  <c r="AU194" i="229"/>
  <c r="AU213" i="229"/>
  <c r="AV25" i="229"/>
  <c r="AV26" i="229"/>
  <c r="AV37" i="229"/>
  <c r="AV48" i="229"/>
  <c r="AV59" i="229"/>
  <c r="AV70" i="229"/>
  <c r="AV81" i="229"/>
  <c r="AV114" i="229"/>
  <c r="AV136" i="229"/>
  <c r="AV147" i="229"/>
  <c r="AV158" i="229"/>
  <c r="AV180" i="229"/>
  <c r="AV194" i="229"/>
  <c r="AV213" i="229"/>
  <c r="AW25" i="229"/>
  <c r="AW26" i="229"/>
  <c r="AW37" i="229"/>
  <c r="AW48" i="229"/>
  <c r="AW59" i="229"/>
  <c r="AW70" i="229"/>
  <c r="AW81" i="229"/>
  <c r="AW114" i="229"/>
  <c r="AW136" i="229"/>
  <c r="AW147" i="229"/>
  <c r="AW158" i="229"/>
  <c r="AW180" i="229"/>
  <c r="AW194" i="229"/>
  <c r="AW213" i="229"/>
  <c r="AX25" i="229"/>
  <c r="AX26" i="229"/>
  <c r="AX37" i="229"/>
  <c r="AX48" i="229"/>
  <c r="AX59" i="229"/>
  <c r="AX70" i="229"/>
  <c r="AX81" i="229"/>
  <c r="AX114" i="229"/>
  <c r="AX136" i="229"/>
  <c r="AX147" i="229"/>
  <c r="AX158" i="229"/>
  <c r="AX180" i="229"/>
  <c r="AX194" i="229"/>
  <c r="AX213" i="229"/>
  <c r="AY25" i="229"/>
  <c r="AY26" i="229"/>
  <c r="AY37" i="229"/>
  <c r="AY48" i="229"/>
  <c r="AY59" i="229"/>
  <c r="AY70" i="229"/>
  <c r="AY81" i="229"/>
  <c r="AY114" i="229"/>
  <c r="AY136" i="229"/>
  <c r="AY147" i="229"/>
  <c r="AY158" i="229"/>
  <c r="AY180" i="229"/>
  <c r="AY194" i="229"/>
  <c r="AY213" i="229"/>
  <c r="AZ25" i="229"/>
  <c r="AZ26" i="229"/>
  <c r="AZ37" i="229"/>
  <c r="AZ48" i="229"/>
  <c r="AZ59" i="229"/>
  <c r="AZ70" i="229"/>
  <c r="AZ81" i="229"/>
  <c r="AZ114" i="229"/>
  <c r="AZ136" i="229"/>
  <c r="AZ147" i="229"/>
  <c r="AZ158" i="229"/>
  <c r="AZ180" i="229"/>
  <c r="AZ194" i="229"/>
  <c r="AZ213" i="229"/>
  <c r="BA25" i="229"/>
  <c r="BA26" i="229"/>
  <c r="BA37" i="229"/>
  <c r="BA48" i="229"/>
  <c r="BA59" i="229"/>
  <c r="BA70" i="229"/>
  <c r="BA81" i="229"/>
  <c r="BA114" i="229"/>
  <c r="BA136" i="229"/>
  <c r="BA147" i="229"/>
  <c r="BA158" i="229"/>
  <c r="BA180" i="229"/>
  <c r="BA194" i="229"/>
  <c r="BA213" i="229"/>
  <c r="BB25" i="229"/>
  <c r="BB26" i="229"/>
  <c r="BB37" i="229"/>
  <c r="BB48" i="229"/>
  <c r="BB59" i="229"/>
  <c r="BB70" i="229"/>
  <c r="BB81" i="229"/>
  <c r="BB114" i="229"/>
  <c r="BB136" i="229"/>
  <c r="BB147" i="229"/>
  <c r="BB158" i="229"/>
  <c r="BB180" i="229"/>
  <c r="BB194" i="229"/>
  <c r="BB213" i="229"/>
  <c r="BC25" i="229"/>
  <c r="BC26" i="229"/>
  <c r="BC37" i="229"/>
  <c r="BC48" i="229"/>
  <c r="BC59" i="229"/>
  <c r="BC70" i="229"/>
  <c r="BC81" i="229"/>
  <c r="BC114" i="229"/>
  <c r="BC136" i="229"/>
  <c r="BC147" i="229"/>
  <c r="BC158" i="229"/>
  <c r="BC180" i="229"/>
  <c r="BC194" i="229"/>
  <c r="BC213" i="229"/>
  <c r="BD25" i="229"/>
  <c r="BD26" i="229"/>
  <c r="BD37" i="229"/>
  <c r="BD48" i="229"/>
  <c r="BD59" i="229"/>
  <c r="BD70" i="229"/>
  <c r="BD81" i="229"/>
  <c r="BD114" i="229"/>
  <c r="BD136" i="229"/>
  <c r="BD147" i="229"/>
  <c r="BD158" i="229"/>
  <c r="BD180" i="229"/>
  <c r="BD194" i="229"/>
  <c r="BD213" i="229"/>
  <c r="BE25" i="229"/>
  <c r="BE26" i="229"/>
  <c r="BE37" i="229"/>
  <c r="BE48" i="229"/>
  <c r="BE59" i="229"/>
  <c r="BE70" i="229"/>
  <c r="BE81" i="229"/>
  <c r="BE114" i="229"/>
  <c r="BE136" i="229"/>
  <c r="BE147" i="229"/>
  <c r="BE158" i="229"/>
  <c r="BE180" i="229"/>
  <c r="BE194" i="229"/>
  <c r="BE213" i="229"/>
  <c r="BF25" i="229"/>
  <c r="BF26" i="229"/>
  <c r="BF37" i="229"/>
  <c r="BF48" i="229"/>
  <c r="BF59" i="229"/>
  <c r="BF70" i="229"/>
  <c r="BF81" i="229"/>
  <c r="BF114" i="229"/>
  <c r="BF136" i="229"/>
  <c r="BF147" i="229"/>
  <c r="BF158" i="229"/>
  <c r="BF180" i="229"/>
  <c r="BF194" i="229"/>
  <c r="BF213" i="229"/>
  <c r="BG25" i="229"/>
  <c r="BG26" i="229"/>
  <c r="BG37" i="229"/>
  <c r="BG48" i="229"/>
  <c r="BG59" i="229"/>
  <c r="BG70" i="229"/>
  <c r="BG81" i="229"/>
  <c r="BG114" i="229"/>
  <c r="BG136" i="229"/>
  <c r="BG147" i="229"/>
  <c r="BG158" i="229"/>
  <c r="BG180" i="229"/>
  <c r="BG194" i="229"/>
  <c r="BG213" i="229"/>
  <c r="BH25" i="229"/>
  <c r="BH26" i="229"/>
  <c r="BH37" i="229"/>
  <c r="BH48" i="229"/>
  <c r="BH59" i="229"/>
  <c r="BH70" i="229"/>
  <c r="BH81" i="229"/>
  <c r="BH114" i="229"/>
  <c r="BH136" i="229"/>
  <c r="BH147" i="229"/>
  <c r="BH158" i="229"/>
  <c r="BH180" i="229"/>
  <c r="BH194" i="229"/>
  <c r="BH213" i="229"/>
  <c r="BI25" i="229"/>
  <c r="BI26" i="229"/>
  <c r="BI37" i="229"/>
  <c r="BI48" i="229"/>
  <c r="BI59" i="229"/>
  <c r="BI70" i="229"/>
  <c r="BI81" i="229"/>
  <c r="BI114" i="229"/>
  <c r="BI136" i="229"/>
  <c r="BI147" i="229"/>
  <c r="BI158" i="229"/>
  <c r="BI180" i="229"/>
  <c r="BI194" i="229"/>
  <c r="BI213" i="229"/>
  <c r="BJ25" i="229"/>
  <c r="BJ26" i="229"/>
  <c r="BJ37" i="229"/>
  <c r="BJ48" i="229"/>
  <c r="BJ59" i="229"/>
  <c r="BJ70" i="229"/>
  <c r="BJ81" i="229"/>
  <c r="BJ114" i="229"/>
  <c r="BJ136" i="229"/>
  <c r="BJ147" i="229"/>
  <c r="BJ158" i="229"/>
  <c r="BJ180" i="229"/>
  <c r="BJ194" i="229"/>
  <c r="BJ213" i="229"/>
  <c r="BK25" i="229"/>
  <c r="BK26" i="229"/>
  <c r="BK37" i="229"/>
  <c r="BK48" i="229"/>
  <c r="BK59" i="229"/>
  <c r="BK70" i="229"/>
  <c r="BK81" i="229"/>
  <c r="BK114" i="229"/>
  <c r="BK136" i="229"/>
  <c r="BK147" i="229"/>
  <c r="BK158" i="229"/>
  <c r="BK180" i="229"/>
  <c r="BK194" i="229"/>
  <c r="BK213" i="229"/>
  <c r="BL25" i="229"/>
  <c r="BL26" i="229"/>
  <c r="BL37" i="229"/>
  <c r="BL48" i="229"/>
  <c r="BL59" i="229"/>
  <c r="BL70" i="229"/>
  <c r="BL81" i="229"/>
  <c r="BL114" i="229"/>
  <c r="BL136" i="229"/>
  <c r="BL147" i="229"/>
  <c r="BL158" i="229"/>
  <c r="BL180" i="229"/>
  <c r="BL194" i="229"/>
  <c r="BL213" i="229"/>
  <c r="BM25" i="229"/>
  <c r="BM26" i="229"/>
  <c r="BM37" i="229"/>
  <c r="BM48" i="229"/>
  <c r="BM59" i="229"/>
  <c r="BM70" i="229"/>
  <c r="BM81" i="229"/>
  <c r="BM114" i="229"/>
  <c r="BM136" i="229"/>
  <c r="BM147" i="229"/>
  <c r="BM158" i="229"/>
  <c r="BM180" i="229"/>
  <c r="BM194" i="229"/>
  <c r="BM213" i="229"/>
  <c r="BN25" i="229"/>
  <c r="BN26" i="229"/>
  <c r="BN37" i="229"/>
  <c r="BN48" i="229"/>
  <c r="BN59" i="229"/>
  <c r="BN70" i="229"/>
  <c r="BN81" i="229"/>
  <c r="BN114" i="229"/>
  <c r="BN136" i="229"/>
  <c r="BN147" i="229"/>
  <c r="BN158" i="229"/>
  <c r="BN180" i="229"/>
  <c r="BN194" i="229"/>
  <c r="BN213" i="229"/>
  <c r="BO25" i="229"/>
  <c r="BO26" i="229"/>
  <c r="BO37" i="229"/>
  <c r="BO48" i="229"/>
  <c r="BO59" i="229"/>
  <c r="BO70" i="229"/>
  <c r="BO81" i="229"/>
  <c r="BO114" i="229"/>
  <c r="BO136" i="229"/>
  <c r="BO147" i="229"/>
  <c r="BO158" i="229"/>
  <c r="BO180" i="229"/>
  <c r="BO194" i="229"/>
  <c r="BO213" i="229"/>
  <c r="BP25" i="229"/>
  <c r="BP26" i="229"/>
  <c r="BP37" i="229"/>
  <c r="BP48" i="229"/>
  <c r="BP59" i="229"/>
  <c r="BP70" i="229"/>
  <c r="BP81" i="229"/>
  <c r="BP114" i="229"/>
  <c r="BP136" i="229"/>
  <c r="BP147" i="229"/>
  <c r="BP158" i="229"/>
  <c r="BP180" i="229"/>
  <c r="BP194" i="229"/>
  <c r="BP213" i="229"/>
  <c r="BQ25" i="229"/>
  <c r="BQ26" i="229"/>
  <c r="BQ37" i="229"/>
  <c r="BQ48" i="229"/>
  <c r="BQ59" i="229"/>
  <c r="BQ70" i="229"/>
  <c r="BQ81" i="229"/>
  <c r="BQ114" i="229"/>
  <c r="BQ136" i="229"/>
  <c r="BQ147" i="229"/>
  <c r="BQ158" i="229"/>
  <c r="BQ180" i="229"/>
  <c r="BQ194" i="229"/>
  <c r="BQ213" i="229"/>
  <c r="BR25" i="229"/>
  <c r="BR26" i="229"/>
  <c r="BR37" i="229"/>
  <c r="BR48" i="229"/>
  <c r="BR59" i="229"/>
  <c r="BR70" i="229"/>
  <c r="BR81" i="229"/>
  <c r="BR114" i="229"/>
  <c r="BR136" i="229"/>
  <c r="BR147" i="229"/>
  <c r="BR158" i="229"/>
  <c r="BR180" i="229"/>
  <c r="BR194" i="229"/>
  <c r="BR213" i="229"/>
  <c r="BS25" i="229"/>
  <c r="BS26" i="229"/>
  <c r="BS37" i="229"/>
  <c r="BS48" i="229"/>
  <c r="BS59" i="229"/>
  <c r="BS70" i="229"/>
  <c r="BS81" i="229"/>
  <c r="BS114" i="229"/>
  <c r="BS136" i="229"/>
  <c r="BS147" i="229"/>
  <c r="BS158" i="229"/>
  <c r="BS180" i="229"/>
  <c r="BS194" i="229"/>
  <c r="BS213" i="229"/>
  <c r="BT25" i="229"/>
  <c r="BT26" i="229"/>
  <c r="BT37" i="229"/>
  <c r="BT48" i="229"/>
  <c r="BT59" i="229"/>
  <c r="BT70" i="229"/>
  <c r="BT81" i="229"/>
  <c r="BT114" i="229"/>
  <c r="BT136" i="229"/>
  <c r="BT147" i="229"/>
  <c r="BT158" i="229"/>
  <c r="BT180" i="229"/>
  <c r="BT194" i="229"/>
  <c r="BT213" i="229"/>
  <c r="BU25" i="229"/>
  <c r="BU26" i="229"/>
  <c r="BU37" i="229"/>
  <c r="BU48" i="229"/>
  <c r="BU59" i="229"/>
  <c r="BU70" i="229"/>
  <c r="BU81" i="229"/>
  <c r="BU114" i="229"/>
  <c r="BU136" i="229"/>
  <c r="BU147" i="229"/>
  <c r="BU158" i="229"/>
  <c r="BU180" i="229"/>
  <c r="BU194" i="229"/>
  <c r="BU213" i="229"/>
  <c r="BV25" i="229"/>
  <c r="BV26" i="229"/>
  <c r="BV37" i="229"/>
  <c r="BV48" i="229"/>
  <c r="BV59" i="229"/>
  <c r="BV70" i="229"/>
  <c r="BV81" i="229"/>
  <c r="BV114" i="229"/>
  <c r="BV136" i="229"/>
  <c r="BV147" i="229"/>
  <c r="BV158" i="229"/>
  <c r="BV180" i="229"/>
  <c r="BV194" i="229"/>
  <c r="BV213" i="229"/>
  <c r="BW25" i="229"/>
  <c r="BW26" i="229"/>
  <c r="BW37" i="229"/>
  <c r="BW48" i="229"/>
  <c r="BW59" i="229"/>
  <c r="BW70" i="229"/>
  <c r="BW81" i="229"/>
  <c r="BW114" i="229"/>
  <c r="BW136" i="229"/>
  <c r="BW147" i="229"/>
  <c r="BW158" i="229"/>
  <c r="BW180" i="229"/>
  <c r="BW194" i="229"/>
  <c r="BW213" i="229"/>
  <c r="BX25" i="229"/>
  <c r="BX26" i="229"/>
  <c r="BX37" i="229"/>
  <c r="BX48" i="229"/>
  <c r="BX59" i="229"/>
  <c r="BX70" i="229"/>
  <c r="BX81" i="229"/>
  <c r="BX114" i="229"/>
  <c r="BX136" i="229"/>
  <c r="BX147" i="229"/>
  <c r="BX158" i="229"/>
  <c r="BX180" i="229"/>
  <c r="BX194" i="229"/>
  <c r="BX213" i="229"/>
  <c r="BY25" i="229"/>
  <c r="BY26" i="229"/>
  <c r="BY37" i="229"/>
  <c r="BY48" i="229"/>
  <c r="BY59" i="229"/>
  <c r="BY70" i="229"/>
  <c r="BY81" i="229"/>
  <c r="BY114" i="229"/>
  <c r="BY136" i="229"/>
  <c r="BY147" i="229"/>
  <c r="BY158" i="229"/>
  <c r="BY180" i="229"/>
  <c r="BY194" i="229"/>
  <c r="BY213" i="229"/>
  <c r="BZ25" i="229"/>
  <c r="BZ26" i="229"/>
  <c r="BZ37" i="229"/>
  <c r="BZ48" i="229"/>
  <c r="BZ59" i="229"/>
  <c r="BZ70" i="229"/>
  <c r="BZ81" i="229"/>
  <c r="BZ114" i="229"/>
  <c r="BZ136" i="229"/>
  <c r="BZ147" i="229"/>
  <c r="BZ158" i="229"/>
  <c r="BZ180" i="229"/>
  <c r="BZ194" i="229"/>
  <c r="BZ213" i="229"/>
  <c r="CA25" i="229"/>
  <c r="CA26" i="229"/>
  <c r="CA37" i="229"/>
  <c r="CA48" i="229"/>
  <c r="CA59" i="229"/>
  <c r="CA70" i="229"/>
  <c r="CA81" i="229"/>
  <c r="CA114" i="229"/>
  <c r="CA136" i="229"/>
  <c r="CA147" i="229"/>
  <c r="CA158" i="229"/>
  <c r="CA180" i="229"/>
  <c r="CA194" i="229"/>
  <c r="CA213" i="229"/>
  <c r="CB25" i="229"/>
  <c r="CB26" i="229"/>
  <c r="CB37" i="229"/>
  <c r="CB48" i="229"/>
  <c r="CB59" i="229"/>
  <c r="CB70" i="229"/>
  <c r="CB81" i="229"/>
  <c r="CB114" i="229"/>
  <c r="CB136" i="229"/>
  <c r="CB147" i="229"/>
  <c r="CB158" i="229"/>
  <c r="CB180" i="229"/>
  <c r="CB194" i="229"/>
  <c r="CB213" i="229"/>
  <c r="CC25" i="229"/>
  <c r="CC26" i="229"/>
  <c r="CC37" i="229"/>
  <c r="CC48" i="229"/>
  <c r="CC59" i="229"/>
  <c r="CC70" i="229"/>
  <c r="CC81" i="229"/>
  <c r="CC114" i="229"/>
  <c r="CC136" i="229"/>
  <c r="CC147" i="229"/>
  <c r="CC158" i="229"/>
  <c r="CC180" i="229"/>
  <c r="CC194" i="229"/>
  <c r="CC213" i="229"/>
  <c r="CD25" i="229"/>
  <c r="CD26" i="229"/>
  <c r="CD37" i="229"/>
  <c r="CD48" i="229"/>
  <c r="CD59" i="229"/>
  <c r="CD70" i="229"/>
  <c r="CD81" i="229"/>
  <c r="CD114" i="229"/>
  <c r="CD136" i="229"/>
  <c r="CD147" i="229"/>
  <c r="CD158" i="229"/>
  <c r="CD180" i="229"/>
  <c r="CD194" i="229"/>
  <c r="CD213" i="229"/>
  <c r="CE25" i="229"/>
  <c r="CE26" i="229"/>
  <c r="CE37" i="229"/>
  <c r="CE48" i="229"/>
  <c r="CE59" i="229"/>
  <c r="CE70" i="229"/>
  <c r="CE81" i="229"/>
  <c r="CE114" i="229"/>
  <c r="CE136" i="229"/>
  <c r="CE147" i="229"/>
  <c r="CE158" i="229"/>
  <c r="CE180" i="229"/>
  <c r="CE194" i="229"/>
  <c r="CE213" i="229"/>
  <c r="CF25" i="229"/>
  <c r="CF26" i="229"/>
  <c r="CF37" i="229"/>
  <c r="CF48" i="229"/>
  <c r="CF59" i="229"/>
  <c r="CF70" i="229"/>
  <c r="CF81" i="229"/>
  <c r="CF114" i="229"/>
  <c r="CF136" i="229"/>
  <c r="CF147" i="229"/>
  <c r="CF158" i="229"/>
  <c r="CF180" i="229"/>
  <c r="CF194" i="229"/>
  <c r="CF213" i="229"/>
  <c r="CG25" i="229"/>
  <c r="CG26" i="229"/>
  <c r="CG37" i="229"/>
  <c r="CG48" i="229"/>
  <c r="CG59" i="229"/>
  <c r="CG70" i="229"/>
  <c r="CG81" i="229"/>
  <c r="CG114" i="229"/>
  <c r="CG136" i="229"/>
  <c r="CG147" i="229"/>
  <c r="CG158" i="229"/>
  <c r="CG180" i="229"/>
  <c r="CG194" i="229"/>
  <c r="CG213" i="229"/>
  <c r="CH25" i="229"/>
  <c r="CH26" i="229"/>
  <c r="CH37" i="229"/>
  <c r="CH48" i="229"/>
  <c r="CH59" i="229"/>
  <c r="CH70" i="229"/>
  <c r="CH81" i="229"/>
  <c r="CH114" i="229"/>
  <c r="CH136" i="229"/>
  <c r="CH147" i="229"/>
  <c r="CH158" i="229"/>
  <c r="CH180" i="229"/>
  <c r="CH194" i="229"/>
  <c r="CH213" i="229"/>
  <c r="CI25" i="229"/>
  <c r="CI26" i="229"/>
  <c r="CI37" i="229"/>
  <c r="CI48" i="229"/>
  <c r="CI59" i="229"/>
  <c r="CI70" i="229"/>
  <c r="CI81" i="229"/>
  <c r="CI114" i="229"/>
  <c r="CI136" i="229"/>
  <c r="CI147" i="229"/>
  <c r="CI158" i="229"/>
  <c r="CI180" i="229"/>
  <c r="CI194" i="229"/>
  <c r="CI213" i="229"/>
  <c r="CJ25" i="229"/>
  <c r="CJ26" i="229"/>
  <c r="CJ37" i="229"/>
  <c r="CJ48" i="229"/>
  <c r="CJ59" i="229"/>
  <c r="CJ70" i="229"/>
  <c r="CJ81" i="229"/>
  <c r="CJ114" i="229"/>
  <c r="CJ136" i="229"/>
  <c r="CJ147" i="229"/>
  <c r="CJ158" i="229"/>
  <c r="CJ180" i="229"/>
  <c r="CJ194" i="229"/>
  <c r="CJ213" i="229"/>
  <c r="CK25" i="229"/>
  <c r="CK26" i="229"/>
  <c r="CK37" i="229"/>
  <c r="CK48" i="229"/>
  <c r="CK59" i="229"/>
  <c r="CK70" i="229"/>
  <c r="CK81" i="229"/>
  <c r="CK114" i="229"/>
  <c r="CK136" i="229"/>
  <c r="CK147" i="229"/>
  <c r="CK158" i="229"/>
  <c r="CK180" i="229"/>
  <c r="CK194" i="229"/>
  <c r="CK213" i="229"/>
  <c r="CL25" i="229"/>
  <c r="CL26" i="229"/>
  <c r="CL37" i="229"/>
  <c r="CL48" i="229"/>
  <c r="CL59" i="229"/>
  <c r="CL70" i="229"/>
  <c r="CL81" i="229"/>
  <c r="CL114" i="229"/>
  <c r="CL136" i="229"/>
  <c r="CL147" i="229"/>
  <c r="CL158" i="229"/>
  <c r="CL180" i="229"/>
  <c r="CL194" i="229"/>
  <c r="CL213" i="229"/>
  <c r="CM25" i="229"/>
  <c r="CM26" i="229"/>
  <c r="CM37" i="229"/>
  <c r="CM48" i="229"/>
  <c r="CM59" i="229"/>
  <c r="CM70" i="229"/>
  <c r="CM81" i="229"/>
  <c r="CM114" i="229"/>
  <c r="CM136" i="229"/>
  <c r="CM147" i="229"/>
  <c r="CM158" i="229"/>
  <c r="CM180" i="229"/>
  <c r="CM194" i="229"/>
  <c r="CM213" i="229"/>
  <c r="CN25" i="229"/>
  <c r="CN26" i="229"/>
  <c r="CN37" i="229"/>
  <c r="CN48" i="229"/>
  <c r="CN59" i="229"/>
  <c r="CN70" i="229"/>
  <c r="CN81" i="229"/>
  <c r="CN114" i="229"/>
  <c r="CN136" i="229"/>
  <c r="CN147" i="229"/>
  <c r="CN158" i="229"/>
  <c r="CN180" i="229"/>
  <c r="CN194" i="229"/>
  <c r="CN213" i="229"/>
  <c r="CO25" i="229"/>
  <c r="CO26" i="229"/>
  <c r="CO37" i="229"/>
  <c r="CO48" i="229"/>
  <c r="CO59" i="229"/>
  <c r="CO70" i="229"/>
  <c r="CO81" i="229"/>
  <c r="CO114" i="229"/>
  <c r="CO136" i="229"/>
  <c r="CO147" i="229"/>
  <c r="CO158" i="229"/>
  <c r="CO180" i="229"/>
  <c r="CO194" i="229"/>
  <c r="CO213" i="229"/>
  <c r="CP25" i="229"/>
  <c r="CP26" i="229"/>
  <c r="CP37" i="229"/>
  <c r="CP48" i="229"/>
  <c r="CP59" i="229"/>
  <c r="CP70" i="229"/>
  <c r="CP81" i="229"/>
  <c r="CP114" i="229"/>
  <c r="CP136" i="229"/>
  <c r="CP147" i="229"/>
  <c r="CP158" i="229"/>
  <c r="CP180" i="229"/>
  <c r="CP194" i="229"/>
  <c r="CP213" i="229"/>
  <c r="CQ25" i="229"/>
  <c r="CQ26" i="229"/>
  <c r="CQ37" i="229"/>
  <c r="CQ48" i="229"/>
  <c r="CQ59" i="229"/>
  <c r="CQ70" i="229"/>
  <c r="CQ81" i="229"/>
  <c r="CQ114" i="229"/>
  <c r="CQ136" i="229"/>
  <c r="CQ147" i="229"/>
  <c r="CQ158" i="229"/>
  <c r="CQ180" i="229"/>
  <c r="CQ194" i="229"/>
  <c r="CQ213" i="229"/>
  <c r="CR25" i="229"/>
  <c r="CR26" i="229"/>
  <c r="CR37" i="229"/>
  <c r="CR48" i="229"/>
  <c r="CR59" i="229"/>
  <c r="CR70" i="229"/>
  <c r="CR81" i="229"/>
  <c r="CR114" i="229"/>
  <c r="CR136" i="229"/>
  <c r="CR147" i="229"/>
  <c r="CR158" i="229"/>
  <c r="CR180" i="229"/>
  <c r="CR194" i="229"/>
  <c r="CR213" i="229"/>
  <c r="CS25" i="229"/>
  <c r="CS26" i="229"/>
  <c r="CS37" i="229"/>
  <c r="CS48" i="229"/>
  <c r="CS59" i="229"/>
  <c r="CS70" i="229"/>
  <c r="CS81" i="229"/>
  <c r="CS114" i="229"/>
  <c r="CS136" i="229"/>
  <c r="CS147" i="229"/>
  <c r="CS158" i="229"/>
  <c r="CS180" i="229"/>
  <c r="CS194" i="229"/>
  <c r="CS213" i="229"/>
  <c r="CT25" i="229"/>
  <c r="CT26" i="229"/>
  <c r="CT37" i="229"/>
  <c r="CT48" i="229"/>
  <c r="CT59" i="229"/>
  <c r="CT70" i="229"/>
  <c r="CT81" i="229"/>
  <c r="CT114" i="229"/>
  <c r="CT136" i="229"/>
  <c r="CT147" i="229"/>
  <c r="CT158" i="229"/>
  <c r="CT180" i="229"/>
  <c r="CT194" i="229"/>
  <c r="CT213" i="229"/>
  <c r="CU25" i="229"/>
  <c r="CU26" i="229"/>
  <c r="CU37" i="229"/>
  <c r="CU48" i="229"/>
  <c r="CU59" i="229"/>
  <c r="CU70" i="229"/>
  <c r="CU81" i="229"/>
  <c r="CU114" i="229"/>
  <c r="CU136" i="229"/>
  <c r="CU147" i="229"/>
  <c r="CU158" i="229"/>
  <c r="CU180" i="229"/>
  <c r="CU194" i="229"/>
  <c r="CU213" i="229"/>
  <c r="CV25" i="229"/>
  <c r="CV26" i="229"/>
  <c r="CV37" i="229"/>
  <c r="CV48" i="229"/>
  <c r="CV59" i="229"/>
  <c r="CV70" i="229"/>
  <c r="CV81" i="229"/>
  <c r="CV114" i="229"/>
  <c r="CV136" i="229"/>
  <c r="CV147" i="229"/>
  <c r="CV158" i="229"/>
  <c r="CV180" i="229"/>
  <c r="CV194" i="229"/>
  <c r="CV213" i="229"/>
  <c r="CW25" i="229"/>
  <c r="CW26" i="229"/>
  <c r="CW37" i="229"/>
  <c r="CW48" i="229"/>
  <c r="CW59" i="229"/>
  <c r="CW70" i="229"/>
  <c r="CW81" i="229"/>
  <c r="CW114" i="229"/>
  <c r="CW136" i="229"/>
  <c r="CW147" i="229"/>
  <c r="CW158" i="229"/>
  <c r="CW180" i="229"/>
  <c r="CW194" i="229"/>
  <c r="CW213" i="229"/>
  <c r="CX25" i="229"/>
  <c r="CX26" i="229"/>
  <c r="CX37" i="229"/>
  <c r="CX48" i="229"/>
  <c r="CX59" i="229"/>
  <c r="CX70" i="229"/>
  <c r="CX81" i="229"/>
  <c r="CX114" i="229"/>
  <c r="CX136" i="229"/>
  <c r="CX147" i="229"/>
  <c r="CX158" i="229"/>
  <c r="CX180" i="229"/>
  <c r="CX194" i="229"/>
  <c r="CX213" i="229"/>
  <c r="CY25" i="229"/>
  <c r="CY26" i="229"/>
  <c r="CY37" i="229"/>
  <c r="CY48" i="229"/>
  <c r="CY59" i="229"/>
  <c r="CY70" i="229"/>
  <c r="CY81" i="229"/>
  <c r="CY114" i="229"/>
  <c r="CY136" i="229"/>
  <c r="CY147" i="229"/>
  <c r="CY158" i="229"/>
  <c r="CY180" i="229"/>
  <c r="CY194" i="229"/>
  <c r="CY213" i="229"/>
  <c r="CZ25" i="229"/>
  <c r="CZ26" i="229"/>
  <c r="CZ37" i="229"/>
  <c r="CZ48" i="229"/>
  <c r="CZ59" i="229"/>
  <c r="CZ70" i="229"/>
  <c r="CZ81" i="229"/>
  <c r="CZ114" i="229"/>
  <c r="CZ136" i="229"/>
  <c r="CZ147" i="229"/>
  <c r="CZ158" i="229"/>
  <c r="CZ180" i="229"/>
  <c r="CZ194" i="229"/>
  <c r="CZ213" i="229"/>
  <c r="DA25" i="229"/>
  <c r="DA26" i="229"/>
  <c r="DA37" i="229"/>
  <c r="DA48" i="229"/>
  <c r="DA59" i="229"/>
  <c r="DA70" i="229"/>
  <c r="DA81" i="229"/>
  <c r="DA114" i="229"/>
  <c r="DA136" i="229"/>
  <c r="DA147" i="229"/>
  <c r="DA158" i="229"/>
  <c r="DA180" i="229"/>
  <c r="DA194" i="229"/>
  <c r="DA213" i="229"/>
  <c r="DB25" i="229"/>
  <c r="DB26" i="229"/>
  <c r="DB37" i="229"/>
  <c r="DB48" i="229"/>
  <c r="DB59" i="229"/>
  <c r="DB70" i="229"/>
  <c r="DB81" i="229"/>
  <c r="DB114" i="229"/>
  <c r="DB136" i="229"/>
  <c r="DB147" i="229"/>
  <c r="DB158" i="229"/>
  <c r="DB180" i="229"/>
  <c r="DB194" i="229"/>
  <c r="DB213" i="229"/>
  <c r="DC25" i="229"/>
  <c r="DC26" i="229"/>
  <c r="DC37" i="229"/>
  <c r="DC48" i="229"/>
  <c r="DC59" i="229"/>
  <c r="DC70" i="229"/>
  <c r="DC81" i="229"/>
  <c r="DC114" i="229"/>
  <c r="DC136" i="229"/>
  <c r="DC147" i="229"/>
  <c r="DC158" i="229"/>
  <c r="DC180" i="229"/>
  <c r="DC194" i="229"/>
  <c r="DC213" i="229"/>
  <c r="DD25" i="229"/>
  <c r="DD26" i="229"/>
  <c r="DD37" i="229"/>
  <c r="DD48" i="229"/>
  <c r="DD59" i="229"/>
  <c r="DD70" i="229"/>
  <c r="DD81" i="229"/>
  <c r="DD114" i="229"/>
  <c r="DD136" i="229"/>
  <c r="DD147" i="229"/>
  <c r="DD158" i="229"/>
  <c r="DD180" i="229"/>
  <c r="DD194" i="229"/>
  <c r="DD213" i="229"/>
  <c r="DE25" i="229"/>
  <c r="DE26" i="229"/>
  <c r="DE37" i="229"/>
  <c r="DE48" i="229"/>
  <c r="DE59" i="229"/>
  <c r="DE70" i="229"/>
  <c r="DE81" i="229"/>
  <c r="DE114" i="229"/>
  <c r="DE136" i="229"/>
  <c r="DE147" i="229"/>
  <c r="DE158" i="229"/>
  <c r="DE180" i="229"/>
  <c r="DE194" i="229"/>
  <c r="DE213" i="229"/>
  <c r="DF25" i="229"/>
  <c r="DF26" i="229"/>
  <c r="DF37" i="229"/>
  <c r="DF48" i="229"/>
  <c r="DF59" i="229"/>
  <c r="DF70" i="229"/>
  <c r="DF81" i="229"/>
  <c r="DF114" i="229"/>
  <c r="DF136" i="229"/>
  <c r="DF147" i="229"/>
  <c r="DF158" i="229"/>
  <c r="DF180" i="229"/>
  <c r="DF194" i="229"/>
  <c r="DF213" i="229"/>
  <c r="DG25" i="229"/>
  <c r="DG26" i="229"/>
  <c r="DG37" i="229"/>
  <c r="DG48" i="229"/>
  <c r="DG59" i="229"/>
  <c r="DG70" i="229"/>
  <c r="DG81" i="229"/>
  <c r="DG114" i="229"/>
  <c r="DG136" i="229"/>
  <c r="DG147" i="229"/>
  <c r="DG158" i="229"/>
  <c r="DG180" i="229"/>
  <c r="DG194" i="229"/>
  <c r="DG213" i="229"/>
  <c r="DH25" i="229"/>
  <c r="DH26" i="229"/>
  <c r="DH37" i="229"/>
  <c r="DH48" i="229"/>
  <c r="DH59" i="229"/>
  <c r="DH70" i="229"/>
  <c r="DH81" i="229"/>
  <c r="DH114" i="229"/>
  <c r="DH136" i="229"/>
  <c r="DH147" i="229"/>
  <c r="DH158" i="229"/>
  <c r="DH180" i="229"/>
  <c r="DH194" i="229"/>
  <c r="DH213" i="229"/>
  <c r="DI25" i="229"/>
  <c r="DI26" i="229"/>
  <c r="DI37" i="229"/>
  <c r="DI48" i="229"/>
  <c r="DI59" i="229"/>
  <c r="DI70" i="229"/>
  <c r="DI81" i="229"/>
  <c r="DI114" i="229"/>
  <c r="DI136" i="229"/>
  <c r="DI147" i="229"/>
  <c r="DI158" i="229"/>
  <c r="DI180" i="229"/>
  <c r="DI194" i="229"/>
  <c r="DI213" i="229"/>
  <c r="DJ25" i="229"/>
  <c r="DJ26" i="229"/>
  <c r="DJ37" i="229"/>
  <c r="DJ48" i="229"/>
  <c r="DJ59" i="229"/>
  <c r="DJ70" i="229"/>
  <c r="DJ81" i="229"/>
  <c r="DJ114" i="229"/>
  <c r="DJ136" i="229"/>
  <c r="DJ147" i="229"/>
  <c r="DJ158" i="229"/>
  <c r="DJ180" i="229"/>
  <c r="DJ194" i="229"/>
  <c r="DJ213" i="229"/>
  <c r="DK25" i="229"/>
  <c r="DK26" i="229"/>
  <c r="DK37" i="229"/>
  <c r="DK48" i="229"/>
  <c r="DK59" i="229"/>
  <c r="DK70" i="229"/>
  <c r="DK81" i="229"/>
  <c r="DK114" i="229"/>
  <c r="DK136" i="229"/>
  <c r="DK147" i="229"/>
  <c r="DK158" i="229"/>
  <c r="DK180" i="229"/>
  <c r="DK194" i="229"/>
  <c r="DK213" i="229"/>
  <c r="DL25" i="229"/>
  <c r="DL26" i="229"/>
  <c r="DL37" i="229"/>
  <c r="DL48" i="229"/>
  <c r="DL59" i="229"/>
  <c r="DL70" i="229"/>
  <c r="DL81" i="229"/>
  <c r="DL114" i="229"/>
  <c r="DL136" i="229"/>
  <c r="DL147" i="229"/>
  <c r="DL158" i="229"/>
  <c r="DL180" i="229"/>
  <c r="DL194" i="229"/>
  <c r="DL213" i="229"/>
  <c r="DM25" i="229"/>
  <c r="DM26" i="229"/>
  <c r="DM37" i="229"/>
  <c r="DM48" i="229"/>
  <c r="DM59" i="229"/>
  <c r="DM70" i="229"/>
  <c r="DM81" i="229"/>
  <c r="DM114" i="229"/>
  <c r="DM136" i="229"/>
  <c r="DM147" i="229"/>
  <c r="DM158" i="229"/>
  <c r="DM180" i="229"/>
  <c r="DM194" i="229"/>
  <c r="DM213" i="229"/>
  <c r="DN25" i="229"/>
  <c r="DN26" i="229"/>
  <c r="DN37" i="229"/>
  <c r="DN48" i="229"/>
  <c r="DN59" i="229"/>
  <c r="DN70" i="229"/>
  <c r="DN81" i="229"/>
  <c r="DN114" i="229"/>
  <c r="DN136" i="229"/>
  <c r="DN147" i="229"/>
  <c r="DN158" i="229"/>
  <c r="DN180" i="229"/>
  <c r="DN194" i="229"/>
  <c r="DN213" i="229"/>
  <c r="DO25" i="229"/>
  <c r="DO26" i="229"/>
  <c r="DO37" i="229"/>
  <c r="DO48" i="229"/>
  <c r="DO59" i="229"/>
  <c r="DO70" i="229"/>
  <c r="DO81" i="229"/>
  <c r="DO114" i="229"/>
  <c r="DO136" i="229"/>
  <c r="DO147" i="229"/>
  <c r="DO158" i="229"/>
  <c r="DO180" i="229"/>
  <c r="DO194" i="229"/>
  <c r="DO213" i="229"/>
  <c r="DP25" i="229"/>
  <c r="DP26" i="229"/>
  <c r="DP37" i="229"/>
  <c r="DP48" i="229"/>
  <c r="DP59" i="229"/>
  <c r="DP70" i="229"/>
  <c r="DP81" i="229"/>
  <c r="DP114" i="229"/>
  <c r="DP136" i="229"/>
  <c r="DP147" i="229"/>
  <c r="DP158" i="229"/>
  <c r="DP180" i="229"/>
  <c r="DP194" i="229"/>
  <c r="DP213" i="229"/>
  <c r="DQ25" i="229"/>
  <c r="DQ26" i="229"/>
  <c r="DQ37" i="229"/>
  <c r="DQ48" i="229"/>
  <c r="DQ59" i="229"/>
  <c r="DQ70" i="229"/>
  <c r="DQ81" i="229"/>
  <c r="DQ114" i="229"/>
  <c r="DQ136" i="229"/>
  <c r="DQ147" i="229"/>
  <c r="DQ158" i="229"/>
  <c r="DQ180" i="229"/>
  <c r="DQ194" i="229"/>
  <c r="DQ213" i="229"/>
  <c r="DR25" i="229"/>
  <c r="DR26" i="229"/>
  <c r="DR37" i="229"/>
  <c r="DR48" i="229"/>
  <c r="DR59" i="229"/>
  <c r="DR70" i="229"/>
  <c r="DR81" i="229"/>
  <c r="DR114" i="229"/>
  <c r="DR136" i="229"/>
  <c r="DR147" i="229"/>
  <c r="DR158" i="229"/>
  <c r="DR180" i="229"/>
  <c r="DR194" i="229"/>
  <c r="DR213" i="229"/>
  <c r="DS25" i="229"/>
  <c r="DS26" i="229"/>
  <c r="DS37" i="229"/>
  <c r="DS48" i="229"/>
  <c r="DS59" i="229"/>
  <c r="DS70" i="229"/>
  <c r="DS81" i="229"/>
  <c r="DS114" i="229"/>
  <c r="DS136" i="229"/>
  <c r="DS147" i="229"/>
  <c r="DS158" i="229"/>
  <c r="DS180" i="229"/>
  <c r="DS194" i="229"/>
  <c r="DS213" i="229"/>
  <c r="DT25" i="229"/>
  <c r="DT26" i="229"/>
  <c r="DT37" i="229"/>
  <c r="DT48" i="229"/>
  <c r="DT59" i="229"/>
  <c r="DT70" i="229"/>
  <c r="DT81" i="229"/>
  <c r="DT114" i="229"/>
  <c r="DT136" i="229"/>
  <c r="DT147" i="229"/>
  <c r="DT158" i="229"/>
  <c r="DT180" i="229"/>
  <c r="DT194" i="229"/>
  <c r="DT213" i="229"/>
  <c r="DU25" i="229"/>
  <c r="DU26" i="229"/>
  <c r="DU37" i="229"/>
  <c r="DU48" i="229"/>
  <c r="DU59" i="229"/>
  <c r="DU70" i="229"/>
  <c r="DU81" i="229"/>
  <c r="DU114" i="229"/>
  <c r="DU136" i="229"/>
  <c r="DU147" i="229"/>
  <c r="DU158" i="229"/>
  <c r="DU180" i="229"/>
  <c r="DU194" i="229"/>
  <c r="DU213" i="229"/>
  <c r="DV25" i="229"/>
  <c r="DV26" i="229"/>
  <c r="DV37" i="229"/>
  <c r="DV48" i="229"/>
  <c r="DV59" i="229"/>
  <c r="DV70" i="229"/>
  <c r="DV81" i="229"/>
  <c r="DV114" i="229"/>
  <c r="DV136" i="229"/>
  <c r="DV147" i="229"/>
  <c r="DV158" i="229"/>
  <c r="DV180" i="229"/>
  <c r="DV194" i="229"/>
  <c r="DV213" i="229"/>
  <c r="DW25" i="229"/>
  <c r="DW26" i="229"/>
  <c r="DW37" i="229"/>
  <c r="DW48" i="229"/>
  <c r="DW59" i="229"/>
  <c r="DW70" i="229"/>
  <c r="DW81" i="229"/>
  <c r="DW114" i="229"/>
  <c r="DW136" i="229"/>
  <c r="DW147" i="229"/>
  <c r="DW158" i="229"/>
  <c r="DW180" i="229"/>
  <c r="DW194" i="229"/>
  <c r="DW213" i="229"/>
  <c r="DX25" i="229"/>
  <c r="DX26" i="229"/>
  <c r="DX37" i="229"/>
  <c r="DX48" i="229"/>
  <c r="DX59" i="229"/>
  <c r="DX70" i="229"/>
  <c r="DX81" i="229"/>
  <c r="DX114" i="229"/>
  <c r="DX136" i="229"/>
  <c r="DX147" i="229"/>
  <c r="DX158" i="229"/>
  <c r="DX180" i="229"/>
  <c r="DX194" i="229"/>
  <c r="DX213" i="229"/>
  <c r="DY25" i="229"/>
  <c r="DY26" i="229"/>
  <c r="DY37" i="229"/>
  <c r="DY48" i="229"/>
  <c r="DY59" i="229"/>
  <c r="DY70" i="229"/>
  <c r="DY81" i="229"/>
  <c r="DY114" i="229"/>
  <c r="DY136" i="229"/>
  <c r="DY147" i="229"/>
  <c r="DY158" i="229"/>
  <c r="DY180" i="229"/>
  <c r="DY194" i="229"/>
  <c r="DY213" i="229"/>
  <c r="DZ25" i="229"/>
  <c r="DZ26" i="229"/>
  <c r="DZ37" i="229"/>
  <c r="DZ48" i="229"/>
  <c r="DZ59" i="229"/>
  <c r="DZ70" i="229"/>
  <c r="DZ81" i="229"/>
  <c r="DZ114" i="229"/>
  <c r="DZ136" i="229"/>
  <c r="DZ147" i="229"/>
  <c r="DZ158" i="229"/>
  <c r="DZ180" i="229"/>
  <c r="DZ194" i="229"/>
  <c r="DZ213" i="229"/>
  <c r="EA25" i="229"/>
  <c r="EA26" i="229"/>
  <c r="EA37" i="229"/>
  <c r="EA48" i="229"/>
  <c r="EA59" i="229"/>
  <c r="EA70" i="229"/>
  <c r="EA81" i="229"/>
  <c r="EA114" i="229"/>
  <c r="EA136" i="229"/>
  <c r="EA147" i="229"/>
  <c r="EA158" i="229"/>
  <c r="EA180" i="229"/>
  <c r="EA194" i="229"/>
  <c r="EA213" i="229"/>
  <c r="EB25" i="229"/>
  <c r="EB26" i="229"/>
  <c r="EB37" i="229"/>
  <c r="EB48" i="229"/>
  <c r="EB59" i="229"/>
  <c r="EB70" i="229"/>
  <c r="EB81" i="229"/>
  <c r="EB114" i="229"/>
  <c r="EB136" i="229"/>
  <c r="EB147" i="229"/>
  <c r="EB158" i="229"/>
  <c r="EB180" i="229"/>
  <c r="EB194" i="229"/>
  <c r="EB213" i="229"/>
  <c r="EC25" i="229"/>
  <c r="EC26" i="229"/>
  <c r="EC37" i="229"/>
  <c r="EC48" i="229"/>
  <c r="EC59" i="229"/>
  <c r="EC70" i="229"/>
  <c r="EC81" i="229"/>
  <c r="EC114" i="229"/>
  <c r="EC136" i="229"/>
  <c r="EC147" i="229"/>
  <c r="EC158" i="229"/>
  <c r="EC180" i="229"/>
  <c r="EC194" i="229"/>
  <c r="EC213" i="229"/>
  <c r="ED25" i="229"/>
  <c r="ED26" i="229"/>
  <c r="ED37" i="229"/>
  <c r="ED48" i="229"/>
  <c r="ED59" i="229"/>
  <c r="ED70" i="229"/>
  <c r="ED81" i="229"/>
  <c r="ED114" i="229"/>
  <c r="ED136" i="229"/>
  <c r="ED147" i="229"/>
  <c r="ED158" i="229"/>
  <c r="ED180" i="229"/>
  <c r="ED194" i="229"/>
  <c r="ED213" i="229"/>
  <c r="EE25" i="229"/>
  <c r="EE26" i="229"/>
  <c r="EE37" i="229"/>
  <c r="EE48" i="229"/>
  <c r="EE59" i="229"/>
  <c r="EE70" i="229"/>
  <c r="EE81" i="229"/>
  <c r="EE114" i="229"/>
  <c r="EE136" i="229"/>
  <c r="EE147" i="229"/>
  <c r="EE158" i="229"/>
  <c r="EE180" i="229"/>
  <c r="EE194" i="229"/>
  <c r="EE213" i="229"/>
  <c r="EF25" i="229"/>
  <c r="EF26" i="229"/>
  <c r="EF37" i="229"/>
  <c r="EF48" i="229"/>
  <c r="EF59" i="229"/>
  <c r="EF70" i="229"/>
  <c r="EF81" i="229"/>
  <c r="EF114" i="229"/>
  <c r="EF136" i="229"/>
  <c r="EF147" i="229"/>
  <c r="EF158" i="229"/>
  <c r="EF180" i="229"/>
  <c r="EF194" i="229"/>
  <c r="EF213" i="229"/>
  <c r="EG25" i="229"/>
  <c r="EG26" i="229"/>
  <c r="EG37" i="229"/>
  <c r="EG48" i="229"/>
  <c r="EG59" i="229"/>
  <c r="EG70" i="229"/>
  <c r="EG81" i="229"/>
  <c r="EG114" i="229"/>
  <c r="EG136" i="229"/>
  <c r="EG147" i="229"/>
  <c r="EG158" i="229"/>
  <c r="EG180" i="229"/>
  <c r="EG194" i="229"/>
  <c r="EG213" i="229"/>
  <c r="EH25" i="229"/>
  <c r="EH26" i="229"/>
  <c r="EH37" i="229"/>
  <c r="EH48" i="229"/>
  <c r="EH59" i="229"/>
  <c r="EH70" i="229"/>
  <c r="EH81" i="229"/>
  <c r="EH114" i="229"/>
  <c r="EH136" i="229"/>
  <c r="EH147" i="229"/>
  <c r="EH158" i="229"/>
  <c r="EH180" i="229"/>
  <c r="EH194" i="229"/>
  <c r="EH213" i="229"/>
  <c r="EI25" i="229"/>
  <c r="EI26" i="229"/>
  <c r="EI37" i="229"/>
  <c r="EI48" i="229"/>
  <c r="EI59" i="229"/>
  <c r="EI70" i="229"/>
  <c r="EI81" i="229"/>
  <c r="EI114" i="229"/>
  <c r="EI136" i="229"/>
  <c r="EI147" i="229"/>
  <c r="EI158" i="229"/>
  <c r="EI180" i="229"/>
  <c r="EI194" i="229"/>
  <c r="EI213" i="229"/>
  <c r="EJ25" i="229"/>
  <c r="EJ26" i="229"/>
  <c r="EJ37" i="229"/>
  <c r="EJ48" i="229"/>
  <c r="EJ59" i="229"/>
  <c r="EJ70" i="229"/>
  <c r="EJ81" i="229"/>
  <c r="EJ114" i="229"/>
  <c r="EJ136" i="229"/>
  <c r="EJ147" i="229"/>
  <c r="EJ158" i="229"/>
  <c r="EJ180" i="229"/>
  <c r="EJ194" i="229"/>
  <c r="EJ213" i="229"/>
  <c r="EK25" i="229"/>
  <c r="EK26" i="229"/>
  <c r="EK37" i="229"/>
  <c r="EK48" i="229"/>
  <c r="EK59" i="229"/>
  <c r="EK70" i="229"/>
  <c r="EK81" i="229"/>
  <c r="EK114" i="229"/>
  <c r="EK136" i="229"/>
  <c r="EK147" i="229"/>
  <c r="EK158" i="229"/>
  <c r="EK180" i="229"/>
  <c r="EK194" i="229"/>
  <c r="EK213" i="229"/>
  <c r="EL25" i="229"/>
  <c r="EL26" i="229"/>
  <c r="EL37" i="229"/>
  <c r="EL48" i="229"/>
  <c r="EL59" i="229"/>
  <c r="EL70" i="229"/>
  <c r="EL81" i="229"/>
  <c r="EL114" i="229"/>
  <c r="EL136" i="229"/>
  <c r="EL147" i="229"/>
  <c r="EL158" i="229"/>
  <c r="EL180" i="229"/>
  <c r="EL194" i="229"/>
  <c r="EL213" i="229"/>
  <c r="EM25" i="229"/>
  <c r="EM26" i="229"/>
  <c r="EM37" i="229"/>
  <c r="EM48" i="229"/>
  <c r="EM59" i="229"/>
  <c r="EM70" i="229"/>
  <c r="EM81" i="229"/>
  <c r="EM114" i="229"/>
  <c r="EM136" i="229"/>
  <c r="EM147" i="229"/>
  <c r="EM158" i="229"/>
  <c r="EM180" i="229"/>
  <c r="EM194" i="229"/>
  <c r="EM213" i="229"/>
  <c r="EN25" i="229"/>
  <c r="EN26" i="229"/>
  <c r="EN37" i="229"/>
  <c r="EN48" i="229"/>
  <c r="EN59" i="229"/>
  <c r="EN70" i="229"/>
  <c r="EN81" i="229"/>
  <c r="EN114" i="229"/>
  <c r="EN136" i="229"/>
  <c r="EN147" i="229"/>
  <c r="EN158" i="229"/>
  <c r="EN180" i="229"/>
  <c r="EN194" i="229"/>
  <c r="EN213" i="229"/>
  <c r="H36" i="229"/>
  <c r="E12" i="228"/>
  <c r="I5" i="229"/>
  <c r="I36" i="229"/>
  <c r="J36" i="229"/>
  <c r="K36" i="229"/>
  <c r="L36" i="229"/>
  <c r="M36" i="229"/>
  <c r="N36" i="229"/>
  <c r="O36" i="229"/>
  <c r="P36" i="229"/>
  <c r="Q36" i="229"/>
  <c r="R36" i="229"/>
  <c r="S36" i="229"/>
  <c r="T36" i="229"/>
  <c r="U36" i="229"/>
  <c r="V36" i="229"/>
  <c r="W36" i="229"/>
  <c r="V47" i="229"/>
  <c r="E13" i="228"/>
  <c r="I6" i="229"/>
  <c r="W47" i="229"/>
  <c r="V58" i="229"/>
  <c r="E14" i="228"/>
  <c r="I7" i="229"/>
  <c r="W58" i="229"/>
  <c r="V69" i="229"/>
  <c r="E15" i="228"/>
  <c r="I8" i="229"/>
  <c r="W69" i="229"/>
  <c r="H47" i="229"/>
  <c r="H58" i="229"/>
  <c r="H69" i="229"/>
  <c r="H80" i="229"/>
  <c r="E16" i="228"/>
  <c r="I9" i="229"/>
  <c r="I47" i="229"/>
  <c r="I58" i="229"/>
  <c r="I69" i="229"/>
  <c r="I80" i="229"/>
  <c r="J47" i="229"/>
  <c r="J58" i="229"/>
  <c r="J69" i="229"/>
  <c r="J80" i="229"/>
  <c r="K47" i="229"/>
  <c r="K58" i="229"/>
  <c r="K69" i="229"/>
  <c r="K80" i="229"/>
  <c r="L47" i="229"/>
  <c r="L58" i="229"/>
  <c r="L69" i="229"/>
  <c r="L80" i="229"/>
  <c r="M47" i="229"/>
  <c r="M58" i="229"/>
  <c r="M69" i="229"/>
  <c r="M80" i="229"/>
  <c r="N47" i="229"/>
  <c r="N58" i="229"/>
  <c r="N69" i="229"/>
  <c r="N80" i="229"/>
  <c r="O47" i="229"/>
  <c r="O58" i="229"/>
  <c r="O69" i="229"/>
  <c r="O80" i="229"/>
  <c r="P47" i="229"/>
  <c r="P58" i="229"/>
  <c r="P69" i="229"/>
  <c r="P80" i="229"/>
  <c r="Q47" i="229"/>
  <c r="Q58" i="229"/>
  <c r="Q69" i="229"/>
  <c r="Q80" i="229"/>
  <c r="R47" i="229"/>
  <c r="R58" i="229"/>
  <c r="R69" i="229"/>
  <c r="R80" i="229"/>
  <c r="S47" i="229"/>
  <c r="S58" i="229"/>
  <c r="S69" i="229"/>
  <c r="S80" i="229"/>
  <c r="T47" i="229"/>
  <c r="T58" i="229"/>
  <c r="T69" i="229"/>
  <c r="T80" i="229"/>
  <c r="U47" i="229"/>
  <c r="U58" i="229"/>
  <c r="U69" i="229"/>
  <c r="U80" i="229"/>
  <c r="V80" i="229"/>
  <c r="W80" i="229"/>
  <c r="L252" i="229"/>
  <c r="M252" i="229"/>
  <c r="N252" i="229"/>
  <c r="O252" i="229"/>
  <c r="P252" i="229"/>
  <c r="Q252" i="229"/>
  <c r="R252" i="229"/>
  <c r="S252" i="229"/>
  <c r="T252" i="229"/>
  <c r="U252" i="229"/>
  <c r="V252" i="229"/>
  <c r="W252" i="229"/>
  <c r="X252" i="229"/>
  <c r="Y252" i="229"/>
  <c r="Z252" i="229"/>
  <c r="AA252" i="229"/>
  <c r="AB252" i="229"/>
  <c r="AC252" i="229"/>
  <c r="AD252" i="229"/>
  <c r="AE252" i="229"/>
  <c r="AF252" i="229"/>
  <c r="AF273" i="229"/>
  <c r="AF295" i="229"/>
  <c r="AF317" i="229"/>
  <c r="P273" i="229"/>
  <c r="P295" i="229"/>
  <c r="P317" i="229"/>
  <c r="H273" i="229"/>
  <c r="H295" i="229"/>
  <c r="H317" i="229"/>
  <c r="L273" i="229"/>
  <c r="L295" i="229"/>
  <c r="L317" i="229"/>
  <c r="I273" i="229"/>
  <c r="I295" i="229"/>
  <c r="I317" i="229"/>
  <c r="J273" i="229"/>
  <c r="J295" i="229"/>
  <c r="J317" i="229"/>
  <c r="K273" i="229"/>
  <c r="K295" i="229"/>
  <c r="K317" i="229"/>
  <c r="M273" i="229"/>
  <c r="M295" i="229"/>
  <c r="M317" i="229"/>
  <c r="N273" i="229"/>
  <c r="N295" i="229"/>
  <c r="N317" i="229"/>
  <c r="O273" i="229"/>
  <c r="O295" i="229"/>
  <c r="O317" i="229"/>
  <c r="Q273" i="229"/>
  <c r="Q295" i="229"/>
  <c r="Q317" i="229"/>
  <c r="R273" i="229"/>
  <c r="R295" i="229"/>
  <c r="R317" i="229"/>
  <c r="S273" i="229"/>
  <c r="S295" i="229"/>
  <c r="S317" i="229"/>
  <c r="T273" i="229"/>
  <c r="T295" i="229"/>
  <c r="T317" i="229"/>
  <c r="U273" i="229"/>
  <c r="U295" i="229"/>
  <c r="U317" i="229"/>
  <c r="V273" i="229"/>
  <c r="V295" i="229"/>
  <c r="V317" i="229"/>
  <c r="W273" i="229"/>
  <c r="W295" i="229"/>
  <c r="W317" i="229"/>
  <c r="X273" i="229"/>
  <c r="X295" i="229"/>
  <c r="X317" i="229"/>
  <c r="Y273" i="229"/>
  <c r="Y295" i="229"/>
  <c r="Y317" i="229"/>
  <c r="Z273" i="229"/>
  <c r="Z295" i="229"/>
  <c r="Z317" i="229"/>
  <c r="AA273" i="229"/>
  <c r="AA295" i="229"/>
  <c r="AA317" i="229"/>
  <c r="AB273" i="229"/>
  <c r="AB295" i="229"/>
  <c r="AB317" i="229"/>
  <c r="AC273" i="229"/>
  <c r="AC295" i="229"/>
  <c r="AC317" i="229"/>
  <c r="AD273" i="229"/>
  <c r="AD295" i="229"/>
  <c r="AD317" i="229"/>
  <c r="AE273" i="229"/>
  <c r="AE295" i="229"/>
  <c r="AE317" i="229"/>
  <c r="AG252" i="229"/>
  <c r="AG273" i="229"/>
  <c r="AG295" i="229"/>
  <c r="AG317" i="229"/>
  <c r="AH252" i="229"/>
  <c r="AH273" i="229"/>
  <c r="AH295" i="229"/>
  <c r="AH317" i="229"/>
  <c r="AI252" i="229"/>
  <c r="AI273" i="229"/>
  <c r="AI295" i="229"/>
  <c r="AI317" i="229"/>
  <c r="AJ252" i="229"/>
  <c r="AJ273" i="229"/>
  <c r="AJ295" i="229"/>
  <c r="AJ317" i="229"/>
  <c r="AK252" i="229"/>
  <c r="AK273" i="229"/>
  <c r="AK295" i="229"/>
  <c r="AK317" i="229"/>
  <c r="AL252" i="229"/>
  <c r="AL273" i="229"/>
  <c r="AL295" i="229"/>
  <c r="AL317" i="229"/>
  <c r="AM252" i="229"/>
  <c r="AM273" i="229"/>
  <c r="AM295" i="229"/>
  <c r="AM317" i="229"/>
  <c r="AN252" i="229"/>
  <c r="AN273" i="229"/>
  <c r="AN295" i="229"/>
  <c r="AN317" i="229"/>
  <c r="AO252" i="229"/>
  <c r="AO273" i="229"/>
  <c r="AO295" i="229"/>
  <c r="AO317" i="229"/>
  <c r="AP252" i="229"/>
  <c r="AP273" i="229"/>
  <c r="AP295" i="229"/>
  <c r="AP317" i="229"/>
  <c r="H254" i="229"/>
  <c r="H275" i="229"/>
  <c r="I254" i="229"/>
  <c r="I275" i="229"/>
  <c r="J254" i="229"/>
  <c r="J275" i="229"/>
  <c r="L254" i="229"/>
  <c r="L275" i="229"/>
  <c r="AA36" i="229"/>
  <c r="Z36" i="229"/>
  <c r="AA47" i="229"/>
  <c r="Z47" i="229"/>
  <c r="Y36" i="229"/>
  <c r="Y47" i="229"/>
  <c r="X36" i="229"/>
  <c r="X47" i="229"/>
  <c r="AA58" i="229"/>
  <c r="Z58" i="229"/>
  <c r="Y58" i="229"/>
  <c r="X58" i="229"/>
  <c r="AA69" i="229"/>
  <c r="Z69" i="229"/>
  <c r="Y69" i="229"/>
  <c r="X69" i="229"/>
  <c r="AA80" i="229"/>
  <c r="Z80" i="229"/>
  <c r="M254" i="229"/>
  <c r="M275" i="229"/>
  <c r="AE36" i="229"/>
  <c r="AD36" i="229"/>
  <c r="AC36" i="229"/>
  <c r="AB36" i="229"/>
  <c r="AE47" i="229"/>
  <c r="AD47" i="229"/>
  <c r="AC47" i="229"/>
  <c r="AB47" i="229"/>
  <c r="AE58" i="229"/>
  <c r="AD58" i="229"/>
  <c r="AC58" i="229"/>
  <c r="AB58" i="229"/>
  <c r="AE69" i="229"/>
  <c r="AD69" i="229"/>
  <c r="AC69" i="229"/>
  <c r="AB69" i="229"/>
  <c r="AE80" i="229"/>
  <c r="AD80" i="229"/>
  <c r="AC80" i="229"/>
  <c r="AB80" i="229"/>
  <c r="N254" i="229"/>
  <c r="N275" i="229"/>
  <c r="AI36" i="229"/>
  <c r="AH36" i="229"/>
  <c r="AG36" i="229"/>
  <c r="AF36" i="229"/>
  <c r="AI47" i="229"/>
  <c r="AH47" i="229"/>
  <c r="AG47" i="229"/>
  <c r="AF47" i="229"/>
  <c r="AI58" i="229"/>
  <c r="AH58" i="229"/>
  <c r="AG58" i="229"/>
  <c r="AF58" i="229"/>
  <c r="AI69" i="229"/>
  <c r="AH69" i="229"/>
  <c r="AG69" i="229"/>
  <c r="AF69" i="229"/>
  <c r="AI80" i="229"/>
  <c r="AH80" i="229"/>
  <c r="AG80" i="229"/>
  <c r="AF80" i="229"/>
  <c r="O254" i="229"/>
  <c r="O275" i="229"/>
  <c r="AM36" i="229"/>
  <c r="AL36" i="229"/>
  <c r="AK36" i="229"/>
  <c r="AJ36" i="229"/>
  <c r="AM47" i="229"/>
  <c r="AL47" i="229"/>
  <c r="AK47" i="229"/>
  <c r="AJ47" i="229"/>
  <c r="AM58" i="229"/>
  <c r="AL58" i="229"/>
  <c r="AK58" i="229"/>
  <c r="AJ58" i="229"/>
  <c r="AM69" i="229"/>
  <c r="AL69" i="229"/>
  <c r="AK69" i="229"/>
  <c r="AJ69" i="229"/>
  <c r="AM80" i="229"/>
  <c r="AL80" i="229"/>
  <c r="AK80" i="229"/>
  <c r="AJ80" i="229"/>
  <c r="P254" i="229"/>
  <c r="P275" i="229"/>
  <c r="AQ36" i="229"/>
  <c r="AP36" i="229"/>
  <c r="AO36" i="229"/>
  <c r="AN36" i="229"/>
  <c r="AQ47" i="229"/>
  <c r="AP47" i="229"/>
  <c r="AO47" i="229"/>
  <c r="AN47" i="229"/>
  <c r="AQ58" i="229"/>
  <c r="AP58" i="229"/>
  <c r="AO58" i="229"/>
  <c r="AN58" i="229"/>
  <c r="AQ69" i="229"/>
  <c r="AP69" i="229"/>
  <c r="AO69" i="229"/>
  <c r="AN69" i="229"/>
  <c r="AQ80" i="229"/>
  <c r="AP80" i="229"/>
  <c r="AO80" i="229"/>
  <c r="AN80" i="229"/>
  <c r="Q254" i="229"/>
  <c r="Q275" i="229"/>
  <c r="AU36" i="229"/>
  <c r="AT36" i="229"/>
  <c r="AS36" i="229"/>
  <c r="AR36" i="229"/>
  <c r="AU47" i="229"/>
  <c r="AT47" i="229"/>
  <c r="AS47" i="229"/>
  <c r="AR47" i="229"/>
  <c r="AU58" i="229"/>
  <c r="AT58" i="229"/>
  <c r="AS58" i="229"/>
  <c r="AR58" i="229"/>
  <c r="AU69" i="229"/>
  <c r="AT69" i="229"/>
  <c r="AS69" i="229"/>
  <c r="AR69" i="229"/>
  <c r="AU80" i="229"/>
  <c r="AT80" i="229"/>
  <c r="AS80" i="229"/>
  <c r="AR80" i="229"/>
  <c r="R254" i="229"/>
  <c r="R275" i="229"/>
  <c r="AY36" i="229"/>
  <c r="AX36" i="229"/>
  <c r="AW36" i="229"/>
  <c r="AV36" i="229"/>
  <c r="AY47" i="229"/>
  <c r="AX47" i="229"/>
  <c r="AW47" i="229"/>
  <c r="AV47" i="229"/>
  <c r="AY58" i="229"/>
  <c r="AX58" i="229"/>
  <c r="AW58" i="229"/>
  <c r="AV58" i="229"/>
  <c r="AY69" i="229"/>
  <c r="AX69" i="229"/>
  <c r="AW69" i="229"/>
  <c r="AV69" i="229"/>
  <c r="AY80" i="229"/>
  <c r="AX80" i="229"/>
  <c r="AW80" i="229"/>
  <c r="AV80" i="229"/>
  <c r="S254" i="229"/>
  <c r="S275" i="229"/>
  <c r="BC36" i="229"/>
  <c r="BB36" i="229"/>
  <c r="BA36" i="229"/>
  <c r="AZ36" i="229"/>
  <c r="BC47" i="229"/>
  <c r="BB47" i="229"/>
  <c r="BA47" i="229"/>
  <c r="AZ47" i="229"/>
  <c r="BC58" i="229"/>
  <c r="BB58" i="229"/>
  <c r="BA58" i="229"/>
  <c r="AZ58" i="229"/>
  <c r="BC69" i="229"/>
  <c r="BB69" i="229"/>
  <c r="BA69" i="229"/>
  <c r="AZ69" i="229"/>
  <c r="BC80" i="229"/>
  <c r="BB80" i="229"/>
  <c r="BA80" i="229"/>
  <c r="AZ80" i="229"/>
  <c r="T254" i="229"/>
  <c r="T275" i="229"/>
  <c r="BG36" i="229"/>
  <c r="BF36" i="229"/>
  <c r="BE36" i="229"/>
  <c r="BD36" i="229"/>
  <c r="BG47" i="229"/>
  <c r="BF47" i="229"/>
  <c r="BE47" i="229"/>
  <c r="BD47" i="229"/>
  <c r="BG58" i="229"/>
  <c r="BF58" i="229"/>
  <c r="BE58" i="229"/>
  <c r="BD58" i="229"/>
  <c r="BG69" i="229"/>
  <c r="BF69" i="229"/>
  <c r="BE69" i="229"/>
  <c r="BD69" i="229"/>
  <c r="BG80" i="229"/>
  <c r="BF80" i="229"/>
  <c r="BE80" i="229"/>
  <c r="BD80" i="229"/>
  <c r="U254" i="229"/>
  <c r="U275" i="229"/>
  <c r="BK36" i="229"/>
  <c r="BJ36" i="229"/>
  <c r="BI36" i="229"/>
  <c r="BH36" i="229"/>
  <c r="BK47" i="229"/>
  <c r="BJ47" i="229"/>
  <c r="BI47" i="229"/>
  <c r="BH47" i="229"/>
  <c r="BK58" i="229"/>
  <c r="BJ58" i="229"/>
  <c r="BI58" i="229"/>
  <c r="BH58" i="229"/>
  <c r="BK69" i="229"/>
  <c r="BJ69" i="229"/>
  <c r="BI69" i="229"/>
  <c r="BH69" i="229"/>
  <c r="BK80" i="229"/>
  <c r="BJ80" i="229"/>
  <c r="BI80" i="229"/>
  <c r="BH80" i="229"/>
  <c r="V254" i="229"/>
  <c r="V275" i="229"/>
  <c r="BO36" i="229"/>
  <c r="BN36" i="229"/>
  <c r="BM36" i="229"/>
  <c r="BL36" i="229"/>
  <c r="BO47" i="229"/>
  <c r="BN47" i="229"/>
  <c r="BM47" i="229"/>
  <c r="BL47" i="229"/>
  <c r="BO58" i="229"/>
  <c r="BN58" i="229"/>
  <c r="BM58" i="229"/>
  <c r="BL58" i="229"/>
  <c r="BO69" i="229"/>
  <c r="BN69" i="229"/>
  <c r="BM69" i="229"/>
  <c r="BL69" i="229"/>
  <c r="BO80" i="229"/>
  <c r="BN80" i="229"/>
  <c r="BM80" i="229"/>
  <c r="BL80" i="229"/>
  <c r="W254" i="229"/>
  <c r="W275" i="229"/>
  <c r="BS36" i="229"/>
  <c r="BR36" i="229"/>
  <c r="BQ36" i="229"/>
  <c r="BP36" i="229"/>
  <c r="BS47" i="229"/>
  <c r="BR47" i="229"/>
  <c r="BQ47" i="229"/>
  <c r="BP47" i="229"/>
  <c r="BS58" i="229"/>
  <c r="BR58" i="229"/>
  <c r="BQ58" i="229"/>
  <c r="BP58" i="229"/>
  <c r="BS69" i="229"/>
  <c r="BR69" i="229"/>
  <c r="BQ69" i="229"/>
  <c r="BP69" i="229"/>
  <c r="BS80" i="229"/>
  <c r="BR80" i="229"/>
  <c r="BQ80" i="229"/>
  <c r="BP80" i="229"/>
  <c r="X254" i="229"/>
  <c r="X275" i="229"/>
  <c r="BW36" i="229"/>
  <c r="BV36" i="229"/>
  <c r="BU36" i="229"/>
  <c r="BT36" i="229"/>
  <c r="BW47" i="229"/>
  <c r="BV47" i="229"/>
  <c r="BU47" i="229"/>
  <c r="BT47" i="229"/>
  <c r="BW58" i="229"/>
  <c r="BV58" i="229"/>
  <c r="BU58" i="229"/>
  <c r="BT58" i="229"/>
  <c r="BW69" i="229"/>
  <c r="BV69" i="229"/>
  <c r="BU69" i="229"/>
  <c r="BT69" i="229"/>
  <c r="BW80" i="229"/>
  <c r="BV80" i="229"/>
  <c r="BU80" i="229"/>
  <c r="BT80" i="229"/>
  <c r="Y254" i="229"/>
  <c r="Y275" i="229"/>
  <c r="CA36" i="229"/>
  <c r="BZ36" i="229"/>
  <c r="BY36" i="229"/>
  <c r="BX36" i="229"/>
  <c r="CA47" i="229"/>
  <c r="BZ47" i="229"/>
  <c r="BY47" i="229"/>
  <c r="BX47" i="229"/>
  <c r="CA58" i="229"/>
  <c r="BZ58" i="229"/>
  <c r="BY58" i="229"/>
  <c r="BX58" i="229"/>
  <c r="CA69" i="229"/>
  <c r="BZ69" i="229"/>
  <c r="BY69" i="229"/>
  <c r="BX69" i="229"/>
  <c r="CA80" i="229"/>
  <c r="BZ80" i="229"/>
  <c r="BY80" i="229"/>
  <c r="BX80" i="229"/>
  <c r="Z254" i="229"/>
  <c r="Z275" i="229"/>
  <c r="CE36" i="229"/>
  <c r="CD36" i="229"/>
  <c r="CC36" i="229"/>
  <c r="CB36" i="229"/>
  <c r="CE47" i="229"/>
  <c r="CD47" i="229"/>
  <c r="CC47" i="229"/>
  <c r="CB47" i="229"/>
  <c r="CE58" i="229"/>
  <c r="CD58" i="229"/>
  <c r="CC58" i="229"/>
  <c r="CB58" i="229"/>
  <c r="CE69" i="229"/>
  <c r="CD69" i="229"/>
  <c r="CC69" i="229"/>
  <c r="CB69" i="229"/>
  <c r="CE80" i="229"/>
  <c r="CD80" i="229"/>
  <c r="CC80" i="229"/>
  <c r="CB80" i="229"/>
  <c r="AA254" i="229"/>
  <c r="AA275" i="229"/>
  <c r="CI36" i="229"/>
  <c r="CH36" i="229"/>
  <c r="CG36" i="229"/>
  <c r="CF36" i="229"/>
  <c r="CI47" i="229"/>
  <c r="CH47" i="229"/>
  <c r="CG47" i="229"/>
  <c r="CF47" i="229"/>
  <c r="CI58" i="229"/>
  <c r="CH58" i="229"/>
  <c r="CG58" i="229"/>
  <c r="CF58" i="229"/>
  <c r="CI69" i="229"/>
  <c r="CH69" i="229"/>
  <c r="CG69" i="229"/>
  <c r="CF69" i="229"/>
  <c r="CI80" i="229"/>
  <c r="CH80" i="229"/>
  <c r="CG80" i="229"/>
  <c r="CF80" i="229"/>
  <c r="AB254" i="229"/>
  <c r="AB275" i="229"/>
  <c r="CM36" i="229"/>
  <c r="CL36" i="229"/>
  <c r="CK36" i="229"/>
  <c r="CJ36" i="229"/>
  <c r="CM47" i="229"/>
  <c r="CL47" i="229"/>
  <c r="CK47" i="229"/>
  <c r="CJ47" i="229"/>
  <c r="CM58" i="229"/>
  <c r="CL58" i="229"/>
  <c r="CK58" i="229"/>
  <c r="CJ58" i="229"/>
  <c r="CM69" i="229"/>
  <c r="CL69" i="229"/>
  <c r="CK69" i="229"/>
  <c r="CJ69" i="229"/>
  <c r="CM80" i="229"/>
  <c r="CL80" i="229"/>
  <c r="CK80" i="229"/>
  <c r="CJ80" i="229"/>
  <c r="AC254" i="229"/>
  <c r="AC275" i="229"/>
  <c r="CQ36" i="229"/>
  <c r="CP36" i="229"/>
  <c r="CO36" i="229"/>
  <c r="CN36" i="229"/>
  <c r="CQ47" i="229"/>
  <c r="CP47" i="229"/>
  <c r="CO47" i="229"/>
  <c r="CN47" i="229"/>
  <c r="CQ58" i="229"/>
  <c r="CP58" i="229"/>
  <c r="CO58" i="229"/>
  <c r="CN58" i="229"/>
  <c r="CQ69" i="229"/>
  <c r="CP69" i="229"/>
  <c r="CO69" i="229"/>
  <c r="CN69" i="229"/>
  <c r="CQ80" i="229"/>
  <c r="CP80" i="229"/>
  <c r="CO80" i="229"/>
  <c r="CN80" i="229"/>
  <c r="AD254" i="229"/>
  <c r="AD275" i="229"/>
  <c r="CU36" i="229"/>
  <c r="CT36" i="229"/>
  <c r="CS36" i="229"/>
  <c r="CR36" i="229"/>
  <c r="CU47" i="229"/>
  <c r="CT47" i="229"/>
  <c r="CS47" i="229"/>
  <c r="CR47" i="229"/>
  <c r="CU58" i="229"/>
  <c r="CT58" i="229"/>
  <c r="CS58" i="229"/>
  <c r="CR58" i="229"/>
  <c r="CU69" i="229"/>
  <c r="CT69" i="229"/>
  <c r="CS69" i="229"/>
  <c r="CR69" i="229"/>
  <c r="CU80" i="229"/>
  <c r="CT80" i="229"/>
  <c r="CS80" i="229"/>
  <c r="CR80" i="229"/>
  <c r="AE254" i="229"/>
  <c r="AE275" i="229"/>
  <c r="CY36" i="229"/>
  <c r="CX36" i="229"/>
  <c r="CW36" i="229"/>
  <c r="CV36" i="229"/>
  <c r="CY47" i="229"/>
  <c r="CX47" i="229"/>
  <c r="CW47" i="229"/>
  <c r="CV47" i="229"/>
  <c r="CY58" i="229"/>
  <c r="CX58" i="229"/>
  <c r="CW58" i="229"/>
  <c r="CV58" i="229"/>
  <c r="CY69" i="229"/>
  <c r="CX69" i="229"/>
  <c r="CW69" i="229"/>
  <c r="CV69" i="229"/>
  <c r="CY80" i="229"/>
  <c r="CX80" i="229"/>
  <c r="CW80" i="229"/>
  <c r="CV80" i="229"/>
  <c r="AF254" i="229"/>
  <c r="AF275" i="229"/>
  <c r="DC36" i="229"/>
  <c r="DB36" i="229"/>
  <c r="DA36" i="229"/>
  <c r="CZ36" i="229"/>
  <c r="DC47" i="229"/>
  <c r="DB47" i="229"/>
  <c r="DA47" i="229"/>
  <c r="CZ47" i="229"/>
  <c r="DC58" i="229"/>
  <c r="DB58" i="229"/>
  <c r="DA58" i="229"/>
  <c r="CZ58" i="229"/>
  <c r="DC69" i="229"/>
  <c r="DB69" i="229"/>
  <c r="DA69" i="229"/>
  <c r="CZ69" i="229"/>
  <c r="DC80" i="229"/>
  <c r="DB80" i="229"/>
  <c r="DA80" i="229"/>
  <c r="CZ80" i="229"/>
  <c r="AG254" i="229"/>
  <c r="AG275" i="229"/>
  <c r="DG36" i="229"/>
  <c r="DF36" i="229"/>
  <c r="DE36" i="229"/>
  <c r="DD36" i="229"/>
  <c r="DG47" i="229"/>
  <c r="DF47" i="229"/>
  <c r="DE47" i="229"/>
  <c r="DD47" i="229"/>
  <c r="DG58" i="229"/>
  <c r="DF58" i="229"/>
  <c r="DE58" i="229"/>
  <c r="DD58" i="229"/>
  <c r="DG69" i="229"/>
  <c r="DF69" i="229"/>
  <c r="DE69" i="229"/>
  <c r="DD69" i="229"/>
  <c r="DG80" i="229"/>
  <c r="DF80" i="229"/>
  <c r="DE80" i="229"/>
  <c r="DD80" i="229"/>
  <c r="AH254" i="229"/>
  <c r="AH275" i="229"/>
  <c r="DK36" i="229"/>
  <c r="DJ36" i="229"/>
  <c r="DI36" i="229"/>
  <c r="DH36" i="229"/>
  <c r="DK47" i="229"/>
  <c r="DJ47" i="229"/>
  <c r="DI47" i="229"/>
  <c r="DH47" i="229"/>
  <c r="DK58" i="229"/>
  <c r="DJ58" i="229"/>
  <c r="DI58" i="229"/>
  <c r="DH58" i="229"/>
  <c r="DK69" i="229"/>
  <c r="DJ69" i="229"/>
  <c r="DI69" i="229"/>
  <c r="DH69" i="229"/>
  <c r="DK80" i="229"/>
  <c r="DJ80" i="229"/>
  <c r="DI80" i="229"/>
  <c r="DH80" i="229"/>
  <c r="AI254" i="229"/>
  <c r="AI275" i="229"/>
  <c r="DO36" i="229"/>
  <c r="DN36" i="229"/>
  <c r="DM36" i="229"/>
  <c r="DL36" i="229"/>
  <c r="DO47" i="229"/>
  <c r="DN47" i="229"/>
  <c r="DM47" i="229"/>
  <c r="DL47" i="229"/>
  <c r="DO58" i="229"/>
  <c r="DN58" i="229"/>
  <c r="DM58" i="229"/>
  <c r="DL58" i="229"/>
  <c r="DO69" i="229"/>
  <c r="DN69" i="229"/>
  <c r="DM69" i="229"/>
  <c r="DL69" i="229"/>
  <c r="DO80" i="229"/>
  <c r="DN80" i="229"/>
  <c r="DM80" i="229"/>
  <c r="DL80" i="229"/>
  <c r="AJ254" i="229"/>
  <c r="AJ275" i="229"/>
  <c r="DS36" i="229"/>
  <c r="DR36" i="229"/>
  <c r="DQ36" i="229"/>
  <c r="DP36" i="229"/>
  <c r="DS47" i="229"/>
  <c r="DR47" i="229"/>
  <c r="DQ47" i="229"/>
  <c r="DP47" i="229"/>
  <c r="DS58" i="229"/>
  <c r="DR58" i="229"/>
  <c r="DQ58" i="229"/>
  <c r="DP58" i="229"/>
  <c r="DS69" i="229"/>
  <c r="DR69" i="229"/>
  <c r="DQ69" i="229"/>
  <c r="DP69" i="229"/>
  <c r="DS80" i="229"/>
  <c r="DR80" i="229"/>
  <c r="DQ80" i="229"/>
  <c r="DP80" i="229"/>
  <c r="AK254" i="229"/>
  <c r="AK275" i="229"/>
  <c r="DW36" i="229"/>
  <c r="DV36" i="229"/>
  <c r="DU36" i="229"/>
  <c r="DT36" i="229"/>
  <c r="DW47" i="229"/>
  <c r="DV47" i="229"/>
  <c r="DU47" i="229"/>
  <c r="DT47" i="229"/>
  <c r="DW58" i="229"/>
  <c r="DV58" i="229"/>
  <c r="DU58" i="229"/>
  <c r="DT58" i="229"/>
  <c r="DW69" i="229"/>
  <c r="DV69" i="229"/>
  <c r="DU69" i="229"/>
  <c r="DT69" i="229"/>
  <c r="DW80" i="229"/>
  <c r="DV80" i="229"/>
  <c r="DU80" i="229"/>
  <c r="DT80" i="229"/>
  <c r="AL254" i="229"/>
  <c r="AL275" i="229"/>
  <c r="EA36" i="229"/>
  <c r="DZ36" i="229"/>
  <c r="DY36" i="229"/>
  <c r="DX36" i="229"/>
  <c r="EA47" i="229"/>
  <c r="DZ47" i="229"/>
  <c r="DY47" i="229"/>
  <c r="DX47" i="229"/>
  <c r="EA58" i="229"/>
  <c r="DZ58" i="229"/>
  <c r="DY58" i="229"/>
  <c r="DX58" i="229"/>
  <c r="EA69" i="229"/>
  <c r="DZ69" i="229"/>
  <c r="DY69" i="229"/>
  <c r="DX69" i="229"/>
  <c r="EA80" i="229"/>
  <c r="DZ80" i="229"/>
  <c r="DY80" i="229"/>
  <c r="DX80" i="229"/>
  <c r="AM254" i="229"/>
  <c r="AM275" i="229"/>
  <c r="EE36" i="229"/>
  <c r="ED36" i="229"/>
  <c r="EC36" i="229"/>
  <c r="EB36" i="229"/>
  <c r="EE47" i="229"/>
  <c r="ED47" i="229"/>
  <c r="EC47" i="229"/>
  <c r="EB47" i="229"/>
  <c r="EE58" i="229"/>
  <c r="ED58" i="229"/>
  <c r="EC58" i="229"/>
  <c r="EB58" i="229"/>
  <c r="EE69" i="229"/>
  <c r="ED69" i="229"/>
  <c r="EC69" i="229"/>
  <c r="EB69" i="229"/>
  <c r="EE80" i="229"/>
  <c r="ED80" i="229"/>
  <c r="EC80" i="229"/>
  <c r="EB80" i="229"/>
  <c r="AN254" i="229"/>
  <c r="AN275" i="229"/>
  <c r="EI36" i="229"/>
  <c r="EH36" i="229"/>
  <c r="EG36" i="229"/>
  <c r="EF36" i="229"/>
  <c r="EI47" i="229"/>
  <c r="EH47" i="229"/>
  <c r="EG47" i="229"/>
  <c r="EF47" i="229"/>
  <c r="EI58" i="229"/>
  <c r="EH58" i="229"/>
  <c r="EG58" i="229"/>
  <c r="EF58" i="229"/>
  <c r="EI69" i="229"/>
  <c r="EH69" i="229"/>
  <c r="EG69" i="229"/>
  <c r="EF69" i="229"/>
  <c r="EI80" i="229"/>
  <c r="EH80" i="229"/>
  <c r="EG80" i="229"/>
  <c r="EF80" i="229"/>
  <c r="AO254" i="229"/>
  <c r="AO275" i="229"/>
  <c r="EM36" i="229"/>
  <c r="EL36" i="229"/>
  <c r="EK36" i="229"/>
  <c r="EJ36" i="229"/>
  <c r="EM47" i="229"/>
  <c r="EL47" i="229"/>
  <c r="EK47" i="229"/>
  <c r="EJ47" i="229"/>
  <c r="EM58" i="229"/>
  <c r="EL58" i="229"/>
  <c r="EK58" i="229"/>
  <c r="EJ58" i="229"/>
  <c r="EM69" i="229"/>
  <c r="EL69" i="229"/>
  <c r="EK69" i="229"/>
  <c r="EJ69" i="229"/>
  <c r="EM80" i="229"/>
  <c r="EL80" i="229"/>
  <c r="EK80" i="229"/>
  <c r="EJ80" i="229"/>
  <c r="AP254" i="229"/>
  <c r="AP275" i="229"/>
  <c r="AP277" i="229"/>
  <c r="AP321" i="229" s="1"/>
  <c r="AP278" i="229"/>
  <c r="AP322" i="229" s="1"/>
  <c r="AP279" i="229"/>
  <c r="AP323" i="229" s="1"/>
  <c r="AP280" i="229"/>
  <c r="AP324" i="229" s="1"/>
  <c r="AP281" i="229"/>
  <c r="AP325" i="229" s="1"/>
  <c r="AP282" i="229"/>
  <c r="AP326" i="229" s="1"/>
  <c r="C56" i="251"/>
  <c r="D6" i="224"/>
  <c r="D5" i="224"/>
  <c r="F12" i="221"/>
  <c r="B22" i="204" s="1"/>
  <c r="H16" i="248"/>
  <c r="H42" i="248"/>
  <c r="I42" i="248" s="1"/>
  <c r="J42" i="248" s="1"/>
  <c r="K42" i="248" s="1"/>
  <c r="L42" i="248" s="1"/>
  <c r="M42" i="248" s="1"/>
  <c r="N42" i="248" s="1"/>
  <c r="O42" i="248" s="1"/>
  <c r="P42" i="248" s="1"/>
  <c r="Q42" i="248" s="1"/>
  <c r="R42" i="248" s="1"/>
  <c r="S42" i="248" s="1"/>
  <c r="T42" i="248" s="1"/>
  <c r="U42" i="248" s="1"/>
  <c r="V42" i="248" s="1"/>
  <c r="H17" i="248"/>
  <c r="H43" i="248"/>
  <c r="I43" i="248" s="1"/>
  <c r="J43" i="248" s="1"/>
  <c r="K43" i="248" s="1"/>
  <c r="L43" i="248" s="1"/>
  <c r="M43" i="248" s="1"/>
  <c r="N43" i="248" s="1"/>
  <c r="O43" i="248" s="1"/>
  <c r="P43" i="248" s="1"/>
  <c r="Q43" i="248" s="1"/>
  <c r="R43" i="248" s="1"/>
  <c r="S43" i="248" s="1"/>
  <c r="T43" i="248" s="1"/>
  <c r="U43" i="248" s="1"/>
  <c r="V43" i="248" s="1"/>
  <c r="D4" i="255"/>
  <c r="D3" i="255"/>
  <c r="E3" i="255"/>
  <c r="F3" i="255"/>
  <c r="G3" i="255"/>
  <c r="H3" i="255"/>
  <c r="I3" i="255"/>
  <c r="J3" i="255"/>
  <c r="K3" i="255"/>
  <c r="L3" i="255"/>
  <c r="M3" i="255"/>
  <c r="N3" i="255"/>
  <c r="O3" i="255"/>
  <c r="P3" i="255"/>
  <c r="P10" i="255"/>
  <c r="H10" i="255"/>
  <c r="D10" i="255"/>
  <c r="E10" i="255"/>
  <c r="F10" i="255"/>
  <c r="G10" i="255"/>
  <c r="I10" i="255"/>
  <c r="J10" i="255"/>
  <c r="K10" i="255"/>
  <c r="L10" i="255"/>
  <c r="M10" i="255"/>
  <c r="N10" i="255"/>
  <c r="O10" i="255"/>
  <c r="Q3" i="255"/>
  <c r="Q10" i="255"/>
  <c r="R3" i="255"/>
  <c r="R10" i="255"/>
  <c r="S3" i="255"/>
  <c r="S10" i="255"/>
  <c r="T3" i="255"/>
  <c r="T10" i="255"/>
  <c r="U3" i="255"/>
  <c r="U10" i="255"/>
  <c r="V3" i="255"/>
  <c r="V10" i="255"/>
  <c r="W3" i="255"/>
  <c r="W10" i="255"/>
  <c r="X3" i="255"/>
  <c r="X10" i="255"/>
  <c r="Y3" i="255"/>
  <c r="Y10" i="255"/>
  <c r="Z3" i="255"/>
  <c r="Z10" i="255"/>
  <c r="E1" i="256"/>
  <c r="E7" i="256"/>
  <c r="E37" i="256"/>
  <c r="F1" i="256"/>
  <c r="F7" i="256"/>
  <c r="F37" i="256"/>
  <c r="G1" i="256"/>
  <c r="G7" i="256"/>
  <c r="G37" i="256"/>
  <c r="H1" i="256"/>
  <c r="H7" i="256"/>
  <c r="H37" i="256"/>
  <c r="I1" i="256"/>
  <c r="I7" i="256"/>
  <c r="I37" i="256"/>
  <c r="J1" i="256"/>
  <c r="J7" i="256"/>
  <c r="J37" i="256"/>
  <c r="K1" i="256"/>
  <c r="K7" i="256"/>
  <c r="K37" i="256"/>
  <c r="L1" i="256"/>
  <c r="L7" i="256"/>
  <c r="L37" i="256"/>
  <c r="M1" i="256"/>
  <c r="M7" i="256"/>
  <c r="M37" i="256"/>
  <c r="N1" i="256"/>
  <c r="N7" i="256"/>
  <c r="N37" i="256"/>
  <c r="O1" i="256"/>
  <c r="O7" i="256"/>
  <c r="O37" i="256"/>
  <c r="P1" i="256"/>
  <c r="P7" i="256"/>
  <c r="P37" i="256"/>
  <c r="Q1" i="256"/>
  <c r="Q7" i="256"/>
  <c r="Q37" i="256"/>
  <c r="R1" i="256"/>
  <c r="R7" i="256"/>
  <c r="R37" i="256"/>
  <c r="S1" i="256"/>
  <c r="S7" i="256"/>
  <c r="S37" i="256"/>
  <c r="T1" i="256"/>
  <c r="T7" i="256"/>
  <c r="T37" i="256"/>
  <c r="U1" i="256"/>
  <c r="U7" i="256"/>
  <c r="U37" i="256"/>
  <c r="V1" i="256"/>
  <c r="V7" i="256"/>
  <c r="V37" i="256"/>
  <c r="W1" i="256"/>
  <c r="W7" i="256"/>
  <c r="W37" i="256"/>
  <c r="X1" i="256"/>
  <c r="X7" i="256"/>
  <c r="X37" i="256"/>
  <c r="Y1" i="256"/>
  <c r="Y7" i="256"/>
  <c r="Y37" i="256"/>
  <c r="Z1" i="256"/>
  <c r="Z7" i="256"/>
  <c r="Z37" i="256"/>
  <c r="AA1" i="256"/>
  <c r="AA7" i="256"/>
  <c r="AA37" i="256"/>
  <c r="I3" i="256"/>
  <c r="J3" i="256"/>
  <c r="K3" i="256"/>
  <c r="L3" i="256"/>
  <c r="M3" i="256"/>
  <c r="N3" i="256"/>
  <c r="O3" i="256"/>
  <c r="P3" i="256"/>
  <c r="Q3" i="256"/>
  <c r="R3" i="256"/>
  <c r="S3" i="256"/>
  <c r="T3" i="256"/>
  <c r="U3" i="256"/>
  <c r="V3" i="256"/>
  <c r="W3" i="256"/>
  <c r="X3" i="256"/>
  <c r="Y3" i="256"/>
  <c r="Z3" i="256"/>
  <c r="AA3" i="256"/>
  <c r="H91" i="229"/>
  <c r="H102" i="229"/>
  <c r="E17" i="228"/>
  <c r="E18" i="228"/>
  <c r="I11" i="229"/>
  <c r="H92" i="229"/>
  <c r="H103" i="229"/>
  <c r="H101" i="229"/>
  <c r="I91" i="229"/>
  <c r="I102" i="229"/>
  <c r="I92" i="229"/>
  <c r="I103" i="229"/>
  <c r="I101" i="229"/>
  <c r="J91" i="229"/>
  <c r="J102" i="229"/>
  <c r="J92" i="229"/>
  <c r="J103" i="229"/>
  <c r="J101" i="229"/>
  <c r="K91" i="229"/>
  <c r="K102" i="229"/>
  <c r="K92" i="229"/>
  <c r="K103" i="229"/>
  <c r="K101" i="229"/>
  <c r="I232" i="229"/>
  <c r="I230" i="229"/>
  <c r="J232" i="229"/>
  <c r="J230" i="229"/>
  <c r="K232" i="229"/>
  <c r="K230" i="229"/>
  <c r="L232" i="229"/>
  <c r="L230" i="229"/>
  <c r="M232" i="229"/>
  <c r="M230" i="229"/>
  <c r="N232" i="229"/>
  <c r="N230" i="229"/>
  <c r="O232" i="229"/>
  <c r="O230" i="229"/>
  <c r="P232" i="229"/>
  <c r="P230" i="229"/>
  <c r="Q232" i="229"/>
  <c r="Q230" i="229"/>
  <c r="R232" i="229"/>
  <c r="R230" i="229"/>
  <c r="S232" i="229"/>
  <c r="S230" i="229"/>
  <c r="T232" i="229"/>
  <c r="T230" i="229"/>
  <c r="U232" i="229"/>
  <c r="U230" i="229"/>
  <c r="V232" i="229"/>
  <c r="V230" i="229"/>
  <c r="W232" i="229"/>
  <c r="W230" i="229"/>
  <c r="X232" i="229"/>
  <c r="X230" i="229"/>
  <c r="Y232" i="229"/>
  <c r="Y230" i="229"/>
  <c r="Z232" i="229"/>
  <c r="Z230" i="229"/>
  <c r="AA232" i="229"/>
  <c r="AA230" i="229"/>
  <c r="AB232" i="229"/>
  <c r="AB230" i="229"/>
  <c r="AC232" i="229"/>
  <c r="AC230" i="229"/>
  <c r="AD232" i="229"/>
  <c r="AD230" i="229"/>
  <c r="AE232" i="229"/>
  <c r="AE230" i="229"/>
  <c r="AF232" i="229"/>
  <c r="AF230" i="229"/>
  <c r="AG232" i="229"/>
  <c r="AG230" i="229"/>
  <c r="AH232" i="229"/>
  <c r="AH230" i="229"/>
  <c r="AI232" i="229"/>
  <c r="AI230" i="229"/>
  <c r="AJ232" i="229"/>
  <c r="AJ230" i="229"/>
  <c r="AK232" i="229"/>
  <c r="AK230" i="229"/>
  <c r="AL232" i="229"/>
  <c r="AL230" i="229"/>
  <c r="AM232" i="229"/>
  <c r="AM230" i="229"/>
  <c r="AN232" i="229"/>
  <c r="AN230" i="229"/>
  <c r="AO232" i="229"/>
  <c r="AO230" i="229"/>
  <c r="AP232" i="229"/>
  <c r="AP230" i="229"/>
  <c r="AQ232" i="229"/>
  <c r="AQ230" i="229"/>
  <c r="AR232" i="229"/>
  <c r="AR230" i="229"/>
  <c r="AS232" i="229"/>
  <c r="AS230" i="229"/>
  <c r="AT232" i="229"/>
  <c r="AT230" i="229"/>
  <c r="AU232" i="229"/>
  <c r="AU230" i="229"/>
  <c r="AV232" i="229"/>
  <c r="AV230" i="229"/>
  <c r="AW232" i="229"/>
  <c r="AW230" i="229"/>
  <c r="AX232" i="229"/>
  <c r="AX230" i="229"/>
  <c r="AY232" i="229"/>
  <c r="AY230" i="229"/>
  <c r="AZ232" i="229"/>
  <c r="AZ230" i="229"/>
  <c r="BA232" i="229"/>
  <c r="BA230" i="229"/>
  <c r="BB232" i="229"/>
  <c r="BB230" i="229"/>
  <c r="BC232" i="229"/>
  <c r="BC230" i="229"/>
  <c r="BD232" i="229"/>
  <c r="BD230" i="229"/>
  <c r="BE232" i="229"/>
  <c r="BE230" i="229"/>
  <c r="BF232" i="229"/>
  <c r="BF230" i="229"/>
  <c r="BG232" i="229"/>
  <c r="BG230" i="229"/>
  <c r="BH232" i="229"/>
  <c r="BH230" i="229"/>
  <c r="BI232" i="229"/>
  <c r="BI230" i="229"/>
  <c r="BJ232" i="229"/>
  <c r="BJ230" i="229"/>
  <c r="BK232" i="229"/>
  <c r="BK230" i="229"/>
  <c r="BL232" i="229"/>
  <c r="BL230" i="229"/>
  <c r="BM232" i="229"/>
  <c r="BM230" i="229"/>
  <c r="BN232" i="229"/>
  <c r="BN230" i="229"/>
  <c r="BO232" i="229"/>
  <c r="BO230" i="229"/>
  <c r="BP232" i="229"/>
  <c r="BP230" i="229"/>
  <c r="BQ232" i="229"/>
  <c r="BQ230" i="229"/>
  <c r="BR232" i="229"/>
  <c r="BR230" i="229"/>
  <c r="BS232" i="229"/>
  <c r="BS230" i="229"/>
  <c r="BT232" i="229"/>
  <c r="BT230" i="229"/>
  <c r="BU232" i="229"/>
  <c r="BU230" i="229"/>
  <c r="BV232" i="229"/>
  <c r="BV230" i="229"/>
  <c r="BW232" i="229"/>
  <c r="BW230" i="229"/>
  <c r="BX232" i="229"/>
  <c r="BX230" i="229"/>
  <c r="BY232" i="229"/>
  <c r="BY230" i="229"/>
  <c r="BZ232" i="229"/>
  <c r="BZ230" i="229"/>
  <c r="CA232" i="229"/>
  <c r="CA230" i="229"/>
  <c r="CB232" i="229"/>
  <c r="CB230" i="229"/>
  <c r="CC232" i="229"/>
  <c r="CC230" i="229"/>
  <c r="CD232" i="229"/>
  <c r="CD230" i="229"/>
  <c r="CE232" i="229"/>
  <c r="CE230" i="229"/>
  <c r="CF232" i="229"/>
  <c r="CF230" i="229"/>
  <c r="CG232" i="229"/>
  <c r="CG230" i="229"/>
  <c r="CH232" i="229"/>
  <c r="CH230" i="229"/>
  <c r="CI232" i="229"/>
  <c r="CI230" i="229"/>
  <c r="CJ232" i="229"/>
  <c r="CJ230" i="229"/>
  <c r="CK232" i="229"/>
  <c r="CK230" i="229"/>
  <c r="CL232" i="229"/>
  <c r="CL230" i="229"/>
  <c r="CM232" i="229"/>
  <c r="CM230" i="229"/>
  <c r="CN232" i="229"/>
  <c r="CN230" i="229"/>
  <c r="CO232" i="229"/>
  <c r="CO230" i="229"/>
  <c r="CP232" i="229"/>
  <c r="CP230" i="229"/>
  <c r="CQ232" i="229"/>
  <c r="CQ230" i="229"/>
  <c r="CR232" i="229"/>
  <c r="CR230" i="229"/>
  <c r="CS232" i="229"/>
  <c r="CS230" i="229"/>
  <c r="CT232" i="229"/>
  <c r="CT230" i="229"/>
  <c r="CU232" i="229"/>
  <c r="CU230" i="229"/>
  <c r="CV232" i="229"/>
  <c r="CV230" i="229"/>
  <c r="CW232" i="229"/>
  <c r="CW230" i="229"/>
  <c r="CX232" i="229"/>
  <c r="CX230" i="229"/>
  <c r="CY232" i="229"/>
  <c r="CY230" i="229"/>
  <c r="CZ232" i="229"/>
  <c r="CZ230" i="229"/>
  <c r="DA232" i="229"/>
  <c r="DA230" i="229"/>
  <c r="DB232" i="229"/>
  <c r="DB230" i="229"/>
  <c r="DC232" i="229"/>
  <c r="DC230" i="229"/>
  <c r="DD232" i="229"/>
  <c r="DD230" i="229"/>
  <c r="DE232" i="229"/>
  <c r="DE230" i="229"/>
  <c r="DF232" i="229"/>
  <c r="DF230" i="229"/>
  <c r="DG232" i="229"/>
  <c r="DG230" i="229"/>
  <c r="DH232" i="229"/>
  <c r="DH230" i="229"/>
  <c r="DI232" i="229"/>
  <c r="DI230" i="229"/>
  <c r="DJ232" i="229"/>
  <c r="DJ230" i="229"/>
  <c r="DK232" i="229"/>
  <c r="DK230" i="229"/>
  <c r="DL232" i="229"/>
  <c r="DL230" i="229"/>
  <c r="DM232" i="229"/>
  <c r="DM230" i="229"/>
  <c r="DN232" i="229"/>
  <c r="DN230" i="229"/>
  <c r="DO232" i="229"/>
  <c r="DO230" i="229"/>
  <c r="DP232" i="229"/>
  <c r="DP230" i="229"/>
  <c r="DQ232" i="229"/>
  <c r="DQ230" i="229"/>
  <c r="DR232" i="229"/>
  <c r="DR230" i="229"/>
  <c r="DS232" i="229"/>
  <c r="DS230" i="229"/>
  <c r="DT232" i="229"/>
  <c r="DT230" i="229"/>
  <c r="DU232" i="229"/>
  <c r="DU230" i="229"/>
  <c r="DV232" i="229"/>
  <c r="DV230" i="229"/>
  <c r="DW232" i="229"/>
  <c r="DW230" i="229"/>
  <c r="DX232" i="229"/>
  <c r="DX230" i="229"/>
  <c r="DY232" i="229"/>
  <c r="DY230" i="229"/>
  <c r="DZ232" i="229"/>
  <c r="DZ230" i="229"/>
  <c r="EA232" i="229"/>
  <c r="EA230" i="229"/>
  <c r="EB232" i="229"/>
  <c r="EB230" i="229"/>
  <c r="EC232" i="229"/>
  <c r="EC230" i="229"/>
  <c r="ED232" i="229"/>
  <c r="ED230" i="229"/>
  <c r="EE232" i="229"/>
  <c r="EE230" i="229"/>
  <c r="EF232" i="229"/>
  <c r="EF230" i="229"/>
  <c r="EG232" i="229"/>
  <c r="EG230" i="229"/>
  <c r="EH232" i="229"/>
  <c r="EH230" i="229"/>
  <c r="EI232" i="229"/>
  <c r="EI230" i="229"/>
  <c r="EJ232" i="229"/>
  <c r="EJ230" i="229"/>
  <c r="EK232" i="229"/>
  <c r="EK230" i="229"/>
  <c r="EL232" i="229"/>
  <c r="EL230" i="229"/>
  <c r="EM232" i="229"/>
  <c r="EM230" i="229"/>
  <c r="EN232" i="229"/>
  <c r="EN230" i="229"/>
  <c r="L92" i="229"/>
  <c r="L103" i="229"/>
  <c r="L101" i="229"/>
  <c r="L91" i="229"/>
  <c r="L102" i="229"/>
  <c r="M92" i="229"/>
  <c r="M103" i="229"/>
  <c r="M101" i="229"/>
  <c r="M91" i="229"/>
  <c r="M102" i="229"/>
  <c r="N92" i="229"/>
  <c r="N103" i="229"/>
  <c r="N101" i="229"/>
  <c r="N91" i="229"/>
  <c r="N102" i="229"/>
  <c r="O92" i="229"/>
  <c r="O103" i="229"/>
  <c r="O101" i="229"/>
  <c r="O91" i="229"/>
  <c r="O102" i="229"/>
  <c r="P92" i="229"/>
  <c r="P103" i="229"/>
  <c r="P101" i="229"/>
  <c r="P91" i="229"/>
  <c r="P102" i="229"/>
  <c r="Q92" i="229"/>
  <c r="Q103" i="229"/>
  <c r="Q101" i="229"/>
  <c r="Q91" i="229"/>
  <c r="Q102" i="229"/>
  <c r="R92" i="229"/>
  <c r="R103" i="229"/>
  <c r="R101" i="229"/>
  <c r="R91" i="229"/>
  <c r="R102" i="229"/>
  <c r="S92" i="229"/>
  <c r="S103" i="229"/>
  <c r="S101" i="229"/>
  <c r="S91" i="229"/>
  <c r="S102" i="229"/>
  <c r="T92" i="229"/>
  <c r="T103" i="229"/>
  <c r="T101" i="229"/>
  <c r="E33" i="229"/>
  <c r="E44" i="229"/>
  <c r="E55" i="229"/>
  <c r="E66" i="229"/>
  <c r="E77" i="229"/>
  <c r="E88" i="229"/>
  <c r="E110" i="229"/>
  <c r="T91" i="229"/>
  <c r="T102" i="229"/>
  <c r="U92" i="229"/>
  <c r="U103" i="229"/>
  <c r="U101" i="229"/>
  <c r="U91" i="229"/>
  <c r="U102" i="229"/>
  <c r="V92" i="229"/>
  <c r="V103" i="229"/>
  <c r="V101" i="229"/>
  <c r="V91" i="229"/>
  <c r="V102" i="229"/>
  <c r="W92" i="229"/>
  <c r="W103" i="229"/>
  <c r="W101" i="229"/>
  <c r="W91" i="229"/>
  <c r="W102" i="229"/>
  <c r="X92" i="229"/>
  <c r="X103" i="229"/>
  <c r="X101" i="229"/>
  <c r="X80" i="229"/>
  <c r="X91" i="229"/>
  <c r="X102" i="229"/>
  <c r="Y92" i="229"/>
  <c r="Y103" i="229"/>
  <c r="Y101" i="229"/>
  <c r="Y80" i="229"/>
  <c r="Y91" i="229"/>
  <c r="Y102" i="229"/>
  <c r="Z92" i="229"/>
  <c r="Z103" i="229"/>
  <c r="Z101" i="229"/>
  <c r="Z91" i="229"/>
  <c r="Z102" i="229"/>
  <c r="AA92" i="229"/>
  <c r="AA103" i="229"/>
  <c r="AA101" i="229"/>
  <c r="AA91" i="229"/>
  <c r="AA102" i="229"/>
  <c r="AB92" i="229"/>
  <c r="AB103" i="229"/>
  <c r="AB101" i="229"/>
  <c r="AB91" i="229"/>
  <c r="AB102" i="229"/>
  <c r="AC92" i="229"/>
  <c r="AC103" i="229"/>
  <c r="AC101" i="229"/>
  <c r="AC91" i="229"/>
  <c r="AC102" i="229"/>
  <c r="AD92" i="229"/>
  <c r="AD103" i="229"/>
  <c r="AD101" i="229"/>
  <c r="AD91" i="229"/>
  <c r="AD102" i="229"/>
  <c r="AE92" i="229"/>
  <c r="AE103" i="229"/>
  <c r="AE101" i="229"/>
  <c r="AE91" i="229"/>
  <c r="AE102" i="229"/>
  <c r="AF92" i="229"/>
  <c r="AF103" i="229"/>
  <c r="AF101" i="229"/>
  <c r="AF91" i="229"/>
  <c r="AF102" i="229"/>
  <c r="AG92" i="229"/>
  <c r="AG103" i="229"/>
  <c r="AG101" i="229"/>
  <c r="AG91" i="229"/>
  <c r="AG102" i="229"/>
  <c r="AH92" i="229"/>
  <c r="AH103" i="229"/>
  <c r="AH101" i="229"/>
  <c r="AH91" i="229"/>
  <c r="AH102" i="229"/>
  <c r="AI92" i="229"/>
  <c r="AI103" i="229"/>
  <c r="AI101" i="229"/>
  <c r="AI91" i="229"/>
  <c r="AI102" i="229"/>
  <c r="AJ92" i="229"/>
  <c r="AJ103" i="229"/>
  <c r="AJ101" i="229"/>
  <c r="AJ91" i="229"/>
  <c r="AJ102" i="229"/>
  <c r="AK92" i="229"/>
  <c r="AK103" i="229"/>
  <c r="AK101" i="229"/>
  <c r="AK91" i="229"/>
  <c r="AK102" i="229"/>
  <c r="AL92" i="229"/>
  <c r="AL103" i="229"/>
  <c r="AL101" i="229"/>
  <c r="AL91" i="229"/>
  <c r="AL102" i="229"/>
  <c r="AM92" i="229"/>
  <c r="AM103" i="229"/>
  <c r="AM101" i="229"/>
  <c r="AM91" i="229"/>
  <c r="AM102" i="229"/>
  <c r="AN92" i="229"/>
  <c r="AN103" i="229"/>
  <c r="AN101" i="229"/>
  <c r="AN91" i="229"/>
  <c r="AN102" i="229"/>
  <c r="AO92" i="229"/>
  <c r="AO103" i="229"/>
  <c r="AO101" i="229"/>
  <c r="AO91" i="229"/>
  <c r="AO102" i="229"/>
  <c r="AP92" i="229"/>
  <c r="AP103" i="229"/>
  <c r="AP101" i="229"/>
  <c r="AP91" i="229"/>
  <c r="AP102" i="229"/>
  <c r="AQ92" i="229"/>
  <c r="AQ103" i="229"/>
  <c r="AQ101" i="229"/>
  <c r="AQ91" i="229"/>
  <c r="AQ102" i="229"/>
  <c r="AR92" i="229"/>
  <c r="AR103" i="229"/>
  <c r="AR101" i="229"/>
  <c r="AR91" i="229"/>
  <c r="AR102" i="229"/>
  <c r="AS92" i="229"/>
  <c r="AS103" i="229"/>
  <c r="AS101" i="229"/>
  <c r="AS91" i="229"/>
  <c r="AS102" i="229"/>
  <c r="AT92" i="229"/>
  <c r="AT103" i="229"/>
  <c r="AT101" i="229"/>
  <c r="AT91" i="229"/>
  <c r="AT102" i="229"/>
  <c r="AU92" i="229"/>
  <c r="AU103" i="229"/>
  <c r="AU101" i="229"/>
  <c r="AU91" i="229"/>
  <c r="AU102" i="229"/>
  <c r="AV92" i="229"/>
  <c r="AV103" i="229"/>
  <c r="AV101" i="229"/>
  <c r="AV91" i="229"/>
  <c r="AV102" i="229"/>
  <c r="AW92" i="229"/>
  <c r="AW103" i="229"/>
  <c r="AW101" i="229"/>
  <c r="AW91" i="229"/>
  <c r="AW102" i="229"/>
  <c r="AX92" i="229"/>
  <c r="AX103" i="229"/>
  <c r="AX101" i="229"/>
  <c r="AX91" i="229"/>
  <c r="AX102" i="229"/>
  <c r="AY92" i="229"/>
  <c r="AY103" i="229"/>
  <c r="AY101" i="229"/>
  <c r="AY91" i="229"/>
  <c r="AY102" i="229"/>
  <c r="AZ92" i="229"/>
  <c r="AZ103" i="229"/>
  <c r="AZ101" i="229"/>
  <c r="AZ91" i="229"/>
  <c r="AZ102" i="229"/>
  <c r="BA92" i="229"/>
  <c r="BA103" i="229"/>
  <c r="BA101" i="229"/>
  <c r="BA91" i="229"/>
  <c r="BA102" i="229"/>
  <c r="BB92" i="229"/>
  <c r="BB103" i="229"/>
  <c r="BB101" i="229"/>
  <c r="BB91" i="229"/>
  <c r="BB102" i="229"/>
  <c r="BC92" i="229"/>
  <c r="BC103" i="229"/>
  <c r="BC101" i="229"/>
  <c r="BC91" i="229"/>
  <c r="BC102" i="229"/>
  <c r="BD92" i="229"/>
  <c r="BD103" i="229"/>
  <c r="BD101" i="229"/>
  <c r="BD91" i="229"/>
  <c r="BD102" i="229"/>
  <c r="BE92" i="229"/>
  <c r="BE103" i="229"/>
  <c r="BE101" i="229"/>
  <c r="BE91" i="229"/>
  <c r="BE102" i="229"/>
  <c r="BF92" i="229"/>
  <c r="BF103" i="229"/>
  <c r="BF101" i="229"/>
  <c r="BF91" i="229"/>
  <c r="BF102" i="229"/>
  <c r="BG92" i="229"/>
  <c r="BG103" i="229"/>
  <c r="BG101" i="229"/>
  <c r="BG91" i="229"/>
  <c r="BG102" i="229"/>
  <c r="BH92" i="229"/>
  <c r="BH103" i="229"/>
  <c r="BH101" i="229"/>
  <c r="BH91" i="229"/>
  <c r="BH102" i="229"/>
  <c r="BI92" i="229"/>
  <c r="BI103" i="229"/>
  <c r="BI101" i="229"/>
  <c r="BI91" i="229"/>
  <c r="BI102" i="229"/>
  <c r="BJ92" i="229"/>
  <c r="BJ103" i="229"/>
  <c r="BJ101" i="229"/>
  <c r="BJ91" i="229"/>
  <c r="BJ102" i="229"/>
  <c r="BK92" i="229"/>
  <c r="BK103" i="229"/>
  <c r="BK101" i="229"/>
  <c r="BK91" i="229"/>
  <c r="BK102" i="229"/>
  <c r="BL92" i="229"/>
  <c r="BL103" i="229"/>
  <c r="BL101" i="229"/>
  <c r="BL91" i="229"/>
  <c r="BL102" i="229"/>
  <c r="BM92" i="229"/>
  <c r="BM103" i="229"/>
  <c r="BM101" i="229"/>
  <c r="BM91" i="229"/>
  <c r="BM102" i="229"/>
  <c r="BN92" i="229"/>
  <c r="BN103" i="229"/>
  <c r="BN101" i="229"/>
  <c r="BN91" i="229"/>
  <c r="BN102" i="229"/>
  <c r="BO92" i="229"/>
  <c r="BO103" i="229"/>
  <c r="BO101" i="229"/>
  <c r="BO91" i="229"/>
  <c r="BO102" i="229"/>
  <c r="BP92" i="229"/>
  <c r="BP103" i="229"/>
  <c r="BP101" i="229"/>
  <c r="BP91" i="229"/>
  <c r="BP102" i="229"/>
  <c r="BQ92" i="229"/>
  <c r="BQ103" i="229"/>
  <c r="BQ101" i="229"/>
  <c r="BQ91" i="229"/>
  <c r="BQ102" i="229"/>
  <c r="BR92" i="229"/>
  <c r="BR103" i="229"/>
  <c r="BR101" i="229"/>
  <c r="BR91" i="229"/>
  <c r="BR102" i="229"/>
  <c r="BS92" i="229"/>
  <c r="BS103" i="229"/>
  <c r="BS101" i="229"/>
  <c r="BS91" i="229"/>
  <c r="BS102" i="229"/>
  <c r="BT92" i="229"/>
  <c r="BT103" i="229"/>
  <c r="BT101" i="229"/>
  <c r="BT91" i="229"/>
  <c r="BT102" i="229"/>
  <c r="BU92" i="229"/>
  <c r="BU103" i="229"/>
  <c r="BU101" i="229"/>
  <c r="BU91" i="229"/>
  <c r="BU102" i="229"/>
  <c r="BV92" i="229"/>
  <c r="BV103" i="229"/>
  <c r="BV101" i="229"/>
  <c r="BV91" i="229"/>
  <c r="BV102" i="229"/>
  <c r="BW92" i="229"/>
  <c r="BW103" i="229"/>
  <c r="BW101" i="229"/>
  <c r="BW91" i="229"/>
  <c r="BW102" i="229"/>
  <c r="BX92" i="229"/>
  <c r="BX103" i="229"/>
  <c r="BX101" i="229"/>
  <c r="BX91" i="229"/>
  <c r="BX102" i="229"/>
  <c r="BY92" i="229"/>
  <c r="BY103" i="229"/>
  <c r="BY101" i="229"/>
  <c r="BY91" i="229"/>
  <c r="BY102" i="229"/>
  <c r="BZ92" i="229"/>
  <c r="BZ103" i="229"/>
  <c r="BZ101" i="229"/>
  <c r="BZ91" i="229"/>
  <c r="BZ102" i="229"/>
  <c r="CA92" i="229"/>
  <c r="CA103" i="229"/>
  <c r="CA101" i="229"/>
  <c r="CA91" i="229"/>
  <c r="CA102" i="229"/>
  <c r="CB92" i="229"/>
  <c r="CB103" i="229"/>
  <c r="CB101" i="229"/>
  <c r="CB91" i="229"/>
  <c r="CB102" i="229"/>
  <c r="CC92" i="229"/>
  <c r="CC103" i="229"/>
  <c r="CC101" i="229"/>
  <c r="CC91" i="229"/>
  <c r="CC102" i="229"/>
  <c r="CD92" i="229"/>
  <c r="CD103" i="229"/>
  <c r="CD101" i="229"/>
  <c r="CD91" i="229"/>
  <c r="CD102" i="229"/>
  <c r="CE92" i="229"/>
  <c r="CE103" i="229"/>
  <c r="CE101" i="229"/>
  <c r="CE91" i="229"/>
  <c r="CE102" i="229"/>
  <c r="CF92" i="229"/>
  <c r="CF103" i="229"/>
  <c r="CF101" i="229"/>
  <c r="CF91" i="229"/>
  <c r="CF102" i="229"/>
  <c r="CG92" i="229"/>
  <c r="CG103" i="229"/>
  <c r="CG101" i="229"/>
  <c r="CG91" i="229"/>
  <c r="CG102" i="229"/>
  <c r="CH92" i="229"/>
  <c r="CH103" i="229"/>
  <c r="CH101" i="229"/>
  <c r="CH91" i="229"/>
  <c r="CH102" i="229"/>
  <c r="CI92" i="229"/>
  <c r="CI103" i="229"/>
  <c r="CI101" i="229"/>
  <c r="CI91" i="229"/>
  <c r="CI102" i="229"/>
  <c r="CJ92" i="229"/>
  <c r="CJ103" i="229"/>
  <c r="CJ101" i="229"/>
  <c r="CJ91" i="229"/>
  <c r="CJ102" i="229"/>
  <c r="CK92" i="229"/>
  <c r="CK103" i="229"/>
  <c r="CK101" i="229"/>
  <c r="CK91" i="229"/>
  <c r="CK102" i="229"/>
  <c r="CL92" i="229"/>
  <c r="CL103" i="229"/>
  <c r="CL101" i="229"/>
  <c r="CL91" i="229"/>
  <c r="CL102" i="229"/>
  <c r="CM92" i="229"/>
  <c r="CM103" i="229"/>
  <c r="CM101" i="229"/>
  <c r="CM91" i="229"/>
  <c r="CM102" i="229"/>
  <c r="CN92" i="229"/>
  <c r="CN103" i="229"/>
  <c r="CN101" i="229"/>
  <c r="CN91" i="229"/>
  <c r="CN102" i="229"/>
  <c r="CO92" i="229"/>
  <c r="CO103" i="229"/>
  <c r="CO101" i="229"/>
  <c r="CO91" i="229"/>
  <c r="CO102" i="229"/>
  <c r="CP92" i="229"/>
  <c r="CP103" i="229"/>
  <c r="CP101" i="229"/>
  <c r="CP91" i="229"/>
  <c r="CP102" i="229"/>
  <c r="CQ92" i="229"/>
  <c r="CQ103" i="229"/>
  <c r="CQ101" i="229"/>
  <c r="CQ91" i="229"/>
  <c r="CQ102" i="229"/>
  <c r="CR92" i="229"/>
  <c r="CR103" i="229"/>
  <c r="CR101" i="229"/>
  <c r="CR91" i="229"/>
  <c r="CR102" i="229"/>
  <c r="CS92" i="229"/>
  <c r="CS103" i="229"/>
  <c r="CS101" i="229"/>
  <c r="CS91" i="229"/>
  <c r="CS102" i="229"/>
  <c r="CT92" i="229"/>
  <c r="CT103" i="229"/>
  <c r="CT101" i="229"/>
  <c r="CT91" i="229"/>
  <c r="CT102" i="229"/>
  <c r="CU92" i="229"/>
  <c r="CU103" i="229"/>
  <c r="CU101" i="229"/>
  <c r="CU91" i="229"/>
  <c r="CU102" i="229"/>
  <c r="CV92" i="229"/>
  <c r="CV103" i="229"/>
  <c r="CV101" i="229"/>
  <c r="CV91" i="229"/>
  <c r="CV102" i="229"/>
  <c r="CW92" i="229"/>
  <c r="CW103" i="229"/>
  <c r="CW101" i="229"/>
  <c r="CW91" i="229"/>
  <c r="CW102" i="229"/>
  <c r="CX92" i="229"/>
  <c r="CX103" i="229"/>
  <c r="CX101" i="229"/>
  <c r="CX91" i="229"/>
  <c r="CX102" i="229"/>
  <c r="CY92" i="229"/>
  <c r="CY103" i="229"/>
  <c r="CY101" i="229"/>
  <c r="CY91" i="229"/>
  <c r="CY102" i="229"/>
  <c r="CZ92" i="229"/>
  <c r="CZ103" i="229"/>
  <c r="CZ101" i="229"/>
  <c r="CZ91" i="229"/>
  <c r="CZ102" i="229"/>
  <c r="DA92" i="229"/>
  <c r="DA103" i="229"/>
  <c r="DA101" i="229"/>
  <c r="DA91" i="229"/>
  <c r="DA102" i="229"/>
  <c r="DB92" i="229"/>
  <c r="DB103" i="229"/>
  <c r="DB101" i="229"/>
  <c r="DB91" i="229"/>
  <c r="DB102" i="229"/>
  <c r="DC92" i="229"/>
  <c r="DC103" i="229"/>
  <c r="DC101" i="229"/>
  <c r="DC91" i="229"/>
  <c r="DC102" i="229"/>
  <c r="DD92" i="229"/>
  <c r="DD103" i="229"/>
  <c r="DD101" i="229"/>
  <c r="DD91" i="229"/>
  <c r="DD102" i="229"/>
  <c r="DE92" i="229"/>
  <c r="DE103" i="229"/>
  <c r="DE101" i="229"/>
  <c r="DE91" i="229"/>
  <c r="DE102" i="229"/>
  <c r="DF92" i="229"/>
  <c r="DF103" i="229"/>
  <c r="DF101" i="229"/>
  <c r="DF91" i="229"/>
  <c r="DF102" i="229"/>
  <c r="DG92" i="229"/>
  <c r="DG103" i="229"/>
  <c r="DG101" i="229"/>
  <c r="DG91" i="229"/>
  <c r="DG102" i="229"/>
  <c r="DH92" i="229"/>
  <c r="DH103" i="229"/>
  <c r="DH101" i="229"/>
  <c r="DH91" i="229"/>
  <c r="DH102" i="229"/>
  <c r="DI92" i="229"/>
  <c r="DI103" i="229"/>
  <c r="DI101" i="229"/>
  <c r="DI91" i="229"/>
  <c r="DI102" i="229"/>
  <c r="DJ92" i="229"/>
  <c r="DJ103" i="229"/>
  <c r="DJ101" i="229"/>
  <c r="DJ91" i="229"/>
  <c r="DJ102" i="229"/>
  <c r="DK92" i="229"/>
  <c r="DK103" i="229"/>
  <c r="DK101" i="229"/>
  <c r="DK91" i="229"/>
  <c r="DK102" i="229"/>
  <c r="DL92" i="229"/>
  <c r="DL103" i="229"/>
  <c r="DL101" i="229"/>
  <c r="DL91" i="229"/>
  <c r="DL102" i="229"/>
  <c r="DM92" i="229"/>
  <c r="DM103" i="229"/>
  <c r="DM101" i="229"/>
  <c r="DM91" i="229"/>
  <c r="DM102" i="229"/>
  <c r="DN92" i="229"/>
  <c r="DN103" i="229"/>
  <c r="DN101" i="229"/>
  <c r="DN91" i="229"/>
  <c r="DN102" i="229"/>
  <c r="DO92" i="229"/>
  <c r="DO103" i="229"/>
  <c r="DO101" i="229"/>
  <c r="DO91" i="229"/>
  <c r="DO102" i="229"/>
  <c r="DP92" i="229"/>
  <c r="DP103" i="229"/>
  <c r="DP101" i="229"/>
  <c r="DP91" i="229"/>
  <c r="DP102" i="229"/>
  <c r="DQ92" i="229"/>
  <c r="DQ103" i="229"/>
  <c r="DQ101" i="229"/>
  <c r="DQ91" i="229"/>
  <c r="DQ102" i="229"/>
  <c r="DR92" i="229"/>
  <c r="DR103" i="229"/>
  <c r="DR101" i="229"/>
  <c r="DR91" i="229"/>
  <c r="DR102" i="229"/>
  <c r="DS92" i="229"/>
  <c r="DS103" i="229"/>
  <c r="DS101" i="229"/>
  <c r="DS91" i="229"/>
  <c r="DS102" i="229"/>
  <c r="DT92" i="229"/>
  <c r="DT103" i="229"/>
  <c r="DT101" i="229"/>
  <c r="DT91" i="229"/>
  <c r="DT102" i="229"/>
  <c r="DU92" i="229"/>
  <c r="DU103" i="229"/>
  <c r="DU101" i="229"/>
  <c r="DU91" i="229"/>
  <c r="DU102" i="229"/>
  <c r="DV92" i="229"/>
  <c r="DV103" i="229"/>
  <c r="DV101" i="229"/>
  <c r="DV91" i="229"/>
  <c r="DV102" i="229"/>
  <c r="DW92" i="229"/>
  <c r="DW103" i="229"/>
  <c r="DW101" i="229"/>
  <c r="DW91" i="229"/>
  <c r="DW102" i="229"/>
  <c r="DX92" i="229"/>
  <c r="DX103" i="229"/>
  <c r="DX101" i="229"/>
  <c r="DX91" i="229"/>
  <c r="DX102" i="229"/>
  <c r="DY92" i="229"/>
  <c r="DY103" i="229"/>
  <c r="DY101" i="229"/>
  <c r="DY91" i="229"/>
  <c r="DY102" i="229"/>
  <c r="DZ92" i="229"/>
  <c r="DZ103" i="229"/>
  <c r="DZ101" i="229"/>
  <c r="DZ91" i="229"/>
  <c r="DZ102" i="229"/>
  <c r="EA92" i="229"/>
  <c r="EA103" i="229"/>
  <c r="EA101" i="229"/>
  <c r="EA91" i="229"/>
  <c r="EA102" i="229"/>
  <c r="EB92" i="229"/>
  <c r="EB103" i="229"/>
  <c r="EB101" i="229"/>
  <c r="EB91" i="229"/>
  <c r="EB102" i="229"/>
  <c r="EC92" i="229"/>
  <c r="EC103" i="229"/>
  <c r="EC101" i="229"/>
  <c r="EC91" i="229"/>
  <c r="EC102" i="229"/>
  <c r="ED92" i="229"/>
  <c r="ED103" i="229"/>
  <c r="ED101" i="229"/>
  <c r="ED91" i="229"/>
  <c r="ED102" i="229"/>
  <c r="EE92" i="229"/>
  <c r="EE103" i="229"/>
  <c r="EE101" i="229"/>
  <c r="EE91" i="229"/>
  <c r="EE102" i="229"/>
  <c r="EF92" i="229"/>
  <c r="EF103" i="229"/>
  <c r="EF101" i="229"/>
  <c r="EF91" i="229"/>
  <c r="EF102" i="229"/>
  <c r="EG92" i="229"/>
  <c r="EG103" i="229"/>
  <c r="EG101" i="229"/>
  <c r="EG91" i="229"/>
  <c r="EG102" i="229"/>
  <c r="EH92" i="229"/>
  <c r="EH103" i="229"/>
  <c r="EH101" i="229"/>
  <c r="EH91" i="229"/>
  <c r="EH102" i="229"/>
  <c r="EI92" i="229"/>
  <c r="EI103" i="229"/>
  <c r="EI101" i="229"/>
  <c r="EI91" i="229"/>
  <c r="EI102" i="229"/>
  <c r="EJ92" i="229"/>
  <c r="EJ103" i="229"/>
  <c r="EJ101" i="229"/>
  <c r="EJ91" i="229"/>
  <c r="EJ102" i="229"/>
  <c r="EK92" i="229"/>
  <c r="EK103" i="229"/>
  <c r="EK101" i="229"/>
  <c r="EK91" i="229"/>
  <c r="EK102" i="229"/>
  <c r="EL92" i="229"/>
  <c r="EL103" i="229"/>
  <c r="EL101" i="229"/>
  <c r="EL91" i="229"/>
  <c r="EL102" i="229"/>
  <c r="EM92" i="229"/>
  <c r="EM103" i="229"/>
  <c r="EM101" i="229"/>
  <c r="EM91" i="229"/>
  <c r="EM102" i="229"/>
  <c r="EN92" i="229"/>
  <c r="EN103" i="229"/>
  <c r="EN101" i="229"/>
  <c r="EN36" i="229"/>
  <c r="EN47" i="229"/>
  <c r="EN58" i="229"/>
  <c r="EN69" i="229"/>
  <c r="EN80" i="229"/>
  <c r="EN91" i="229"/>
  <c r="EN102" i="229"/>
  <c r="H113" i="229"/>
  <c r="E19" i="228"/>
  <c r="I12" i="229"/>
  <c r="H112" i="229"/>
  <c r="I113" i="229"/>
  <c r="I112" i="229"/>
  <c r="J113" i="229"/>
  <c r="J112" i="229"/>
  <c r="K113" i="229"/>
  <c r="K112" i="229"/>
  <c r="H124" i="229"/>
  <c r="E20" i="228"/>
  <c r="I13" i="229"/>
  <c r="H125" i="229"/>
  <c r="H123" i="229"/>
  <c r="I124" i="229"/>
  <c r="I125" i="229"/>
  <c r="I123" i="229"/>
  <c r="J124" i="229"/>
  <c r="J125" i="229"/>
  <c r="J123" i="229"/>
  <c r="K124" i="229"/>
  <c r="K125" i="229"/>
  <c r="K123" i="229"/>
  <c r="H135" i="229"/>
  <c r="E21" i="228"/>
  <c r="I14" i="229"/>
  <c r="H134" i="229"/>
  <c r="I135" i="229"/>
  <c r="I134" i="229"/>
  <c r="J135" i="229"/>
  <c r="J134" i="229"/>
  <c r="K135" i="229"/>
  <c r="K134" i="229"/>
  <c r="H146" i="229"/>
  <c r="E22" i="228"/>
  <c r="I15" i="229"/>
  <c r="H145" i="229"/>
  <c r="I146" i="229"/>
  <c r="I145" i="229"/>
  <c r="J146" i="229"/>
  <c r="J145" i="229"/>
  <c r="K146" i="229"/>
  <c r="K145" i="229"/>
  <c r="H157" i="229"/>
  <c r="E23" i="228"/>
  <c r="I16" i="229"/>
  <c r="H156" i="229"/>
  <c r="I157" i="229"/>
  <c r="I156" i="229"/>
  <c r="J157" i="229"/>
  <c r="J156" i="229"/>
  <c r="K157" i="229"/>
  <c r="K156" i="229"/>
  <c r="H168" i="229"/>
  <c r="E24" i="228"/>
  <c r="I17" i="229"/>
  <c r="H169" i="229"/>
  <c r="H167" i="229"/>
  <c r="I168" i="229"/>
  <c r="I169" i="229"/>
  <c r="I167" i="229"/>
  <c r="J168" i="229"/>
  <c r="J169" i="229"/>
  <c r="J167" i="229"/>
  <c r="K168" i="229"/>
  <c r="K169" i="229"/>
  <c r="K167" i="229"/>
  <c r="H179" i="229"/>
  <c r="E25" i="228"/>
  <c r="I18" i="229"/>
  <c r="H178" i="229"/>
  <c r="I179" i="229"/>
  <c r="I178" i="229"/>
  <c r="J179" i="229"/>
  <c r="J178" i="229"/>
  <c r="K179" i="229"/>
  <c r="K178" i="229"/>
  <c r="H90" i="229"/>
  <c r="I10" i="229"/>
  <c r="I90" i="229"/>
  <c r="J90" i="229"/>
  <c r="K90" i="229"/>
  <c r="D19" i="224"/>
  <c r="D33" i="224"/>
  <c r="D33" i="259"/>
  <c r="D34" i="259" s="1"/>
  <c r="G4" i="228"/>
  <c r="G29" i="228"/>
  <c r="G52" i="228"/>
  <c r="H4" i="228"/>
  <c r="H29" i="228"/>
  <c r="I4" i="228"/>
  <c r="I29" i="228"/>
  <c r="J4" i="228"/>
  <c r="J29" i="228"/>
  <c r="K4" i="228"/>
  <c r="K29" i="228"/>
  <c r="L4" i="228"/>
  <c r="L29" i="228"/>
  <c r="M4" i="228"/>
  <c r="M29" i="228"/>
  <c r="N4" i="228"/>
  <c r="N29" i="228"/>
  <c r="O4" i="228"/>
  <c r="O29" i="228"/>
  <c r="P4" i="228"/>
  <c r="P29" i="228"/>
  <c r="Q4" i="228"/>
  <c r="Q29" i="228"/>
  <c r="R4" i="228"/>
  <c r="R29" i="228"/>
  <c r="S4" i="228"/>
  <c r="S29" i="228"/>
  <c r="T4" i="228"/>
  <c r="T29" i="228"/>
  <c r="U4" i="228"/>
  <c r="U29" i="228"/>
  <c r="V4" i="228"/>
  <c r="V29" i="228"/>
  <c r="W4" i="228"/>
  <c r="W29" i="228"/>
  <c r="X4" i="228"/>
  <c r="X29" i="228"/>
  <c r="Y4" i="228"/>
  <c r="Y29" i="228"/>
  <c r="Z4" i="228"/>
  <c r="Z29" i="228"/>
  <c r="AA4" i="228"/>
  <c r="AA29" i="228"/>
  <c r="AB4" i="228"/>
  <c r="AB29" i="228"/>
  <c r="AC4" i="228"/>
  <c r="AC29" i="228"/>
  <c r="AD4" i="228"/>
  <c r="AD29" i="228"/>
  <c r="AE4" i="228"/>
  <c r="AE29" i="228"/>
  <c r="E19" i="198"/>
  <c r="E20" i="198"/>
  <c r="F19" i="198"/>
  <c r="F20" i="198"/>
  <c r="G19" i="198"/>
  <c r="F23" i="198"/>
  <c r="F22" i="198"/>
  <c r="G22" i="198"/>
  <c r="G21" i="223"/>
  <c r="F21" i="223"/>
  <c r="E21" i="223"/>
  <c r="E25" i="223"/>
  <c r="F25" i="223" s="1"/>
  <c r="G25" i="223" s="1"/>
  <c r="G26" i="198" s="1"/>
  <c r="G20" i="198"/>
  <c r="G21" i="198"/>
  <c r="H19" i="198"/>
  <c r="H22" i="198"/>
  <c r="H21" i="223"/>
  <c r="H20" i="198"/>
  <c r="H21" i="198"/>
  <c r="E18" i="198"/>
  <c r="DN18" i="198"/>
  <c r="E25" i="198"/>
  <c r="E21" i="198"/>
  <c r="F18" i="198"/>
  <c r="F25" i="198"/>
  <c r="F21" i="198"/>
  <c r="G18" i="198"/>
  <c r="H18" i="198"/>
  <c r="I19" i="198"/>
  <c r="I18" i="198"/>
  <c r="I20" i="198"/>
  <c r="J19" i="198"/>
  <c r="J18" i="198"/>
  <c r="J20" i="198"/>
  <c r="K19" i="198"/>
  <c r="K18" i="198"/>
  <c r="K20" i="198"/>
  <c r="L19" i="198"/>
  <c r="L18" i="198"/>
  <c r="L20" i="198"/>
  <c r="M19" i="198"/>
  <c r="M18" i="198"/>
  <c r="M20" i="198"/>
  <c r="N19" i="198"/>
  <c r="N18" i="198"/>
  <c r="N20" i="198"/>
  <c r="O19" i="198"/>
  <c r="O18" i="198"/>
  <c r="O20" i="198"/>
  <c r="P19" i="198"/>
  <c r="P18" i="198"/>
  <c r="P20" i="198"/>
  <c r="Q19" i="198"/>
  <c r="Q18" i="198"/>
  <c r="Q20" i="198"/>
  <c r="R19" i="198"/>
  <c r="R18" i="198"/>
  <c r="R20" i="198"/>
  <c r="S19" i="198"/>
  <c r="S18" i="198"/>
  <c r="S20" i="198"/>
  <c r="T19" i="198"/>
  <c r="T18" i="198"/>
  <c r="T20" i="198"/>
  <c r="U19" i="198"/>
  <c r="U18" i="198"/>
  <c r="U20" i="198"/>
  <c r="V19" i="198"/>
  <c r="V18" i="198"/>
  <c r="V20" i="198"/>
  <c r="W19" i="198"/>
  <c r="W18" i="198"/>
  <c r="W20" i="198"/>
  <c r="X19" i="198"/>
  <c r="X18" i="198"/>
  <c r="X20" i="198"/>
  <c r="Y19" i="198"/>
  <c r="Y18" i="198"/>
  <c r="Y20" i="198"/>
  <c r="Z19" i="198"/>
  <c r="Z18" i="198"/>
  <c r="Z20" i="198"/>
  <c r="AA19" i="198"/>
  <c r="AA18" i="198"/>
  <c r="AA20" i="198"/>
  <c r="AB19" i="198"/>
  <c r="AB18" i="198"/>
  <c r="AB20" i="198"/>
  <c r="AC19" i="198"/>
  <c r="AC18" i="198"/>
  <c r="AC20" i="198"/>
  <c r="AD19" i="198"/>
  <c r="AD18" i="198"/>
  <c r="AD20" i="198"/>
  <c r="AE19" i="198"/>
  <c r="AE18" i="198"/>
  <c r="AE20" i="198"/>
  <c r="AF19" i="198"/>
  <c r="AF18" i="198"/>
  <c r="AF20" i="198"/>
  <c r="AG19" i="198"/>
  <c r="AG18" i="198"/>
  <c r="AG20" i="198"/>
  <c r="AH19" i="198"/>
  <c r="AH18" i="198"/>
  <c r="AH20" i="198"/>
  <c r="AI19" i="198"/>
  <c r="AI18" i="198"/>
  <c r="AI20" i="198"/>
  <c r="AJ19" i="198"/>
  <c r="AJ18" i="198"/>
  <c r="AJ20" i="198"/>
  <c r="AK19" i="198"/>
  <c r="AK18" i="198"/>
  <c r="AK20" i="198"/>
  <c r="AL19" i="198"/>
  <c r="AL18" i="198"/>
  <c r="AL20" i="198"/>
  <c r="AM19" i="198"/>
  <c r="AM18" i="198"/>
  <c r="AM20" i="198"/>
  <c r="AN19" i="198"/>
  <c r="AN18" i="198"/>
  <c r="AN20" i="198"/>
  <c r="AO19" i="198"/>
  <c r="AO18" i="198"/>
  <c r="AO20" i="198"/>
  <c r="AP19" i="198"/>
  <c r="AP18" i="198"/>
  <c r="AP20" i="198"/>
  <c r="AQ19" i="198"/>
  <c r="AQ18" i="198"/>
  <c r="AQ20" i="198"/>
  <c r="AR19" i="198"/>
  <c r="AR18" i="198"/>
  <c r="AR20" i="198"/>
  <c r="AS19" i="198"/>
  <c r="AS18" i="198"/>
  <c r="AS20" i="198"/>
  <c r="AT19" i="198"/>
  <c r="AT18" i="198"/>
  <c r="AT20" i="198"/>
  <c r="AU19" i="198"/>
  <c r="AU18" i="198"/>
  <c r="AU20" i="198"/>
  <c r="AV19" i="198"/>
  <c r="AV18" i="198"/>
  <c r="AV20" i="198"/>
  <c r="AW19" i="198"/>
  <c r="AW18" i="198"/>
  <c r="AW20" i="198"/>
  <c r="AX19" i="198"/>
  <c r="AX18" i="198"/>
  <c r="AX20" i="198"/>
  <c r="AY19" i="198"/>
  <c r="AY18" i="198"/>
  <c r="AY20" i="198"/>
  <c r="AZ19" i="198"/>
  <c r="AZ18" i="198"/>
  <c r="AZ20" i="198"/>
  <c r="BA19" i="198"/>
  <c r="BA18" i="198"/>
  <c r="BA20" i="198"/>
  <c r="BB19" i="198"/>
  <c r="BB18" i="198"/>
  <c r="BB20" i="198"/>
  <c r="BC19" i="198"/>
  <c r="BC18" i="198"/>
  <c r="BC20" i="198"/>
  <c r="BD19" i="198"/>
  <c r="BD18" i="198"/>
  <c r="BD20" i="198"/>
  <c r="BE19" i="198"/>
  <c r="BE18" i="198"/>
  <c r="BE20" i="198"/>
  <c r="BF19" i="198"/>
  <c r="BF18" i="198"/>
  <c r="BF20" i="198"/>
  <c r="BG19" i="198"/>
  <c r="BG18" i="198"/>
  <c r="BG20" i="198"/>
  <c r="BH19" i="198"/>
  <c r="BH18" i="198"/>
  <c r="BH20" i="198"/>
  <c r="BI19" i="198"/>
  <c r="BI18" i="198"/>
  <c r="BI20" i="198"/>
  <c r="BJ19" i="198"/>
  <c r="BJ18" i="198"/>
  <c r="BJ20" i="198"/>
  <c r="BK19" i="198"/>
  <c r="BK18" i="198"/>
  <c r="BK20" i="198"/>
  <c r="BL19" i="198"/>
  <c r="BL18" i="198"/>
  <c r="BL20" i="198"/>
  <c r="BM19" i="198"/>
  <c r="BM18" i="198"/>
  <c r="BM20" i="198"/>
  <c r="BN19" i="198"/>
  <c r="BN18" i="198"/>
  <c r="BN20" i="198"/>
  <c r="BO19" i="198"/>
  <c r="BO18" i="198"/>
  <c r="BO20" i="198"/>
  <c r="BP19" i="198"/>
  <c r="BP18" i="198"/>
  <c r="BP20" i="198"/>
  <c r="BQ19" i="198"/>
  <c r="BQ18" i="198"/>
  <c r="BQ20" i="198"/>
  <c r="BR19" i="198"/>
  <c r="BR18" i="198"/>
  <c r="BR20" i="198"/>
  <c r="BS19" i="198"/>
  <c r="BS18" i="198"/>
  <c r="BS20" i="198"/>
  <c r="BT19" i="198"/>
  <c r="BT18" i="198"/>
  <c r="BT20" i="198"/>
  <c r="BU19" i="198"/>
  <c r="BU18" i="198"/>
  <c r="BU20" i="198"/>
  <c r="BV19" i="198"/>
  <c r="BV18" i="198"/>
  <c r="BV20" i="198"/>
  <c r="BW19" i="198"/>
  <c r="BW18" i="198"/>
  <c r="BW20" i="198"/>
  <c r="BX19" i="198"/>
  <c r="BX18" i="198"/>
  <c r="BX20" i="198"/>
  <c r="BY19" i="198"/>
  <c r="BY18" i="198"/>
  <c r="BY20" i="198"/>
  <c r="BZ19" i="198"/>
  <c r="BZ18" i="198"/>
  <c r="BZ20" i="198"/>
  <c r="CA19" i="198"/>
  <c r="CA18" i="198"/>
  <c r="CA20" i="198"/>
  <c r="CB19" i="198"/>
  <c r="CB18" i="198"/>
  <c r="CB20" i="198"/>
  <c r="CC19" i="198"/>
  <c r="CC18" i="198"/>
  <c r="CC20" i="198"/>
  <c r="CD19" i="198"/>
  <c r="CD18" i="198"/>
  <c r="CD20" i="198"/>
  <c r="CE19" i="198"/>
  <c r="CE18" i="198"/>
  <c r="CE20" i="198"/>
  <c r="CF19" i="198"/>
  <c r="CF18" i="198"/>
  <c r="CF20" i="198"/>
  <c r="CG19" i="198"/>
  <c r="CG18" i="198"/>
  <c r="CG20" i="198"/>
  <c r="CH19" i="198"/>
  <c r="CH18" i="198"/>
  <c r="CH20" i="198"/>
  <c r="CI19" i="198"/>
  <c r="CI18" i="198"/>
  <c r="CI20" i="198"/>
  <c r="CJ19" i="198"/>
  <c r="CJ18" i="198"/>
  <c r="CJ20" i="198"/>
  <c r="CK19" i="198"/>
  <c r="CK18" i="198"/>
  <c r="CK20" i="198"/>
  <c r="CL19" i="198"/>
  <c r="CL18" i="198"/>
  <c r="CL20" i="198"/>
  <c r="CM19" i="198"/>
  <c r="CM18" i="198"/>
  <c r="CM20" i="198"/>
  <c r="CN19" i="198"/>
  <c r="CN18" i="198"/>
  <c r="CN20" i="198"/>
  <c r="CO19" i="198"/>
  <c r="CO18" i="198"/>
  <c r="CO20" i="198"/>
  <c r="CP19" i="198"/>
  <c r="CP18" i="198"/>
  <c r="CP20" i="198"/>
  <c r="CQ19" i="198"/>
  <c r="CQ18" i="198"/>
  <c r="CQ20" i="198"/>
  <c r="CR19" i="198"/>
  <c r="CR18" i="198"/>
  <c r="CR20" i="198"/>
  <c r="CS19" i="198"/>
  <c r="CS18" i="198"/>
  <c r="CS20" i="198"/>
  <c r="CT19" i="198"/>
  <c r="CT18" i="198"/>
  <c r="CT20" i="198"/>
  <c r="CU19" i="198"/>
  <c r="CU18" i="198"/>
  <c r="CU20" i="198"/>
  <c r="CV19" i="198"/>
  <c r="CV18" i="198"/>
  <c r="CV20" i="198"/>
  <c r="CW19" i="198"/>
  <c r="CW18" i="198"/>
  <c r="CW20" i="198"/>
  <c r="CX19" i="198"/>
  <c r="CX18" i="198"/>
  <c r="CX20" i="198"/>
  <c r="CY19" i="198"/>
  <c r="CY18" i="198"/>
  <c r="CY20" i="198"/>
  <c r="CZ19" i="198"/>
  <c r="CZ18" i="198"/>
  <c r="CZ20" i="198"/>
  <c r="DA19" i="198"/>
  <c r="DA18" i="198"/>
  <c r="DA20" i="198"/>
  <c r="DB19" i="198"/>
  <c r="DB18" i="198"/>
  <c r="DB20" i="198"/>
  <c r="DC19" i="198"/>
  <c r="DC18" i="198"/>
  <c r="DC20" i="198"/>
  <c r="DD19" i="198"/>
  <c r="DD18" i="198"/>
  <c r="DD20" i="198"/>
  <c r="DE19" i="198"/>
  <c r="DE18" i="198"/>
  <c r="DE20" i="198"/>
  <c r="DF19" i="198"/>
  <c r="DF18" i="198"/>
  <c r="DF20" i="198"/>
  <c r="DG19" i="198"/>
  <c r="DG18" i="198"/>
  <c r="DG20" i="198"/>
  <c r="DH19" i="198"/>
  <c r="DH18" i="198"/>
  <c r="DH20" i="198"/>
  <c r="DI19" i="198"/>
  <c r="DI18" i="198"/>
  <c r="DI20" i="198"/>
  <c r="DJ19" i="198"/>
  <c r="DJ18" i="198"/>
  <c r="DJ20" i="198"/>
  <c r="DK19" i="198"/>
  <c r="DK18" i="198"/>
  <c r="I21" i="223"/>
  <c r="I22" i="198"/>
  <c r="I21" i="198"/>
  <c r="J21" i="223"/>
  <c r="J22" i="198"/>
  <c r="J21" i="198"/>
  <c r="K21" i="223"/>
  <c r="K22" i="198"/>
  <c r="K21" i="198"/>
  <c r="L21" i="223"/>
  <c r="L22" i="198"/>
  <c r="L21" i="198"/>
  <c r="M21" i="223"/>
  <c r="M22" i="198"/>
  <c r="M21" i="198"/>
  <c r="N21" i="223"/>
  <c r="N22" i="198"/>
  <c r="N21" i="198"/>
  <c r="O21" i="223"/>
  <c r="O22" i="198"/>
  <c r="O21" i="198"/>
  <c r="P21" i="223"/>
  <c r="P22" i="198"/>
  <c r="P21" i="198"/>
  <c r="Q21" i="223"/>
  <c r="Q22" i="198"/>
  <c r="Q21" i="198"/>
  <c r="R21" i="223"/>
  <c r="R22" i="198"/>
  <c r="R21" i="198"/>
  <c r="S21" i="223"/>
  <c r="S22" i="198"/>
  <c r="S21" i="198"/>
  <c r="T21" i="223"/>
  <c r="T22" i="198"/>
  <c r="T21" i="198"/>
  <c r="U21" i="223"/>
  <c r="U22" i="198"/>
  <c r="U21" i="198"/>
  <c r="V21" i="223"/>
  <c r="V22" i="198"/>
  <c r="V21" i="198"/>
  <c r="W21" i="223"/>
  <c r="W22" i="198"/>
  <c r="W21" i="198"/>
  <c r="X21" i="223"/>
  <c r="X22" i="198"/>
  <c r="X21" i="198"/>
  <c r="Y21" i="223"/>
  <c r="Y22" i="198"/>
  <c r="Y21" i="198"/>
  <c r="Z21" i="223"/>
  <c r="Z22" i="198"/>
  <c r="Z21" i="198"/>
  <c r="AA21" i="223"/>
  <c r="AA22" i="198"/>
  <c r="AA21" i="198"/>
  <c r="AB21" i="223"/>
  <c r="AB22" i="198"/>
  <c r="AB21" i="198"/>
  <c r="AC21" i="223"/>
  <c r="AC22" i="198"/>
  <c r="AC21" i="198"/>
  <c r="AD21" i="223"/>
  <c r="AD22" i="198"/>
  <c r="AD21" i="198"/>
  <c r="AE21" i="223"/>
  <c r="AE22" i="198"/>
  <c r="AE21" i="198"/>
  <c r="AF21" i="223"/>
  <c r="AF22" i="198"/>
  <c r="AF21" i="198"/>
  <c r="AG21" i="223"/>
  <c r="AG22" i="198"/>
  <c r="AG21" i="198"/>
  <c r="AH21" i="223"/>
  <c r="AH22" i="198"/>
  <c r="AH21" i="198"/>
  <c r="AI21" i="223"/>
  <c r="AI22" i="198"/>
  <c r="AI21" i="198"/>
  <c r="AJ21" i="223"/>
  <c r="AJ22" i="198"/>
  <c r="AJ21" i="198"/>
  <c r="AK21" i="223"/>
  <c r="AK22" i="198"/>
  <c r="AK21" i="198"/>
  <c r="AL21" i="223"/>
  <c r="AL22" i="198"/>
  <c r="AL21" i="198"/>
  <c r="AM21" i="223"/>
  <c r="AM22" i="198"/>
  <c r="AM21" i="198"/>
  <c r="AN21" i="223"/>
  <c r="AN22" i="198"/>
  <c r="AN21" i="198"/>
  <c r="AO21" i="223"/>
  <c r="AO22" i="198"/>
  <c r="AO21" i="198"/>
  <c r="AP21" i="223"/>
  <c r="AP22" i="198"/>
  <c r="AP21" i="198"/>
  <c r="AQ21" i="223"/>
  <c r="AQ22" i="198"/>
  <c r="AQ21" i="198"/>
  <c r="AR21" i="223"/>
  <c r="AR22" i="198"/>
  <c r="AR21" i="198"/>
  <c r="AS21" i="223"/>
  <c r="AS22" i="198"/>
  <c r="AS21" i="198"/>
  <c r="AT21" i="223"/>
  <c r="AT22" i="198"/>
  <c r="AT21" i="198"/>
  <c r="AU21" i="223"/>
  <c r="AU22" i="198"/>
  <c r="AU21" i="198"/>
  <c r="AV21" i="223"/>
  <c r="AV22" i="198"/>
  <c r="AV21" i="198"/>
  <c r="AW21" i="223"/>
  <c r="AW22" i="198"/>
  <c r="AW21" i="198"/>
  <c r="AX21" i="223"/>
  <c r="AX22" i="198"/>
  <c r="AX21" i="198"/>
  <c r="AY21" i="223"/>
  <c r="AY22" i="198"/>
  <c r="AY21" i="198"/>
  <c r="AZ21" i="223"/>
  <c r="AZ22" i="198"/>
  <c r="AZ21" i="198"/>
  <c r="BA21" i="223"/>
  <c r="BA22" i="198"/>
  <c r="BA21" i="198"/>
  <c r="BB16" i="223"/>
  <c r="BB12" i="223"/>
  <c r="BB21" i="223"/>
  <c r="BB22" i="198"/>
  <c r="BB21" i="198"/>
  <c r="BC16" i="223"/>
  <c r="BC12" i="223"/>
  <c r="BC21" i="223"/>
  <c r="BC22" i="198"/>
  <c r="BC21" i="198"/>
  <c r="BD16" i="223"/>
  <c r="BD12" i="223"/>
  <c r="BD21" i="223"/>
  <c r="BD22" i="198"/>
  <c r="BD21" i="198"/>
  <c r="BE16" i="223"/>
  <c r="BE12" i="223"/>
  <c r="BE21" i="223"/>
  <c r="BE22" i="198"/>
  <c r="BE21" i="198"/>
  <c r="BF16" i="223"/>
  <c r="BF12" i="223"/>
  <c r="BF21" i="223"/>
  <c r="BF22" i="198"/>
  <c r="BF21" i="198"/>
  <c r="BG16" i="223"/>
  <c r="BG12" i="223"/>
  <c r="BG21" i="223"/>
  <c r="BG22" i="198"/>
  <c r="BG21" i="198"/>
  <c r="BH16" i="223"/>
  <c r="BH12" i="223"/>
  <c r="BH21" i="223"/>
  <c r="BH22" i="198"/>
  <c r="BH21" i="198"/>
  <c r="BI16" i="223"/>
  <c r="BI12" i="223"/>
  <c r="BI21" i="223"/>
  <c r="BI22" i="198"/>
  <c r="BI21" i="198"/>
  <c r="BJ16" i="223"/>
  <c r="BJ12" i="223"/>
  <c r="BJ21" i="223"/>
  <c r="BJ22" i="198"/>
  <c r="BJ21" i="198"/>
  <c r="BK16" i="223"/>
  <c r="BK12" i="223"/>
  <c r="BK21" i="223"/>
  <c r="BK22" i="198"/>
  <c r="BK21" i="198"/>
  <c r="BL12" i="223"/>
  <c r="BL21" i="223"/>
  <c r="BL22" i="198"/>
  <c r="BL21" i="198"/>
  <c r="BM22" i="198"/>
  <c r="BM21" i="198"/>
  <c r="BN22" i="198"/>
  <c r="BN21" i="198"/>
  <c r="BO22" i="198"/>
  <c r="BO21" i="198"/>
  <c r="BP22" i="198"/>
  <c r="BP21" i="198"/>
  <c r="BQ22" i="198"/>
  <c r="BQ21" i="198"/>
  <c r="BR22" i="198"/>
  <c r="BR21" i="198"/>
  <c r="BS22" i="198"/>
  <c r="BS21" i="198"/>
  <c r="BT22" i="198"/>
  <c r="BT21" i="198"/>
  <c r="BU22" i="198"/>
  <c r="BU21" i="198"/>
  <c r="BV22" i="198"/>
  <c r="BV21" i="198"/>
  <c r="BW22" i="198"/>
  <c r="BW21" i="198"/>
  <c r="BX22" i="198"/>
  <c r="BX21" i="198"/>
  <c r="BY22" i="198"/>
  <c r="BY21" i="198"/>
  <c r="BZ22" i="198"/>
  <c r="BZ21" i="198"/>
  <c r="CA22" i="198"/>
  <c r="CA21" i="198"/>
  <c r="CB22" i="198"/>
  <c r="CB21" i="198"/>
  <c r="CC22" i="198"/>
  <c r="CC21" i="198"/>
  <c r="CD22" i="198"/>
  <c r="CD21" i="198"/>
  <c r="CE22" i="198"/>
  <c r="CE21" i="198"/>
  <c r="CF22" i="198"/>
  <c r="CF21" i="198"/>
  <c r="CG22" i="198"/>
  <c r="CG21" i="198"/>
  <c r="CH22" i="198"/>
  <c r="CH21" i="198"/>
  <c r="CI22" i="198"/>
  <c r="CI21" i="198"/>
  <c r="CJ22" i="198"/>
  <c r="CJ21" i="198"/>
  <c r="CK22" i="198"/>
  <c r="CK21" i="198"/>
  <c r="CL22" i="198"/>
  <c r="CL21" i="198"/>
  <c r="CM22" i="198"/>
  <c r="CM21" i="198"/>
  <c r="CN22" i="198"/>
  <c r="CN21" i="198"/>
  <c r="CO22" i="198"/>
  <c r="CO21" i="198"/>
  <c r="CP22" i="198"/>
  <c r="CP21" i="198"/>
  <c r="CQ22" i="198"/>
  <c r="CQ21" i="198"/>
  <c r="CR22" i="198"/>
  <c r="CR21" i="198"/>
  <c r="CS22" i="198"/>
  <c r="CS21" i="198"/>
  <c r="CT22" i="198"/>
  <c r="CT21" i="198"/>
  <c r="CU22" i="198"/>
  <c r="CU21" i="198"/>
  <c r="CV22" i="198"/>
  <c r="CV21" i="198"/>
  <c r="CW22" i="198"/>
  <c r="CW21" i="198"/>
  <c r="CX22" i="198"/>
  <c r="CX21" i="198"/>
  <c r="CY22" i="198"/>
  <c r="CY21" i="198"/>
  <c r="CZ22" i="198"/>
  <c r="CZ21" i="198"/>
  <c r="DA22" i="198"/>
  <c r="DA21" i="198"/>
  <c r="DB22" i="198"/>
  <c r="DB21" i="198"/>
  <c r="DC22" i="198"/>
  <c r="DC21" i="198"/>
  <c r="DD22" i="198"/>
  <c r="DD21" i="198"/>
  <c r="DE22" i="198"/>
  <c r="DE21" i="198"/>
  <c r="DF22" i="198"/>
  <c r="DF21" i="198"/>
  <c r="DG22" i="198"/>
  <c r="DG21" i="198"/>
  <c r="DH22" i="198"/>
  <c r="DH21" i="198"/>
  <c r="DI22" i="198"/>
  <c r="DI21" i="198"/>
  <c r="DJ22" i="198"/>
  <c r="DJ21" i="198"/>
  <c r="DK22" i="198"/>
  <c r="DK20" i="198"/>
  <c r="DK21" i="198"/>
  <c r="E31" i="198"/>
  <c r="DO18" i="198"/>
  <c r="DP18" i="198"/>
  <c r="DQ18" i="198"/>
  <c r="DR18" i="198"/>
  <c r="DS18" i="198"/>
  <c r="DT18" i="198"/>
  <c r="DU18" i="198"/>
  <c r="DV18" i="198"/>
  <c r="DW18" i="198"/>
  <c r="DX18" i="198"/>
  <c r="DY18" i="198"/>
  <c r="DZ18" i="198"/>
  <c r="EA18" i="198"/>
  <c r="EB18" i="198"/>
  <c r="EC18" i="198"/>
  <c r="ED18" i="198"/>
  <c r="EE18" i="198"/>
  <c r="EF18" i="198"/>
  <c r="EG18" i="198"/>
  <c r="EH18" i="198"/>
  <c r="EI18" i="198"/>
  <c r="EJ18" i="198"/>
  <c r="EK18" i="198"/>
  <c r="EL18" i="198"/>
  <c r="EM18" i="198"/>
  <c r="EN18" i="198"/>
  <c r="EO18" i="198"/>
  <c r="F31" i="198"/>
  <c r="G31" i="198"/>
  <c r="H31" i="198"/>
  <c r="I31" i="198"/>
  <c r="J31" i="198"/>
  <c r="K31" i="198"/>
  <c r="L31" i="198"/>
  <c r="M31" i="198"/>
  <c r="N31" i="198"/>
  <c r="O31" i="198"/>
  <c r="P31" i="198"/>
  <c r="E5" i="224"/>
  <c r="L113" i="229"/>
  <c r="L112" i="229"/>
  <c r="M113" i="229"/>
  <c r="M112" i="229"/>
  <c r="N113" i="229"/>
  <c r="N112" i="229"/>
  <c r="O113" i="229"/>
  <c r="O112" i="229"/>
  <c r="L124" i="229"/>
  <c r="L125" i="229"/>
  <c r="L123" i="229"/>
  <c r="M124" i="229"/>
  <c r="M125" i="229"/>
  <c r="M123" i="229"/>
  <c r="N124" i="229"/>
  <c r="N125" i="229"/>
  <c r="N123" i="229"/>
  <c r="O124" i="229"/>
  <c r="O125" i="229"/>
  <c r="O123" i="229"/>
  <c r="L135" i="229"/>
  <c r="L134" i="229"/>
  <c r="M135" i="229"/>
  <c r="M134" i="229"/>
  <c r="N135" i="229"/>
  <c r="N134" i="229"/>
  <c r="O135" i="229"/>
  <c r="O134" i="229"/>
  <c r="L146" i="229"/>
  <c r="L145" i="229"/>
  <c r="M146" i="229"/>
  <c r="M145" i="229"/>
  <c r="N146" i="229"/>
  <c r="N145" i="229"/>
  <c r="O146" i="229"/>
  <c r="O145" i="229"/>
  <c r="L157" i="229"/>
  <c r="L156" i="229"/>
  <c r="M157" i="229"/>
  <c r="M156" i="229"/>
  <c r="N157" i="229"/>
  <c r="N156" i="229"/>
  <c r="O157" i="229"/>
  <c r="O156" i="229"/>
  <c r="L168" i="229"/>
  <c r="L169" i="229"/>
  <c r="L167" i="229"/>
  <c r="M168" i="229"/>
  <c r="M169" i="229"/>
  <c r="M167" i="229"/>
  <c r="N168" i="229"/>
  <c r="N169" i="229"/>
  <c r="N167" i="229"/>
  <c r="O168" i="229"/>
  <c r="O169" i="229"/>
  <c r="O167" i="229"/>
  <c r="L179" i="229"/>
  <c r="L178" i="229"/>
  <c r="M179" i="229"/>
  <c r="M178" i="229"/>
  <c r="N179" i="229"/>
  <c r="N178" i="229"/>
  <c r="O179" i="229"/>
  <c r="O178" i="229"/>
  <c r="L90" i="229"/>
  <c r="M90" i="229"/>
  <c r="N90" i="229"/>
  <c r="O90" i="229"/>
  <c r="E19" i="224"/>
  <c r="H52" i="228"/>
  <c r="I52" i="228"/>
  <c r="J52" i="228"/>
  <c r="K52" i="228"/>
  <c r="L52" i="228"/>
  <c r="D159" i="224"/>
  <c r="D166" i="224" s="1"/>
  <c r="D167" i="259" s="1"/>
  <c r="D6" i="259"/>
  <c r="D5" i="259" s="1"/>
  <c r="H192" i="229"/>
  <c r="I192" i="229"/>
  <c r="J192" i="229"/>
  <c r="K192" i="229"/>
  <c r="L192" i="229"/>
  <c r="M192" i="229"/>
  <c r="N192" i="229"/>
  <c r="O192" i="229"/>
  <c r="P192" i="229"/>
  <c r="Q192" i="229"/>
  <c r="R192" i="229"/>
  <c r="S192" i="229"/>
  <c r="T192" i="229"/>
  <c r="U192" i="229"/>
  <c r="V192" i="229"/>
  <c r="W192" i="229"/>
  <c r="X192" i="229"/>
  <c r="Y192" i="229"/>
  <c r="Z192" i="229"/>
  <c r="AA192" i="229"/>
  <c r="AB192" i="229"/>
  <c r="AC192" i="229"/>
  <c r="AD192" i="229"/>
  <c r="AE192" i="229"/>
  <c r="AF192" i="229"/>
  <c r="AG192" i="229"/>
  <c r="AH192" i="229"/>
  <c r="AI192" i="229"/>
  <c r="AJ192" i="229"/>
  <c r="AK192" i="229"/>
  <c r="AL192" i="229"/>
  <c r="AM192" i="229"/>
  <c r="AN192" i="229"/>
  <c r="AO192" i="229"/>
  <c r="AP192" i="229"/>
  <c r="AQ192" i="229"/>
  <c r="AR192" i="229"/>
  <c r="AS192" i="229"/>
  <c r="AT192" i="229"/>
  <c r="AU192" i="229"/>
  <c r="AV192" i="229"/>
  <c r="AW192" i="229"/>
  <c r="AX192" i="229"/>
  <c r="AY192" i="229"/>
  <c r="AZ192" i="229"/>
  <c r="BA192" i="229"/>
  <c r="BB192" i="229"/>
  <c r="BC192" i="229"/>
  <c r="BD192" i="229"/>
  <c r="BE192" i="229"/>
  <c r="BF192" i="229"/>
  <c r="BG192" i="229"/>
  <c r="BH192" i="229"/>
  <c r="BI192" i="229"/>
  <c r="BJ192" i="229"/>
  <c r="BK192" i="229"/>
  <c r="BL192" i="229"/>
  <c r="BM192" i="229"/>
  <c r="BN192" i="229"/>
  <c r="BO192" i="229"/>
  <c r="BP192" i="229"/>
  <c r="BQ192" i="229"/>
  <c r="BR192" i="229"/>
  <c r="BS192" i="229"/>
  <c r="BT192" i="229"/>
  <c r="BU192" i="229"/>
  <c r="BV192" i="229"/>
  <c r="BW192" i="229"/>
  <c r="BX192" i="229"/>
  <c r="BY192" i="229"/>
  <c r="BZ192" i="229"/>
  <c r="CA192" i="229"/>
  <c r="CB192" i="229"/>
  <c r="CC192" i="229"/>
  <c r="CD192" i="229"/>
  <c r="CE192" i="229"/>
  <c r="CF192" i="229"/>
  <c r="CG192" i="229"/>
  <c r="CH192" i="229"/>
  <c r="CI192" i="229"/>
  <c r="CJ192" i="229"/>
  <c r="CK192" i="229"/>
  <c r="CL192" i="229"/>
  <c r="CM192" i="229"/>
  <c r="CN192" i="229"/>
  <c r="CO192" i="229"/>
  <c r="CP192" i="229"/>
  <c r="CQ192" i="229"/>
  <c r="CR192" i="229"/>
  <c r="CS192" i="229"/>
  <c r="CT192" i="229"/>
  <c r="CU192" i="229"/>
  <c r="CV192" i="229"/>
  <c r="CW192" i="229"/>
  <c r="CX192" i="229"/>
  <c r="CY192" i="229"/>
  <c r="CZ192" i="229"/>
  <c r="DA192" i="229"/>
  <c r="DB192" i="229"/>
  <c r="DC192" i="229"/>
  <c r="DD192" i="229"/>
  <c r="DE192" i="229"/>
  <c r="DF192" i="229"/>
  <c r="DG192" i="229"/>
  <c r="DH192" i="229"/>
  <c r="DI192" i="229"/>
  <c r="DJ192" i="229"/>
  <c r="DK192" i="229"/>
  <c r="DL192" i="229"/>
  <c r="DM192" i="229"/>
  <c r="DN192" i="229"/>
  <c r="DO192" i="229"/>
  <c r="DP192" i="229"/>
  <c r="DQ192" i="229"/>
  <c r="DR192" i="229"/>
  <c r="DS192" i="229"/>
  <c r="DT192" i="229"/>
  <c r="DU192" i="229"/>
  <c r="DV192" i="229"/>
  <c r="DW192" i="229"/>
  <c r="DX192" i="229"/>
  <c r="DY192" i="229"/>
  <c r="DZ192" i="229"/>
  <c r="EA192" i="229"/>
  <c r="EB192" i="229"/>
  <c r="EC192" i="229"/>
  <c r="ED192" i="229"/>
  <c r="EE192" i="229"/>
  <c r="EF192" i="229"/>
  <c r="EG192" i="229"/>
  <c r="EH192" i="229"/>
  <c r="EI192" i="229"/>
  <c r="EJ192" i="229"/>
  <c r="EK192" i="229"/>
  <c r="EL192" i="229"/>
  <c r="EM192" i="229"/>
  <c r="EN192" i="229"/>
  <c r="E33" i="224"/>
  <c r="E33" i="259"/>
  <c r="E111" i="259" s="1"/>
  <c r="F5" i="224"/>
  <c r="P113" i="229"/>
  <c r="P112" i="229"/>
  <c r="Q113" i="229"/>
  <c r="Q112" i="229"/>
  <c r="R113" i="229"/>
  <c r="R112" i="229"/>
  <c r="S113" i="229"/>
  <c r="S112" i="229"/>
  <c r="P124" i="229"/>
  <c r="P125" i="229"/>
  <c r="P123" i="229"/>
  <c r="Q124" i="229"/>
  <c r="Q125" i="229"/>
  <c r="Q123" i="229"/>
  <c r="R124" i="229"/>
  <c r="R125" i="229"/>
  <c r="R123" i="229"/>
  <c r="S124" i="229"/>
  <c r="S125" i="229"/>
  <c r="S123" i="229"/>
  <c r="P135" i="229"/>
  <c r="P134" i="229"/>
  <c r="Q135" i="229"/>
  <c r="Q134" i="229"/>
  <c r="R135" i="229"/>
  <c r="R134" i="229"/>
  <c r="S135" i="229"/>
  <c r="S134" i="229"/>
  <c r="P146" i="229"/>
  <c r="P145" i="229"/>
  <c r="Q146" i="229"/>
  <c r="Q145" i="229"/>
  <c r="R146" i="229"/>
  <c r="R145" i="229"/>
  <c r="S146" i="229"/>
  <c r="S145" i="229"/>
  <c r="P157" i="229"/>
  <c r="P156" i="229"/>
  <c r="Q157" i="229"/>
  <c r="Q156" i="229"/>
  <c r="R157" i="229"/>
  <c r="R156" i="229"/>
  <c r="S157" i="229"/>
  <c r="S156" i="229"/>
  <c r="P168" i="229"/>
  <c r="P169" i="229"/>
  <c r="P167" i="229"/>
  <c r="Q168" i="229"/>
  <c r="Q169" i="229"/>
  <c r="Q167" i="229"/>
  <c r="R168" i="229"/>
  <c r="R169" i="229"/>
  <c r="R167" i="229"/>
  <c r="S168" i="229"/>
  <c r="S169" i="229"/>
  <c r="S167" i="229"/>
  <c r="P179" i="229"/>
  <c r="P178" i="229"/>
  <c r="Q179" i="229"/>
  <c r="Q178" i="229"/>
  <c r="R179" i="229"/>
  <c r="R178" i="229"/>
  <c r="S179" i="229"/>
  <c r="S178" i="229"/>
  <c r="P90" i="229"/>
  <c r="Q90" i="229"/>
  <c r="R90" i="229"/>
  <c r="S90" i="229"/>
  <c r="F19" i="224"/>
  <c r="F33" i="224"/>
  <c r="F33" i="259"/>
  <c r="T24" i="229"/>
  <c r="U24" i="229"/>
  <c r="V24" i="229"/>
  <c r="W24" i="229"/>
  <c r="T35" i="229"/>
  <c r="U35" i="229"/>
  <c r="V35" i="229"/>
  <c r="W35" i="229"/>
  <c r="T46" i="229"/>
  <c r="U46" i="229"/>
  <c r="V46" i="229"/>
  <c r="W46" i="229"/>
  <c r="T57" i="229"/>
  <c r="U57" i="229"/>
  <c r="V57" i="229"/>
  <c r="W57" i="229"/>
  <c r="T68" i="229"/>
  <c r="U68" i="229"/>
  <c r="V68" i="229"/>
  <c r="W68" i="229"/>
  <c r="T79" i="229"/>
  <c r="U79" i="229"/>
  <c r="V79" i="229"/>
  <c r="W79" i="229"/>
  <c r="G5" i="224"/>
  <c r="F18" i="219"/>
  <c r="E58" i="222" s="1"/>
  <c r="D53" i="265" s="1"/>
  <c r="E55" i="222"/>
  <c r="T113" i="229"/>
  <c r="T112" i="229"/>
  <c r="E121" i="229"/>
  <c r="U113" i="229"/>
  <c r="U112" i="229"/>
  <c r="V113" i="229"/>
  <c r="V112" i="229"/>
  <c r="W113" i="229"/>
  <c r="W112" i="229"/>
  <c r="T124" i="229"/>
  <c r="T125" i="229"/>
  <c r="T123" i="229"/>
  <c r="E132" i="229"/>
  <c r="U124" i="229"/>
  <c r="U125" i="229"/>
  <c r="U123" i="229"/>
  <c r="V124" i="229"/>
  <c r="V125" i="229"/>
  <c r="V123" i="229"/>
  <c r="W124" i="229"/>
  <c r="W125" i="229"/>
  <c r="W123" i="229"/>
  <c r="T135" i="229"/>
  <c r="T134" i="229"/>
  <c r="E143" i="229"/>
  <c r="U135" i="229"/>
  <c r="U134" i="229"/>
  <c r="V135" i="229"/>
  <c r="V134" i="229"/>
  <c r="W135" i="229"/>
  <c r="W134" i="229"/>
  <c r="T146" i="229"/>
  <c r="T145" i="229"/>
  <c r="E154" i="229"/>
  <c r="U146" i="229"/>
  <c r="U145" i="229"/>
  <c r="V146" i="229"/>
  <c r="V145" i="229"/>
  <c r="W146" i="229"/>
  <c r="W145" i="229"/>
  <c r="T157" i="229"/>
  <c r="T156" i="229"/>
  <c r="E165" i="229"/>
  <c r="U157" i="229"/>
  <c r="U156" i="229"/>
  <c r="V157" i="229"/>
  <c r="V156" i="229"/>
  <c r="W157" i="229"/>
  <c r="W156" i="229"/>
  <c r="T168" i="229"/>
  <c r="T169" i="229"/>
  <c r="T167" i="229"/>
  <c r="E176" i="229"/>
  <c r="U168" i="229"/>
  <c r="U169" i="229"/>
  <c r="U167" i="229"/>
  <c r="V168" i="229"/>
  <c r="V169" i="229"/>
  <c r="V167" i="229"/>
  <c r="W168" i="229"/>
  <c r="W169" i="229"/>
  <c r="W167" i="229"/>
  <c r="T179" i="229"/>
  <c r="T178" i="229"/>
  <c r="E187" i="229"/>
  <c r="U179" i="229"/>
  <c r="U178" i="229"/>
  <c r="V179" i="229"/>
  <c r="V178" i="229"/>
  <c r="W179" i="229"/>
  <c r="W178" i="229"/>
  <c r="T90" i="229"/>
  <c r="U90" i="229"/>
  <c r="V90" i="229"/>
  <c r="W90" i="229"/>
  <c r="G33" i="224"/>
  <c r="G33" i="259"/>
  <c r="G111" i="259" s="1"/>
  <c r="X24" i="229"/>
  <c r="Y24" i="229"/>
  <c r="Z24" i="229"/>
  <c r="AA24" i="229"/>
  <c r="X35" i="229"/>
  <c r="Y35" i="229"/>
  <c r="Z35" i="229"/>
  <c r="AA35" i="229"/>
  <c r="X46" i="229"/>
  <c r="Y46" i="229"/>
  <c r="Z46" i="229"/>
  <c r="AA46" i="229"/>
  <c r="X57" i="229"/>
  <c r="Y57" i="229"/>
  <c r="Z57" i="229"/>
  <c r="AA57" i="229"/>
  <c r="X68" i="229"/>
  <c r="Y68" i="229"/>
  <c r="Z68" i="229"/>
  <c r="AA68" i="229"/>
  <c r="X79" i="229"/>
  <c r="Y79" i="229"/>
  <c r="Z79" i="229"/>
  <c r="AA79" i="229"/>
  <c r="H5" i="224"/>
  <c r="X113" i="229"/>
  <c r="X112" i="229"/>
  <c r="Y113" i="229"/>
  <c r="Y112" i="229"/>
  <c r="Z113" i="229"/>
  <c r="Z112" i="229"/>
  <c r="AA113" i="229"/>
  <c r="AA112" i="229"/>
  <c r="X124" i="229"/>
  <c r="X125" i="229"/>
  <c r="X123" i="229"/>
  <c r="Y124" i="229"/>
  <c r="Y125" i="229"/>
  <c r="Y123" i="229"/>
  <c r="Z124" i="229"/>
  <c r="Z125" i="229"/>
  <c r="Z123" i="229"/>
  <c r="AA124" i="229"/>
  <c r="AA125" i="229"/>
  <c r="AA123" i="229"/>
  <c r="X135" i="229"/>
  <c r="X134" i="229"/>
  <c r="Y135" i="229"/>
  <c r="Y134" i="229"/>
  <c r="Z135" i="229"/>
  <c r="Z134" i="229"/>
  <c r="AA135" i="229"/>
  <c r="AA134" i="229"/>
  <c r="X146" i="229"/>
  <c r="X145" i="229"/>
  <c r="Y146" i="229"/>
  <c r="Y145" i="229"/>
  <c r="Z146" i="229"/>
  <c r="Z145" i="229"/>
  <c r="AA146" i="229"/>
  <c r="AA145" i="229"/>
  <c r="X157" i="229"/>
  <c r="X156" i="229"/>
  <c r="Y157" i="229"/>
  <c r="Y156" i="229"/>
  <c r="Z157" i="229"/>
  <c r="Z156" i="229"/>
  <c r="AA157" i="229"/>
  <c r="AA156" i="229"/>
  <c r="X168" i="229"/>
  <c r="X169" i="229"/>
  <c r="X167" i="229"/>
  <c r="Y168" i="229"/>
  <c r="Y169" i="229"/>
  <c r="Y167" i="229"/>
  <c r="Z168" i="229"/>
  <c r="Z169" i="229"/>
  <c r="Z167" i="229"/>
  <c r="AA168" i="229"/>
  <c r="AA169" i="229"/>
  <c r="AA167" i="229"/>
  <c r="X179" i="229"/>
  <c r="X178" i="229"/>
  <c r="Y179" i="229"/>
  <c r="Y178" i="229"/>
  <c r="Z179" i="229"/>
  <c r="Z178" i="229"/>
  <c r="AA179" i="229"/>
  <c r="AA178" i="229"/>
  <c r="X90" i="229"/>
  <c r="Y90" i="229"/>
  <c r="Z90" i="229"/>
  <c r="AA90" i="229"/>
  <c r="H33" i="224"/>
  <c r="H33" i="259"/>
  <c r="AB24" i="229"/>
  <c r="AC24" i="229"/>
  <c r="AD24" i="229"/>
  <c r="AE24" i="229"/>
  <c r="AB35" i="229"/>
  <c r="AC35" i="229"/>
  <c r="AD35" i="229"/>
  <c r="AE35" i="229"/>
  <c r="AB46" i="229"/>
  <c r="AC46" i="229"/>
  <c r="AD46" i="229"/>
  <c r="AE46" i="229"/>
  <c r="AB57" i="229"/>
  <c r="AC57" i="229"/>
  <c r="AD57" i="229"/>
  <c r="AE57" i="229"/>
  <c r="AB68" i="229"/>
  <c r="AC68" i="229"/>
  <c r="AD68" i="229"/>
  <c r="AE68" i="229"/>
  <c r="AB79" i="229"/>
  <c r="AC79" i="229"/>
  <c r="AD79" i="229"/>
  <c r="AE79" i="229"/>
  <c r="I5" i="224"/>
  <c r="AB113" i="229"/>
  <c r="AB112" i="229"/>
  <c r="AC113" i="229"/>
  <c r="AC112" i="229"/>
  <c r="AD113" i="229"/>
  <c r="AD112" i="229"/>
  <c r="AE113" i="229"/>
  <c r="AE112" i="229"/>
  <c r="AB124" i="229"/>
  <c r="AB125" i="229"/>
  <c r="AB123" i="229"/>
  <c r="AC124" i="229"/>
  <c r="AC125" i="229"/>
  <c r="AC123" i="229"/>
  <c r="AD124" i="229"/>
  <c r="AD125" i="229"/>
  <c r="AD123" i="229"/>
  <c r="AE124" i="229"/>
  <c r="AE125" i="229"/>
  <c r="AE123" i="229"/>
  <c r="AB135" i="229"/>
  <c r="AB134" i="229"/>
  <c r="AC135" i="229"/>
  <c r="AC134" i="229"/>
  <c r="AD135" i="229"/>
  <c r="AD134" i="229"/>
  <c r="AE135" i="229"/>
  <c r="AE134" i="229"/>
  <c r="AB146" i="229"/>
  <c r="AB145" i="229"/>
  <c r="AC146" i="229"/>
  <c r="AC145" i="229"/>
  <c r="AD146" i="229"/>
  <c r="AD145" i="229"/>
  <c r="AE146" i="229"/>
  <c r="AE145" i="229"/>
  <c r="AB157" i="229"/>
  <c r="AB156" i="229"/>
  <c r="AC157" i="229"/>
  <c r="AC156" i="229"/>
  <c r="AD157" i="229"/>
  <c r="AD156" i="229"/>
  <c r="AE157" i="229"/>
  <c r="AE156" i="229"/>
  <c r="AB168" i="229"/>
  <c r="AB169" i="229"/>
  <c r="AB167" i="229"/>
  <c r="AC168" i="229"/>
  <c r="AC169" i="229"/>
  <c r="AC167" i="229"/>
  <c r="AD168" i="229"/>
  <c r="AD169" i="229"/>
  <c r="AD167" i="229"/>
  <c r="AE168" i="229"/>
  <c r="AE169" i="229"/>
  <c r="AE167" i="229"/>
  <c r="AB179" i="229"/>
  <c r="AB178" i="229"/>
  <c r="AC179" i="229"/>
  <c r="AC178" i="229"/>
  <c r="AD179" i="229"/>
  <c r="AD178" i="229"/>
  <c r="AE179" i="229"/>
  <c r="AE178" i="229"/>
  <c r="AB90" i="229"/>
  <c r="AC90" i="229"/>
  <c r="AD90" i="229"/>
  <c r="AE90" i="229"/>
  <c r="I33" i="224"/>
  <c r="I33" i="259"/>
  <c r="I111" i="259" s="1"/>
  <c r="AF24" i="229"/>
  <c r="AG24" i="229"/>
  <c r="AH24" i="229"/>
  <c r="AI24" i="229"/>
  <c r="AF35" i="229"/>
  <c r="AG35" i="229"/>
  <c r="AH35" i="229"/>
  <c r="AI35" i="229"/>
  <c r="AF46" i="229"/>
  <c r="AG46" i="229"/>
  <c r="AH46" i="229"/>
  <c r="AI46" i="229"/>
  <c r="AF57" i="229"/>
  <c r="AG57" i="229"/>
  <c r="AH57" i="229"/>
  <c r="AI57" i="229"/>
  <c r="AF68" i="229"/>
  <c r="AG68" i="229"/>
  <c r="AH68" i="229"/>
  <c r="AI68" i="229"/>
  <c r="AF79" i="229"/>
  <c r="AG79" i="229"/>
  <c r="AH79" i="229"/>
  <c r="AI79" i="229"/>
  <c r="J5" i="224"/>
  <c r="AF113" i="229"/>
  <c r="AF112" i="229"/>
  <c r="AG113" i="229"/>
  <c r="AG112" i="229"/>
  <c r="AH113" i="229"/>
  <c r="AH112" i="229"/>
  <c r="AI113" i="229"/>
  <c r="AI112" i="229"/>
  <c r="AF124" i="229"/>
  <c r="AF125" i="229"/>
  <c r="AF123" i="229"/>
  <c r="AG124" i="229"/>
  <c r="AG125" i="229"/>
  <c r="AG123" i="229"/>
  <c r="AH124" i="229"/>
  <c r="AH125" i="229"/>
  <c r="AH123" i="229"/>
  <c r="AI124" i="229"/>
  <c r="AI125" i="229"/>
  <c r="AI123" i="229"/>
  <c r="AF135" i="229"/>
  <c r="AF134" i="229"/>
  <c r="AG135" i="229"/>
  <c r="AG134" i="229"/>
  <c r="AH135" i="229"/>
  <c r="AH134" i="229"/>
  <c r="AI135" i="229"/>
  <c r="AI134" i="229"/>
  <c r="AF146" i="229"/>
  <c r="AF145" i="229"/>
  <c r="AG146" i="229"/>
  <c r="AG145" i="229"/>
  <c r="AH146" i="229"/>
  <c r="AH145" i="229"/>
  <c r="AI146" i="229"/>
  <c r="AI145" i="229"/>
  <c r="AF157" i="229"/>
  <c r="AF156" i="229"/>
  <c r="AG157" i="229"/>
  <c r="AG156" i="229"/>
  <c r="AH157" i="229"/>
  <c r="AH156" i="229"/>
  <c r="AI157" i="229"/>
  <c r="AI156" i="229"/>
  <c r="AF168" i="229"/>
  <c r="AF169" i="229"/>
  <c r="AF167" i="229"/>
  <c r="AG168" i="229"/>
  <c r="AG169" i="229"/>
  <c r="AG167" i="229"/>
  <c r="AH168" i="229"/>
  <c r="AH169" i="229"/>
  <c r="AH167" i="229"/>
  <c r="AI168" i="229"/>
  <c r="AI169" i="229"/>
  <c r="AI167" i="229"/>
  <c r="AF179" i="229"/>
  <c r="AF178" i="229"/>
  <c r="AG179" i="229"/>
  <c r="AG178" i="229"/>
  <c r="AH179" i="229"/>
  <c r="AH178" i="229"/>
  <c r="AI179" i="229"/>
  <c r="AI178" i="229"/>
  <c r="AF90" i="229"/>
  <c r="AG90" i="229"/>
  <c r="AH90" i="229"/>
  <c r="AI90" i="229"/>
  <c r="J33" i="224"/>
  <c r="J33" i="259"/>
  <c r="M52" i="228"/>
  <c r="AJ24" i="229"/>
  <c r="AK24" i="229"/>
  <c r="AL24" i="229"/>
  <c r="AM24" i="229"/>
  <c r="AJ35" i="229"/>
  <c r="AK35" i="229"/>
  <c r="AL35" i="229"/>
  <c r="AM35" i="229"/>
  <c r="AJ46" i="229"/>
  <c r="AK46" i="229"/>
  <c r="AL46" i="229"/>
  <c r="AM46" i="229"/>
  <c r="AJ57" i="229"/>
  <c r="AK57" i="229"/>
  <c r="AL57" i="229"/>
  <c r="AM57" i="229"/>
  <c r="AJ68" i="229"/>
  <c r="AK68" i="229"/>
  <c r="AL68" i="229"/>
  <c r="AM68" i="229"/>
  <c r="AJ79" i="229"/>
  <c r="AK79" i="229"/>
  <c r="AL79" i="229"/>
  <c r="AM79" i="229"/>
  <c r="K5" i="224"/>
  <c r="AJ113" i="229"/>
  <c r="AJ112" i="229"/>
  <c r="AK113" i="229"/>
  <c r="AK112" i="229"/>
  <c r="AL113" i="229"/>
  <c r="AL112" i="229"/>
  <c r="AM113" i="229"/>
  <c r="AM112" i="229"/>
  <c r="AJ124" i="229"/>
  <c r="AJ125" i="229"/>
  <c r="AJ123" i="229"/>
  <c r="AK124" i="229"/>
  <c r="AK125" i="229"/>
  <c r="AK123" i="229"/>
  <c r="AL124" i="229"/>
  <c r="AL125" i="229"/>
  <c r="AL123" i="229"/>
  <c r="AM124" i="229"/>
  <c r="AM125" i="229"/>
  <c r="AM123" i="229"/>
  <c r="AJ135" i="229"/>
  <c r="AJ134" i="229"/>
  <c r="AK135" i="229"/>
  <c r="AK134" i="229"/>
  <c r="AL135" i="229"/>
  <c r="AL134" i="229"/>
  <c r="AM135" i="229"/>
  <c r="AM134" i="229"/>
  <c r="AJ146" i="229"/>
  <c r="AJ145" i="229"/>
  <c r="AK146" i="229"/>
  <c r="AK145" i="229"/>
  <c r="AL146" i="229"/>
  <c r="AL145" i="229"/>
  <c r="AM146" i="229"/>
  <c r="AM145" i="229"/>
  <c r="AJ157" i="229"/>
  <c r="AJ156" i="229"/>
  <c r="AK157" i="229"/>
  <c r="AK156" i="229"/>
  <c r="AL157" i="229"/>
  <c r="AL156" i="229"/>
  <c r="AM157" i="229"/>
  <c r="AM156" i="229"/>
  <c r="AJ168" i="229"/>
  <c r="AJ169" i="229"/>
  <c r="AJ167" i="229"/>
  <c r="AK168" i="229"/>
  <c r="AK169" i="229"/>
  <c r="AK167" i="229"/>
  <c r="AL168" i="229"/>
  <c r="AL169" i="229"/>
  <c r="AL167" i="229"/>
  <c r="AM168" i="229"/>
  <c r="AM169" i="229"/>
  <c r="AM167" i="229"/>
  <c r="AJ179" i="229"/>
  <c r="AJ178" i="229"/>
  <c r="AK179" i="229"/>
  <c r="AK178" i="229"/>
  <c r="AL179" i="229"/>
  <c r="AL178" i="229"/>
  <c r="AM179" i="229"/>
  <c r="AM178" i="229"/>
  <c r="AJ90" i="229"/>
  <c r="AK90" i="229"/>
  <c r="AL90" i="229"/>
  <c r="AM90" i="229"/>
  <c r="K33" i="224"/>
  <c r="K33" i="259"/>
  <c r="K111" i="259" s="1"/>
  <c r="N52" i="228"/>
  <c r="AN24" i="229"/>
  <c r="AO24" i="229"/>
  <c r="AP24" i="229"/>
  <c r="AQ24" i="229"/>
  <c r="AN35" i="229"/>
  <c r="AO35" i="229"/>
  <c r="AP35" i="229"/>
  <c r="AQ35" i="229"/>
  <c r="AN46" i="229"/>
  <c r="AO46" i="229"/>
  <c r="AP46" i="229"/>
  <c r="AQ46" i="229"/>
  <c r="AN57" i="229"/>
  <c r="AO57" i="229"/>
  <c r="AP57" i="229"/>
  <c r="AQ57" i="229"/>
  <c r="AN68" i="229"/>
  <c r="AO68" i="229"/>
  <c r="AP68" i="229"/>
  <c r="AQ68" i="229"/>
  <c r="AN79" i="229"/>
  <c r="AO79" i="229"/>
  <c r="AP79" i="229"/>
  <c r="AQ79" i="229"/>
  <c r="AA69" i="251"/>
  <c r="L5" i="224"/>
  <c r="AN113" i="229"/>
  <c r="AN112" i="229"/>
  <c r="AO113" i="229"/>
  <c r="AO112" i="229"/>
  <c r="AP113" i="229"/>
  <c r="AP112" i="229"/>
  <c r="AQ113" i="229"/>
  <c r="AQ112" i="229"/>
  <c r="AN124" i="229"/>
  <c r="AN125" i="229"/>
  <c r="AN123" i="229"/>
  <c r="AO124" i="229"/>
  <c r="AO125" i="229"/>
  <c r="AO123" i="229"/>
  <c r="AP124" i="229"/>
  <c r="AP125" i="229"/>
  <c r="AP123" i="229"/>
  <c r="AQ124" i="229"/>
  <c r="AQ125" i="229"/>
  <c r="AQ123" i="229"/>
  <c r="AN135" i="229"/>
  <c r="AN134" i="229"/>
  <c r="AO135" i="229"/>
  <c r="AO134" i="229"/>
  <c r="AP135" i="229"/>
  <c r="AP134" i="229"/>
  <c r="AQ135" i="229"/>
  <c r="AQ134" i="229"/>
  <c r="AN146" i="229"/>
  <c r="AN145" i="229"/>
  <c r="AO146" i="229"/>
  <c r="AO145" i="229"/>
  <c r="AP146" i="229"/>
  <c r="AP145" i="229"/>
  <c r="AQ146" i="229"/>
  <c r="AQ145" i="229"/>
  <c r="AN157" i="229"/>
  <c r="AN156" i="229"/>
  <c r="AO157" i="229"/>
  <c r="AO156" i="229"/>
  <c r="AP157" i="229"/>
  <c r="AP156" i="229"/>
  <c r="AQ157" i="229"/>
  <c r="AQ156" i="229"/>
  <c r="AN168" i="229"/>
  <c r="AN169" i="229"/>
  <c r="AN167" i="229"/>
  <c r="AO168" i="229"/>
  <c r="AO169" i="229"/>
  <c r="AO167" i="229"/>
  <c r="AP168" i="229"/>
  <c r="AP169" i="229"/>
  <c r="AP167" i="229"/>
  <c r="AQ168" i="229"/>
  <c r="AQ169" i="229"/>
  <c r="AQ167" i="229"/>
  <c r="AN179" i="229"/>
  <c r="AN178" i="229"/>
  <c r="AO179" i="229"/>
  <c r="AO178" i="229"/>
  <c r="AP179" i="229"/>
  <c r="AP178" i="229"/>
  <c r="AQ179" i="229"/>
  <c r="AQ178" i="229"/>
  <c r="AN90" i="229"/>
  <c r="AO90" i="229"/>
  <c r="AP90" i="229"/>
  <c r="AQ90" i="229"/>
  <c r="L33" i="224"/>
  <c r="L33" i="259"/>
  <c r="AR24" i="229"/>
  <c r="AS24" i="229"/>
  <c r="AT24" i="229"/>
  <c r="AU24" i="229"/>
  <c r="AR35" i="229"/>
  <c r="AS35" i="229"/>
  <c r="AT35" i="229"/>
  <c r="AU35" i="229"/>
  <c r="AR46" i="229"/>
  <c r="AS46" i="229"/>
  <c r="AT46" i="229"/>
  <c r="AU46" i="229"/>
  <c r="AR57" i="229"/>
  <c r="AS57" i="229"/>
  <c r="AT57" i="229"/>
  <c r="AU57" i="229"/>
  <c r="AR68" i="229"/>
  <c r="AS68" i="229"/>
  <c r="AT68" i="229"/>
  <c r="AU68" i="229"/>
  <c r="AR79" i="229"/>
  <c r="AS79" i="229"/>
  <c r="AT79" i="229"/>
  <c r="AU79" i="229"/>
  <c r="AB69" i="251"/>
  <c r="AC69" i="251" s="1"/>
  <c r="AD69" i="251" s="1"/>
  <c r="AE69" i="251" s="1"/>
  <c r="AF69" i="251" s="1"/>
  <c r="AG69" i="251" s="1"/>
  <c r="AH69" i="251" s="1"/>
  <c r="AI69" i="251" s="1"/>
  <c r="AJ69" i="251" s="1"/>
  <c r="AK69" i="251" s="1"/>
  <c r="AL69" i="251" s="1"/>
  <c r="M5" i="224"/>
  <c r="AR113" i="229"/>
  <c r="AR112" i="229"/>
  <c r="AS113" i="229"/>
  <c r="AS112" i="229"/>
  <c r="AT113" i="229"/>
  <c r="AT112" i="229"/>
  <c r="AU113" i="229"/>
  <c r="AU112" i="229"/>
  <c r="AR124" i="229"/>
  <c r="AR125" i="229"/>
  <c r="AR123" i="229"/>
  <c r="AS124" i="229"/>
  <c r="AS125" i="229"/>
  <c r="AS123" i="229"/>
  <c r="AT124" i="229"/>
  <c r="AT125" i="229"/>
  <c r="AT123" i="229"/>
  <c r="AU124" i="229"/>
  <c r="AU125" i="229"/>
  <c r="AU123" i="229"/>
  <c r="AR135" i="229"/>
  <c r="AR134" i="229"/>
  <c r="AS135" i="229"/>
  <c r="AS134" i="229"/>
  <c r="AT135" i="229"/>
  <c r="AT134" i="229"/>
  <c r="AU135" i="229"/>
  <c r="AU134" i="229"/>
  <c r="AR146" i="229"/>
  <c r="AR145" i="229"/>
  <c r="AS146" i="229"/>
  <c r="AS145" i="229"/>
  <c r="AT146" i="229"/>
  <c r="AT145" i="229"/>
  <c r="AU146" i="229"/>
  <c r="AU145" i="229"/>
  <c r="AR157" i="229"/>
  <c r="AR156" i="229"/>
  <c r="AS157" i="229"/>
  <c r="AS156" i="229"/>
  <c r="AT157" i="229"/>
  <c r="AT156" i="229"/>
  <c r="AU157" i="229"/>
  <c r="AU156" i="229"/>
  <c r="AR168" i="229"/>
  <c r="AR169" i="229"/>
  <c r="AR167" i="229"/>
  <c r="AS168" i="229"/>
  <c r="AS169" i="229"/>
  <c r="AS167" i="229"/>
  <c r="AT168" i="229"/>
  <c r="AT169" i="229"/>
  <c r="AT167" i="229"/>
  <c r="AU168" i="229"/>
  <c r="AU169" i="229"/>
  <c r="AU167" i="229"/>
  <c r="AR179" i="229"/>
  <c r="AR178" i="229"/>
  <c r="AS179" i="229"/>
  <c r="AS178" i="229"/>
  <c r="AT179" i="229"/>
  <c r="AT178" i="229"/>
  <c r="AU179" i="229"/>
  <c r="AU178" i="229"/>
  <c r="AR90" i="229"/>
  <c r="AS90" i="229"/>
  <c r="AT90" i="229"/>
  <c r="AU90" i="229"/>
  <c r="M33" i="224"/>
  <c r="M33" i="259"/>
  <c r="K87" i="251"/>
  <c r="L87" i="251" s="1"/>
  <c r="M87" i="251" s="1"/>
  <c r="N87" i="251" s="1"/>
  <c r="O87" i="251" s="1"/>
  <c r="P87" i="251" s="1"/>
  <c r="Q87" i="251" s="1"/>
  <c r="R87" i="251" s="1"/>
  <c r="S87" i="251" s="1"/>
  <c r="T87" i="251" s="1"/>
  <c r="K85" i="251"/>
  <c r="L85" i="251" s="1"/>
  <c r="M85" i="251" s="1"/>
  <c r="N85" i="251" s="1"/>
  <c r="O85" i="251" s="1"/>
  <c r="P85" i="251" s="1"/>
  <c r="Q85" i="251" s="1"/>
  <c r="R85" i="251" s="1"/>
  <c r="S85" i="251" s="1"/>
  <c r="T85" i="251" s="1"/>
  <c r="K84" i="251"/>
  <c r="L84" i="251" s="1"/>
  <c r="M84" i="251" s="1"/>
  <c r="N84" i="251" s="1"/>
  <c r="O84" i="251" s="1"/>
  <c r="P84" i="251" s="1"/>
  <c r="Q84" i="251" s="1"/>
  <c r="R84" i="251" s="1"/>
  <c r="S84" i="251" s="1"/>
  <c r="T84" i="251" s="1"/>
  <c r="AC55" i="251"/>
  <c r="AD55" i="251" s="1"/>
  <c r="AE55" i="251" s="1"/>
  <c r="AF55" i="251" s="1"/>
  <c r="AG55" i="251" s="1"/>
  <c r="AH55" i="251" s="1"/>
  <c r="AI55" i="251" s="1"/>
  <c r="AJ55" i="251" s="1"/>
  <c r="AK55" i="251" s="1"/>
  <c r="AL55" i="251" s="1"/>
  <c r="K83" i="251"/>
  <c r="L83" i="251" s="1"/>
  <c r="M83" i="251" s="1"/>
  <c r="N83" i="251" s="1"/>
  <c r="O83" i="251" s="1"/>
  <c r="P83" i="251" s="1"/>
  <c r="Q83" i="251" s="1"/>
  <c r="R83" i="251" s="1"/>
  <c r="S83" i="251" s="1"/>
  <c r="T83" i="251" s="1"/>
  <c r="AC52" i="251"/>
  <c r="AD52" i="251" s="1"/>
  <c r="AE52" i="251" s="1"/>
  <c r="AF52" i="251" s="1"/>
  <c r="AG52" i="251" s="1"/>
  <c r="AH52" i="251" s="1"/>
  <c r="AI52" i="251" s="1"/>
  <c r="AJ52" i="251" s="1"/>
  <c r="AK52" i="251" s="1"/>
  <c r="AL52" i="251" s="1"/>
  <c r="AV24" i="229"/>
  <c r="AW24" i="229"/>
  <c r="AX24" i="229"/>
  <c r="AY24" i="229"/>
  <c r="AV35" i="229"/>
  <c r="AW35" i="229"/>
  <c r="AX35" i="229"/>
  <c r="AY35" i="229"/>
  <c r="AV46" i="229"/>
  <c r="AW46" i="229"/>
  <c r="AX46" i="229"/>
  <c r="AY46" i="229"/>
  <c r="AV57" i="229"/>
  <c r="AW57" i="229"/>
  <c r="AX57" i="229"/>
  <c r="AY57" i="229"/>
  <c r="AV68" i="229"/>
  <c r="AW68" i="229"/>
  <c r="AX68" i="229"/>
  <c r="AY68" i="229"/>
  <c r="AV79" i="229"/>
  <c r="AW79" i="229"/>
  <c r="AX79" i="229"/>
  <c r="AY79" i="229"/>
  <c r="N5" i="224"/>
  <c r="AV113" i="229"/>
  <c r="AV112" i="229"/>
  <c r="AW113" i="229"/>
  <c r="AW112" i="229"/>
  <c r="AX113" i="229"/>
  <c r="AX112" i="229"/>
  <c r="AY113" i="229"/>
  <c r="AY112" i="229"/>
  <c r="AV124" i="229"/>
  <c r="AV125" i="229"/>
  <c r="AV123" i="229"/>
  <c r="AW124" i="229"/>
  <c r="AW125" i="229"/>
  <c r="AW123" i="229"/>
  <c r="AX124" i="229"/>
  <c r="AX125" i="229"/>
  <c r="AX123" i="229"/>
  <c r="AY124" i="229"/>
  <c r="AY125" i="229"/>
  <c r="AY123" i="229"/>
  <c r="AV135" i="229"/>
  <c r="AV134" i="229"/>
  <c r="AW135" i="229"/>
  <c r="AW134" i="229"/>
  <c r="AX135" i="229"/>
  <c r="AX134" i="229"/>
  <c r="AY135" i="229"/>
  <c r="AY134" i="229"/>
  <c r="AV146" i="229"/>
  <c r="AV145" i="229"/>
  <c r="AW146" i="229"/>
  <c r="AW145" i="229"/>
  <c r="AX146" i="229"/>
  <c r="AX145" i="229"/>
  <c r="AY146" i="229"/>
  <c r="AY145" i="229"/>
  <c r="AV157" i="229"/>
  <c r="AV156" i="229"/>
  <c r="AW157" i="229"/>
  <c r="AW156" i="229"/>
  <c r="AX157" i="229"/>
  <c r="AX156" i="229"/>
  <c r="AY157" i="229"/>
  <c r="AY156" i="229"/>
  <c r="AV168" i="229"/>
  <c r="AV169" i="229"/>
  <c r="AV167" i="229"/>
  <c r="AW168" i="229"/>
  <c r="AW169" i="229"/>
  <c r="AW167" i="229"/>
  <c r="AX168" i="229"/>
  <c r="AX169" i="229"/>
  <c r="AX167" i="229"/>
  <c r="AY168" i="229"/>
  <c r="AY169" i="229"/>
  <c r="AY167" i="229"/>
  <c r="AV179" i="229"/>
  <c r="AV178" i="229"/>
  <c r="AW179" i="229"/>
  <c r="AW178" i="229"/>
  <c r="AX179" i="229"/>
  <c r="AX178" i="229"/>
  <c r="AY179" i="229"/>
  <c r="AY178" i="229"/>
  <c r="AV90" i="229"/>
  <c r="AW90" i="229"/>
  <c r="AX90" i="229"/>
  <c r="AY90" i="229"/>
  <c r="N33" i="224"/>
  <c r="N33" i="259"/>
  <c r="Q31" i="198"/>
  <c r="AZ24" i="229"/>
  <c r="BA24" i="229"/>
  <c r="BB24" i="229"/>
  <c r="BC24" i="229"/>
  <c r="AZ35" i="229"/>
  <c r="BA35" i="229"/>
  <c r="BB35" i="229"/>
  <c r="BC35" i="229"/>
  <c r="AZ46" i="229"/>
  <c r="BA46" i="229"/>
  <c r="BB46" i="229"/>
  <c r="BC46" i="229"/>
  <c r="AZ57" i="229"/>
  <c r="BA57" i="229"/>
  <c r="BB57" i="229"/>
  <c r="BC57" i="229"/>
  <c r="AZ68" i="229"/>
  <c r="BA68" i="229"/>
  <c r="BB68" i="229"/>
  <c r="BC68" i="229"/>
  <c r="AZ79" i="229"/>
  <c r="BA79" i="229"/>
  <c r="BB79" i="229"/>
  <c r="BC79" i="229"/>
  <c r="O5" i="224"/>
  <c r="AZ113" i="229"/>
  <c r="AZ112" i="229"/>
  <c r="BA113" i="229"/>
  <c r="BA112" i="229"/>
  <c r="BB113" i="229"/>
  <c r="BB112" i="229"/>
  <c r="BC113" i="229"/>
  <c r="BC112" i="229"/>
  <c r="AZ124" i="229"/>
  <c r="AZ125" i="229"/>
  <c r="AZ123" i="229"/>
  <c r="BA124" i="229"/>
  <c r="BA125" i="229"/>
  <c r="BA123" i="229"/>
  <c r="BB124" i="229"/>
  <c r="BB125" i="229"/>
  <c r="BB123" i="229"/>
  <c r="BC124" i="229"/>
  <c r="BC125" i="229"/>
  <c r="BC123" i="229"/>
  <c r="AZ135" i="229"/>
  <c r="AZ134" i="229"/>
  <c r="BA135" i="229"/>
  <c r="BA134" i="229"/>
  <c r="BB135" i="229"/>
  <c r="BB134" i="229"/>
  <c r="BC135" i="229"/>
  <c r="BC134" i="229"/>
  <c r="AZ146" i="229"/>
  <c r="AZ145" i="229"/>
  <c r="BA146" i="229"/>
  <c r="BA145" i="229"/>
  <c r="BB146" i="229"/>
  <c r="BB145" i="229"/>
  <c r="BC146" i="229"/>
  <c r="BC145" i="229"/>
  <c r="AZ157" i="229"/>
  <c r="AZ156" i="229"/>
  <c r="BA157" i="229"/>
  <c r="BA156" i="229"/>
  <c r="BB157" i="229"/>
  <c r="BB156" i="229"/>
  <c r="BC157" i="229"/>
  <c r="BC156" i="229"/>
  <c r="AZ168" i="229"/>
  <c r="AZ169" i="229"/>
  <c r="AZ167" i="229"/>
  <c r="BA168" i="229"/>
  <c r="BA169" i="229"/>
  <c r="BA167" i="229"/>
  <c r="BB168" i="229"/>
  <c r="BB169" i="229"/>
  <c r="BB167" i="229"/>
  <c r="BC168" i="229"/>
  <c r="BC169" i="229"/>
  <c r="BC167" i="229"/>
  <c r="AZ179" i="229"/>
  <c r="AZ178" i="229"/>
  <c r="BA179" i="229"/>
  <c r="BA178" i="229"/>
  <c r="BB179" i="229"/>
  <c r="BB178" i="229"/>
  <c r="BC179" i="229"/>
  <c r="BC178" i="229"/>
  <c r="AZ90" i="229"/>
  <c r="BA90" i="229"/>
  <c r="BB90" i="229"/>
  <c r="BC90" i="229"/>
  <c r="O33" i="224"/>
  <c r="O33" i="259"/>
  <c r="R31" i="198"/>
  <c r="S31" i="198"/>
  <c r="T31" i="198"/>
  <c r="U31" i="198"/>
  <c r="V31" i="198"/>
  <c r="W31" i="198"/>
  <c r="X31" i="198"/>
  <c r="BD24" i="229"/>
  <c r="BE24" i="229"/>
  <c r="BF24" i="229"/>
  <c r="BG24" i="229"/>
  <c r="BD35" i="229"/>
  <c r="BE35" i="229"/>
  <c r="BF35" i="229"/>
  <c r="BG35" i="229"/>
  <c r="BD46" i="229"/>
  <c r="BE46" i="229"/>
  <c r="BF46" i="229"/>
  <c r="BG46" i="229"/>
  <c r="BD57" i="229"/>
  <c r="BE57" i="229"/>
  <c r="BF57" i="229"/>
  <c r="BG57" i="229"/>
  <c r="BD68" i="229"/>
  <c r="BE68" i="229"/>
  <c r="BF68" i="229"/>
  <c r="BG68" i="229"/>
  <c r="BD79" i="229"/>
  <c r="BE79" i="229"/>
  <c r="BF79" i="229"/>
  <c r="BG79" i="229"/>
  <c r="P5" i="224"/>
  <c r="BD113" i="229"/>
  <c r="BD112" i="229"/>
  <c r="BE113" i="229"/>
  <c r="BE112" i="229"/>
  <c r="BF113" i="229"/>
  <c r="BF112" i="229"/>
  <c r="BG113" i="229"/>
  <c r="BG112" i="229"/>
  <c r="BD124" i="229"/>
  <c r="BD125" i="229"/>
  <c r="BD123" i="229"/>
  <c r="BE124" i="229"/>
  <c r="BE125" i="229"/>
  <c r="BE123" i="229"/>
  <c r="BF124" i="229"/>
  <c r="BF125" i="229"/>
  <c r="BF123" i="229"/>
  <c r="BG124" i="229"/>
  <c r="BG125" i="229"/>
  <c r="BG123" i="229"/>
  <c r="BD135" i="229"/>
  <c r="BD134" i="229"/>
  <c r="BE135" i="229"/>
  <c r="BE134" i="229"/>
  <c r="BF135" i="229"/>
  <c r="BF134" i="229"/>
  <c r="BG135" i="229"/>
  <c r="BG134" i="229"/>
  <c r="BD146" i="229"/>
  <c r="BD145" i="229"/>
  <c r="BE146" i="229"/>
  <c r="BE145" i="229"/>
  <c r="BF146" i="229"/>
  <c r="BF145" i="229"/>
  <c r="BG146" i="229"/>
  <c r="BG145" i="229"/>
  <c r="BD157" i="229"/>
  <c r="BD156" i="229"/>
  <c r="BE157" i="229"/>
  <c r="BE156" i="229"/>
  <c r="BF157" i="229"/>
  <c r="BF156" i="229"/>
  <c r="BG157" i="229"/>
  <c r="BG156" i="229"/>
  <c r="BD168" i="229"/>
  <c r="BD169" i="229"/>
  <c r="BD167" i="229"/>
  <c r="BE168" i="229"/>
  <c r="BE169" i="229"/>
  <c r="BE167" i="229"/>
  <c r="BF168" i="229"/>
  <c r="BF169" i="229"/>
  <c r="BF167" i="229"/>
  <c r="BG168" i="229"/>
  <c r="BG169" i="229"/>
  <c r="BG167" i="229"/>
  <c r="BD179" i="229"/>
  <c r="BD178" i="229"/>
  <c r="BE179" i="229"/>
  <c r="BE178" i="229"/>
  <c r="BF179" i="229"/>
  <c r="BF178" i="229"/>
  <c r="BG179" i="229"/>
  <c r="BG178" i="229"/>
  <c r="BD90" i="229"/>
  <c r="BE90" i="229"/>
  <c r="BF90" i="229"/>
  <c r="BG90" i="229"/>
  <c r="P33" i="224"/>
  <c r="P33" i="259"/>
  <c r="P111" i="259" s="1"/>
  <c r="BH24" i="229"/>
  <c r="BI24" i="229"/>
  <c r="BJ24" i="229"/>
  <c r="BK24" i="229"/>
  <c r="BH35" i="229"/>
  <c r="BI35" i="229"/>
  <c r="BJ35" i="229"/>
  <c r="BK35" i="229"/>
  <c r="BH46" i="229"/>
  <c r="BI46" i="229"/>
  <c r="BJ46" i="229"/>
  <c r="BK46" i="229"/>
  <c r="BH57" i="229"/>
  <c r="BI57" i="229"/>
  <c r="BJ57" i="229"/>
  <c r="BK57" i="229"/>
  <c r="BH68" i="229"/>
  <c r="BI68" i="229"/>
  <c r="BJ68" i="229"/>
  <c r="BK68" i="229"/>
  <c r="BH79" i="229"/>
  <c r="BI79" i="229"/>
  <c r="BJ79" i="229"/>
  <c r="BK79" i="229"/>
  <c r="Q5" i="224"/>
  <c r="BH113" i="229"/>
  <c r="BH112" i="229"/>
  <c r="BI113" i="229"/>
  <c r="BI112" i="229"/>
  <c r="BJ113" i="229"/>
  <c r="BJ112" i="229"/>
  <c r="BK113" i="229"/>
  <c r="BK112" i="229"/>
  <c r="BH124" i="229"/>
  <c r="BH125" i="229"/>
  <c r="BH123" i="229"/>
  <c r="BI124" i="229"/>
  <c r="BI125" i="229"/>
  <c r="BI123" i="229"/>
  <c r="BJ124" i="229"/>
  <c r="BJ125" i="229"/>
  <c r="BJ123" i="229"/>
  <c r="BK124" i="229"/>
  <c r="BK125" i="229"/>
  <c r="BK123" i="229"/>
  <c r="BH135" i="229"/>
  <c r="BH134" i="229"/>
  <c r="BI135" i="229"/>
  <c r="BI134" i="229"/>
  <c r="BJ135" i="229"/>
  <c r="BJ134" i="229"/>
  <c r="BK135" i="229"/>
  <c r="BK134" i="229"/>
  <c r="BH146" i="229"/>
  <c r="BH145" i="229"/>
  <c r="BI146" i="229"/>
  <c r="BI145" i="229"/>
  <c r="BJ146" i="229"/>
  <c r="BJ145" i="229"/>
  <c r="BK146" i="229"/>
  <c r="BK145" i="229"/>
  <c r="BH157" i="229"/>
  <c r="BH156" i="229"/>
  <c r="BI157" i="229"/>
  <c r="BI156" i="229"/>
  <c r="BJ157" i="229"/>
  <c r="BJ156" i="229"/>
  <c r="BK157" i="229"/>
  <c r="BK156" i="229"/>
  <c r="BH168" i="229"/>
  <c r="BH169" i="229"/>
  <c r="BH167" i="229"/>
  <c r="BI168" i="229"/>
  <c r="BI169" i="229"/>
  <c r="BI167" i="229"/>
  <c r="BJ168" i="229"/>
  <c r="BJ169" i="229"/>
  <c r="BJ167" i="229"/>
  <c r="BK168" i="229"/>
  <c r="BK169" i="229"/>
  <c r="BK167" i="229"/>
  <c r="BH179" i="229"/>
  <c r="BH178" i="229"/>
  <c r="BI179" i="229"/>
  <c r="BI178" i="229"/>
  <c r="BJ179" i="229"/>
  <c r="BJ178" i="229"/>
  <c r="BK179" i="229"/>
  <c r="BK178" i="229"/>
  <c r="BH90" i="229"/>
  <c r="BI90" i="229"/>
  <c r="BJ90" i="229"/>
  <c r="BK90" i="229"/>
  <c r="Q33" i="224"/>
  <c r="Q33" i="259"/>
  <c r="BL24" i="229"/>
  <c r="BM24" i="229"/>
  <c r="BN24" i="229"/>
  <c r="BO24" i="229"/>
  <c r="BL35" i="229"/>
  <c r="BM35" i="229"/>
  <c r="BN35" i="229"/>
  <c r="BO35" i="229"/>
  <c r="BL46" i="229"/>
  <c r="BM46" i="229"/>
  <c r="BN46" i="229"/>
  <c r="BO46" i="229"/>
  <c r="BL57" i="229"/>
  <c r="BM57" i="229"/>
  <c r="BN57" i="229"/>
  <c r="BO57" i="229"/>
  <c r="BL68" i="229"/>
  <c r="BM68" i="229"/>
  <c r="BN68" i="229"/>
  <c r="BO68" i="229"/>
  <c r="BL79" i="229"/>
  <c r="BM79" i="229"/>
  <c r="BN79" i="229"/>
  <c r="BO79" i="229"/>
  <c r="R5" i="224"/>
  <c r="BL113" i="229"/>
  <c r="BL112" i="229"/>
  <c r="BM113" i="229"/>
  <c r="BM112" i="229"/>
  <c r="BN113" i="229"/>
  <c r="BN112" i="229"/>
  <c r="BO113" i="229"/>
  <c r="BO112" i="229"/>
  <c r="BL124" i="229"/>
  <c r="BL125" i="229"/>
  <c r="BL123" i="229"/>
  <c r="BM124" i="229"/>
  <c r="BM125" i="229"/>
  <c r="BM123" i="229"/>
  <c r="BN124" i="229"/>
  <c r="BN125" i="229"/>
  <c r="BN123" i="229"/>
  <c r="BO124" i="229"/>
  <c r="BO125" i="229"/>
  <c r="BO123" i="229"/>
  <c r="BL135" i="229"/>
  <c r="BL134" i="229"/>
  <c r="BM135" i="229"/>
  <c r="BM134" i="229"/>
  <c r="BN135" i="229"/>
  <c r="BN134" i="229"/>
  <c r="BO135" i="229"/>
  <c r="BO134" i="229"/>
  <c r="BL146" i="229"/>
  <c r="BL145" i="229"/>
  <c r="BM146" i="229"/>
  <c r="BM145" i="229"/>
  <c r="BN146" i="229"/>
  <c r="BN145" i="229"/>
  <c r="BO146" i="229"/>
  <c r="BO145" i="229"/>
  <c r="BL157" i="229"/>
  <c r="BL156" i="229"/>
  <c r="BM157" i="229"/>
  <c r="BM156" i="229"/>
  <c r="BN157" i="229"/>
  <c r="BN156" i="229"/>
  <c r="BO157" i="229"/>
  <c r="BO156" i="229"/>
  <c r="BL168" i="229"/>
  <c r="BL169" i="229"/>
  <c r="BL167" i="229"/>
  <c r="BM168" i="229"/>
  <c r="BM169" i="229"/>
  <c r="BM167" i="229"/>
  <c r="BN168" i="229"/>
  <c r="BN169" i="229"/>
  <c r="BN167" i="229"/>
  <c r="BO168" i="229"/>
  <c r="BO169" i="229"/>
  <c r="BO167" i="229"/>
  <c r="BL179" i="229"/>
  <c r="BL178" i="229"/>
  <c r="BM179" i="229"/>
  <c r="BM178" i="229"/>
  <c r="BN179" i="229"/>
  <c r="BN178" i="229"/>
  <c r="BO179" i="229"/>
  <c r="BO178" i="229"/>
  <c r="BL90" i="229"/>
  <c r="BM90" i="229"/>
  <c r="BN90" i="229"/>
  <c r="BO90" i="229"/>
  <c r="R33" i="224"/>
  <c r="R33" i="259"/>
  <c r="BP24" i="229"/>
  <c r="BQ24" i="229"/>
  <c r="BR24" i="229"/>
  <c r="BS24" i="229"/>
  <c r="BP35" i="229"/>
  <c r="BQ35" i="229"/>
  <c r="BR35" i="229"/>
  <c r="BS35" i="229"/>
  <c r="BP46" i="229"/>
  <c r="BQ46" i="229"/>
  <c r="BR46" i="229"/>
  <c r="BS46" i="229"/>
  <c r="BP57" i="229"/>
  <c r="BQ57" i="229"/>
  <c r="BR57" i="229"/>
  <c r="BS57" i="229"/>
  <c r="BP68" i="229"/>
  <c r="BQ68" i="229"/>
  <c r="BR68" i="229"/>
  <c r="BS68" i="229"/>
  <c r="BP79" i="229"/>
  <c r="BQ79" i="229"/>
  <c r="BR79" i="229"/>
  <c r="BS79" i="229"/>
  <c r="S5" i="224"/>
  <c r="BP113" i="229"/>
  <c r="BP112" i="229"/>
  <c r="BQ113" i="229"/>
  <c r="BQ112" i="229"/>
  <c r="BR113" i="229"/>
  <c r="BR112" i="229"/>
  <c r="BS113" i="229"/>
  <c r="BS112" i="229"/>
  <c r="BP124" i="229"/>
  <c r="BP125" i="229"/>
  <c r="BP123" i="229"/>
  <c r="BQ124" i="229"/>
  <c r="BQ125" i="229"/>
  <c r="BQ123" i="229"/>
  <c r="BR124" i="229"/>
  <c r="BR125" i="229"/>
  <c r="BR123" i="229"/>
  <c r="BS124" i="229"/>
  <c r="BS125" i="229"/>
  <c r="BS123" i="229"/>
  <c r="BP135" i="229"/>
  <c r="BP134" i="229"/>
  <c r="BQ135" i="229"/>
  <c r="BQ134" i="229"/>
  <c r="BR135" i="229"/>
  <c r="BR134" i="229"/>
  <c r="BS135" i="229"/>
  <c r="BS134" i="229"/>
  <c r="BP146" i="229"/>
  <c r="BP145" i="229"/>
  <c r="BQ146" i="229"/>
  <c r="BQ145" i="229"/>
  <c r="BR146" i="229"/>
  <c r="BR145" i="229"/>
  <c r="BS146" i="229"/>
  <c r="BS145" i="229"/>
  <c r="BP157" i="229"/>
  <c r="BP156" i="229"/>
  <c r="BQ157" i="229"/>
  <c r="BQ156" i="229"/>
  <c r="BR157" i="229"/>
  <c r="BR156" i="229"/>
  <c r="BS157" i="229"/>
  <c r="BS156" i="229"/>
  <c r="BP168" i="229"/>
  <c r="BP169" i="229"/>
  <c r="BP167" i="229"/>
  <c r="BQ168" i="229"/>
  <c r="BQ169" i="229"/>
  <c r="BQ167" i="229"/>
  <c r="BR168" i="229"/>
  <c r="BR169" i="229"/>
  <c r="BR167" i="229"/>
  <c r="BS168" i="229"/>
  <c r="BS169" i="229"/>
  <c r="BS167" i="229"/>
  <c r="BP179" i="229"/>
  <c r="BP178" i="229"/>
  <c r="BQ179" i="229"/>
  <c r="BQ178" i="229"/>
  <c r="BR179" i="229"/>
  <c r="BR178" i="229"/>
  <c r="BS179" i="229"/>
  <c r="BS178" i="229"/>
  <c r="BP90" i="229"/>
  <c r="BQ90" i="229"/>
  <c r="BR90" i="229"/>
  <c r="BS90" i="229"/>
  <c r="S33" i="224"/>
  <c r="S33" i="259"/>
  <c r="S111" i="259" s="1"/>
  <c r="BT24" i="229"/>
  <c r="BU24" i="229"/>
  <c r="BV24" i="229"/>
  <c r="BW24" i="229"/>
  <c r="BT35" i="229"/>
  <c r="BU35" i="229"/>
  <c r="BV35" i="229"/>
  <c r="BW35" i="229"/>
  <c r="BT46" i="229"/>
  <c r="BU46" i="229"/>
  <c r="BV46" i="229"/>
  <c r="BW46" i="229"/>
  <c r="BT57" i="229"/>
  <c r="BU57" i="229"/>
  <c r="BV57" i="229"/>
  <c r="BW57" i="229"/>
  <c r="BT68" i="229"/>
  <c r="BU68" i="229"/>
  <c r="BV68" i="229"/>
  <c r="BW68" i="229"/>
  <c r="BT79" i="229"/>
  <c r="BU79" i="229"/>
  <c r="BV79" i="229"/>
  <c r="BW79" i="229"/>
  <c r="T5" i="224"/>
  <c r="BT113" i="229"/>
  <c r="BT112" i="229"/>
  <c r="BU113" i="229"/>
  <c r="BU112" i="229"/>
  <c r="BV113" i="229"/>
  <c r="BV112" i="229"/>
  <c r="BW113" i="229"/>
  <c r="BW112" i="229"/>
  <c r="BT124" i="229"/>
  <c r="BT125" i="229"/>
  <c r="BT123" i="229"/>
  <c r="BU124" i="229"/>
  <c r="BU125" i="229"/>
  <c r="BU123" i="229"/>
  <c r="BV124" i="229"/>
  <c r="BV125" i="229"/>
  <c r="BV123" i="229"/>
  <c r="BW124" i="229"/>
  <c r="BW125" i="229"/>
  <c r="BW123" i="229"/>
  <c r="BT135" i="229"/>
  <c r="BT134" i="229"/>
  <c r="BU135" i="229"/>
  <c r="BU134" i="229"/>
  <c r="BV135" i="229"/>
  <c r="BV134" i="229"/>
  <c r="BW135" i="229"/>
  <c r="BW134" i="229"/>
  <c r="BT146" i="229"/>
  <c r="BT145" i="229"/>
  <c r="BU146" i="229"/>
  <c r="BU145" i="229"/>
  <c r="BV146" i="229"/>
  <c r="BV145" i="229"/>
  <c r="BW146" i="229"/>
  <c r="BW145" i="229"/>
  <c r="BT157" i="229"/>
  <c r="BT156" i="229"/>
  <c r="BU157" i="229"/>
  <c r="BU156" i="229"/>
  <c r="BV157" i="229"/>
  <c r="BV156" i="229"/>
  <c r="BW157" i="229"/>
  <c r="BW156" i="229"/>
  <c r="BT168" i="229"/>
  <c r="BT169" i="229"/>
  <c r="BT167" i="229"/>
  <c r="BU168" i="229"/>
  <c r="BU169" i="229"/>
  <c r="BU167" i="229"/>
  <c r="BV168" i="229"/>
  <c r="BV169" i="229"/>
  <c r="BV167" i="229"/>
  <c r="BW168" i="229"/>
  <c r="BW169" i="229"/>
  <c r="BW167" i="229"/>
  <c r="BT179" i="229"/>
  <c r="BT178" i="229"/>
  <c r="BU179" i="229"/>
  <c r="BU178" i="229"/>
  <c r="BV179" i="229"/>
  <c r="BV178" i="229"/>
  <c r="BW179" i="229"/>
  <c r="BW178" i="229"/>
  <c r="BT90" i="229"/>
  <c r="BU90" i="229"/>
  <c r="BV90" i="229"/>
  <c r="BW90" i="229"/>
  <c r="T33" i="224"/>
  <c r="T33" i="259"/>
  <c r="T111" i="259" s="1"/>
  <c r="C68" i="251"/>
  <c r="C67" i="251"/>
  <c r="H41" i="151"/>
  <c r="J4" i="223"/>
  <c r="K4" i="223" s="1"/>
  <c r="D21" i="225"/>
  <c r="D22" i="225" s="1"/>
  <c r="D23" i="225" s="1"/>
  <c r="E5" i="223"/>
  <c r="E4" i="256" s="1"/>
  <c r="E39" i="256" s="1"/>
  <c r="D111" i="224"/>
  <c r="D112" i="224"/>
  <c r="F6" i="223"/>
  <c r="G6" i="223"/>
  <c r="H6" i="223"/>
  <c r="J6" i="223"/>
  <c r="K6" i="223"/>
  <c r="L6" i="223"/>
  <c r="M6" i="223"/>
  <c r="N6" i="223"/>
  <c r="O6" i="223"/>
  <c r="P6" i="223"/>
  <c r="Q6" i="223"/>
  <c r="R6" i="223"/>
  <c r="S6" i="223"/>
  <c r="E111" i="224"/>
  <c r="F111" i="224"/>
  <c r="G111" i="224"/>
  <c r="H111" i="224"/>
  <c r="I111" i="224"/>
  <c r="J111" i="224"/>
  <c r="K111" i="224"/>
  <c r="L111" i="224"/>
  <c r="M111" i="224"/>
  <c r="N111" i="224"/>
  <c r="O111" i="224"/>
  <c r="P111" i="224"/>
  <c r="Q111" i="224"/>
  <c r="R111" i="224"/>
  <c r="S111" i="224"/>
  <c r="D182" i="224"/>
  <c r="E182" i="224" s="1"/>
  <c r="F182" i="224" s="1"/>
  <c r="G182" i="224" s="1"/>
  <c r="H182" i="224" s="1"/>
  <c r="I182" i="224" s="1"/>
  <c r="J182" i="224" s="1"/>
  <c r="K182" i="224" s="1"/>
  <c r="L182" i="224" s="1"/>
  <c r="M182" i="224" s="1"/>
  <c r="N182" i="224" s="1"/>
  <c r="O182" i="224" s="1"/>
  <c r="P182" i="224" s="1"/>
  <c r="Q182" i="224" s="1"/>
  <c r="R182" i="224" s="1"/>
  <c r="S182" i="224" s="1"/>
  <c r="D7" i="224"/>
  <c r="D173" i="224"/>
  <c r="E7" i="224"/>
  <c r="E173" i="224"/>
  <c r="F7" i="224"/>
  <c r="F173" i="224"/>
  <c r="G7" i="224"/>
  <c r="G173" i="224"/>
  <c r="H7" i="224"/>
  <c r="H173" i="224"/>
  <c r="I7" i="224"/>
  <c r="I173" i="224"/>
  <c r="J7" i="224"/>
  <c r="J173" i="224"/>
  <c r="K7" i="224"/>
  <c r="K173" i="224"/>
  <c r="L7" i="224"/>
  <c r="L173" i="224"/>
  <c r="M7" i="224"/>
  <c r="M173" i="224"/>
  <c r="N7" i="224"/>
  <c r="N173" i="224"/>
  <c r="O7" i="224"/>
  <c r="O173" i="224"/>
  <c r="P7" i="224"/>
  <c r="P173" i="224"/>
  <c r="Q7" i="224"/>
  <c r="Q173" i="224"/>
  <c r="D111" i="259"/>
  <c r="D112" i="259" s="1"/>
  <c r="F111" i="259"/>
  <c r="H111" i="259"/>
  <c r="J111" i="259"/>
  <c r="L111" i="259"/>
  <c r="M111" i="259"/>
  <c r="N111" i="259"/>
  <c r="O111" i="259"/>
  <c r="Q111" i="259"/>
  <c r="R111" i="259"/>
  <c r="D159" i="259"/>
  <c r="D183" i="259" s="1"/>
  <c r="L7" i="264"/>
  <c r="O17" i="264" s="1"/>
  <c r="L9" i="264"/>
  <c r="N17" i="264" s="1"/>
  <c r="L8" i="264"/>
  <c r="M17" i="264" s="1"/>
  <c r="P63" i="264"/>
  <c r="P4" i="264"/>
  <c r="P16" i="264" s="1"/>
  <c r="P37" i="264" s="1"/>
  <c r="P62" i="264" s="1"/>
  <c r="L4" i="264"/>
  <c r="L16" i="264" s="1"/>
  <c r="L37" i="264" s="1"/>
  <c r="L62" i="264" s="1"/>
  <c r="L15" i="264"/>
  <c r="L36" i="264"/>
  <c r="L61" i="264"/>
  <c r="D15" i="264"/>
  <c r="D36" i="264"/>
  <c r="D61" i="264"/>
  <c r="P38" i="264"/>
  <c r="S4" i="264"/>
  <c r="S16" i="264" s="1"/>
  <c r="N4" i="264"/>
  <c r="O16" i="264" s="1"/>
  <c r="K4" i="264"/>
  <c r="K16" i="264" s="1"/>
  <c r="E4" i="264"/>
  <c r="G16" i="264" s="1"/>
  <c r="P17" i="264"/>
  <c r="T117" i="259"/>
  <c r="T116" i="259"/>
  <c r="T115" i="259"/>
  <c r="D34" i="224"/>
  <c r="C15" i="228"/>
  <c r="C37" i="228"/>
  <c r="C62" i="228"/>
  <c r="C8" i="229"/>
  <c r="B71" i="229"/>
  <c r="B20" i="264"/>
  <c r="B21" i="264"/>
  <c r="B22" i="264"/>
  <c r="B23" i="264"/>
  <c r="B24" i="264"/>
  <c r="B25" i="264"/>
  <c r="B26" i="264"/>
  <c r="B27" i="264"/>
  <c r="B28" i="264"/>
  <c r="B29" i="264"/>
  <c r="B30" i="264"/>
  <c r="B31" i="264"/>
  <c r="L6" i="264"/>
  <c r="W3" i="237"/>
  <c r="AP3" i="237" s="1"/>
  <c r="AP11" i="237" s="1"/>
  <c r="V3" i="243"/>
  <c r="AO3" i="243"/>
  <c r="V3" i="245"/>
  <c r="AO3" i="245" s="1"/>
  <c r="AO11" i="245" s="1"/>
  <c r="V3" i="246"/>
  <c r="AO3" i="246"/>
  <c r="X3" i="253"/>
  <c r="AS3" i="253"/>
  <c r="P9" i="264"/>
  <c r="P8" i="264"/>
  <c r="P7" i="264"/>
  <c r="P6" i="264"/>
  <c r="B66" i="264"/>
  <c r="B67" i="264"/>
  <c r="B68" i="264"/>
  <c r="B69" i="264"/>
  <c r="B70" i="264"/>
  <c r="B71" i="264"/>
  <c r="B72" i="264"/>
  <c r="B73" i="264"/>
  <c r="B74" i="264"/>
  <c r="B75" i="264"/>
  <c r="B76" i="264"/>
  <c r="B77" i="264"/>
  <c r="B78" i="264"/>
  <c r="B79" i="264"/>
  <c r="B80" i="264"/>
  <c r="B81" i="264"/>
  <c r="B41" i="264"/>
  <c r="B42" i="264"/>
  <c r="B43" i="264"/>
  <c r="B44" i="264"/>
  <c r="B45" i="264"/>
  <c r="B46" i="264"/>
  <c r="B47" i="264"/>
  <c r="B48" i="264"/>
  <c r="B49" i="264"/>
  <c r="B50" i="264"/>
  <c r="B51" i="264"/>
  <c r="B52" i="264"/>
  <c r="B53" i="264"/>
  <c r="B54" i="264"/>
  <c r="B55" i="264"/>
  <c r="B56" i="264"/>
  <c r="T111" i="224"/>
  <c r="B7" i="264"/>
  <c r="G17" i="264" s="1"/>
  <c r="H7" i="264"/>
  <c r="B8" i="264"/>
  <c r="H8" i="264" s="1"/>
  <c r="B9" i="264"/>
  <c r="H9" i="264" s="1"/>
  <c r="B6" i="264"/>
  <c r="H6" i="264"/>
  <c r="H4" i="264"/>
  <c r="H16" i="264" s="1"/>
  <c r="H37" i="264" s="1"/>
  <c r="H62" i="264" s="1"/>
  <c r="B4" i="264"/>
  <c r="D16" i="264" s="1"/>
  <c r="D37" i="264" s="1"/>
  <c r="D62" i="264" s="1"/>
  <c r="F17" i="264"/>
  <c r="F38" i="264"/>
  <c r="F63" i="264" s="1"/>
  <c r="J63" i="264" s="1"/>
  <c r="E17" i="264"/>
  <c r="I17" i="264" s="1"/>
  <c r="H63" i="264"/>
  <c r="J38" i="264"/>
  <c r="H38" i="264"/>
  <c r="J17" i="264"/>
  <c r="H17" i="264"/>
  <c r="H44" i="260"/>
  <c r="D8" i="239"/>
  <c r="H7" i="239"/>
  <c r="J7" i="239"/>
  <c r="F8" i="239"/>
  <c r="D9" i="239"/>
  <c r="H9" i="239"/>
  <c r="J9" i="239"/>
  <c r="F9" i="239"/>
  <c r="K9" i="239"/>
  <c r="D10" i="239"/>
  <c r="K10" i="239" s="1"/>
  <c r="H10" i="239"/>
  <c r="J10" i="239"/>
  <c r="F10" i="239"/>
  <c r="D11" i="239"/>
  <c r="H11" i="239"/>
  <c r="J11" i="239"/>
  <c r="K11" i="239" s="1"/>
  <c r="F11" i="239"/>
  <c r="D13" i="239"/>
  <c r="H13" i="239"/>
  <c r="J13" i="239"/>
  <c r="F13" i="239"/>
  <c r="K13" i="239"/>
  <c r="D15" i="239"/>
  <c r="K15" i="239" s="1"/>
  <c r="M15" i="239" s="1"/>
  <c r="H15" i="239"/>
  <c r="J15" i="239"/>
  <c r="F15" i="239"/>
  <c r="D16" i="239"/>
  <c r="H16" i="239"/>
  <c r="J16" i="239"/>
  <c r="F16" i="239"/>
  <c r="F42" i="239" s="1"/>
  <c r="D17" i="239"/>
  <c r="K17" i="239" s="1"/>
  <c r="M17" i="239" s="1"/>
  <c r="H17" i="239"/>
  <c r="J17" i="239"/>
  <c r="F17" i="239"/>
  <c r="D19" i="239"/>
  <c r="H19" i="239"/>
  <c r="J19" i="239"/>
  <c r="F19" i="239"/>
  <c r="D22" i="239"/>
  <c r="H21" i="239"/>
  <c r="J21" i="239"/>
  <c r="F22" i="239"/>
  <c r="K22" i="239"/>
  <c r="L22" i="239" s="1"/>
  <c r="D24" i="239"/>
  <c r="K24" i="239" s="1"/>
  <c r="L24" i="239" s="1"/>
  <c r="H23" i="239"/>
  <c r="J23" i="239"/>
  <c r="F24" i="239"/>
  <c r="D25" i="239"/>
  <c r="H25" i="239"/>
  <c r="J25" i="239"/>
  <c r="K25" i="239" s="1"/>
  <c r="M25" i="239" s="1"/>
  <c r="F25" i="239"/>
  <c r="D28" i="239"/>
  <c r="H27" i="239"/>
  <c r="J27" i="239"/>
  <c r="F28" i="239"/>
  <c r="K28" i="239"/>
  <c r="D29" i="239"/>
  <c r="K29" i="239" s="1"/>
  <c r="H29" i="239"/>
  <c r="J29" i="239"/>
  <c r="F29" i="239"/>
  <c r="D31" i="239"/>
  <c r="H31" i="239"/>
  <c r="K31" i="239" s="1"/>
  <c r="J31" i="239"/>
  <c r="F31" i="239"/>
  <c r="D32" i="239"/>
  <c r="K32" i="239" s="1"/>
  <c r="H32" i="239"/>
  <c r="J32" i="239"/>
  <c r="F32" i="239"/>
  <c r="D34" i="239"/>
  <c r="K34" i="239" s="1"/>
  <c r="H34" i="239"/>
  <c r="J34" i="239"/>
  <c r="F34" i="239"/>
  <c r="D35" i="239"/>
  <c r="H35" i="239"/>
  <c r="J35" i="239"/>
  <c r="F35" i="239"/>
  <c r="K35" i="239"/>
  <c r="D37" i="239"/>
  <c r="K37" i="239" s="1"/>
  <c r="H37" i="239"/>
  <c r="J37" i="239"/>
  <c r="F37" i="239"/>
  <c r="D38" i="239"/>
  <c r="H38" i="239"/>
  <c r="J38" i="239"/>
  <c r="K38" i="239" s="1"/>
  <c r="F38" i="239"/>
  <c r="D39" i="239"/>
  <c r="F39" i="239"/>
  <c r="H39" i="239"/>
  <c r="J39" i="239"/>
  <c r="K39" i="239"/>
  <c r="J40" i="239"/>
  <c r="H40" i="239"/>
  <c r="F40" i="239"/>
  <c r="D40" i="239"/>
  <c r="D51" i="239"/>
  <c r="H50" i="239"/>
  <c r="J50" i="239"/>
  <c r="K51" i="239" s="1"/>
  <c r="F51" i="239"/>
  <c r="D52" i="239"/>
  <c r="H52" i="239"/>
  <c r="J52" i="239"/>
  <c r="F52" i="239"/>
  <c r="K52" i="239"/>
  <c r="D53" i="239"/>
  <c r="K53" i="239" s="1"/>
  <c r="H53" i="239"/>
  <c r="J53" i="239"/>
  <c r="F53" i="239"/>
  <c r="D54" i="239"/>
  <c r="H54" i="239"/>
  <c r="K54" i="239" s="1"/>
  <c r="J54" i="239"/>
  <c r="F54" i="239"/>
  <c r="D56" i="239"/>
  <c r="K56" i="239" s="1"/>
  <c r="L56" i="239" s="1"/>
  <c r="H56" i="239"/>
  <c r="J56" i="239"/>
  <c r="F56" i="239"/>
  <c r="D58" i="239"/>
  <c r="H58" i="239"/>
  <c r="J58" i="239"/>
  <c r="F58" i="239"/>
  <c r="D59" i="239"/>
  <c r="H59" i="239"/>
  <c r="J59" i="239"/>
  <c r="F59" i="239"/>
  <c r="K59" i="239"/>
  <c r="D60" i="239"/>
  <c r="H60" i="239"/>
  <c r="K60" i="239" s="1"/>
  <c r="J60" i="239"/>
  <c r="F60" i="239"/>
  <c r="D62" i="239"/>
  <c r="H62" i="239"/>
  <c r="J62" i="239"/>
  <c r="K62" i="239" s="1"/>
  <c r="F62" i="239"/>
  <c r="D65" i="239"/>
  <c r="H64" i="239"/>
  <c r="J64" i="239"/>
  <c r="F65" i="239"/>
  <c r="K65" i="239"/>
  <c r="D67" i="239"/>
  <c r="K67" i="239" s="1"/>
  <c r="L67" i="239" s="1"/>
  <c r="H66" i="239"/>
  <c r="J66" i="239"/>
  <c r="F67" i="239"/>
  <c r="D68" i="239"/>
  <c r="H68" i="239"/>
  <c r="K68" i="239" s="1"/>
  <c r="J68" i="239"/>
  <c r="F68" i="239"/>
  <c r="D71" i="239"/>
  <c r="K71" i="239" s="1"/>
  <c r="H70" i="239"/>
  <c r="J70" i="239"/>
  <c r="F71" i="239"/>
  <c r="D72" i="239"/>
  <c r="H72" i="239"/>
  <c r="J72" i="239"/>
  <c r="F72" i="239"/>
  <c r="D74" i="239"/>
  <c r="H74" i="239"/>
  <c r="J74" i="239"/>
  <c r="F74" i="239"/>
  <c r="K74" i="239"/>
  <c r="D75" i="239"/>
  <c r="H75" i="239"/>
  <c r="K75" i="239" s="1"/>
  <c r="J75" i="239"/>
  <c r="F75" i="239"/>
  <c r="H77" i="239"/>
  <c r="J77" i="239"/>
  <c r="F77" i="239"/>
  <c r="H78" i="239"/>
  <c r="K78" i="239" s="1"/>
  <c r="J78" i="239"/>
  <c r="F78" i="239"/>
  <c r="H80" i="239"/>
  <c r="J80" i="239"/>
  <c r="F80" i="239"/>
  <c r="H81" i="239"/>
  <c r="K81" i="239" s="1"/>
  <c r="J81" i="239"/>
  <c r="F81" i="239"/>
  <c r="D82" i="239"/>
  <c r="F82" i="239"/>
  <c r="H82" i="239"/>
  <c r="K82" i="239" s="1"/>
  <c r="J82" i="239"/>
  <c r="D83" i="239"/>
  <c r="K83" i="239" s="1"/>
  <c r="H83" i="239"/>
  <c r="J83" i="239"/>
  <c r="B84" i="239"/>
  <c r="S6" i="227"/>
  <c r="T6" i="227" s="1"/>
  <c r="F6" i="222"/>
  <c r="E6" i="227" s="1"/>
  <c r="D94" i="239"/>
  <c r="H93" i="239"/>
  <c r="J93" i="239"/>
  <c r="F94" i="239"/>
  <c r="D95" i="239"/>
  <c r="K95" i="239" s="1"/>
  <c r="L95" i="239" s="1"/>
  <c r="H95" i="239"/>
  <c r="J95" i="239"/>
  <c r="F95" i="239"/>
  <c r="D96" i="239"/>
  <c r="H96" i="239"/>
  <c r="J96" i="239"/>
  <c r="F96" i="239"/>
  <c r="D97" i="239"/>
  <c r="H97" i="239"/>
  <c r="J97" i="239"/>
  <c r="F97" i="239"/>
  <c r="K97" i="239"/>
  <c r="M97" i="239" s="1"/>
  <c r="D99" i="239"/>
  <c r="H99" i="239"/>
  <c r="K99" i="239" s="1"/>
  <c r="J99" i="239"/>
  <c r="F99" i="239"/>
  <c r="D101" i="239"/>
  <c r="H101" i="239"/>
  <c r="J101" i="239"/>
  <c r="K101" i="239" s="1"/>
  <c r="F101" i="239"/>
  <c r="D102" i="239"/>
  <c r="H102" i="239"/>
  <c r="J102" i="239"/>
  <c r="F102" i="239"/>
  <c r="K102" i="239"/>
  <c r="D103" i="239"/>
  <c r="K103" i="239" s="1"/>
  <c r="H103" i="239"/>
  <c r="J103" i="239"/>
  <c r="F103" i="239"/>
  <c r="D106" i="239"/>
  <c r="K106" i="239" s="1"/>
  <c r="L106" i="239" s="1"/>
  <c r="H105" i="239"/>
  <c r="J105" i="239"/>
  <c r="F106" i="239"/>
  <c r="D108" i="239"/>
  <c r="K108" i="239" s="1"/>
  <c r="L108" i="239" s="1"/>
  <c r="H107" i="239"/>
  <c r="J107" i="239"/>
  <c r="F108" i="239"/>
  <c r="D109" i="239"/>
  <c r="H109" i="239"/>
  <c r="J109" i="239"/>
  <c r="F109" i="239"/>
  <c r="D112" i="239"/>
  <c r="H111" i="239"/>
  <c r="J111" i="239"/>
  <c r="F112" i="239"/>
  <c r="K112" i="239"/>
  <c r="L112" i="239" s="1"/>
  <c r="D113" i="239"/>
  <c r="H113" i="239"/>
  <c r="K113" i="239" s="1"/>
  <c r="M113" i="239" s="1"/>
  <c r="J113" i="239"/>
  <c r="F113" i="239"/>
  <c r="D115" i="239"/>
  <c r="H115" i="239"/>
  <c r="J115" i="239"/>
  <c r="K115" i="239" s="1"/>
  <c r="F115" i="239"/>
  <c r="D116" i="239"/>
  <c r="H116" i="239"/>
  <c r="J116" i="239"/>
  <c r="F116" i="239"/>
  <c r="K116" i="239"/>
  <c r="H118" i="239"/>
  <c r="K118" i="239" s="1"/>
  <c r="M118" i="239" s="1"/>
  <c r="J118" i="239"/>
  <c r="F118" i="239"/>
  <c r="H119" i="239"/>
  <c r="J119" i="239"/>
  <c r="F119" i="239"/>
  <c r="K119" i="239"/>
  <c r="H121" i="239"/>
  <c r="K121" i="239" s="1"/>
  <c r="J121" i="239"/>
  <c r="F121" i="239"/>
  <c r="H122" i="239"/>
  <c r="J122" i="239"/>
  <c r="F122" i="239"/>
  <c r="K122" i="239"/>
  <c r="D123" i="239"/>
  <c r="K123" i="239" s="1"/>
  <c r="F123" i="239"/>
  <c r="H123" i="239"/>
  <c r="J123" i="239"/>
  <c r="B124" i="239"/>
  <c r="F4" i="216"/>
  <c r="S7" i="227"/>
  <c r="U7" i="227" s="1"/>
  <c r="F7" i="222"/>
  <c r="E7" i="227" s="1"/>
  <c r="S11" i="227"/>
  <c r="T11" i="227" s="1"/>
  <c r="F6" i="221"/>
  <c r="F13" i="222"/>
  <c r="E11" i="227"/>
  <c r="B41" i="239"/>
  <c r="F4" i="212" s="1"/>
  <c r="F5" i="222"/>
  <c r="E5" i="227" s="1"/>
  <c r="S5" i="227"/>
  <c r="T5" i="227" s="1"/>
  <c r="D134" i="239"/>
  <c r="H133" i="239"/>
  <c r="J133" i="239"/>
  <c r="F134" i="239"/>
  <c r="B135" i="239"/>
  <c r="D135" i="239" s="1"/>
  <c r="D136" i="239"/>
  <c r="K136" i="239" s="1"/>
  <c r="H136" i="239"/>
  <c r="J136" i="239"/>
  <c r="F136" i="239"/>
  <c r="D137" i="239"/>
  <c r="H137" i="239"/>
  <c r="J137" i="239"/>
  <c r="F137" i="239"/>
  <c r="D139" i="239"/>
  <c r="K139" i="239" s="1"/>
  <c r="H139" i="239"/>
  <c r="J139" i="239"/>
  <c r="F139" i="239"/>
  <c r="D141" i="239"/>
  <c r="H141" i="239"/>
  <c r="J141" i="239"/>
  <c r="F141" i="239"/>
  <c r="D142" i="239"/>
  <c r="H142" i="239"/>
  <c r="J142" i="239"/>
  <c r="F142" i="239"/>
  <c r="K142" i="239"/>
  <c r="M142" i="239" s="1"/>
  <c r="D143" i="239"/>
  <c r="H143" i="239"/>
  <c r="K143" i="239" s="1"/>
  <c r="M143" i="239" s="1"/>
  <c r="J143" i="239"/>
  <c r="F143" i="239"/>
  <c r="D152" i="239"/>
  <c r="H151" i="239"/>
  <c r="J151" i="239"/>
  <c r="K152" i="239" s="1"/>
  <c r="L152" i="239" s="1"/>
  <c r="F152" i="239"/>
  <c r="D153" i="239"/>
  <c r="H153" i="239"/>
  <c r="J153" i="239"/>
  <c r="F153" i="239"/>
  <c r="K153" i="239"/>
  <c r="D155" i="239"/>
  <c r="K155" i="239" s="1"/>
  <c r="H155" i="239"/>
  <c r="J155" i="239"/>
  <c r="F155" i="239"/>
  <c r="D156" i="239"/>
  <c r="K156" i="239" s="1"/>
  <c r="M156" i="239" s="1"/>
  <c r="H156" i="239"/>
  <c r="J156" i="239"/>
  <c r="F156" i="239"/>
  <c r="H158" i="239"/>
  <c r="K158" i="239" s="1"/>
  <c r="M158" i="239" s="1"/>
  <c r="J158" i="239"/>
  <c r="F158" i="239"/>
  <c r="H159" i="239"/>
  <c r="K159" i="239" s="1"/>
  <c r="J159" i="239"/>
  <c r="F159" i="239"/>
  <c r="H161" i="239"/>
  <c r="K161" i="239" s="1"/>
  <c r="J161" i="239"/>
  <c r="F161" i="239"/>
  <c r="H162" i="239"/>
  <c r="J162" i="239"/>
  <c r="F162" i="239"/>
  <c r="D163" i="239"/>
  <c r="K163" i="239" s="1"/>
  <c r="F163" i="239"/>
  <c r="H163" i="239"/>
  <c r="J163" i="239"/>
  <c r="B164" i="239"/>
  <c r="E8" i="227"/>
  <c r="F7" i="219"/>
  <c r="F9" i="222" s="1"/>
  <c r="M229" i="239"/>
  <c r="N229" i="239"/>
  <c r="F10" i="222"/>
  <c r="E10" i="227" s="1"/>
  <c r="I14" i="218"/>
  <c r="I15" i="218"/>
  <c r="I16" i="218"/>
  <c r="I17" i="218"/>
  <c r="I18" i="218"/>
  <c r="I19" i="218"/>
  <c r="I20" i="218"/>
  <c r="I21" i="218"/>
  <c r="I22" i="218"/>
  <c r="I23" i="218"/>
  <c r="I24" i="218"/>
  <c r="G4" i="218"/>
  <c r="F4" i="218"/>
  <c r="E10" i="222"/>
  <c r="D10" i="227"/>
  <c r="N10" i="227" s="1"/>
  <c r="V11" i="227"/>
  <c r="V7" i="227"/>
  <c r="V6" i="227"/>
  <c r="V5" i="227"/>
  <c r="C5" i="222"/>
  <c r="F2" i="212"/>
  <c r="D5" i="222"/>
  <c r="C6" i="222"/>
  <c r="F2" i="215"/>
  <c r="D6" i="222"/>
  <c r="C7" i="222"/>
  <c r="F2" i="216"/>
  <c r="C8" i="222"/>
  <c r="B48" i="265" s="1"/>
  <c r="F2" i="217"/>
  <c r="D8" i="222" s="1"/>
  <c r="C10" i="222"/>
  <c r="C10" i="227" s="1"/>
  <c r="C16" i="228" s="1"/>
  <c r="C38" i="228" s="1"/>
  <c r="C13" i="222"/>
  <c r="C11" i="227" s="1"/>
  <c r="C17" i="228" s="1"/>
  <c r="C39" i="228" s="1"/>
  <c r="C12" i="227"/>
  <c r="C18" i="228" s="1"/>
  <c r="C40" i="228" s="1"/>
  <c r="B68" i="260" s="1"/>
  <c r="C13" i="227"/>
  <c r="C19" i="228" s="1"/>
  <c r="C41" i="228" s="1"/>
  <c r="B69" i="260" s="1"/>
  <c r="C14" i="227"/>
  <c r="C20" i="228" s="1"/>
  <c r="C42" i="228" s="1"/>
  <c r="C15" i="227"/>
  <c r="C21" i="228" s="1"/>
  <c r="C43" i="228" s="1"/>
  <c r="C16" i="227"/>
  <c r="C22" i="228" s="1"/>
  <c r="C44" i="228" s="1"/>
  <c r="C17" i="227"/>
  <c r="C23" i="228" s="1"/>
  <c r="C45" i="228" s="1"/>
  <c r="C18" i="227"/>
  <c r="C24" i="228" s="1"/>
  <c r="C46" i="228" s="1"/>
  <c r="C19" i="227"/>
  <c r="C25" i="228" s="1"/>
  <c r="C47" i="228" s="1"/>
  <c r="C24" i="223"/>
  <c r="D5" i="151"/>
  <c r="B4" i="229"/>
  <c r="H24" i="229"/>
  <c r="I24" i="229"/>
  <c r="J24" i="229"/>
  <c r="K24" i="229"/>
  <c r="L24" i="229"/>
  <c r="M24" i="229"/>
  <c r="N24" i="229"/>
  <c r="O24" i="229"/>
  <c r="P24" i="229"/>
  <c r="Q24" i="229"/>
  <c r="R24" i="229"/>
  <c r="S24" i="229"/>
  <c r="BX24" i="229"/>
  <c r="BY24" i="229"/>
  <c r="BZ24" i="229"/>
  <c r="CA24" i="229"/>
  <c r="CB24" i="229"/>
  <c r="CC24" i="229"/>
  <c r="CD24" i="229"/>
  <c r="CE24" i="229"/>
  <c r="CF24" i="229"/>
  <c r="CG24" i="229"/>
  <c r="CH24" i="229"/>
  <c r="CI24" i="229"/>
  <c r="CJ24" i="229"/>
  <c r="CK24" i="229"/>
  <c r="CL24" i="229"/>
  <c r="CM24" i="229"/>
  <c r="CN24" i="229"/>
  <c r="CO24" i="229"/>
  <c r="CP24" i="229"/>
  <c r="CQ24" i="229"/>
  <c r="CR24" i="229"/>
  <c r="CS24" i="229"/>
  <c r="CT24" i="229"/>
  <c r="CU24" i="229"/>
  <c r="CV24" i="229"/>
  <c r="CW24" i="229"/>
  <c r="CX24" i="229"/>
  <c r="CY24" i="229"/>
  <c r="CZ24" i="229"/>
  <c r="DA24" i="229"/>
  <c r="DB24" i="229"/>
  <c r="DC24" i="229"/>
  <c r="DD24" i="229"/>
  <c r="DE24" i="229"/>
  <c r="DF24" i="229"/>
  <c r="DG24" i="229"/>
  <c r="DH24" i="229"/>
  <c r="DI24" i="229"/>
  <c r="DJ24" i="229"/>
  <c r="DK24" i="229"/>
  <c r="DL24" i="229"/>
  <c r="DM24" i="229"/>
  <c r="DN24" i="229"/>
  <c r="DO24" i="229"/>
  <c r="DP24" i="229"/>
  <c r="DQ24" i="229"/>
  <c r="DR24" i="229"/>
  <c r="DS24" i="229"/>
  <c r="DT24" i="229"/>
  <c r="DU24" i="229"/>
  <c r="DV24" i="229"/>
  <c r="DW24" i="229"/>
  <c r="DX24" i="229"/>
  <c r="DY24" i="229"/>
  <c r="DZ24" i="229"/>
  <c r="EA24" i="229"/>
  <c r="EB24" i="229"/>
  <c r="EC24" i="229"/>
  <c r="ED24" i="229"/>
  <c r="EE24" i="229"/>
  <c r="EF24" i="229"/>
  <c r="EG24" i="229"/>
  <c r="EH24" i="229"/>
  <c r="EI24" i="229"/>
  <c r="EJ24" i="229"/>
  <c r="EK24" i="229"/>
  <c r="EL24" i="229"/>
  <c r="EM24" i="229"/>
  <c r="EN24" i="229"/>
  <c r="D9" i="151"/>
  <c r="D10" i="257" s="1"/>
  <c r="F5" i="198"/>
  <c r="J5" i="198"/>
  <c r="E22" i="198"/>
  <c r="D19" i="204"/>
  <c r="L20" i="204" s="1"/>
  <c r="H20" i="204"/>
  <c r="I20" i="204"/>
  <c r="J20" i="204"/>
  <c r="K20" i="204"/>
  <c r="M20" i="204"/>
  <c r="N20" i="204"/>
  <c r="O20" i="204"/>
  <c r="P20" i="204"/>
  <c r="Q20" i="204"/>
  <c r="R20" i="204"/>
  <c r="S20" i="204"/>
  <c r="U20" i="204"/>
  <c r="V20" i="204"/>
  <c r="W20" i="204"/>
  <c r="X20" i="204"/>
  <c r="Y20" i="204"/>
  <c r="Z20" i="204"/>
  <c r="AA20" i="204"/>
  <c r="AC20" i="204"/>
  <c r="AD20" i="204"/>
  <c r="AE20" i="204"/>
  <c r="AF20" i="204"/>
  <c r="AG20" i="204"/>
  <c r="AH20" i="204"/>
  <c r="AI20" i="204"/>
  <c r="AK20" i="204"/>
  <c r="AL20" i="204"/>
  <c r="AM20" i="204"/>
  <c r="AN20" i="204"/>
  <c r="AO20" i="204"/>
  <c r="AP20" i="204"/>
  <c r="AQ20" i="204"/>
  <c r="AS20" i="204"/>
  <c r="AT20" i="204"/>
  <c r="AU20" i="204"/>
  <c r="AV20" i="204"/>
  <c r="AW20" i="204"/>
  <c r="AX20" i="204"/>
  <c r="AY20" i="204"/>
  <c r="BA20" i="204"/>
  <c r="BB20" i="204"/>
  <c r="BC20" i="204"/>
  <c r="BD20" i="204"/>
  <c r="BE20" i="204"/>
  <c r="BF20" i="204"/>
  <c r="BG20" i="204"/>
  <c r="BI20" i="204"/>
  <c r="BJ20" i="204"/>
  <c r="BK20" i="204"/>
  <c r="BL20" i="204"/>
  <c r="BM20" i="204"/>
  <c r="BN20" i="204"/>
  <c r="BO20" i="204"/>
  <c r="BQ20" i="204"/>
  <c r="BR20" i="204"/>
  <c r="BS20" i="204"/>
  <c r="BT20" i="204"/>
  <c r="BU20" i="204"/>
  <c r="BV20" i="204"/>
  <c r="BW20" i="204"/>
  <c r="BY20" i="204"/>
  <c r="BZ20" i="204"/>
  <c r="CA20" i="204"/>
  <c r="CB20" i="204"/>
  <c r="CC20" i="204"/>
  <c r="CD20" i="204"/>
  <c r="CE20" i="204"/>
  <c r="CG20" i="204"/>
  <c r="CH20" i="204"/>
  <c r="CI20" i="204"/>
  <c r="CJ20" i="204"/>
  <c r="CK20" i="204"/>
  <c r="CL20" i="204"/>
  <c r="CM20" i="204"/>
  <c r="CO20" i="204"/>
  <c r="CP20" i="204"/>
  <c r="CQ20" i="204"/>
  <c r="DO17" i="198"/>
  <c r="H6" i="231"/>
  <c r="I6" i="231" s="1"/>
  <c r="C7" i="230"/>
  <c r="E24" i="231" s="1"/>
  <c r="D7" i="237"/>
  <c r="D35" i="231"/>
  <c r="D46" i="231" s="1"/>
  <c r="D36" i="231"/>
  <c r="D47" i="231" s="1"/>
  <c r="D16" i="231"/>
  <c r="D17" i="231"/>
  <c r="D18" i="231"/>
  <c r="D19" i="231"/>
  <c r="D20" i="231"/>
  <c r="H76" i="231"/>
  <c r="H84" i="231" s="1"/>
  <c r="V22" i="237"/>
  <c r="V23" i="237"/>
  <c r="V39" i="237"/>
  <c r="V45" i="237"/>
  <c r="V33" i="237"/>
  <c r="E7" i="237"/>
  <c r="W22" i="237"/>
  <c r="W23" i="237"/>
  <c r="W39" i="237"/>
  <c r="W45" i="237"/>
  <c r="W33" i="237"/>
  <c r="X22" i="237"/>
  <c r="X23" i="237"/>
  <c r="X39" i="237"/>
  <c r="X45" i="237"/>
  <c r="X33" i="237"/>
  <c r="Y22" i="237"/>
  <c r="Y23" i="237"/>
  <c r="Y39" i="237"/>
  <c r="Y45" i="237"/>
  <c r="Y33" i="237"/>
  <c r="Z22" i="237"/>
  <c r="AA22" i="237" s="1"/>
  <c r="AB22" i="237" s="1"/>
  <c r="AC22" i="237" s="1"/>
  <c r="AD22" i="237" s="1"/>
  <c r="AE22" i="237" s="1"/>
  <c r="AF22" i="237" s="1"/>
  <c r="AG22" i="237" s="1"/>
  <c r="AH22" i="237" s="1"/>
  <c r="AI22" i="237" s="1"/>
  <c r="AJ22" i="237" s="1"/>
  <c r="AK22" i="237" s="1"/>
  <c r="AL22" i="237" s="1"/>
  <c r="Z23" i="237"/>
  <c r="AA23" i="237" s="1"/>
  <c r="AB23" i="237" s="1"/>
  <c r="AC23" i="237" s="1"/>
  <c r="AD23" i="237" s="1"/>
  <c r="AE23" i="237" s="1"/>
  <c r="AF23" i="237" s="1"/>
  <c r="AG23" i="237" s="1"/>
  <c r="AH23" i="237" s="1"/>
  <c r="AI23" i="237" s="1"/>
  <c r="AJ23" i="237" s="1"/>
  <c r="AK23" i="237" s="1"/>
  <c r="AL23" i="237" s="1"/>
  <c r="Z39" i="237"/>
  <c r="Z45" i="237"/>
  <c r="AA45" i="237" s="1"/>
  <c r="AB45" i="237" s="1"/>
  <c r="AC45" i="237" s="1"/>
  <c r="AD45" i="237" s="1"/>
  <c r="AE45" i="237" s="1"/>
  <c r="AF45" i="237" s="1"/>
  <c r="AG45" i="237" s="1"/>
  <c r="AH45" i="237" s="1"/>
  <c r="AI45" i="237" s="1"/>
  <c r="AJ45" i="237" s="1"/>
  <c r="AK45" i="237" s="1"/>
  <c r="AL45" i="237" s="1"/>
  <c r="Z33" i="237"/>
  <c r="AA33" i="237" s="1"/>
  <c r="AB33" i="237" s="1"/>
  <c r="AC33" i="237" s="1"/>
  <c r="AD33" i="237" s="1"/>
  <c r="AE33" i="237" s="1"/>
  <c r="AF33" i="237" s="1"/>
  <c r="AG33" i="237" s="1"/>
  <c r="AH33" i="237" s="1"/>
  <c r="AI33" i="237" s="1"/>
  <c r="AJ33" i="237" s="1"/>
  <c r="AK33" i="237" s="1"/>
  <c r="AL33" i="237" s="1"/>
  <c r="AA39" i="237"/>
  <c r="AB39" i="237" s="1"/>
  <c r="AC39" i="237" s="1"/>
  <c r="AD39" i="237" s="1"/>
  <c r="AE39" i="237" s="1"/>
  <c r="AF39" i="237" s="1"/>
  <c r="AG39" i="237" s="1"/>
  <c r="AH39" i="237" s="1"/>
  <c r="AI39" i="237" s="1"/>
  <c r="AJ39" i="237" s="1"/>
  <c r="AK39" i="237" s="1"/>
  <c r="AL39" i="237" s="1"/>
  <c r="D7" i="242"/>
  <c r="E7" i="242" s="1"/>
  <c r="F7" i="242" s="1"/>
  <c r="D37" i="231"/>
  <c r="D48" i="231" s="1"/>
  <c r="F8" i="241"/>
  <c r="V22" i="242" s="1"/>
  <c r="V23" i="242"/>
  <c r="V39" i="242"/>
  <c r="V45" i="242"/>
  <c r="V33" i="242"/>
  <c r="W22" i="242"/>
  <c r="W23" i="242"/>
  <c r="W39" i="242"/>
  <c r="W45" i="242"/>
  <c r="W33" i="242"/>
  <c r="X22" i="242"/>
  <c r="X23" i="242"/>
  <c r="H30" i="235"/>
  <c r="X39" i="242" s="1"/>
  <c r="X45" i="242"/>
  <c r="X33" i="242"/>
  <c r="Y22" i="242"/>
  <c r="Y23" i="242"/>
  <c r="Y45" i="242"/>
  <c r="Y33" i="242"/>
  <c r="Z22" i="242"/>
  <c r="Z23" i="242"/>
  <c r="AA23" i="242" s="1"/>
  <c r="AB23" i="242" s="1"/>
  <c r="AC23" i="242" s="1"/>
  <c r="AD23" i="242" s="1"/>
  <c r="AE23" i="242" s="1"/>
  <c r="AF23" i="242" s="1"/>
  <c r="AG23" i="242" s="1"/>
  <c r="AH23" i="242" s="1"/>
  <c r="AI23" i="242" s="1"/>
  <c r="AJ23" i="242" s="1"/>
  <c r="AK23" i="242" s="1"/>
  <c r="AL23" i="242" s="1"/>
  <c r="Z45" i="242"/>
  <c r="AA45" i="242" s="1"/>
  <c r="AB45" i="242" s="1"/>
  <c r="AC45" i="242" s="1"/>
  <c r="AD45" i="242" s="1"/>
  <c r="AE45" i="242" s="1"/>
  <c r="AF45" i="242" s="1"/>
  <c r="AG45" i="242" s="1"/>
  <c r="AH45" i="242" s="1"/>
  <c r="AI45" i="242" s="1"/>
  <c r="AJ45" i="242" s="1"/>
  <c r="AK45" i="242" s="1"/>
  <c r="AL45" i="242" s="1"/>
  <c r="Z33" i="242"/>
  <c r="AA33" i="242" s="1"/>
  <c r="AB33" i="242" s="1"/>
  <c r="AC33" i="242" s="1"/>
  <c r="AD33" i="242" s="1"/>
  <c r="AE33" i="242" s="1"/>
  <c r="AF33" i="242" s="1"/>
  <c r="AG33" i="242" s="1"/>
  <c r="AH33" i="242" s="1"/>
  <c r="AI33" i="242" s="1"/>
  <c r="AJ33" i="242" s="1"/>
  <c r="AK33" i="242" s="1"/>
  <c r="AL33" i="242" s="1"/>
  <c r="AA22" i="242"/>
  <c r="AB22" i="242" s="1"/>
  <c r="AC22" i="242" s="1"/>
  <c r="AD22" i="242" s="1"/>
  <c r="AE22" i="242" s="1"/>
  <c r="AF22" i="242" s="1"/>
  <c r="AG22" i="242" s="1"/>
  <c r="AH22" i="242" s="1"/>
  <c r="AI22" i="242" s="1"/>
  <c r="AJ22" i="242" s="1"/>
  <c r="AK22" i="242" s="1"/>
  <c r="AL22" i="242" s="1"/>
  <c r="D7" i="243"/>
  <c r="D38" i="231"/>
  <c r="D49" i="231" s="1"/>
  <c r="C94" i="231" s="1"/>
  <c r="W22" i="243"/>
  <c r="W23" i="243"/>
  <c r="W39" i="243"/>
  <c r="W45" i="243"/>
  <c r="W33" i="243"/>
  <c r="F9" i="241"/>
  <c r="V22" i="243" s="1"/>
  <c r="V23" i="243"/>
  <c r="V39" i="243"/>
  <c r="V45" i="243"/>
  <c r="V33" i="243"/>
  <c r="X22" i="243"/>
  <c r="X23" i="243"/>
  <c r="X39" i="243"/>
  <c r="X45" i="243"/>
  <c r="X33" i="243"/>
  <c r="Y22" i="243"/>
  <c r="Y23" i="243"/>
  <c r="Y39" i="243"/>
  <c r="Y45" i="243"/>
  <c r="Y33" i="243"/>
  <c r="Z22" i="243"/>
  <c r="AA22" i="243" s="1"/>
  <c r="AB22" i="243" s="1"/>
  <c r="AC22" i="243" s="1"/>
  <c r="AD22" i="243" s="1"/>
  <c r="AE22" i="243" s="1"/>
  <c r="AF22" i="243" s="1"/>
  <c r="AG22" i="243" s="1"/>
  <c r="AH22" i="243" s="1"/>
  <c r="AI22" i="243" s="1"/>
  <c r="AJ22" i="243" s="1"/>
  <c r="AK22" i="243" s="1"/>
  <c r="AL22" i="243" s="1"/>
  <c r="Z23" i="243"/>
  <c r="AA23" i="243" s="1"/>
  <c r="AB23" i="243" s="1"/>
  <c r="AC23" i="243" s="1"/>
  <c r="AD23" i="243" s="1"/>
  <c r="AE23" i="243" s="1"/>
  <c r="AF23" i="243" s="1"/>
  <c r="AG23" i="243" s="1"/>
  <c r="AH23" i="243" s="1"/>
  <c r="AI23" i="243" s="1"/>
  <c r="AJ23" i="243" s="1"/>
  <c r="AK23" i="243" s="1"/>
  <c r="AL23" i="243" s="1"/>
  <c r="Z39" i="243"/>
  <c r="AA39" i="243" s="1"/>
  <c r="AB39" i="243" s="1"/>
  <c r="AC39" i="243" s="1"/>
  <c r="AD39" i="243" s="1"/>
  <c r="AE39" i="243" s="1"/>
  <c r="AF39" i="243" s="1"/>
  <c r="AG39" i="243" s="1"/>
  <c r="AH39" i="243" s="1"/>
  <c r="AI39" i="243" s="1"/>
  <c r="AJ39" i="243" s="1"/>
  <c r="AK39" i="243" s="1"/>
  <c r="AL39" i="243" s="1"/>
  <c r="Z45" i="243"/>
  <c r="AA45" i="243" s="1"/>
  <c r="AB45" i="243" s="1"/>
  <c r="AC45" i="243" s="1"/>
  <c r="AD45" i="243" s="1"/>
  <c r="AE45" i="243" s="1"/>
  <c r="AF45" i="243" s="1"/>
  <c r="AG45" i="243" s="1"/>
  <c r="AH45" i="243" s="1"/>
  <c r="AI45" i="243" s="1"/>
  <c r="AJ45" i="243" s="1"/>
  <c r="AK45" i="243" s="1"/>
  <c r="AL45" i="243" s="1"/>
  <c r="Z33" i="243"/>
  <c r="AA33" i="243" s="1"/>
  <c r="AB33" i="243" s="1"/>
  <c r="AC33" i="243" s="1"/>
  <c r="AD33" i="243" s="1"/>
  <c r="AE33" i="243" s="1"/>
  <c r="AF33" i="243" s="1"/>
  <c r="AG33" i="243" s="1"/>
  <c r="AH33" i="243" s="1"/>
  <c r="AI33" i="243" s="1"/>
  <c r="AJ33" i="243" s="1"/>
  <c r="AK33" i="243" s="1"/>
  <c r="AL33" i="243" s="1"/>
  <c r="D39" i="231"/>
  <c r="D50" i="231" s="1"/>
  <c r="W22" i="244"/>
  <c r="W23" i="244"/>
  <c r="W39" i="244"/>
  <c r="W45" i="244"/>
  <c r="F10" i="241"/>
  <c r="V22" i="244" s="1"/>
  <c r="V23" i="244"/>
  <c r="V39" i="244"/>
  <c r="V45" i="244"/>
  <c r="X22" i="244"/>
  <c r="X23" i="244"/>
  <c r="X39" i="244"/>
  <c r="X45" i="244"/>
  <c r="Y22" i="244"/>
  <c r="Y23" i="244"/>
  <c r="Y39" i="244"/>
  <c r="Y45" i="244"/>
  <c r="Z22" i="244"/>
  <c r="AA22" i="244" s="1"/>
  <c r="AB22" i="244" s="1"/>
  <c r="AC22" i="244" s="1"/>
  <c r="AD22" i="244" s="1"/>
  <c r="AE22" i="244" s="1"/>
  <c r="AF22" i="244" s="1"/>
  <c r="AG22" i="244" s="1"/>
  <c r="AH22" i="244" s="1"/>
  <c r="AI22" i="244" s="1"/>
  <c r="AJ22" i="244" s="1"/>
  <c r="AK22" i="244" s="1"/>
  <c r="AL22" i="244" s="1"/>
  <c r="Z23" i="244"/>
  <c r="AA23" i="244" s="1"/>
  <c r="AB23" i="244" s="1"/>
  <c r="AC23" i="244" s="1"/>
  <c r="AD23" i="244" s="1"/>
  <c r="AE23" i="244" s="1"/>
  <c r="AF23" i="244" s="1"/>
  <c r="AG23" i="244" s="1"/>
  <c r="AH23" i="244" s="1"/>
  <c r="AI23" i="244" s="1"/>
  <c r="AJ23" i="244" s="1"/>
  <c r="AK23" i="244" s="1"/>
  <c r="AL23" i="244" s="1"/>
  <c r="Z39" i="244"/>
  <c r="AA39" i="244" s="1"/>
  <c r="AB39" i="244" s="1"/>
  <c r="AC39" i="244" s="1"/>
  <c r="AD39" i="244" s="1"/>
  <c r="AE39" i="244" s="1"/>
  <c r="AF39" i="244" s="1"/>
  <c r="AG39" i="244" s="1"/>
  <c r="AH39" i="244" s="1"/>
  <c r="AI39" i="244" s="1"/>
  <c r="AJ39" i="244" s="1"/>
  <c r="AK39" i="244" s="1"/>
  <c r="AL39" i="244" s="1"/>
  <c r="Z45" i="244"/>
  <c r="AA45" i="244" s="1"/>
  <c r="AB45" i="244" s="1"/>
  <c r="AC45" i="244" s="1"/>
  <c r="AD45" i="244" s="1"/>
  <c r="AE45" i="244" s="1"/>
  <c r="AF45" i="244" s="1"/>
  <c r="AG45" i="244" s="1"/>
  <c r="AH45" i="244" s="1"/>
  <c r="AI45" i="244" s="1"/>
  <c r="AJ45" i="244" s="1"/>
  <c r="AK45" i="244" s="1"/>
  <c r="AL45" i="244" s="1"/>
  <c r="AA33" i="244"/>
  <c r="AB33" i="244" s="1"/>
  <c r="AC33" i="244" s="1"/>
  <c r="AD33" i="244" s="1"/>
  <c r="AE33" i="244" s="1"/>
  <c r="AF33" i="244" s="1"/>
  <c r="AG33" i="244" s="1"/>
  <c r="AH33" i="244" s="1"/>
  <c r="AI33" i="244" s="1"/>
  <c r="AJ33" i="244" s="1"/>
  <c r="AK33" i="244" s="1"/>
  <c r="AL33" i="244" s="1"/>
  <c r="D40" i="231"/>
  <c r="D51" i="231" s="1"/>
  <c r="W39" i="245"/>
  <c r="W45" i="245"/>
  <c r="V39" i="245"/>
  <c r="V45" i="245"/>
  <c r="X39" i="245"/>
  <c r="X45" i="245"/>
  <c r="Y39" i="245"/>
  <c r="Y45" i="245"/>
  <c r="Z39" i="245"/>
  <c r="AA39" i="245" s="1"/>
  <c r="AB39" i="245" s="1"/>
  <c r="AC39" i="245" s="1"/>
  <c r="AD39" i="245" s="1"/>
  <c r="AE39" i="245" s="1"/>
  <c r="AF39" i="245" s="1"/>
  <c r="AG39" i="245" s="1"/>
  <c r="AH39" i="245" s="1"/>
  <c r="AI39" i="245" s="1"/>
  <c r="AJ39" i="245" s="1"/>
  <c r="AK39" i="245" s="1"/>
  <c r="AL39" i="245" s="1"/>
  <c r="Z45" i="245"/>
  <c r="AA45" i="245" s="1"/>
  <c r="AB45" i="245" s="1"/>
  <c r="AC45" i="245" s="1"/>
  <c r="AD45" i="245" s="1"/>
  <c r="AE45" i="245" s="1"/>
  <c r="AF45" i="245" s="1"/>
  <c r="AG45" i="245" s="1"/>
  <c r="AH45" i="245" s="1"/>
  <c r="AI45" i="245" s="1"/>
  <c r="AJ45" i="245" s="1"/>
  <c r="AK45" i="245" s="1"/>
  <c r="AL45" i="245" s="1"/>
  <c r="AA22" i="245"/>
  <c r="AB22" i="245" s="1"/>
  <c r="AC22" i="245" s="1"/>
  <c r="AD22" i="245" s="1"/>
  <c r="AE22" i="245" s="1"/>
  <c r="AF22" i="245" s="1"/>
  <c r="AG22" i="245" s="1"/>
  <c r="AH22" i="245" s="1"/>
  <c r="AI22" i="245" s="1"/>
  <c r="AJ22" i="245" s="1"/>
  <c r="AK22" i="245" s="1"/>
  <c r="AL22" i="245" s="1"/>
  <c r="AA23" i="245"/>
  <c r="AB23" i="245" s="1"/>
  <c r="AC23" i="245" s="1"/>
  <c r="AD23" i="245" s="1"/>
  <c r="AE23" i="245" s="1"/>
  <c r="AF23" i="245" s="1"/>
  <c r="AG23" i="245" s="1"/>
  <c r="AH23" i="245" s="1"/>
  <c r="AI23" i="245" s="1"/>
  <c r="AJ23" i="245" s="1"/>
  <c r="AK23" i="245" s="1"/>
  <c r="AL23" i="245" s="1"/>
  <c r="AA33" i="245"/>
  <c r="AB33" i="245" s="1"/>
  <c r="AC33" i="245" s="1"/>
  <c r="AD33" i="245" s="1"/>
  <c r="AE33" i="245" s="1"/>
  <c r="AF33" i="245" s="1"/>
  <c r="AG33" i="245" s="1"/>
  <c r="AH33" i="245" s="1"/>
  <c r="AI33" i="245" s="1"/>
  <c r="AJ33" i="245" s="1"/>
  <c r="AK33" i="245" s="1"/>
  <c r="AL33" i="245" s="1"/>
  <c r="D7" i="246"/>
  <c r="D41" i="231"/>
  <c r="D52" i="231" s="1"/>
  <c r="V39" i="246"/>
  <c r="V45" i="246"/>
  <c r="E7" i="246"/>
  <c r="F7" i="246" s="1"/>
  <c r="W39" i="246"/>
  <c r="W45" i="246"/>
  <c r="X39" i="246"/>
  <c r="X45" i="246"/>
  <c r="Y39" i="246"/>
  <c r="Y45" i="246"/>
  <c r="Z39" i="246"/>
  <c r="AA39" i="246" s="1"/>
  <c r="AB39" i="246" s="1"/>
  <c r="AC39" i="246" s="1"/>
  <c r="AD39" i="246" s="1"/>
  <c r="AE39" i="246" s="1"/>
  <c r="AF39" i="246" s="1"/>
  <c r="AG39" i="246" s="1"/>
  <c r="AH39" i="246" s="1"/>
  <c r="AI39" i="246" s="1"/>
  <c r="AJ39" i="246" s="1"/>
  <c r="AK39" i="246" s="1"/>
  <c r="AL39" i="246" s="1"/>
  <c r="Z45" i="246"/>
  <c r="AA45" i="246" s="1"/>
  <c r="AB45" i="246" s="1"/>
  <c r="AC45" i="246" s="1"/>
  <c r="AD45" i="246" s="1"/>
  <c r="AE45" i="246" s="1"/>
  <c r="AF45" i="246" s="1"/>
  <c r="AG45" i="246" s="1"/>
  <c r="AH45" i="246" s="1"/>
  <c r="AI45" i="246" s="1"/>
  <c r="AJ45" i="246" s="1"/>
  <c r="AK45" i="246" s="1"/>
  <c r="AL45" i="246" s="1"/>
  <c r="AA22" i="246"/>
  <c r="AA23" i="246"/>
  <c r="AA33" i="246"/>
  <c r="AB22" i="246"/>
  <c r="AB23" i="246"/>
  <c r="AB33" i="246"/>
  <c r="AC22" i="246"/>
  <c r="AC23" i="246"/>
  <c r="AC33" i="246"/>
  <c r="AD22" i="246"/>
  <c r="AD23" i="246"/>
  <c r="AD33" i="246"/>
  <c r="AE22" i="246"/>
  <c r="AE23" i="246"/>
  <c r="AE33" i="246"/>
  <c r="AF22" i="246"/>
  <c r="AF23" i="246"/>
  <c r="AF33" i="246"/>
  <c r="AG22" i="246"/>
  <c r="AG23" i="246"/>
  <c r="AG33" i="246"/>
  <c r="AH22" i="246"/>
  <c r="AH23" i="246"/>
  <c r="AH33" i="246"/>
  <c r="AI22" i="246"/>
  <c r="AI23" i="246"/>
  <c r="AI33" i="246"/>
  <c r="AJ22" i="246"/>
  <c r="AJ23" i="246"/>
  <c r="AJ33" i="246"/>
  <c r="AK22" i="246"/>
  <c r="AK23" i="246"/>
  <c r="AK33" i="246"/>
  <c r="AL22" i="246"/>
  <c r="AL23" i="246"/>
  <c r="AL33" i="246"/>
  <c r="D42" i="231"/>
  <c r="D53" i="231" s="1"/>
  <c r="D7" i="253"/>
  <c r="E7" i="253" s="1"/>
  <c r="Y22" i="253"/>
  <c r="G35" i="235"/>
  <c r="Y39" i="253" s="1"/>
  <c r="X22" i="253"/>
  <c r="F35" i="235"/>
  <c r="X39" i="253" s="1"/>
  <c r="Z22" i="253"/>
  <c r="H35" i="235"/>
  <c r="Z39" i="253" s="1"/>
  <c r="AA22" i="253"/>
  <c r="I35" i="235"/>
  <c r="AA39" i="253" s="1"/>
  <c r="AB22" i="253"/>
  <c r="J35" i="235"/>
  <c r="AB39" i="253" s="1"/>
  <c r="AC39" i="253" s="1"/>
  <c r="AD39" i="253" s="1"/>
  <c r="AE39" i="253" s="1"/>
  <c r="AF39" i="253" s="1"/>
  <c r="AG39" i="253" s="1"/>
  <c r="AH39" i="253" s="1"/>
  <c r="AI39" i="253" s="1"/>
  <c r="AJ39" i="253" s="1"/>
  <c r="AK39" i="253" s="1"/>
  <c r="AL39" i="253" s="1"/>
  <c r="AM39" i="253" s="1"/>
  <c r="AN39" i="253" s="1"/>
  <c r="AO39" i="253" s="1"/>
  <c r="AP39" i="253" s="1"/>
  <c r="AC23" i="253"/>
  <c r="AC22" i="253"/>
  <c r="AD22" i="253" s="1"/>
  <c r="AE22" i="253" s="1"/>
  <c r="AF22" i="253" s="1"/>
  <c r="AG22" i="253" s="1"/>
  <c r="AH22" i="253" s="1"/>
  <c r="AI22" i="253" s="1"/>
  <c r="AJ22" i="253" s="1"/>
  <c r="AK22" i="253" s="1"/>
  <c r="AL22" i="253" s="1"/>
  <c r="AM22" i="253" s="1"/>
  <c r="AN22" i="253" s="1"/>
  <c r="AO22" i="253" s="1"/>
  <c r="AP22" i="253" s="1"/>
  <c r="AC33" i="253"/>
  <c r="AD33" i="253" s="1"/>
  <c r="AE33" i="253" s="1"/>
  <c r="AF33" i="253" s="1"/>
  <c r="AG33" i="253" s="1"/>
  <c r="AH33" i="253" s="1"/>
  <c r="AI33" i="253" s="1"/>
  <c r="AJ33" i="253" s="1"/>
  <c r="AK33" i="253" s="1"/>
  <c r="AL33" i="253" s="1"/>
  <c r="AM33" i="253" s="1"/>
  <c r="AN33" i="253" s="1"/>
  <c r="AO33" i="253" s="1"/>
  <c r="AP33" i="253" s="1"/>
  <c r="AC45" i="253"/>
  <c r="AD23" i="253"/>
  <c r="AD45" i="253"/>
  <c r="AE23" i="253"/>
  <c r="AE45" i="253"/>
  <c r="AF23" i="253"/>
  <c r="AF45" i="253"/>
  <c r="AG23" i="253"/>
  <c r="AG45" i="253"/>
  <c r="AH23" i="253"/>
  <c r="AH45" i="253"/>
  <c r="AI23" i="253"/>
  <c r="AI45" i="253"/>
  <c r="AJ23" i="253"/>
  <c r="AJ45" i="253"/>
  <c r="AK23" i="253"/>
  <c r="AK45" i="253"/>
  <c r="AL23" i="253"/>
  <c r="AL45" i="253"/>
  <c r="AM23" i="253"/>
  <c r="AM45" i="253"/>
  <c r="AN23" i="253"/>
  <c r="AN45" i="253"/>
  <c r="AO23" i="253"/>
  <c r="AO45" i="253"/>
  <c r="AP23" i="253"/>
  <c r="AP45" i="253"/>
  <c r="V40" i="237"/>
  <c r="V41" i="237"/>
  <c r="V24" i="237"/>
  <c r="V25" i="237"/>
  <c r="V26" i="237"/>
  <c r="V27" i="237"/>
  <c r="V28" i="237"/>
  <c r="P16" i="234"/>
  <c r="O16" i="234"/>
  <c r="N16" i="234"/>
  <c r="M16" i="234"/>
  <c r="V16" i="237"/>
  <c r="V34" i="237"/>
  <c r="V35" i="237"/>
  <c r="V40" i="242"/>
  <c r="V41" i="242"/>
  <c r="V24" i="242"/>
  <c r="V25" i="242"/>
  <c r="V26" i="242"/>
  <c r="V27" i="242"/>
  <c r="V28" i="242"/>
  <c r="P17" i="234"/>
  <c r="O17" i="234"/>
  <c r="N17" i="234"/>
  <c r="M17" i="234"/>
  <c r="V16" i="242"/>
  <c r="V34" i="242"/>
  <c r="V35" i="242"/>
  <c r="W40" i="243"/>
  <c r="W41" i="243"/>
  <c r="W24" i="243"/>
  <c r="G44" i="241"/>
  <c r="W25" i="243" s="1"/>
  <c r="W26" i="243"/>
  <c r="W27" i="243"/>
  <c r="W28" i="243"/>
  <c r="P18" i="234"/>
  <c r="O18" i="234"/>
  <c r="N18" i="234"/>
  <c r="W16" i="243"/>
  <c r="G11" i="235"/>
  <c r="G12" i="235" s="1"/>
  <c r="W35" i="243"/>
  <c r="W40" i="244"/>
  <c r="W41" i="244"/>
  <c r="W24" i="244"/>
  <c r="W25" i="244"/>
  <c r="G52" i="241"/>
  <c r="W26" i="244" s="1"/>
  <c r="W27" i="244"/>
  <c r="W28" i="244"/>
  <c r="P19" i="234"/>
  <c r="O19" i="234"/>
  <c r="N19" i="234"/>
  <c r="W16" i="244"/>
  <c r="W40" i="245"/>
  <c r="W41" i="245"/>
  <c r="P20" i="234"/>
  <c r="O20" i="234"/>
  <c r="N20" i="234"/>
  <c r="W16" i="245"/>
  <c r="V40" i="246"/>
  <c r="V41" i="246"/>
  <c r="M21" i="234"/>
  <c r="V16" i="246"/>
  <c r="E12" i="234"/>
  <c r="D10" i="265" s="1"/>
  <c r="N22" i="234"/>
  <c r="Y16" i="253"/>
  <c r="E32" i="234"/>
  <c r="Y24" i="253"/>
  <c r="Y26" i="253"/>
  <c r="Y28" i="253"/>
  <c r="Y40" i="253"/>
  <c r="Y41" i="253"/>
  <c r="C3" i="259"/>
  <c r="E19" i="259" s="1"/>
  <c r="Q22" i="234"/>
  <c r="AB16" i="253"/>
  <c r="X30" i="204"/>
  <c r="Y30" i="204"/>
  <c r="Z30" i="204" s="1"/>
  <c r="AA30" i="204" s="1"/>
  <c r="AB30" i="204" s="1"/>
  <c r="AC30" i="204" s="1"/>
  <c r="AD30" i="204" s="1"/>
  <c r="AE30" i="204" s="1"/>
  <c r="CU7" i="204"/>
  <c r="C50" i="222"/>
  <c r="B56" i="265" s="1"/>
  <c r="B57" i="265" s="1"/>
  <c r="C3" i="253"/>
  <c r="C8" i="204" s="1"/>
  <c r="C34" i="204" s="1"/>
  <c r="A32" i="252"/>
  <c r="D12" i="227"/>
  <c r="G233" i="239"/>
  <c r="D13" i="227"/>
  <c r="D237" i="239"/>
  <c r="E237" i="239" s="1"/>
  <c r="D238" i="239"/>
  <c r="E238" i="239" s="1"/>
  <c r="E239" i="239"/>
  <c r="E240" i="239"/>
  <c r="D241" i="239"/>
  <c r="E241" i="239" s="1"/>
  <c r="D7" i="239"/>
  <c r="K7" i="239" s="1"/>
  <c r="F7" i="239"/>
  <c r="M13" i="239"/>
  <c r="D21" i="239"/>
  <c r="K21" i="239" s="1"/>
  <c r="M21" i="239" s="1"/>
  <c r="F21" i="239"/>
  <c r="D23" i="239"/>
  <c r="K23" i="239" s="1"/>
  <c r="F23" i="239"/>
  <c r="D27" i="239"/>
  <c r="K27" i="239" s="1"/>
  <c r="L27" i="239" s="1"/>
  <c r="F27" i="239"/>
  <c r="D50" i="239"/>
  <c r="K50" i="239" s="1"/>
  <c r="M50" i="239" s="1"/>
  <c r="F50" i="239"/>
  <c r="M52" i="239"/>
  <c r="M56" i="239"/>
  <c r="D64" i="239"/>
  <c r="K64" i="239" s="1"/>
  <c r="L64" i="239" s="1"/>
  <c r="F64" i="239"/>
  <c r="D66" i="239"/>
  <c r="K66" i="239" s="1"/>
  <c r="F66" i="239"/>
  <c r="D70" i="239"/>
  <c r="F70" i="239"/>
  <c r="K70" i="239"/>
  <c r="M81" i="239"/>
  <c r="D93" i="239"/>
  <c r="K93" i="239" s="1"/>
  <c r="F93" i="239"/>
  <c r="M95" i="239"/>
  <c r="M102" i="239"/>
  <c r="D105" i="239"/>
  <c r="F105" i="239"/>
  <c r="K105" i="239" s="1"/>
  <c r="D107" i="239"/>
  <c r="F107" i="239"/>
  <c r="K107" i="239" s="1"/>
  <c r="D111" i="239"/>
  <c r="K111" i="239" s="1"/>
  <c r="F111" i="239"/>
  <c r="M116" i="239"/>
  <c r="M119" i="239"/>
  <c r="M122" i="239"/>
  <c r="D133" i="239"/>
  <c r="K133" i="239" s="1"/>
  <c r="L133" i="239" s="1"/>
  <c r="F133" i="239"/>
  <c r="M133" i="239"/>
  <c r="D151" i="239"/>
  <c r="K151" i="239" s="1"/>
  <c r="F151" i="239"/>
  <c r="M153" i="239"/>
  <c r="B37" i="256"/>
  <c r="C37" i="256"/>
  <c r="D37" i="256"/>
  <c r="B38" i="256"/>
  <c r="B64" i="256"/>
  <c r="D32" i="151"/>
  <c r="D33" i="151"/>
  <c r="B39" i="256"/>
  <c r="B40" i="256"/>
  <c r="B41" i="256"/>
  <c r="B42" i="256"/>
  <c r="B43" i="256"/>
  <c r="B44" i="256"/>
  <c r="B45" i="256"/>
  <c r="B46" i="256"/>
  <c r="B47" i="256"/>
  <c r="B48" i="256"/>
  <c r="B49" i="256"/>
  <c r="B50" i="256"/>
  <c r="B51" i="256"/>
  <c r="B52" i="256"/>
  <c r="B53" i="256"/>
  <c r="B54" i="256"/>
  <c r="B55" i="256"/>
  <c r="B56" i="256"/>
  <c r="B57" i="256"/>
  <c r="B58" i="256"/>
  <c r="B59" i="256"/>
  <c r="B60" i="256"/>
  <c r="B61" i="256"/>
  <c r="B62" i="256"/>
  <c r="L8" i="256"/>
  <c r="L9" i="256"/>
  <c r="L10" i="256"/>
  <c r="L11" i="256"/>
  <c r="L12" i="256"/>
  <c r="L13" i="256"/>
  <c r="L14" i="256"/>
  <c r="L15" i="256"/>
  <c r="L16" i="256"/>
  <c r="L17" i="256"/>
  <c r="L18" i="256"/>
  <c r="L19" i="256"/>
  <c r="L20" i="256"/>
  <c r="L21" i="256"/>
  <c r="L22" i="256"/>
  <c r="L23" i="256"/>
  <c r="L24" i="256"/>
  <c r="L25" i="256"/>
  <c r="M8" i="256"/>
  <c r="M9" i="256"/>
  <c r="M10" i="256"/>
  <c r="M11" i="256"/>
  <c r="M12" i="256"/>
  <c r="M13" i="256"/>
  <c r="M14" i="256"/>
  <c r="M15" i="256"/>
  <c r="M16" i="256"/>
  <c r="M17" i="256"/>
  <c r="M18" i="256"/>
  <c r="M19" i="256"/>
  <c r="M20" i="256"/>
  <c r="M21" i="256"/>
  <c r="M22" i="256"/>
  <c r="M23" i="256"/>
  <c r="M24" i="256"/>
  <c r="M25" i="256"/>
  <c r="M26" i="256"/>
  <c r="M27" i="256"/>
  <c r="M28" i="256"/>
  <c r="N28" i="256" s="1"/>
  <c r="M29" i="256"/>
  <c r="N29" i="256" s="1"/>
  <c r="O29" i="256" s="1"/>
  <c r="P29" i="256" s="1"/>
  <c r="Q29" i="256" s="1"/>
  <c r="R29" i="256" s="1"/>
  <c r="S29" i="256" s="1"/>
  <c r="T29" i="256" s="1"/>
  <c r="U29" i="256" s="1"/>
  <c r="V29" i="256" s="1"/>
  <c r="W29" i="256" s="1"/>
  <c r="X29" i="256" s="1"/>
  <c r="Y29" i="256" s="1"/>
  <c r="Z29" i="256" s="1"/>
  <c r="AA29" i="256" s="1"/>
  <c r="M30" i="256"/>
  <c r="M31" i="256"/>
  <c r="M32" i="256"/>
  <c r="N32" i="256" s="1"/>
  <c r="O32" i="256" s="1"/>
  <c r="P32" i="256" s="1"/>
  <c r="Q32" i="256" s="1"/>
  <c r="R32" i="256" s="1"/>
  <c r="S32" i="256" s="1"/>
  <c r="T32" i="256" s="1"/>
  <c r="U32" i="256" s="1"/>
  <c r="V32" i="256" s="1"/>
  <c r="W32" i="256" s="1"/>
  <c r="X32" i="256" s="1"/>
  <c r="Y32" i="256" s="1"/>
  <c r="Z32" i="256" s="1"/>
  <c r="AA32" i="256" s="1"/>
  <c r="N8" i="256"/>
  <c r="N9" i="256"/>
  <c r="N10" i="256"/>
  <c r="N11" i="256"/>
  <c r="N12" i="256"/>
  <c r="N13" i="256"/>
  <c r="N14" i="256"/>
  <c r="N15" i="256"/>
  <c r="N16" i="256"/>
  <c r="N17" i="256"/>
  <c r="N18" i="256"/>
  <c r="N19" i="256"/>
  <c r="N20" i="256"/>
  <c r="N21" i="256"/>
  <c r="N22" i="256"/>
  <c r="N23" i="256"/>
  <c r="N24" i="256"/>
  <c r="N25" i="256"/>
  <c r="N26" i="256"/>
  <c r="N27" i="256"/>
  <c r="O27" i="256" s="1"/>
  <c r="N30" i="256"/>
  <c r="N31" i="256"/>
  <c r="O8" i="256"/>
  <c r="O9" i="256"/>
  <c r="O10" i="256"/>
  <c r="O11" i="256"/>
  <c r="O12" i="256"/>
  <c r="O13" i="256"/>
  <c r="O14" i="256"/>
  <c r="O15" i="256"/>
  <c r="O16" i="256"/>
  <c r="O17" i="256"/>
  <c r="O18" i="256"/>
  <c r="O19" i="256"/>
  <c r="O20" i="256"/>
  <c r="O21" i="256"/>
  <c r="O22" i="256"/>
  <c r="O23" i="256"/>
  <c r="O24" i="256"/>
  <c r="O25" i="256"/>
  <c r="O26" i="256"/>
  <c r="P26" i="256" s="1"/>
  <c r="O30" i="256"/>
  <c r="O31" i="256"/>
  <c r="P31" i="256" s="1"/>
  <c r="Q31" i="256" s="1"/>
  <c r="R31" i="256" s="1"/>
  <c r="S31" i="256" s="1"/>
  <c r="T31" i="256" s="1"/>
  <c r="U31" i="256" s="1"/>
  <c r="V31" i="256" s="1"/>
  <c r="W31" i="256" s="1"/>
  <c r="X31" i="256" s="1"/>
  <c r="Y31" i="256" s="1"/>
  <c r="Z31" i="256" s="1"/>
  <c r="AA31" i="256" s="1"/>
  <c r="P8" i="256"/>
  <c r="P9" i="256"/>
  <c r="P10" i="256"/>
  <c r="P11" i="256"/>
  <c r="P12" i="256"/>
  <c r="P13" i="256"/>
  <c r="P14" i="256"/>
  <c r="P15" i="256"/>
  <c r="P16" i="256"/>
  <c r="P17" i="256"/>
  <c r="P18" i="256"/>
  <c r="P19" i="256"/>
  <c r="P20" i="256"/>
  <c r="P21" i="256"/>
  <c r="P22" i="256"/>
  <c r="P23" i="256"/>
  <c r="P24" i="256"/>
  <c r="P25" i="256"/>
  <c r="Q25" i="256" s="1"/>
  <c r="P30" i="256"/>
  <c r="Q30" i="256" s="1"/>
  <c r="R30" i="256" s="1"/>
  <c r="S30" i="256" s="1"/>
  <c r="T30" i="256" s="1"/>
  <c r="U30" i="256" s="1"/>
  <c r="V30" i="256" s="1"/>
  <c r="W30" i="256" s="1"/>
  <c r="X30" i="256" s="1"/>
  <c r="Y30" i="256" s="1"/>
  <c r="Z30" i="256" s="1"/>
  <c r="AA30" i="256" s="1"/>
  <c r="Q8" i="256"/>
  <c r="Q9" i="256"/>
  <c r="Q10" i="256"/>
  <c r="Q11" i="256"/>
  <c r="Q12" i="256"/>
  <c r="Q13" i="256"/>
  <c r="Q14" i="256"/>
  <c r="Q15" i="256"/>
  <c r="Q16" i="256"/>
  <c r="Q17" i="256"/>
  <c r="Q18" i="256"/>
  <c r="Q19" i="256"/>
  <c r="Q20" i="256"/>
  <c r="Q21" i="256"/>
  <c r="Q22" i="256"/>
  <c r="Q23" i="256"/>
  <c r="Q24" i="256"/>
  <c r="R24" i="256" s="1"/>
  <c r="R8" i="256"/>
  <c r="R9" i="256"/>
  <c r="R10" i="256"/>
  <c r="R11" i="256"/>
  <c r="R12" i="256"/>
  <c r="R13" i="256"/>
  <c r="R14" i="256"/>
  <c r="R15" i="256"/>
  <c r="R16" i="256"/>
  <c r="R17" i="256"/>
  <c r="R18" i="256"/>
  <c r="R19" i="256"/>
  <c r="R20" i="256"/>
  <c r="R21" i="256"/>
  <c r="R22" i="256"/>
  <c r="R23" i="256"/>
  <c r="S8" i="256"/>
  <c r="S9" i="256"/>
  <c r="S10" i="256"/>
  <c r="S11" i="256"/>
  <c r="S12" i="256"/>
  <c r="S13" i="256"/>
  <c r="S14" i="256"/>
  <c r="S15" i="256"/>
  <c r="S16" i="256"/>
  <c r="S17" i="256"/>
  <c r="S18" i="256"/>
  <c r="S19" i="256"/>
  <c r="S20" i="256"/>
  <c r="S21" i="256"/>
  <c r="S22" i="256"/>
  <c r="S23" i="256"/>
  <c r="T8" i="256"/>
  <c r="T9" i="256"/>
  <c r="T10" i="256"/>
  <c r="T11" i="256"/>
  <c r="T12" i="256"/>
  <c r="T13" i="256"/>
  <c r="T14" i="256"/>
  <c r="T15" i="256"/>
  <c r="T16" i="256"/>
  <c r="T17" i="256"/>
  <c r="T18" i="256"/>
  <c r="T19" i="256"/>
  <c r="T20" i="256"/>
  <c r="T21" i="256"/>
  <c r="T22" i="256"/>
  <c r="T23" i="256"/>
  <c r="U8" i="256"/>
  <c r="U9" i="256"/>
  <c r="U10" i="256"/>
  <c r="U11" i="256"/>
  <c r="U12" i="256"/>
  <c r="U13" i="256"/>
  <c r="U14" i="256"/>
  <c r="U15" i="256"/>
  <c r="U16" i="256"/>
  <c r="U17" i="256"/>
  <c r="U18" i="256"/>
  <c r="U19" i="256"/>
  <c r="U20" i="256"/>
  <c r="U21" i="256"/>
  <c r="U22" i="256"/>
  <c r="U23" i="256"/>
  <c r="V8" i="256"/>
  <c r="V9" i="256"/>
  <c r="V10" i="256"/>
  <c r="V11" i="256"/>
  <c r="V12" i="256"/>
  <c r="V13" i="256"/>
  <c r="V14" i="256"/>
  <c r="V15" i="256"/>
  <c r="V16" i="256"/>
  <c r="V17" i="256"/>
  <c r="V18" i="256"/>
  <c r="V19" i="256"/>
  <c r="V20" i="256"/>
  <c r="V21" i="256"/>
  <c r="V22" i="256"/>
  <c r="V23" i="256"/>
  <c r="W8" i="256"/>
  <c r="W9" i="256"/>
  <c r="W10" i="256"/>
  <c r="W11" i="256"/>
  <c r="W12" i="256"/>
  <c r="W13" i="256"/>
  <c r="W14" i="256"/>
  <c r="W15" i="256"/>
  <c r="W16" i="256"/>
  <c r="W17" i="256"/>
  <c r="W18" i="256"/>
  <c r="W19" i="256"/>
  <c r="W20" i="256"/>
  <c r="W21" i="256"/>
  <c r="W22" i="256"/>
  <c r="W23" i="256"/>
  <c r="X8" i="256"/>
  <c r="X9" i="256"/>
  <c r="X10" i="256"/>
  <c r="X11" i="256"/>
  <c r="X12" i="256"/>
  <c r="X13" i="256"/>
  <c r="X14" i="256"/>
  <c r="X15" i="256"/>
  <c r="X16" i="256"/>
  <c r="X17" i="256"/>
  <c r="X18" i="256"/>
  <c r="X19" i="256"/>
  <c r="X20" i="256"/>
  <c r="X21" i="256"/>
  <c r="X22" i="256"/>
  <c r="X23" i="256"/>
  <c r="Y8" i="256"/>
  <c r="Y9" i="256"/>
  <c r="Y10" i="256"/>
  <c r="Y11" i="256"/>
  <c r="Y12" i="256"/>
  <c r="Y13" i="256"/>
  <c r="Y14" i="256"/>
  <c r="Y15" i="256"/>
  <c r="Y16" i="256"/>
  <c r="Y17" i="256"/>
  <c r="Y18" i="256"/>
  <c r="Y19" i="256"/>
  <c r="Y20" i="256"/>
  <c r="Y21" i="256"/>
  <c r="Y22" i="256"/>
  <c r="Y23" i="256"/>
  <c r="Z8" i="256"/>
  <c r="Z9" i="256"/>
  <c r="Z10" i="256"/>
  <c r="Z11" i="256"/>
  <c r="Z12" i="256"/>
  <c r="Z13" i="256"/>
  <c r="Z14" i="256"/>
  <c r="Z15" i="256"/>
  <c r="Z16" i="256"/>
  <c r="Z17" i="256"/>
  <c r="Z18" i="256"/>
  <c r="Z19" i="256"/>
  <c r="Z20" i="256"/>
  <c r="Z21" i="256"/>
  <c r="Z22" i="256"/>
  <c r="Z23" i="256"/>
  <c r="AA8" i="256"/>
  <c r="AA9" i="256"/>
  <c r="AA10" i="256"/>
  <c r="AA11" i="256"/>
  <c r="AA12" i="256"/>
  <c r="AA13" i="256"/>
  <c r="AA14" i="256"/>
  <c r="AA15" i="256"/>
  <c r="AA16" i="256"/>
  <c r="AA17" i="256"/>
  <c r="AA18" i="256"/>
  <c r="AA19" i="256"/>
  <c r="AA20" i="256"/>
  <c r="AA21" i="256"/>
  <c r="AA22" i="256"/>
  <c r="AA23" i="256"/>
  <c r="C38" i="254"/>
  <c r="C43" i="254"/>
  <c r="C44" i="254"/>
  <c r="C45" i="254"/>
  <c r="C46" i="254"/>
  <c r="C47" i="254"/>
  <c r="C48" i="254"/>
  <c r="C49" i="254"/>
  <c r="D43" i="254"/>
  <c r="D44" i="254"/>
  <c r="D45" i="254"/>
  <c r="D46" i="254"/>
  <c r="D47" i="254"/>
  <c r="D48" i="254"/>
  <c r="D49" i="254"/>
  <c r="E43" i="254"/>
  <c r="E44" i="254"/>
  <c r="E45" i="254"/>
  <c r="E46" i="254"/>
  <c r="E47" i="254"/>
  <c r="E48" i="254"/>
  <c r="E49" i="254"/>
  <c r="F43" i="254"/>
  <c r="F44" i="254"/>
  <c r="F45" i="254"/>
  <c r="F46" i="254"/>
  <c r="F47" i="254"/>
  <c r="D32" i="254"/>
  <c r="E9" i="254"/>
  <c r="E10" i="254"/>
  <c r="D33" i="254"/>
  <c r="D38" i="254"/>
  <c r="D20" i="254"/>
  <c r="E32" i="254"/>
  <c r="E11" i="254"/>
  <c r="E12" i="254"/>
  <c r="E13" i="254"/>
  <c r="E20" i="254"/>
  <c r="E33" i="254"/>
  <c r="E38" i="254"/>
  <c r="C53" i="254"/>
  <c r="C54" i="254"/>
  <c r="C55" i="254"/>
  <c r="C56" i="254"/>
  <c r="C57" i="254"/>
  <c r="F32" i="254"/>
  <c r="E14" i="254"/>
  <c r="C58" i="254"/>
  <c r="C59" i="254"/>
  <c r="F33" i="254"/>
  <c r="F38" i="254"/>
  <c r="G38" i="254"/>
  <c r="D18" i="254"/>
  <c r="C30" i="254"/>
  <c r="E5" i="254"/>
  <c r="E6" i="254"/>
  <c r="E7" i="254"/>
  <c r="E18" i="254"/>
  <c r="C31" i="254"/>
  <c r="C39" i="254"/>
  <c r="D30" i="254"/>
  <c r="D31" i="254"/>
  <c r="D39" i="254"/>
  <c r="E39" i="254"/>
  <c r="D53" i="254"/>
  <c r="D54" i="254"/>
  <c r="D55" i="254"/>
  <c r="D56" i="254"/>
  <c r="D57" i="254"/>
  <c r="D58" i="254"/>
  <c r="D59" i="254"/>
  <c r="E53" i="254"/>
  <c r="E54" i="254"/>
  <c r="E55" i="254"/>
  <c r="E56" i="254"/>
  <c r="E57" i="254"/>
  <c r="E58" i="254"/>
  <c r="E59" i="254"/>
  <c r="F53" i="254"/>
  <c r="F54" i="254"/>
  <c r="F30" i="254"/>
  <c r="E16" i="254"/>
  <c r="F31" i="254"/>
  <c r="F39" i="254"/>
  <c r="G39" i="254"/>
  <c r="E52" i="222"/>
  <c r="E22" i="222"/>
  <c r="E23" i="222"/>
  <c r="Z40" i="237"/>
  <c r="AA40" i="237" s="1"/>
  <c r="AB40" i="237" s="1"/>
  <c r="AC40" i="237" s="1"/>
  <c r="AD40" i="237" s="1"/>
  <c r="AE40" i="237" s="1"/>
  <c r="AF40" i="237" s="1"/>
  <c r="AG40" i="237" s="1"/>
  <c r="AH40" i="237" s="1"/>
  <c r="AI40" i="237" s="1"/>
  <c r="AJ40" i="237" s="1"/>
  <c r="AK40" i="237" s="1"/>
  <c r="AL40" i="237" s="1"/>
  <c r="I45" i="235"/>
  <c r="J45" i="235" s="1"/>
  <c r="I34" i="241"/>
  <c r="J34" i="241" s="1"/>
  <c r="Z24" i="237" s="1"/>
  <c r="AA24" i="237" s="1"/>
  <c r="AB24" i="237" s="1"/>
  <c r="AC24" i="237" s="1"/>
  <c r="AD24" i="237" s="1"/>
  <c r="AE24" i="237" s="1"/>
  <c r="AF24" i="237" s="1"/>
  <c r="AG24" i="237" s="1"/>
  <c r="AH24" i="237" s="1"/>
  <c r="AI24" i="237" s="1"/>
  <c r="AJ24" i="237" s="1"/>
  <c r="AK24" i="237" s="1"/>
  <c r="AL24" i="237" s="1"/>
  <c r="Z25" i="237"/>
  <c r="AA25" i="237" s="1"/>
  <c r="AB25" i="237" s="1"/>
  <c r="AC25" i="237" s="1"/>
  <c r="AD25" i="237" s="1"/>
  <c r="AE25" i="237" s="1"/>
  <c r="AF25" i="237" s="1"/>
  <c r="AG25" i="237" s="1"/>
  <c r="AH25" i="237" s="1"/>
  <c r="AI25" i="237" s="1"/>
  <c r="AJ25" i="237" s="1"/>
  <c r="AK25" i="237" s="1"/>
  <c r="AL25" i="237" s="1"/>
  <c r="Z26" i="237"/>
  <c r="AA26" i="237" s="1"/>
  <c r="AB26" i="237" s="1"/>
  <c r="AC26" i="237" s="1"/>
  <c r="AD26" i="237" s="1"/>
  <c r="AE26" i="237" s="1"/>
  <c r="AF26" i="237" s="1"/>
  <c r="AG26" i="237" s="1"/>
  <c r="AH26" i="237" s="1"/>
  <c r="AI26" i="237" s="1"/>
  <c r="AJ26" i="237" s="1"/>
  <c r="AK26" i="237" s="1"/>
  <c r="AL26" i="237" s="1"/>
  <c r="Z27" i="237"/>
  <c r="Z28" i="237"/>
  <c r="AA28" i="237" s="1"/>
  <c r="AB28" i="237" s="1"/>
  <c r="AC28" i="237" s="1"/>
  <c r="AD28" i="237" s="1"/>
  <c r="AE28" i="237" s="1"/>
  <c r="AF28" i="237" s="1"/>
  <c r="AG28" i="237" s="1"/>
  <c r="AH28" i="237" s="1"/>
  <c r="AI28" i="237" s="1"/>
  <c r="AJ28" i="237" s="1"/>
  <c r="AK28" i="237" s="1"/>
  <c r="AL28" i="237" s="1"/>
  <c r="Z16" i="237"/>
  <c r="AA16" i="237" s="1"/>
  <c r="AB16" i="237" s="1"/>
  <c r="AC16" i="237" s="1"/>
  <c r="AD16" i="237" s="1"/>
  <c r="AE16" i="237" s="1"/>
  <c r="AF16" i="237" s="1"/>
  <c r="AG16" i="237" s="1"/>
  <c r="AH16" i="237" s="1"/>
  <c r="AI16" i="237" s="1"/>
  <c r="AJ16" i="237" s="1"/>
  <c r="AK16" i="237" s="1"/>
  <c r="AL16" i="237" s="1"/>
  <c r="G10" i="235"/>
  <c r="H10" i="235" s="1"/>
  <c r="I10" i="235" s="1"/>
  <c r="G14" i="235"/>
  <c r="H14" i="235" s="1"/>
  <c r="Z40" i="242"/>
  <c r="AA40" i="242" s="1"/>
  <c r="AB40" i="242" s="1"/>
  <c r="AC40" i="242" s="1"/>
  <c r="AD40" i="242" s="1"/>
  <c r="AE40" i="242" s="1"/>
  <c r="AF40" i="242" s="1"/>
  <c r="AG40" i="242" s="1"/>
  <c r="AH40" i="242" s="1"/>
  <c r="AI40" i="242" s="1"/>
  <c r="AJ40" i="242" s="1"/>
  <c r="AK40" i="242" s="1"/>
  <c r="AL40" i="242" s="1"/>
  <c r="I46" i="235"/>
  <c r="J46" i="235" s="1"/>
  <c r="I35" i="241"/>
  <c r="J35" i="241" s="1"/>
  <c r="Z24" i="242" s="1"/>
  <c r="AA24" i="242" s="1"/>
  <c r="AB24" i="242" s="1"/>
  <c r="AC24" i="242" s="1"/>
  <c r="AD24" i="242" s="1"/>
  <c r="AE24" i="242" s="1"/>
  <c r="AF24" i="242" s="1"/>
  <c r="AG24" i="242" s="1"/>
  <c r="AH24" i="242" s="1"/>
  <c r="AI24" i="242" s="1"/>
  <c r="AJ24" i="242" s="1"/>
  <c r="AK24" i="242" s="1"/>
  <c r="AL24" i="242" s="1"/>
  <c r="Z25" i="242"/>
  <c r="AA25" i="242" s="1"/>
  <c r="AB25" i="242" s="1"/>
  <c r="AC25" i="242" s="1"/>
  <c r="AD25" i="242" s="1"/>
  <c r="AE25" i="242" s="1"/>
  <c r="AF25" i="242" s="1"/>
  <c r="AG25" i="242" s="1"/>
  <c r="AH25" i="242" s="1"/>
  <c r="AI25" i="242" s="1"/>
  <c r="AJ25" i="242" s="1"/>
  <c r="AK25" i="242" s="1"/>
  <c r="AL25" i="242" s="1"/>
  <c r="Z26" i="242"/>
  <c r="Z27" i="242"/>
  <c r="AA27" i="242" s="1"/>
  <c r="AB27" i="242" s="1"/>
  <c r="AC27" i="242" s="1"/>
  <c r="AD27" i="242" s="1"/>
  <c r="AE27" i="242" s="1"/>
  <c r="AF27" i="242" s="1"/>
  <c r="AG27" i="242" s="1"/>
  <c r="AH27" i="242" s="1"/>
  <c r="AI27" i="242" s="1"/>
  <c r="AJ27" i="242" s="1"/>
  <c r="AK27" i="242" s="1"/>
  <c r="AL27" i="242" s="1"/>
  <c r="Z28" i="242"/>
  <c r="AA28" i="242" s="1"/>
  <c r="AB28" i="242" s="1"/>
  <c r="AC28" i="242" s="1"/>
  <c r="AD28" i="242" s="1"/>
  <c r="AE28" i="242" s="1"/>
  <c r="AF28" i="242" s="1"/>
  <c r="AG28" i="242" s="1"/>
  <c r="AH28" i="242" s="1"/>
  <c r="AI28" i="242" s="1"/>
  <c r="AJ28" i="242" s="1"/>
  <c r="AK28" i="242" s="1"/>
  <c r="AL28" i="242" s="1"/>
  <c r="Z16" i="242"/>
  <c r="Z35" i="242"/>
  <c r="AA35" i="242" s="1"/>
  <c r="AB35" i="242" s="1"/>
  <c r="AC35" i="242" s="1"/>
  <c r="AD35" i="242" s="1"/>
  <c r="AE35" i="242" s="1"/>
  <c r="AF35" i="242" s="1"/>
  <c r="AG35" i="242" s="1"/>
  <c r="AH35" i="242" s="1"/>
  <c r="AI35" i="242" s="1"/>
  <c r="AJ35" i="242" s="1"/>
  <c r="AK35" i="242" s="1"/>
  <c r="AL35" i="242" s="1"/>
  <c r="Z40" i="243"/>
  <c r="AA40" i="243" s="1"/>
  <c r="AB40" i="243" s="1"/>
  <c r="AC40" i="243" s="1"/>
  <c r="AD40" i="243" s="1"/>
  <c r="AE40" i="243" s="1"/>
  <c r="AF40" i="243" s="1"/>
  <c r="AG40" i="243" s="1"/>
  <c r="AH40" i="243" s="1"/>
  <c r="AI40" i="243" s="1"/>
  <c r="AJ40" i="243" s="1"/>
  <c r="AK40" i="243" s="1"/>
  <c r="AL40" i="243" s="1"/>
  <c r="I47" i="235"/>
  <c r="J47" i="235" s="1"/>
  <c r="I36" i="241"/>
  <c r="J36" i="241" s="1"/>
  <c r="Z24" i="243" s="1"/>
  <c r="AA24" i="243" s="1"/>
  <c r="AB24" i="243" s="1"/>
  <c r="AC24" i="243" s="1"/>
  <c r="AD24" i="243" s="1"/>
  <c r="AE24" i="243" s="1"/>
  <c r="AF24" i="243" s="1"/>
  <c r="AG24" i="243" s="1"/>
  <c r="AH24" i="243" s="1"/>
  <c r="AI24" i="243" s="1"/>
  <c r="AJ24" i="243" s="1"/>
  <c r="AK24" i="243" s="1"/>
  <c r="AL24" i="243" s="1"/>
  <c r="Z26" i="243"/>
  <c r="AA26" i="243" s="1"/>
  <c r="AB26" i="243" s="1"/>
  <c r="AC26" i="243" s="1"/>
  <c r="AD26" i="243" s="1"/>
  <c r="AE26" i="243" s="1"/>
  <c r="AF26" i="243" s="1"/>
  <c r="AG26" i="243" s="1"/>
  <c r="AH26" i="243" s="1"/>
  <c r="AI26" i="243" s="1"/>
  <c r="AJ26" i="243" s="1"/>
  <c r="AK26" i="243" s="1"/>
  <c r="AL26" i="243" s="1"/>
  <c r="Z27" i="243"/>
  <c r="AA27" i="243" s="1"/>
  <c r="AB27" i="243" s="1"/>
  <c r="AC27" i="243" s="1"/>
  <c r="AD27" i="243" s="1"/>
  <c r="AE27" i="243" s="1"/>
  <c r="AF27" i="243" s="1"/>
  <c r="AG27" i="243" s="1"/>
  <c r="AH27" i="243" s="1"/>
  <c r="AI27" i="243" s="1"/>
  <c r="AJ27" i="243" s="1"/>
  <c r="AK27" i="243" s="1"/>
  <c r="AL27" i="243" s="1"/>
  <c r="Z28" i="243"/>
  <c r="AA28" i="243" s="1"/>
  <c r="AB28" i="243" s="1"/>
  <c r="AC28" i="243" s="1"/>
  <c r="AD28" i="243" s="1"/>
  <c r="AE28" i="243" s="1"/>
  <c r="AF28" i="243" s="1"/>
  <c r="AG28" i="243" s="1"/>
  <c r="AH28" i="243" s="1"/>
  <c r="AI28" i="243" s="1"/>
  <c r="AJ28" i="243" s="1"/>
  <c r="AK28" i="243" s="1"/>
  <c r="AL28" i="243" s="1"/>
  <c r="Z16" i="243"/>
  <c r="AA16" i="243"/>
  <c r="Z35" i="243"/>
  <c r="AA35" i="243" s="1"/>
  <c r="AB35" i="243" s="1"/>
  <c r="AC35" i="243" s="1"/>
  <c r="AD35" i="243" s="1"/>
  <c r="AE35" i="243" s="1"/>
  <c r="AF35" i="243" s="1"/>
  <c r="AG35" i="243" s="1"/>
  <c r="AH35" i="243" s="1"/>
  <c r="AI35" i="243" s="1"/>
  <c r="AJ35" i="243" s="1"/>
  <c r="AK35" i="243" s="1"/>
  <c r="AL35" i="243" s="1"/>
  <c r="Z40" i="244"/>
  <c r="AA40" i="244" s="1"/>
  <c r="AB40" i="244" s="1"/>
  <c r="AC40" i="244" s="1"/>
  <c r="AD40" i="244" s="1"/>
  <c r="AE40" i="244" s="1"/>
  <c r="AF40" i="244" s="1"/>
  <c r="AG40" i="244" s="1"/>
  <c r="AH40" i="244" s="1"/>
  <c r="AI40" i="244" s="1"/>
  <c r="AJ40" i="244" s="1"/>
  <c r="AK40" i="244" s="1"/>
  <c r="AL40" i="244" s="1"/>
  <c r="I48" i="235"/>
  <c r="J48" i="235" s="1"/>
  <c r="Z41" i="244" s="1"/>
  <c r="AA41" i="244" s="1"/>
  <c r="AB41" i="244" s="1"/>
  <c r="AC41" i="244" s="1"/>
  <c r="AD41" i="244" s="1"/>
  <c r="AE41" i="244" s="1"/>
  <c r="AF41" i="244" s="1"/>
  <c r="AG41" i="244" s="1"/>
  <c r="AH41" i="244" s="1"/>
  <c r="AI41" i="244" s="1"/>
  <c r="AJ41" i="244" s="1"/>
  <c r="AK41" i="244" s="1"/>
  <c r="AL41" i="244" s="1"/>
  <c r="I37" i="241"/>
  <c r="Y24" i="244" s="1"/>
  <c r="Z25" i="244"/>
  <c r="AA25" i="244" s="1"/>
  <c r="AB25" i="244" s="1"/>
  <c r="AC25" i="244" s="1"/>
  <c r="AD25" i="244" s="1"/>
  <c r="AE25" i="244" s="1"/>
  <c r="AF25" i="244" s="1"/>
  <c r="AG25" i="244" s="1"/>
  <c r="AH25" i="244" s="1"/>
  <c r="AI25" i="244" s="1"/>
  <c r="AJ25" i="244" s="1"/>
  <c r="AK25" i="244" s="1"/>
  <c r="AL25" i="244" s="1"/>
  <c r="J52" i="241"/>
  <c r="Z26" i="244" s="1"/>
  <c r="AA26" i="244" s="1"/>
  <c r="AB26" i="244" s="1"/>
  <c r="AC26" i="244" s="1"/>
  <c r="AD26" i="244" s="1"/>
  <c r="AE26" i="244" s="1"/>
  <c r="AF26" i="244" s="1"/>
  <c r="AG26" i="244" s="1"/>
  <c r="AH26" i="244" s="1"/>
  <c r="AI26" i="244" s="1"/>
  <c r="AJ26" i="244" s="1"/>
  <c r="AK26" i="244" s="1"/>
  <c r="AL26" i="244" s="1"/>
  <c r="Z27" i="244"/>
  <c r="AA27" i="244" s="1"/>
  <c r="AB27" i="244" s="1"/>
  <c r="AC27" i="244" s="1"/>
  <c r="AD27" i="244" s="1"/>
  <c r="AE27" i="244" s="1"/>
  <c r="AF27" i="244" s="1"/>
  <c r="AG27" i="244" s="1"/>
  <c r="AH27" i="244" s="1"/>
  <c r="AI27" i="244" s="1"/>
  <c r="AJ27" i="244" s="1"/>
  <c r="AK27" i="244" s="1"/>
  <c r="AL27" i="244" s="1"/>
  <c r="Z28" i="244"/>
  <c r="AA28" i="244" s="1"/>
  <c r="AB28" i="244" s="1"/>
  <c r="AC28" i="244" s="1"/>
  <c r="AD28" i="244" s="1"/>
  <c r="AE28" i="244" s="1"/>
  <c r="AF28" i="244" s="1"/>
  <c r="AG28" i="244" s="1"/>
  <c r="AH28" i="244" s="1"/>
  <c r="AI28" i="244" s="1"/>
  <c r="AJ28" i="244" s="1"/>
  <c r="AK28" i="244" s="1"/>
  <c r="AL28" i="244" s="1"/>
  <c r="Z16" i="244"/>
  <c r="AA16" i="244" s="1"/>
  <c r="AB16" i="244" s="1"/>
  <c r="AC16" i="244" s="1"/>
  <c r="AD16" i="244" s="1"/>
  <c r="AE16" i="244" s="1"/>
  <c r="AF16" i="244" s="1"/>
  <c r="AG16" i="244" s="1"/>
  <c r="AH16" i="244" s="1"/>
  <c r="AI16" i="244" s="1"/>
  <c r="AJ16" i="244" s="1"/>
  <c r="AK16" i="244" s="1"/>
  <c r="AL16" i="244" s="1"/>
  <c r="AA34" i="244"/>
  <c r="AB34" i="244" s="1"/>
  <c r="AC34" i="244" s="1"/>
  <c r="AD34" i="244" s="1"/>
  <c r="AE34" i="244" s="1"/>
  <c r="AF34" i="244" s="1"/>
  <c r="AG34" i="244" s="1"/>
  <c r="AH34" i="244" s="1"/>
  <c r="AI34" i="244" s="1"/>
  <c r="AJ34" i="244" s="1"/>
  <c r="AK34" i="244" s="1"/>
  <c r="AL34" i="244" s="1"/>
  <c r="AA35" i="244"/>
  <c r="Z40" i="245"/>
  <c r="AA40" i="245" s="1"/>
  <c r="AB40" i="245" s="1"/>
  <c r="AC40" i="245" s="1"/>
  <c r="AD40" i="245" s="1"/>
  <c r="AE40" i="245" s="1"/>
  <c r="AF40" i="245" s="1"/>
  <c r="AG40" i="245" s="1"/>
  <c r="AH40" i="245" s="1"/>
  <c r="AI40" i="245" s="1"/>
  <c r="AJ40" i="245" s="1"/>
  <c r="AK40" i="245" s="1"/>
  <c r="AL40" i="245" s="1"/>
  <c r="I49" i="235"/>
  <c r="J49" i="235" s="1"/>
  <c r="AA24" i="245"/>
  <c r="AB24" i="245" s="1"/>
  <c r="AC24" i="245" s="1"/>
  <c r="AD24" i="245" s="1"/>
  <c r="AE24" i="245" s="1"/>
  <c r="AF24" i="245" s="1"/>
  <c r="AG24" i="245" s="1"/>
  <c r="AH24" i="245" s="1"/>
  <c r="AI24" i="245" s="1"/>
  <c r="AJ24" i="245" s="1"/>
  <c r="AK24" i="245" s="1"/>
  <c r="AL24" i="245" s="1"/>
  <c r="AA25" i="245"/>
  <c r="AA26" i="245"/>
  <c r="AA27" i="245"/>
  <c r="AA28" i="245"/>
  <c r="Z16" i="245"/>
  <c r="AA16" i="245"/>
  <c r="AB16" i="245" s="1"/>
  <c r="AC16" i="245" s="1"/>
  <c r="AD16" i="245" s="1"/>
  <c r="AE16" i="245" s="1"/>
  <c r="AF16" i="245" s="1"/>
  <c r="AG16" i="245" s="1"/>
  <c r="AH16" i="245" s="1"/>
  <c r="AI16" i="245" s="1"/>
  <c r="AJ16" i="245" s="1"/>
  <c r="AK16" i="245" s="1"/>
  <c r="AL16" i="245" s="1"/>
  <c r="AA34" i="245"/>
  <c r="AB34" i="245" s="1"/>
  <c r="AC34" i="245" s="1"/>
  <c r="AD34" i="245" s="1"/>
  <c r="AE34" i="245" s="1"/>
  <c r="AF34" i="245" s="1"/>
  <c r="AG34" i="245" s="1"/>
  <c r="AH34" i="245" s="1"/>
  <c r="AI34" i="245" s="1"/>
  <c r="AJ34" i="245" s="1"/>
  <c r="AK34" i="245" s="1"/>
  <c r="AL34" i="245" s="1"/>
  <c r="AA35" i="245"/>
  <c r="AB35" i="245" s="1"/>
  <c r="AC35" i="245" s="1"/>
  <c r="AD35" i="245" s="1"/>
  <c r="AE35" i="245" s="1"/>
  <c r="AF35" i="245" s="1"/>
  <c r="AG35" i="245" s="1"/>
  <c r="AH35" i="245" s="1"/>
  <c r="AI35" i="245" s="1"/>
  <c r="AJ35" i="245" s="1"/>
  <c r="AK35" i="245" s="1"/>
  <c r="AL35" i="245" s="1"/>
  <c r="Z40" i="246"/>
  <c r="AA40" i="246" s="1"/>
  <c r="AB40" i="246" s="1"/>
  <c r="AC40" i="246" s="1"/>
  <c r="AD40" i="246" s="1"/>
  <c r="AE40" i="246" s="1"/>
  <c r="AF40" i="246" s="1"/>
  <c r="AG40" i="246" s="1"/>
  <c r="AH40" i="246" s="1"/>
  <c r="AI40" i="246" s="1"/>
  <c r="AJ40" i="246" s="1"/>
  <c r="AK40" i="246" s="1"/>
  <c r="AL40" i="246" s="1"/>
  <c r="I50" i="235"/>
  <c r="J50" i="235" s="1"/>
  <c r="Q21" i="234"/>
  <c r="Z16" i="246"/>
  <c r="AC16" i="253"/>
  <c r="AB24" i="253"/>
  <c r="AC24" i="253" s="1"/>
  <c r="AD24" i="253" s="1"/>
  <c r="AE24" i="253" s="1"/>
  <c r="AF24" i="253" s="1"/>
  <c r="AG24" i="253" s="1"/>
  <c r="AH24" i="253" s="1"/>
  <c r="AI24" i="253" s="1"/>
  <c r="AJ24" i="253" s="1"/>
  <c r="AK24" i="253" s="1"/>
  <c r="AL24" i="253" s="1"/>
  <c r="AM24" i="253" s="1"/>
  <c r="AN24" i="253" s="1"/>
  <c r="AO24" i="253" s="1"/>
  <c r="AP24" i="253" s="1"/>
  <c r="AC25" i="253"/>
  <c r="AB26" i="253"/>
  <c r="AC26" i="253" s="1"/>
  <c r="AD26" i="253" s="1"/>
  <c r="AE26" i="253" s="1"/>
  <c r="AF26" i="253" s="1"/>
  <c r="AG26" i="253" s="1"/>
  <c r="AH26" i="253" s="1"/>
  <c r="AI26" i="253" s="1"/>
  <c r="AJ26" i="253" s="1"/>
  <c r="AK26" i="253" s="1"/>
  <c r="AL26" i="253" s="1"/>
  <c r="AM26" i="253" s="1"/>
  <c r="AN26" i="253" s="1"/>
  <c r="AO26" i="253" s="1"/>
  <c r="AP26" i="253" s="1"/>
  <c r="AC27" i="253"/>
  <c r="AB28" i="253"/>
  <c r="AC28" i="253" s="1"/>
  <c r="AD28" i="253" s="1"/>
  <c r="AE28" i="253" s="1"/>
  <c r="AF28" i="253" s="1"/>
  <c r="AG28" i="253" s="1"/>
  <c r="AH28" i="253" s="1"/>
  <c r="AI28" i="253" s="1"/>
  <c r="AJ28" i="253" s="1"/>
  <c r="AK28" i="253" s="1"/>
  <c r="AL28" i="253" s="1"/>
  <c r="AM28" i="253" s="1"/>
  <c r="AN28" i="253" s="1"/>
  <c r="AO28" i="253" s="1"/>
  <c r="AP28" i="253" s="1"/>
  <c r="AC34" i="253"/>
  <c r="AD34" i="253" s="1"/>
  <c r="AE34" i="253" s="1"/>
  <c r="AF34" i="253" s="1"/>
  <c r="AG34" i="253" s="1"/>
  <c r="AH34" i="253" s="1"/>
  <c r="AI34" i="253" s="1"/>
  <c r="AJ34" i="253" s="1"/>
  <c r="AK34" i="253" s="1"/>
  <c r="AL34" i="253" s="1"/>
  <c r="AM34" i="253" s="1"/>
  <c r="AN34" i="253" s="1"/>
  <c r="AO34" i="253" s="1"/>
  <c r="AP34" i="253" s="1"/>
  <c r="AC35" i="253"/>
  <c r="AB40" i="253"/>
  <c r="AC40" i="253" s="1"/>
  <c r="AD40" i="253" s="1"/>
  <c r="AE40" i="253" s="1"/>
  <c r="AF40" i="253" s="1"/>
  <c r="AG40" i="253" s="1"/>
  <c r="AH40" i="253" s="1"/>
  <c r="AI40" i="253" s="1"/>
  <c r="AJ40" i="253" s="1"/>
  <c r="AK40" i="253" s="1"/>
  <c r="AL40" i="253" s="1"/>
  <c r="AM40" i="253" s="1"/>
  <c r="AN40" i="253" s="1"/>
  <c r="AO40" i="253" s="1"/>
  <c r="AP40" i="253" s="1"/>
  <c r="I51" i="235"/>
  <c r="J51" i="235" s="1"/>
  <c r="O38" i="260"/>
  <c r="O45" i="260" s="1"/>
  <c r="H27" i="151"/>
  <c r="C29" i="228"/>
  <c r="D45" i="259"/>
  <c r="D5" i="225"/>
  <c r="D6" i="225"/>
  <c r="D11" i="225"/>
  <c r="D13" i="225"/>
  <c r="D18" i="225"/>
  <c r="D19" i="225"/>
  <c r="D20" i="225"/>
  <c r="D65" i="259"/>
  <c r="D4" i="260" s="1"/>
  <c r="E172" i="259"/>
  <c r="F172" i="259" s="1"/>
  <c r="G172" i="259" s="1"/>
  <c r="H172" i="259" s="1"/>
  <c r="I172" i="259" s="1"/>
  <c r="J172" i="259" s="1"/>
  <c r="K172" i="259" s="1"/>
  <c r="L172" i="259" s="1"/>
  <c r="M172" i="259" s="1"/>
  <c r="N172" i="259" s="1"/>
  <c r="O172" i="259" s="1"/>
  <c r="P172" i="259" s="1"/>
  <c r="Q172" i="259" s="1"/>
  <c r="R172" i="259" s="1"/>
  <c r="S172" i="259" s="1"/>
  <c r="D164" i="259"/>
  <c r="E168" i="259" s="1"/>
  <c r="E45" i="259"/>
  <c r="F45" i="259"/>
  <c r="V40" i="243"/>
  <c r="V41" i="243"/>
  <c r="V24" i="243"/>
  <c r="V25" i="243"/>
  <c r="V26" i="243"/>
  <c r="V27" i="243"/>
  <c r="V28" i="243"/>
  <c r="M18" i="234"/>
  <c r="V16" i="243"/>
  <c r="F12" i="235"/>
  <c r="V34" i="243" s="1"/>
  <c r="V35" i="243"/>
  <c r="V40" i="244"/>
  <c r="V41" i="244"/>
  <c r="V24" i="244"/>
  <c r="V25" i="244"/>
  <c r="V26" i="244"/>
  <c r="V27" i="244"/>
  <c r="V28" i="244"/>
  <c r="M19" i="234"/>
  <c r="V16" i="244"/>
  <c r="V40" i="245"/>
  <c r="V41" i="245"/>
  <c r="M20" i="234"/>
  <c r="V16" i="245"/>
  <c r="M22" i="234"/>
  <c r="X16" i="253"/>
  <c r="X24" i="253"/>
  <c r="X26" i="253"/>
  <c r="X28" i="253"/>
  <c r="X40" i="253"/>
  <c r="X41" i="253"/>
  <c r="I38" i="254"/>
  <c r="I39" i="254"/>
  <c r="E27" i="151"/>
  <c r="I27" i="151"/>
  <c r="W40" i="237"/>
  <c r="W41" i="237"/>
  <c r="W24" i="237"/>
  <c r="W25" i="237"/>
  <c r="W26" i="237"/>
  <c r="W27" i="237"/>
  <c r="W28" i="237"/>
  <c r="W16" i="237"/>
  <c r="W40" i="242"/>
  <c r="W41" i="242"/>
  <c r="W24" i="242"/>
  <c r="W25" i="242"/>
  <c r="W26" i="242"/>
  <c r="W27" i="242"/>
  <c r="W28" i="242"/>
  <c r="W16" i="242"/>
  <c r="W34" i="242"/>
  <c r="W35" i="242"/>
  <c r="X40" i="243"/>
  <c r="X41" i="243"/>
  <c r="X24" i="243"/>
  <c r="X26" i="243"/>
  <c r="X27" i="243"/>
  <c r="X28" i="243"/>
  <c r="X16" i="243"/>
  <c r="X35" i="243"/>
  <c r="X40" i="244"/>
  <c r="X41" i="244"/>
  <c r="X24" i="244"/>
  <c r="X25" i="244"/>
  <c r="X27" i="244"/>
  <c r="X28" i="244"/>
  <c r="X16" i="244"/>
  <c r="X40" i="245"/>
  <c r="X41" i="245"/>
  <c r="X16" i="245"/>
  <c r="W40" i="246"/>
  <c r="W41" i="246"/>
  <c r="N21" i="234"/>
  <c r="W16" i="246"/>
  <c r="O22" i="234"/>
  <c r="Z16" i="253"/>
  <c r="Z24" i="253"/>
  <c r="Z26" i="253"/>
  <c r="Z28" i="253"/>
  <c r="Z40" i="253"/>
  <c r="Z41" i="253"/>
  <c r="X40" i="237"/>
  <c r="X41" i="237"/>
  <c r="X24" i="237"/>
  <c r="X25" i="237"/>
  <c r="X26" i="237"/>
  <c r="X27" i="237"/>
  <c r="X28" i="237"/>
  <c r="X16" i="237"/>
  <c r="X40" i="242"/>
  <c r="X41" i="242"/>
  <c r="X24" i="242"/>
  <c r="X25" i="242"/>
  <c r="X26" i="242"/>
  <c r="X27" i="242"/>
  <c r="X28" i="242"/>
  <c r="X16" i="242"/>
  <c r="X35" i="242"/>
  <c r="Y40" i="243"/>
  <c r="Y24" i="243"/>
  <c r="Y26" i="243"/>
  <c r="Y27" i="243"/>
  <c r="Y28" i="243"/>
  <c r="Y16" i="243"/>
  <c r="Y35" i="243"/>
  <c r="Y40" i="244"/>
  <c r="Y25" i="244"/>
  <c r="Y26" i="244"/>
  <c r="Y27" i="244"/>
  <c r="Y28" i="244"/>
  <c r="Y16" i="244"/>
  <c r="Y40" i="245"/>
  <c r="Y16" i="245"/>
  <c r="X40" i="246"/>
  <c r="X41" i="246"/>
  <c r="O21" i="234"/>
  <c r="X16" i="246"/>
  <c r="P22" i="234"/>
  <c r="AA16" i="253"/>
  <c r="AA24" i="253"/>
  <c r="AA26" i="253"/>
  <c r="AA28" i="253"/>
  <c r="AA40" i="253"/>
  <c r="I181" i="259"/>
  <c r="Y40" i="237"/>
  <c r="Y25" i="237"/>
  <c r="Y26" i="237"/>
  <c r="Y27" i="237"/>
  <c r="Y28" i="237"/>
  <c r="Y16" i="237"/>
  <c r="Y40" i="242"/>
  <c r="Y25" i="242"/>
  <c r="Y26" i="242"/>
  <c r="Y27" i="242"/>
  <c r="Y28" i="242"/>
  <c r="Y16" i="242"/>
  <c r="Y35" i="242"/>
  <c r="Y40" i="246"/>
  <c r="P21" i="234"/>
  <c r="Y16" i="246"/>
  <c r="K23" i="255"/>
  <c r="J181" i="259"/>
  <c r="L23" i="255"/>
  <c r="K181" i="259"/>
  <c r="AA27" i="237"/>
  <c r="AB27" i="237" s="1"/>
  <c r="AC27" i="237" s="1"/>
  <c r="AD27" i="237" s="1"/>
  <c r="AE27" i="237" s="1"/>
  <c r="AF27" i="237" s="1"/>
  <c r="AG27" i="237" s="1"/>
  <c r="AH27" i="237" s="1"/>
  <c r="AI27" i="237" s="1"/>
  <c r="AJ27" i="237" s="1"/>
  <c r="AK27" i="237" s="1"/>
  <c r="AL27" i="237" s="1"/>
  <c r="AA26" i="242"/>
  <c r="AB26" i="242" s="1"/>
  <c r="AC26" i="242" s="1"/>
  <c r="AD26" i="242" s="1"/>
  <c r="AE26" i="242" s="1"/>
  <c r="AF26" i="242" s="1"/>
  <c r="AG26" i="242" s="1"/>
  <c r="AH26" i="242" s="1"/>
  <c r="AI26" i="242" s="1"/>
  <c r="AJ26" i="242" s="1"/>
  <c r="AK26" i="242" s="1"/>
  <c r="AL26" i="242" s="1"/>
  <c r="AA16" i="242"/>
  <c r="AB16" i="242" s="1"/>
  <c r="AC16" i="242" s="1"/>
  <c r="AD16" i="242" s="1"/>
  <c r="AE16" i="242" s="1"/>
  <c r="AF16" i="242" s="1"/>
  <c r="AG16" i="242" s="1"/>
  <c r="AH16" i="242" s="1"/>
  <c r="AI16" i="242" s="1"/>
  <c r="AJ16" i="242" s="1"/>
  <c r="AK16" i="242" s="1"/>
  <c r="AL16" i="242" s="1"/>
  <c r="AB16" i="243"/>
  <c r="AB35" i="244"/>
  <c r="AC35" i="244" s="1"/>
  <c r="AD35" i="244" s="1"/>
  <c r="AE35" i="244" s="1"/>
  <c r="AF35" i="244" s="1"/>
  <c r="AG35" i="244" s="1"/>
  <c r="AH35" i="244" s="1"/>
  <c r="AI35" i="244" s="1"/>
  <c r="AJ35" i="244" s="1"/>
  <c r="AK35" i="244" s="1"/>
  <c r="AL35" i="244" s="1"/>
  <c r="AB25" i="245"/>
  <c r="AC25" i="245" s="1"/>
  <c r="AD25" i="245" s="1"/>
  <c r="AE25" i="245" s="1"/>
  <c r="AF25" i="245" s="1"/>
  <c r="AG25" i="245" s="1"/>
  <c r="AH25" i="245" s="1"/>
  <c r="AI25" i="245" s="1"/>
  <c r="AJ25" i="245" s="1"/>
  <c r="AK25" i="245" s="1"/>
  <c r="AL25" i="245" s="1"/>
  <c r="AB26" i="245"/>
  <c r="AC26" i="245" s="1"/>
  <c r="AD26" i="245" s="1"/>
  <c r="AE26" i="245" s="1"/>
  <c r="AF26" i="245" s="1"/>
  <c r="AG26" i="245" s="1"/>
  <c r="AH26" i="245" s="1"/>
  <c r="AI26" i="245" s="1"/>
  <c r="AJ26" i="245" s="1"/>
  <c r="AK26" i="245" s="1"/>
  <c r="AL26" i="245" s="1"/>
  <c r="AB27" i="245"/>
  <c r="AB28" i="245"/>
  <c r="AC28" i="245" s="1"/>
  <c r="AD28" i="245" s="1"/>
  <c r="AE28" i="245" s="1"/>
  <c r="AF28" i="245" s="1"/>
  <c r="AG28" i="245" s="1"/>
  <c r="AH28" i="245" s="1"/>
  <c r="AI28" i="245" s="1"/>
  <c r="AJ28" i="245" s="1"/>
  <c r="AK28" i="245" s="1"/>
  <c r="AL28" i="245" s="1"/>
  <c r="AA24" i="246"/>
  <c r="AA25" i="246"/>
  <c r="AA26" i="246"/>
  <c r="AA27" i="246"/>
  <c r="AA28" i="246"/>
  <c r="AA16" i="246"/>
  <c r="AB16" i="246" s="1"/>
  <c r="AC16" i="246" s="1"/>
  <c r="AD16" i="246" s="1"/>
  <c r="AE16" i="246" s="1"/>
  <c r="AF16" i="246" s="1"/>
  <c r="AG16" i="246" s="1"/>
  <c r="AH16" i="246" s="1"/>
  <c r="AI16" i="246" s="1"/>
  <c r="AJ16" i="246" s="1"/>
  <c r="AK16" i="246" s="1"/>
  <c r="AL16" i="246" s="1"/>
  <c r="AA34" i="246"/>
  <c r="AA35" i="246"/>
  <c r="AD16" i="253"/>
  <c r="AD25" i="253"/>
  <c r="AD27" i="253"/>
  <c r="AD35" i="253"/>
  <c r="AE35" i="253" s="1"/>
  <c r="AF35" i="253" s="1"/>
  <c r="AG35" i="253" s="1"/>
  <c r="AH35" i="253" s="1"/>
  <c r="AI35" i="253" s="1"/>
  <c r="AJ35" i="253" s="1"/>
  <c r="AK35" i="253" s="1"/>
  <c r="AL35" i="253" s="1"/>
  <c r="AM35" i="253" s="1"/>
  <c r="AN35" i="253" s="1"/>
  <c r="AO35" i="253" s="1"/>
  <c r="AP35" i="253" s="1"/>
  <c r="M23" i="255"/>
  <c r="L181" i="259"/>
  <c r="AC16" i="243"/>
  <c r="AC27" i="245"/>
  <c r="AD27" i="245" s="1"/>
  <c r="AE27" i="245" s="1"/>
  <c r="AF27" i="245" s="1"/>
  <c r="AG27" i="245" s="1"/>
  <c r="AH27" i="245" s="1"/>
  <c r="AI27" i="245" s="1"/>
  <c r="AJ27" i="245" s="1"/>
  <c r="AK27" i="245" s="1"/>
  <c r="AL27" i="245" s="1"/>
  <c r="AB24" i="246"/>
  <c r="AB25" i="246"/>
  <c r="AB26" i="246"/>
  <c r="AB27" i="246"/>
  <c r="AB28" i="246"/>
  <c r="AB34" i="246"/>
  <c r="AB35" i="246"/>
  <c r="AE16" i="253"/>
  <c r="AF16" i="253" s="1"/>
  <c r="AG16" i="253" s="1"/>
  <c r="AH16" i="253" s="1"/>
  <c r="AI16" i="253" s="1"/>
  <c r="AJ16" i="253" s="1"/>
  <c r="AK16" i="253" s="1"/>
  <c r="AL16" i="253" s="1"/>
  <c r="AM16" i="253" s="1"/>
  <c r="AN16" i="253" s="1"/>
  <c r="AO16" i="253" s="1"/>
  <c r="AP16" i="253" s="1"/>
  <c r="AE25" i="253"/>
  <c r="AE27" i="253"/>
  <c r="N23" i="255"/>
  <c r="M181" i="259"/>
  <c r="AD16" i="243"/>
  <c r="AC24" i="246"/>
  <c r="AC25" i="246"/>
  <c r="AC26" i="246"/>
  <c r="AC27" i="246"/>
  <c r="AC28" i="246"/>
  <c r="AC34" i="246"/>
  <c r="AC35" i="246"/>
  <c r="AF25" i="253"/>
  <c r="AF27" i="253"/>
  <c r="O23" i="255"/>
  <c r="N181" i="259"/>
  <c r="AE16" i="243"/>
  <c r="AF16" i="243" s="1"/>
  <c r="AG16" i="243" s="1"/>
  <c r="AH16" i="243" s="1"/>
  <c r="AI16" i="243" s="1"/>
  <c r="AJ16" i="243" s="1"/>
  <c r="AK16" i="243" s="1"/>
  <c r="AL16" i="243" s="1"/>
  <c r="AD24" i="246"/>
  <c r="AD25" i="246"/>
  <c r="AD26" i="246"/>
  <c r="AD27" i="246"/>
  <c r="AD28" i="246"/>
  <c r="AD34" i="246"/>
  <c r="AD35" i="246"/>
  <c r="AG25" i="253"/>
  <c r="AG27" i="253"/>
  <c r="P23" i="255"/>
  <c r="AE24" i="246"/>
  <c r="AE25" i="246"/>
  <c r="AE26" i="246"/>
  <c r="AE27" i="246"/>
  <c r="AE28" i="246"/>
  <c r="AE34" i="246"/>
  <c r="AE35" i="246"/>
  <c r="AH25" i="253"/>
  <c r="AH27" i="253"/>
  <c r="Q23" i="255"/>
  <c r="AF24" i="246"/>
  <c r="AF25" i="246"/>
  <c r="AF26" i="246"/>
  <c r="AF27" i="246"/>
  <c r="AF28" i="246"/>
  <c r="AF34" i="246"/>
  <c r="AF35" i="246"/>
  <c r="AI25" i="253"/>
  <c r="AI27" i="253"/>
  <c r="R23" i="255"/>
  <c r="AG24" i="246"/>
  <c r="AG25" i="246"/>
  <c r="AG26" i="246"/>
  <c r="AG27" i="246"/>
  <c r="AG28" i="246"/>
  <c r="AG34" i="246"/>
  <c r="AG35" i="246"/>
  <c r="AJ25" i="253"/>
  <c r="AJ27" i="253"/>
  <c r="S23" i="255"/>
  <c r="AH24" i="246"/>
  <c r="AH25" i="246"/>
  <c r="AH26" i="246"/>
  <c r="AH27" i="246"/>
  <c r="AH28" i="246"/>
  <c r="AH34" i="246"/>
  <c r="AH35" i="246"/>
  <c r="AK25" i="253"/>
  <c r="AK27" i="253"/>
  <c r="T23" i="255"/>
  <c r="E171" i="224"/>
  <c r="F171" i="224"/>
  <c r="G171" i="224"/>
  <c r="H171" i="224"/>
  <c r="I171" i="224"/>
  <c r="J171" i="224"/>
  <c r="K171" i="224"/>
  <c r="L171" i="224"/>
  <c r="M171" i="224"/>
  <c r="N171" i="224"/>
  <c r="O171" i="224"/>
  <c r="P171" i="224"/>
  <c r="Q171" i="224"/>
  <c r="R171" i="224"/>
  <c r="S171" i="224"/>
  <c r="T171" i="224"/>
  <c r="E167" i="224"/>
  <c r="M180" i="224"/>
  <c r="N180" i="224"/>
  <c r="D65" i="224"/>
  <c r="E65" i="224"/>
  <c r="F65" i="224"/>
  <c r="G65" i="224"/>
  <c r="H65" i="224"/>
  <c r="D8" i="224"/>
  <c r="D66" i="224"/>
  <c r="E66" i="224"/>
  <c r="F66" i="224"/>
  <c r="G66" i="224"/>
  <c r="H66" i="224"/>
  <c r="H67" i="224"/>
  <c r="D67" i="224"/>
  <c r="E67" i="224"/>
  <c r="F67" i="224"/>
  <c r="G67" i="224"/>
  <c r="I65" i="224"/>
  <c r="I66" i="224"/>
  <c r="I67" i="224"/>
  <c r="J65" i="224"/>
  <c r="J66" i="224"/>
  <c r="J67" i="224"/>
  <c r="K65" i="224"/>
  <c r="K66" i="224"/>
  <c r="K67" i="224"/>
  <c r="L65" i="224"/>
  <c r="L66" i="224"/>
  <c r="L67" i="224"/>
  <c r="M65" i="224"/>
  <c r="M66" i="224"/>
  <c r="M67" i="224"/>
  <c r="N65" i="224"/>
  <c r="N66" i="224"/>
  <c r="N67" i="224"/>
  <c r="O65" i="224"/>
  <c r="O66" i="224"/>
  <c r="O67" i="224"/>
  <c r="P65" i="224"/>
  <c r="P66" i="224"/>
  <c r="P67" i="224"/>
  <c r="Q65" i="224"/>
  <c r="Q66" i="224"/>
  <c r="Q67" i="224"/>
  <c r="R65" i="224"/>
  <c r="R66" i="224"/>
  <c r="R67" i="224"/>
  <c r="S65" i="224"/>
  <c r="S66" i="224"/>
  <c r="S67" i="224"/>
  <c r="N47" i="260"/>
  <c r="A41" i="252"/>
  <c r="A50" i="252"/>
  <c r="H66" i="252"/>
  <c r="I66" i="252" s="1"/>
  <c r="J66" i="252" s="1"/>
  <c r="K66" i="252" s="1"/>
  <c r="L66" i="252" s="1"/>
  <c r="M66" i="252" s="1"/>
  <c r="N66" i="252" s="1"/>
  <c r="O66" i="252" s="1"/>
  <c r="P66" i="252" s="1"/>
  <c r="Q66" i="252" s="1"/>
  <c r="R66" i="252" s="1"/>
  <c r="S66" i="252" s="1"/>
  <c r="T66" i="252" s="1"/>
  <c r="U66" i="252" s="1"/>
  <c r="V66" i="252" s="1"/>
  <c r="K68" i="252"/>
  <c r="L68" i="252" s="1"/>
  <c r="M68" i="252" s="1"/>
  <c r="N68" i="252" s="1"/>
  <c r="O68" i="252" s="1"/>
  <c r="P68" i="252" s="1"/>
  <c r="Q68" i="252" s="1"/>
  <c r="R68" i="252" s="1"/>
  <c r="S68" i="252" s="1"/>
  <c r="T68" i="252" s="1"/>
  <c r="U68" i="252" s="1"/>
  <c r="V68" i="252" s="1"/>
  <c r="K70" i="252"/>
  <c r="L70" i="252" s="1"/>
  <c r="M70" i="252" s="1"/>
  <c r="N70" i="252" s="1"/>
  <c r="O70" i="252" s="1"/>
  <c r="P70" i="252" s="1"/>
  <c r="Q70" i="252" s="1"/>
  <c r="R70" i="252" s="1"/>
  <c r="S70" i="252" s="1"/>
  <c r="T70" i="252" s="1"/>
  <c r="U70" i="252" s="1"/>
  <c r="V70" i="252" s="1"/>
  <c r="B65" i="256"/>
  <c r="B66" i="256"/>
  <c r="K30" i="255"/>
  <c r="K37" i="255"/>
  <c r="K43" i="255"/>
  <c r="L30" i="255"/>
  <c r="L37" i="255"/>
  <c r="L43" i="255"/>
  <c r="M30" i="255"/>
  <c r="M37" i="255"/>
  <c r="M43" i="255"/>
  <c r="N30" i="255"/>
  <c r="N37" i="255"/>
  <c r="N43" i="255"/>
  <c r="O30" i="255"/>
  <c r="O37" i="255"/>
  <c r="O43" i="255"/>
  <c r="P30" i="255"/>
  <c r="P37" i="255"/>
  <c r="P43" i="255"/>
  <c r="Q30" i="255"/>
  <c r="Q37" i="255"/>
  <c r="Q43" i="255"/>
  <c r="R30" i="255"/>
  <c r="R37" i="255"/>
  <c r="R43" i="255"/>
  <c r="S30" i="255"/>
  <c r="S37" i="255"/>
  <c r="S43" i="255"/>
  <c r="T30" i="255"/>
  <c r="T37" i="255"/>
  <c r="T43" i="255"/>
  <c r="L37" i="224"/>
  <c r="L37" i="259"/>
  <c r="L115" i="259" s="1"/>
  <c r="L39" i="224"/>
  <c r="L39" i="259"/>
  <c r="L117" i="259" s="1"/>
  <c r="M37" i="224"/>
  <c r="M37" i="259"/>
  <c r="M115" i="259" s="1"/>
  <c r="M39" i="224"/>
  <c r="M39" i="259"/>
  <c r="M117" i="259" s="1"/>
  <c r="N37" i="224"/>
  <c r="N37" i="259"/>
  <c r="N115" i="259" s="1"/>
  <c r="N39" i="224"/>
  <c r="N39" i="259"/>
  <c r="N117" i="259" s="1"/>
  <c r="O37" i="224"/>
  <c r="O37" i="259"/>
  <c r="O115" i="259" s="1"/>
  <c r="O39" i="224"/>
  <c r="O39" i="259"/>
  <c r="O117" i="259" s="1"/>
  <c r="P37" i="224"/>
  <c r="P37" i="259"/>
  <c r="P115" i="259" s="1"/>
  <c r="P39" i="224"/>
  <c r="P39" i="259"/>
  <c r="P117" i="259" s="1"/>
  <c r="Q37" i="224"/>
  <c r="Q37" i="259"/>
  <c r="Q115" i="259" s="1"/>
  <c r="Q39" i="224"/>
  <c r="Q39" i="259"/>
  <c r="Q117" i="259" s="1"/>
  <c r="R37" i="224"/>
  <c r="R37" i="259"/>
  <c r="R115" i="259" s="1"/>
  <c r="R39" i="224"/>
  <c r="R39" i="259"/>
  <c r="R117" i="259" s="1"/>
  <c r="S37" i="224"/>
  <c r="S37" i="259"/>
  <c r="S115" i="259" s="1"/>
  <c r="S39" i="224"/>
  <c r="S39" i="259"/>
  <c r="S117" i="259" s="1"/>
  <c r="D45" i="224"/>
  <c r="E45" i="224"/>
  <c r="F45" i="224"/>
  <c r="E9" i="222"/>
  <c r="C31" i="222"/>
  <c r="C3" i="237" s="1"/>
  <c r="C110" i="251" s="1"/>
  <c r="C37" i="222"/>
  <c r="C43" i="222"/>
  <c r="B408" i="263" s="1"/>
  <c r="C9" i="222"/>
  <c r="C10" i="234" s="1"/>
  <c r="B8" i="265" s="1"/>
  <c r="C3" i="246"/>
  <c r="AI24" i="246"/>
  <c r="AI25" i="246"/>
  <c r="AI34" i="246"/>
  <c r="AJ24" i="246"/>
  <c r="AJ25" i="246"/>
  <c r="AJ34" i="246"/>
  <c r="AK24" i="246"/>
  <c r="AK25" i="246"/>
  <c r="AK34" i="246"/>
  <c r="AL24" i="246"/>
  <c r="AL25" i="246"/>
  <c r="AL34" i="246"/>
  <c r="AL25" i="253"/>
  <c r="AM25" i="253"/>
  <c r="AN25" i="253"/>
  <c r="AO25" i="253"/>
  <c r="AP25" i="253"/>
  <c r="C27" i="260"/>
  <c r="B26" i="260"/>
  <c r="B20" i="260"/>
  <c r="B21" i="260"/>
  <c r="B22" i="260"/>
  <c r="B24" i="260"/>
  <c r="B19" i="260"/>
  <c r="AI26" i="246"/>
  <c r="AI27" i="246"/>
  <c r="AI28" i="246"/>
  <c r="AI35" i="246"/>
  <c r="AL27" i="253"/>
  <c r="BX35" i="229"/>
  <c r="BY35" i="229"/>
  <c r="BZ35" i="229"/>
  <c r="CA35" i="229"/>
  <c r="BX46" i="229"/>
  <c r="BY46" i="229"/>
  <c r="BZ46" i="229"/>
  <c r="CA46" i="229"/>
  <c r="BX57" i="229"/>
  <c r="BY57" i="229"/>
  <c r="BZ57" i="229"/>
  <c r="CA57" i="229"/>
  <c r="BX68" i="229"/>
  <c r="BY68" i="229"/>
  <c r="BZ68" i="229"/>
  <c r="CA68" i="229"/>
  <c r="BX79" i="229"/>
  <c r="BY79" i="229"/>
  <c r="BZ79" i="229"/>
  <c r="CA79" i="229"/>
  <c r="AJ26" i="246"/>
  <c r="AJ27" i="246"/>
  <c r="AJ28" i="246"/>
  <c r="AJ35" i="246"/>
  <c r="AM27" i="253"/>
  <c r="CB35" i="229"/>
  <c r="CC35" i="229"/>
  <c r="CD35" i="229"/>
  <c r="CE35" i="229"/>
  <c r="CB46" i="229"/>
  <c r="CC46" i="229"/>
  <c r="CD46" i="229"/>
  <c r="CE46" i="229"/>
  <c r="CB57" i="229"/>
  <c r="CC57" i="229"/>
  <c r="CD57" i="229"/>
  <c r="CE57" i="229"/>
  <c r="CB68" i="229"/>
  <c r="CC68" i="229"/>
  <c r="CD68" i="229"/>
  <c r="CE68" i="229"/>
  <c r="CB79" i="229"/>
  <c r="CC79" i="229"/>
  <c r="CD79" i="229"/>
  <c r="CE79" i="229"/>
  <c r="AK26" i="246"/>
  <c r="AK27" i="246"/>
  <c r="AK28" i="246"/>
  <c r="AK35" i="246"/>
  <c r="AN27" i="253"/>
  <c r="Y31" i="198"/>
  <c r="CF35" i="229"/>
  <c r="CG35" i="229"/>
  <c r="CH35" i="229"/>
  <c r="CI35" i="229"/>
  <c r="CF46" i="229"/>
  <c r="CG46" i="229"/>
  <c r="CH46" i="229"/>
  <c r="CI46" i="229"/>
  <c r="CF57" i="229"/>
  <c r="CG57" i="229"/>
  <c r="CH57" i="229"/>
  <c r="CI57" i="229"/>
  <c r="CF68" i="229"/>
  <c r="CG68" i="229"/>
  <c r="CH68" i="229"/>
  <c r="CI68" i="229"/>
  <c r="CF79" i="229"/>
  <c r="CG79" i="229"/>
  <c r="CH79" i="229"/>
  <c r="CI79" i="229"/>
  <c r="AO27" i="253"/>
  <c r="AP27" i="253"/>
  <c r="AL26" i="246"/>
  <c r="AL27" i="246"/>
  <c r="AL28" i="246"/>
  <c r="AL35" i="246"/>
  <c r="CV7" i="204"/>
  <c r="CS41" i="204" s="1"/>
  <c r="U23" i="255"/>
  <c r="V23" i="255"/>
  <c r="W23" i="255"/>
  <c r="X23" i="255"/>
  <c r="Y23" i="255"/>
  <c r="Z23" i="255"/>
  <c r="E31" i="222"/>
  <c r="E37" i="222"/>
  <c r="E43" i="222"/>
  <c r="E60" i="222"/>
  <c r="E25" i="222" s="1"/>
  <c r="E47" i="222"/>
  <c r="E26" i="222" s="1"/>
  <c r="F947" i="263"/>
  <c r="E947" i="263"/>
  <c r="G946" i="263"/>
  <c r="H946" i="263"/>
  <c r="I946" i="263"/>
  <c r="J946" i="263"/>
  <c r="K946" i="263"/>
  <c r="G945" i="263"/>
  <c r="H945" i="263"/>
  <c r="I945" i="263"/>
  <c r="J945" i="263"/>
  <c r="K945" i="263"/>
  <c r="K947" i="263"/>
  <c r="E405" i="263"/>
  <c r="J271" i="263"/>
  <c r="J270" i="263"/>
  <c r="J269" i="263"/>
  <c r="J268" i="263"/>
  <c r="J267" i="263"/>
  <c r="J266" i="263"/>
  <c r="J265" i="263"/>
  <c r="J264" i="263"/>
  <c r="J263" i="263"/>
  <c r="J262" i="263"/>
  <c r="J261" i="263"/>
  <c r="J260" i="263"/>
  <c r="J259" i="263"/>
  <c r="J258" i="263"/>
  <c r="J257" i="263"/>
  <c r="J256" i="263"/>
  <c r="J255" i="263"/>
  <c r="J254" i="263"/>
  <c r="J253" i="263"/>
  <c r="J252" i="263"/>
  <c r="J251" i="263"/>
  <c r="J250" i="263"/>
  <c r="J249" i="263"/>
  <c r="J248" i="263"/>
  <c r="J247" i="263"/>
  <c r="J246" i="263"/>
  <c r="J245" i="263"/>
  <c r="J244" i="263"/>
  <c r="J243" i="263"/>
  <c r="J242" i="263"/>
  <c r="J241" i="263"/>
  <c r="J240" i="263"/>
  <c r="J239" i="263"/>
  <c r="J238" i="263"/>
  <c r="J237" i="263"/>
  <c r="J236" i="263"/>
  <c r="J235" i="263"/>
  <c r="J234" i="263"/>
  <c r="J233" i="263"/>
  <c r="J232" i="263"/>
  <c r="J231" i="263"/>
  <c r="J230" i="263"/>
  <c r="J229" i="263"/>
  <c r="J228" i="263"/>
  <c r="J227" i="263"/>
  <c r="J226" i="263"/>
  <c r="J225" i="263"/>
  <c r="J224" i="263"/>
  <c r="J223" i="263"/>
  <c r="J222" i="263"/>
  <c r="J221" i="263"/>
  <c r="J220" i="263"/>
  <c r="J219" i="263"/>
  <c r="J218" i="263"/>
  <c r="J217" i="263"/>
  <c r="J216" i="263"/>
  <c r="J215" i="263"/>
  <c r="J214" i="263"/>
  <c r="J213" i="263"/>
  <c r="J212" i="263"/>
  <c r="J211" i="263"/>
  <c r="J210" i="263"/>
  <c r="J209" i="263"/>
  <c r="J208" i="263"/>
  <c r="J207" i="263"/>
  <c r="J206" i="263"/>
  <c r="J205" i="263"/>
  <c r="J204" i="263"/>
  <c r="J203" i="263"/>
  <c r="J202" i="263"/>
  <c r="J201" i="263"/>
  <c r="J200" i="263"/>
  <c r="J199" i="263"/>
  <c r="J198" i="263"/>
  <c r="J197" i="263"/>
  <c r="J196" i="263"/>
  <c r="J195" i="263"/>
  <c r="J194" i="263"/>
  <c r="J193" i="263"/>
  <c r="J192" i="263"/>
  <c r="J191" i="263"/>
  <c r="J190" i="263"/>
  <c r="J189" i="263"/>
  <c r="J188" i="263"/>
  <c r="J187" i="263"/>
  <c r="J186" i="263"/>
  <c r="J185" i="263"/>
  <c r="J184" i="263"/>
  <c r="J183" i="263"/>
  <c r="J182" i="263"/>
  <c r="J181" i="263"/>
  <c r="J180" i="263"/>
  <c r="J179" i="263"/>
  <c r="J178" i="263"/>
  <c r="J177" i="263"/>
  <c r="J176" i="263"/>
  <c r="J175" i="263"/>
  <c r="J174" i="263"/>
  <c r="J173" i="263"/>
  <c r="J172" i="263"/>
  <c r="J171" i="263"/>
  <c r="J170" i="263"/>
  <c r="J169" i="263"/>
  <c r="J168" i="263"/>
  <c r="J167" i="263"/>
  <c r="J166" i="263"/>
  <c r="J165" i="263"/>
  <c r="J164" i="263"/>
  <c r="J163" i="263"/>
  <c r="J162" i="263"/>
  <c r="J161" i="263"/>
  <c r="J160" i="263"/>
  <c r="J159" i="263"/>
  <c r="J158" i="263"/>
  <c r="J157" i="263"/>
  <c r="J156" i="263"/>
  <c r="J155" i="263"/>
  <c r="J154" i="263"/>
  <c r="J153" i="263"/>
  <c r="J152" i="263"/>
  <c r="J151" i="263"/>
  <c r="J150" i="263"/>
  <c r="J149" i="263"/>
  <c r="J148" i="263"/>
  <c r="J147" i="263"/>
  <c r="J146" i="263"/>
  <c r="H947" i="263"/>
  <c r="I947" i="263"/>
  <c r="G947" i="263"/>
  <c r="J947" i="263"/>
  <c r="M519" i="263"/>
  <c r="M518" i="263"/>
  <c r="M513" i="263"/>
  <c r="M512" i="263"/>
  <c r="M380" i="263"/>
  <c r="M379" i="263"/>
  <c r="M385" i="263"/>
  <c r="M119" i="263"/>
  <c r="M114" i="263"/>
  <c r="M113" i="263"/>
  <c r="F812" i="263"/>
  <c r="G812" i="263"/>
  <c r="H812" i="263"/>
  <c r="I812" i="263"/>
  <c r="J812" i="263"/>
  <c r="K812" i="263"/>
  <c r="F813" i="263"/>
  <c r="G813" i="263"/>
  <c r="H813" i="263"/>
  <c r="I813" i="263"/>
  <c r="J813" i="263"/>
  <c r="K813" i="263"/>
  <c r="F814" i="263"/>
  <c r="G814" i="263"/>
  <c r="H814" i="263"/>
  <c r="I814" i="263"/>
  <c r="J814" i="263"/>
  <c r="K814" i="263"/>
  <c r="F815" i="263"/>
  <c r="G815" i="263"/>
  <c r="H815" i="263"/>
  <c r="I815" i="263"/>
  <c r="J815" i="263"/>
  <c r="K815" i="263"/>
  <c r="F816" i="263"/>
  <c r="G816" i="263"/>
  <c r="H816" i="263"/>
  <c r="I816" i="263"/>
  <c r="J816" i="263"/>
  <c r="K816" i="263"/>
  <c r="F817" i="263"/>
  <c r="G817" i="263"/>
  <c r="H817" i="263"/>
  <c r="I817" i="263"/>
  <c r="J817" i="263"/>
  <c r="K817" i="263"/>
  <c r="F818" i="263"/>
  <c r="G818" i="263"/>
  <c r="H818" i="263"/>
  <c r="I818" i="263"/>
  <c r="J818" i="263"/>
  <c r="K818" i="263"/>
  <c r="F819" i="263"/>
  <c r="G819" i="263"/>
  <c r="H819" i="263"/>
  <c r="I819" i="263"/>
  <c r="J819" i="263"/>
  <c r="K819" i="263"/>
  <c r="F820" i="263"/>
  <c r="G820" i="263"/>
  <c r="H820" i="263"/>
  <c r="I820" i="263"/>
  <c r="J820" i="263"/>
  <c r="K820" i="263"/>
  <c r="F821" i="263"/>
  <c r="G821" i="263"/>
  <c r="H821" i="263"/>
  <c r="I821" i="263"/>
  <c r="J821" i="263"/>
  <c r="K821" i="263"/>
  <c r="F822" i="263"/>
  <c r="G822" i="263"/>
  <c r="H822" i="263"/>
  <c r="I822" i="263"/>
  <c r="J822" i="263"/>
  <c r="K822" i="263"/>
  <c r="F823" i="263"/>
  <c r="G823" i="263"/>
  <c r="H823" i="263"/>
  <c r="I823" i="263"/>
  <c r="J823" i="263"/>
  <c r="K823" i="263"/>
  <c r="F824" i="263"/>
  <c r="G824" i="263"/>
  <c r="H824" i="263"/>
  <c r="I824" i="263"/>
  <c r="J824" i="263"/>
  <c r="K824" i="263"/>
  <c r="F825" i="263"/>
  <c r="G825" i="263"/>
  <c r="H825" i="263"/>
  <c r="I825" i="263"/>
  <c r="J825" i="263"/>
  <c r="K825" i="263"/>
  <c r="F826" i="263"/>
  <c r="G826" i="263"/>
  <c r="H826" i="263"/>
  <c r="I826" i="263"/>
  <c r="J826" i="263"/>
  <c r="K826" i="263"/>
  <c r="F827" i="263"/>
  <c r="G827" i="263"/>
  <c r="H827" i="263"/>
  <c r="I827" i="263"/>
  <c r="J827" i="263"/>
  <c r="K827" i="263"/>
  <c r="F828" i="263"/>
  <c r="G828" i="263"/>
  <c r="H828" i="263"/>
  <c r="I828" i="263"/>
  <c r="J828" i="263"/>
  <c r="K828" i="263"/>
  <c r="F829" i="263"/>
  <c r="G829" i="263"/>
  <c r="H829" i="263"/>
  <c r="I829" i="263"/>
  <c r="J829" i="263"/>
  <c r="K829" i="263"/>
  <c r="F830" i="263"/>
  <c r="G830" i="263"/>
  <c r="H830" i="263"/>
  <c r="I830" i="263"/>
  <c r="J830" i="263"/>
  <c r="K830" i="263"/>
  <c r="F831" i="263"/>
  <c r="G831" i="263"/>
  <c r="H831" i="263"/>
  <c r="I831" i="263"/>
  <c r="J831" i="263"/>
  <c r="K831" i="263"/>
  <c r="F832" i="263"/>
  <c r="G832" i="263"/>
  <c r="H832" i="263"/>
  <c r="I832" i="263"/>
  <c r="J832" i="263"/>
  <c r="K832" i="263"/>
  <c r="F833" i="263"/>
  <c r="G833" i="263"/>
  <c r="H833" i="263"/>
  <c r="I833" i="263"/>
  <c r="J833" i="263"/>
  <c r="K833" i="263"/>
  <c r="F834" i="263"/>
  <c r="G834" i="263"/>
  <c r="H834" i="263"/>
  <c r="I834" i="263"/>
  <c r="J834" i="263"/>
  <c r="K834" i="263"/>
  <c r="F835" i="263"/>
  <c r="G835" i="263"/>
  <c r="H835" i="263"/>
  <c r="I835" i="263"/>
  <c r="J835" i="263"/>
  <c r="K835" i="263"/>
  <c r="F836" i="263"/>
  <c r="G836" i="263"/>
  <c r="H836" i="263"/>
  <c r="I836" i="263"/>
  <c r="J836" i="263"/>
  <c r="K836" i="263"/>
  <c r="F837" i="263"/>
  <c r="G837" i="263"/>
  <c r="H837" i="263"/>
  <c r="I837" i="263"/>
  <c r="J837" i="263"/>
  <c r="K837" i="263"/>
  <c r="F838" i="263"/>
  <c r="G838" i="263"/>
  <c r="H838" i="263"/>
  <c r="I838" i="263"/>
  <c r="J838" i="263"/>
  <c r="K838" i="263"/>
  <c r="F839" i="263"/>
  <c r="G839" i="263"/>
  <c r="H839" i="263"/>
  <c r="I839" i="263"/>
  <c r="J839" i="263"/>
  <c r="K839" i="263"/>
  <c r="F840" i="263"/>
  <c r="G840" i="263"/>
  <c r="H840" i="263"/>
  <c r="I840" i="263"/>
  <c r="J840" i="263"/>
  <c r="K840" i="263"/>
  <c r="F841" i="263"/>
  <c r="G841" i="263"/>
  <c r="H841" i="263"/>
  <c r="I841" i="263"/>
  <c r="J841" i="263"/>
  <c r="K841" i="263"/>
  <c r="F842" i="263"/>
  <c r="G842" i="263"/>
  <c r="H842" i="263"/>
  <c r="I842" i="263"/>
  <c r="J842" i="263"/>
  <c r="K842" i="263"/>
  <c r="F843" i="263"/>
  <c r="G843" i="263"/>
  <c r="H843" i="263"/>
  <c r="I843" i="263"/>
  <c r="J843" i="263"/>
  <c r="K843" i="263"/>
  <c r="F844" i="263"/>
  <c r="G844" i="263"/>
  <c r="H844" i="263"/>
  <c r="I844" i="263"/>
  <c r="J844" i="263"/>
  <c r="K844" i="263"/>
  <c r="F845" i="263"/>
  <c r="G845" i="263"/>
  <c r="H845" i="263"/>
  <c r="I845" i="263"/>
  <c r="J845" i="263"/>
  <c r="K845" i="263"/>
  <c r="F846" i="263"/>
  <c r="G846" i="263"/>
  <c r="H846" i="263"/>
  <c r="I846" i="263"/>
  <c r="J846" i="263"/>
  <c r="K846" i="263"/>
  <c r="F847" i="263"/>
  <c r="G847" i="263"/>
  <c r="H847" i="263"/>
  <c r="I847" i="263"/>
  <c r="J847" i="263"/>
  <c r="K847" i="263"/>
  <c r="F848" i="263"/>
  <c r="G848" i="263"/>
  <c r="H848" i="263"/>
  <c r="I848" i="263"/>
  <c r="J848" i="263"/>
  <c r="K848" i="263"/>
  <c r="F849" i="263"/>
  <c r="G849" i="263"/>
  <c r="H849" i="263"/>
  <c r="I849" i="263"/>
  <c r="J849" i="263"/>
  <c r="K849" i="263"/>
  <c r="F850" i="263"/>
  <c r="G850" i="263"/>
  <c r="H850" i="263"/>
  <c r="I850" i="263"/>
  <c r="J850" i="263"/>
  <c r="K850" i="263"/>
  <c r="F851" i="263"/>
  <c r="G851" i="263"/>
  <c r="H851" i="263"/>
  <c r="I851" i="263"/>
  <c r="J851" i="263"/>
  <c r="K851" i="263"/>
  <c r="F852" i="263"/>
  <c r="G852" i="263"/>
  <c r="H852" i="263"/>
  <c r="I852" i="263"/>
  <c r="J852" i="263"/>
  <c r="K852" i="263"/>
  <c r="F853" i="263"/>
  <c r="G853" i="263"/>
  <c r="H853" i="263"/>
  <c r="I853" i="263"/>
  <c r="J853" i="263"/>
  <c r="K853" i="263"/>
  <c r="F854" i="263"/>
  <c r="G854" i="263"/>
  <c r="H854" i="263"/>
  <c r="I854" i="263"/>
  <c r="J854" i="263"/>
  <c r="K854" i="263"/>
  <c r="F855" i="263"/>
  <c r="G855" i="263"/>
  <c r="H855" i="263"/>
  <c r="I855" i="263"/>
  <c r="J855" i="263"/>
  <c r="K855" i="263"/>
  <c r="F856" i="263"/>
  <c r="G856" i="263"/>
  <c r="H856" i="263"/>
  <c r="I856" i="263"/>
  <c r="J856" i="263"/>
  <c r="K856" i="263"/>
  <c r="F857" i="263"/>
  <c r="G857" i="263"/>
  <c r="H857" i="263"/>
  <c r="I857" i="263"/>
  <c r="J857" i="263"/>
  <c r="K857" i="263"/>
  <c r="F858" i="263"/>
  <c r="G858" i="263"/>
  <c r="H858" i="263"/>
  <c r="I858" i="263"/>
  <c r="J858" i="263"/>
  <c r="K858" i="263"/>
  <c r="F859" i="263"/>
  <c r="G859" i="263"/>
  <c r="H859" i="263"/>
  <c r="I859" i="263"/>
  <c r="J859" i="263"/>
  <c r="K859" i="263"/>
  <c r="F860" i="263"/>
  <c r="G860" i="263"/>
  <c r="H860" i="263"/>
  <c r="I860" i="263"/>
  <c r="J860" i="263"/>
  <c r="K860" i="263"/>
  <c r="F861" i="263"/>
  <c r="G861" i="263"/>
  <c r="H861" i="263"/>
  <c r="I861" i="263"/>
  <c r="J861" i="263"/>
  <c r="K861" i="263"/>
  <c r="F862" i="263"/>
  <c r="G862" i="263"/>
  <c r="H862" i="263"/>
  <c r="I862" i="263"/>
  <c r="J862" i="263"/>
  <c r="K862" i="263"/>
  <c r="F863" i="263"/>
  <c r="G863" i="263"/>
  <c r="H863" i="263"/>
  <c r="I863" i="263"/>
  <c r="J863" i="263"/>
  <c r="K863" i="263"/>
  <c r="F864" i="263"/>
  <c r="G864" i="263"/>
  <c r="H864" i="263"/>
  <c r="I864" i="263"/>
  <c r="J864" i="263"/>
  <c r="K864" i="263"/>
  <c r="F865" i="263"/>
  <c r="G865" i="263"/>
  <c r="H865" i="263"/>
  <c r="I865" i="263"/>
  <c r="J865" i="263"/>
  <c r="K865" i="263"/>
  <c r="F866" i="263"/>
  <c r="G866" i="263"/>
  <c r="H866" i="263"/>
  <c r="I866" i="263"/>
  <c r="J866" i="263"/>
  <c r="K866" i="263"/>
  <c r="F867" i="263"/>
  <c r="G867" i="263"/>
  <c r="H867" i="263"/>
  <c r="I867" i="263"/>
  <c r="J867" i="263"/>
  <c r="K867" i="263"/>
  <c r="F868" i="263"/>
  <c r="G868" i="263"/>
  <c r="H868" i="263"/>
  <c r="I868" i="263"/>
  <c r="J868" i="263"/>
  <c r="K868" i="263"/>
  <c r="F869" i="263"/>
  <c r="G869" i="263"/>
  <c r="H869" i="263"/>
  <c r="I869" i="263"/>
  <c r="J869" i="263"/>
  <c r="K869" i="263"/>
  <c r="F870" i="263"/>
  <c r="G870" i="263"/>
  <c r="H870" i="263"/>
  <c r="I870" i="263"/>
  <c r="J870" i="263"/>
  <c r="K870" i="263"/>
  <c r="F871" i="263"/>
  <c r="G871" i="263"/>
  <c r="H871" i="263"/>
  <c r="I871" i="263"/>
  <c r="J871" i="263"/>
  <c r="K871" i="263"/>
  <c r="F872" i="263"/>
  <c r="G872" i="263"/>
  <c r="H872" i="263"/>
  <c r="I872" i="263"/>
  <c r="J872" i="263"/>
  <c r="K872" i="263"/>
  <c r="F873" i="263"/>
  <c r="G873" i="263"/>
  <c r="H873" i="263"/>
  <c r="I873" i="263"/>
  <c r="J873" i="263"/>
  <c r="K873" i="263"/>
  <c r="F874" i="263"/>
  <c r="G874" i="263"/>
  <c r="H874" i="263"/>
  <c r="I874" i="263"/>
  <c r="J874" i="263"/>
  <c r="K874" i="263"/>
  <c r="F875" i="263"/>
  <c r="G875" i="263"/>
  <c r="H875" i="263"/>
  <c r="I875" i="263"/>
  <c r="J875" i="263"/>
  <c r="K875" i="263"/>
  <c r="F876" i="263"/>
  <c r="G876" i="263"/>
  <c r="H876" i="263"/>
  <c r="I876" i="263"/>
  <c r="J876" i="263"/>
  <c r="K876" i="263"/>
  <c r="F877" i="263"/>
  <c r="G877" i="263"/>
  <c r="H877" i="263"/>
  <c r="I877" i="263"/>
  <c r="J877" i="263"/>
  <c r="K877" i="263"/>
  <c r="F878" i="263"/>
  <c r="G878" i="263"/>
  <c r="H878" i="263"/>
  <c r="I878" i="263"/>
  <c r="J878" i="263"/>
  <c r="K878" i="263"/>
  <c r="F879" i="263"/>
  <c r="G879" i="263"/>
  <c r="H879" i="263"/>
  <c r="I879" i="263"/>
  <c r="J879" i="263"/>
  <c r="K879" i="263"/>
  <c r="F880" i="263"/>
  <c r="G880" i="263"/>
  <c r="H880" i="263"/>
  <c r="I880" i="263"/>
  <c r="J880" i="263"/>
  <c r="K880" i="263"/>
  <c r="F881" i="263"/>
  <c r="G881" i="263"/>
  <c r="H881" i="263"/>
  <c r="I881" i="263"/>
  <c r="J881" i="263"/>
  <c r="K881" i="263"/>
  <c r="F882" i="263"/>
  <c r="G882" i="263"/>
  <c r="H882" i="263"/>
  <c r="I882" i="263"/>
  <c r="J882" i="263"/>
  <c r="K882" i="263"/>
  <c r="F883" i="263"/>
  <c r="G883" i="263"/>
  <c r="H883" i="263"/>
  <c r="I883" i="263"/>
  <c r="J883" i="263"/>
  <c r="K883" i="263"/>
  <c r="F884" i="263"/>
  <c r="G884" i="263"/>
  <c r="H884" i="263"/>
  <c r="I884" i="263"/>
  <c r="J884" i="263"/>
  <c r="K884" i="263"/>
  <c r="F885" i="263"/>
  <c r="G885" i="263"/>
  <c r="H885" i="263"/>
  <c r="I885" i="263"/>
  <c r="J885" i="263"/>
  <c r="K885" i="263"/>
  <c r="F886" i="263"/>
  <c r="G886" i="263"/>
  <c r="H886" i="263"/>
  <c r="I886" i="263"/>
  <c r="J886" i="263"/>
  <c r="K886" i="263"/>
  <c r="F887" i="263"/>
  <c r="G887" i="263"/>
  <c r="H887" i="263"/>
  <c r="I887" i="263"/>
  <c r="J887" i="263"/>
  <c r="K887" i="263"/>
  <c r="F888" i="263"/>
  <c r="G888" i="263"/>
  <c r="H888" i="263"/>
  <c r="I888" i="263"/>
  <c r="J888" i="263"/>
  <c r="K888" i="263"/>
  <c r="F889" i="263"/>
  <c r="G889" i="263"/>
  <c r="H889" i="263"/>
  <c r="I889" i="263"/>
  <c r="J889" i="263"/>
  <c r="K889" i="263"/>
  <c r="F890" i="263"/>
  <c r="G890" i="263"/>
  <c r="H890" i="263"/>
  <c r="I890" i="263"/>
  <c r="J890" i="263"/>
  <c r="K890" i="263"/>
  <c r="F891" i="263"/>
  <c r="G891" i="263"/>
  <c r="H891" i="263"/>
  <c r="I891" i="263"/>
  <c r="J891" i="263"/>
  <c r="K891" i="263"/>
  <c r="F892" i="263"/>
  <c r="G892" i="263"/>
  <c r="H892" i="263"/>
  <c r="I892" i="263"/>
  <c r="J892" i="263"/>
  <c r="K892" i="263"/>
  <c r="F893" i="263"/>
  <c r="G893" i="263"/>
  <c r="H893" i="263"/>
  <c r="I893" i="263"/>
  <c r="J893" i="263"/>
  <c r="K893" i="263"/>
  <c r="F894" i="263"/>
  <c r="G894" i="263"/>
  <c r="H894" i="263"/>
  <c r="I894" i="263"/>
  <c r="J894" i="263"/>
  <c r="K894" i="263"/>
  <c r="F895" i="263"/>
  <c r="G895" i="263"/>
  <c r="H895" i="263"/>
  <c r="I895" i="263"/>
  <c r="J895" i="263"/>
  <c r="K895" i="263"/>
  <c r="F896" i="263"/>
  <c r="G896" i="263"/>
  <c r="H896" i="263"/>
  <c r="I896" i="263"/>
  <c r="J896" i="263"/>
  <c r="K896" i="263"/>
  <c r="F897" i="263"/>
  <c r="G897" i="263"/>
  <c r="H897" i="263"/>
  <c r="I897" i="263"/>
  <c r="J897" i="263"/>
  <c r="K897" i="263"/>
  <c r="F898" i="263"/>
  <c r="G898" i="263"/>
  <c r="H898" i="263"/>
  <c r="I898" i="263"/>
  <c r="J898" i="263"/>
  <c r="K898" i="263"/>
  <c r="F899" i="263"/>
  <c r="G899" i="263"/>
  <c r="H899" i="263"/>
  <c r="I899" i="263"/>
  <c r="J899" i="263"/>
  <c r="K899" i="263"/>
  <c r="F900" i="263"/>
  <c r="G900" i="263"/>
  <c r="H900" i="263"/>
  <c r="I900" i="263"/>
  <c r="J900" i="263"/>
  <c r="K900" i="263"/>
  <c r="F901" i="263"/>
  <c r="G901" i="263"/>
  <c r="H901" i="263"/>
  <c r="I901" i="263"/>
  <c r="J901" i="263"/>
  <c r="K901" i="263"/>
  <c r="F902" i="263"/>
  <c r="G902" i="263"/>
  <c r="H902" i="263"/>
  <c r="I902" i="263"/>
  <c r="J902" i="263"/>
  <c r="K902" i="263"/>
  <c r="F903" i="263"/>
  <c r="G903" i="263"/>
  <c r="H903" i="263"/>
  <c r="I903" i="263"/>
  <c r="J903" i="263"/>
  <c r="K903" i="263"/>
  <c r="F904" i="263"/>
  <c r="G904" i="263"/>
  <c r="H904" i="263"/>
  <c r="I904" i="263"/>
  <c r="J904" i="263"/>
  <c r="K904" i="263"/>
  <c r="F905" i="263"/>
  <c r="G905" i="263"/>
  <c r="H905" i="263"/>
  <c r="I905" i="263"/>
  <c r="J905" i="263"/>
  <c r="K905" i="263"/>
  <c r="F906" i="263"/>
  <c r="G906" i="263"/>
  <c r="H906" i="263"/>
  <c r="I906" i="263"/>
  <c r="J906" i="263"/>
  <c r="K906" i="263"/>
  <c r="F907" i="263"/>
  <c r="G907" i="263"/>
  <c r="H907" i="263"/>
  <c r="I907" i="263"/>
  <c r="J907" i="263"/>
  <c r="K907" i="263"/>
  <c r="F908" i="263"/>
  <c r="G908" i="263"/>
  <c r="H908" i="263"/>
  <c r="I908" i="263"/>
  <c r="J908" i="263"/>
  <c r="K908" i="263"/>
  <c r="F909" i="263"/>
  <c r="G909" i="263"/>
  <c r="H909" i="263"/>
  <c r="I909" i="263"/>
  <c r="J909" i="263"/>
  <c r="K909" i="263"/>
  <c r="F910" i="263"/>
  <c r="G910" i="263"/>
  <c r="H910" i="263"/>
  <c r="I910" i="263"/>
  <c r="J910" i="263"/>
  <c r="K910" i="263"/>
  <c r="F911" i="263"/>
  <c r="G911" i="263"/>
  <c r="H911" i="263"/>
  <c r="I911" i="263"/>
  <c r="J911" i="263"/>
  <c r="K911" i="263"/>
  <c r="F912" i="263"/>
  <c r="G912" i="263"/>
  <c r="H912" i="263"/>
  <c r="I912" i="263"/>
  <c r="J912" i="263"/>
  <c r="K912" i="263"/>
  <c r="F913" i="263"/>
  <c r="G913" i="263"/>
  <c r="H913" i="263"/>
  <c r="I913" i="263"/>
  <c r="J913" i="263"/>
  <c r="K913" i="263"/>
  <c r="F914" i="263"/>
  <c r="G914" i="263"/>
  <c r="H914" i="263"/>
  <c r="I914" i="263"/>
  <c r="J914" i="263"/>
  <c r="K914" i="263"/>
  <c r="F915" i="263"/>
  <c r="G915" i="263"/>
  <c r="H915" i="263"/>
  <c r="I915" i="263"/>
  <c r="J915" i="263"/>
  <c r="K915" i="263"/>
  <c r="F916" i="263"/>
  <c r="G916" i="263"/>
  <c r="H916" i="263"/>
  <c r="I916" i="263"/>
  <c r="J916" i="263"/>
  <c r="K916" i="263"/>
  <c r="F917" i="263"/>
  <c r="G917" i="263"/>
  <c r="H917" i="263"/>
  <c r="I917" i="263"/>
  <c r="J917" i="263"/>
  <c r="K917" i="263"/>
  <c r="F918" i="263"/>
  <c r="G918" i="263"/>
  <c r="H918" i="263"/>
  <c r="I918" i="263"/>
  <c r="J918" i="263"/>
  <c r="K918" i="263"/>
  <c r="F919" i="263"/>
  <c r="G919" i="263"/>
  <c r="H919" i="263"/>
  <c r="I919" i="263"/>
  <c r="J919" i="263"/>
  <c r="K919" i="263"/>
  <c r="F920" i="263"/>
  <c r="G920" i="263"/>
  <c r="H920" i="263"/>
  <c r="I920" i="263"/>
  <c r="J920" i="263"/>
  <c r="K920" i="263"/>
  <c r="F921" i="263"/>
  <c r="G921" i="263"/>
  <c r="H921" i="263"/>
  <c r="I921" i="263"/>
  <c r="J921" i="263"/>
  <c r="K921" i="263"/>
  <c r="F922" i="263"/>
  <c r="G922" i="263"/>
  <c r="H922" i="263"/>
  <c r="I922" i="263"/>
  <c r="J922" i="263"/>
  <c r="K922" i="263"/>
  <c r="F923" i="263"/>
  <c r="G923" i="263"/>
  <c r="H923" i="263"/>
  <c r="I923" i="263"/>
  <c r="J923" i="263"/>
  <c r="K923" i="263"/>
  <c r="F924" i="263"/>
  <c r="G924" i="263"/>
  <c r="H924" i="263"/>
  <c r="I924" i="263"/>
  <c r="J924" i="263"/>
  <c r="K924" i="263"/>
  <c r="F925" i="263"/>
  <c r="G925" i="263"/>
  <c r="H925" i="263"/>
  <c r="I925" i="263"/>
  <c r="J925" i="263"/>
  <c r="K925" i="263"/>
  <c r="F926" i="263"/>
  <c r="G926" i="263"/>
  <c r="H926" i="263"/>
  <c r="I926" i="263"/>
  <c r="J926" i="263"/>
  <c r="K926" i="263"/>
  <c r="F927" i="263"/>
  <c r="G927" i="263"/>
  <c r="H927" i="263"/>
  <c r="I927" i="263"/>
  <c r="J927" i="263"/>
  <c r="K927" i="263"/>
  <c r="F928" i="263"/>
  <c r="G928" i="263"/>
  <c r="H928" i="263"/>
  <c r="I928" i="263"/>
  <c r="J928" i="263"/>
  <c r="K928" i="263"/>
  <c r="F929" i="263"/>
  <c r="G929" i="263"/>
  <c r="H929" i="263"/>
  <c r="I929" i="263"/>
  <c r="J929" i="263"/>
  <c r="K929" i="263"/>
  <c r="F930" i="263"/>
  <c r="G930" i="263"/>
  <c r="H930" i="263"/>
  <c r="I930" i="263"/>
  <c r="J930" i="263"/>
  <c r="K930" i="263"/>
  <c r="F931" i="263"/>
  <c r="G931" i="263"/>
  <c r="H931" i="263"/>
  <c r="I931" i="263"/>
  <c r="J931" i="263"/>
  <c r="K931" i="263"/>
  <c r="F932" i="263"/>
  <c r="G932" i="263"/>
  <c r="H932" i="263"/>
  <c r="I932" i="263"/>
  <c r="J932" i="263"/>
  <c r="K932" i="263"/>
  <c r="F933" i="263"/>
  <c r="G933" i="263"/>
  <c r="H933" i="263"/>
  <c r="I933" i="263"/>
  <c r="J933" i="263"/>
  <c r="K933" i="263"/>
  <c r="F934" i="263"/>
  <c r="G934" i="263"/>
  <c r="H934" i="263"/>
  <c r="I934" i="263"/>
  <c r="J934" i="263"/>
  <c r="K934" i="263"/>
  <c r="F935" i="263"/>
  <c r="G935" i="263"/>
  <c r="H935" i="263"/>
  <c r="I935" i="263"/>
  <c r="J935" i="263"/>
  <c r="K935" i="263"/>
  <c r="F936" i="263"/>
  <c r="G936" i="263"/>
  <c r="H936" i="263"/>
  <c r="I936" i="263"/>
  <c r="J936" i="263"/>
  <c r="K936" i="263"/>
  <c r="F811" i="263"/>
  <c r="G811" i="263"/>
  <c r="H811" i="263"/>
  <c r="I272" i="263"/>
  <c r="H272" i="263"/>
  <c r="G272" i="263"/>
  <c r="F272" i="263"/>
  <c r="E272" i="263"/>
  <c r="K271" i="263"/>
  <c r="K270" i="263"/>
  <c r="K269" i="263"/>
  <c r="K268" i="263"/>
  <c r="K267" i="263"/>
  <c r="K266" i="263"/>
  <c r="K265" i="263"/>
  <c r="K264" i="263"/>
  <c r="K263" i="263"/>
  <c r="K262" i="263"/>
  <c r="K261" i="263"/>
  <c r="K260" i="263"/>
  <c r="K259" i="263"/>
  <c r="K258" i="263"/>
  <c r="K257" i="263"/>
  <c r="K256" i="263"/>
  <c r="K255" i="263"/>
  <c r="K254" i="263"/>
  <c r="K253" i="263"/>
  <c r="K252" i="263"/>
  <c r="K251" i="263"/>
  <c r="K250" i="263"/>
  <c r="K249" i="263"/>
  <c r="K248" i="263"/>
  <c r="K247" i="263"/>
  <c r="K246" i="263"/>
  <c r="K245" i="263"/>
  <c r="K244" i="263"/>
  <c r="K243" i="263"/>
  <c r="K242" i="263"/>
  <c r="K241" i="263"/>
  <c r="K240" i="263"/>
  <c r="K239" i="263"/>
  <c r="K238" i="263"/>
  <c r="K237" i="263"/>
  <c r="K236" i="263"/>
  <c r="K235" i="263"/>
  <c r="K234" i="263"/>
  <c r="K233" i="263"/>
  <c r="K232" i="263"/>
  <c r="K231" i="263"/>
  <c r="K230" i="263"/>
  <c r="K229" i="263"/>
  <c r="K228" i="263"/>
  <c r="K227" i="263"/>
  <c r="K226" i="263"/>
  <c r="K225" i="263"/>
  <c r="K224" i="263"/>
  <c r="K223" i="263"/>
  <c r="K222" i="263"/>
  <c r="K221" i="263"/>
  <c r="K220" i="263"/>
  <c r="K219" i="263"/>
  <c r="K218" i="263"/>
  <c r="K217" i="263"/>
  <c r="K216" i="263"/>
  <c r="K215" i="263"/>
  <c r="K214" i="263"/>
  <c r="K213" i="263"/>
  <c r="K212" i="263"/>
  <c r="K211" i="263"/>
  <c r="K210" i="263"/>
  <c r="K209" i="263"/>
  <c r="K208" i="263"/>
  <c r="K207" i="263"/>
  <c r="K206" i="263"/>
  <c r="K205" i="263"/>
  <c r="K204" i="263"/>
  <c r="K203" i="263"/>
  <c r="K202" i="263"/>
  <c r="K201" i="263"/>
  <c r="K200" i="263"/>
  <c r="K199" i="263"/>
  <c r="K198" i="263"/>
  <c r="K197" i="263"/>
  <c r="K196" i="263"/>
  <c r="K195" i="263"/>
  <c r="K194" i="263"/>
  <c r="K193" i="263"/>
  <c r="K192" i="263"/>
  <c r="K191" i="263"/>
  <c r="K190" i="263"/>
  <c r="K189" i="263"/>
  <c r="K188" i="263"/>
  <c r="K187" i="263"/>
  <c r="K186" i="263"/>
  <c r="K185" i="263"/>
  <c r="K184" i="263"/>
  <c r="K183" i="263"/>
  <c r="K182" i="263"/>
  <c r="K181" i="263"/>
  <c r="K180" i="263"/>
  <c r="K179" i="263"/>
  <c r="K178" i="263"/>
  <c r="K177" i="263"/>
  <c r="K176" i="263"/>
  <c r="K175" i="263"/>
  <c r="K174" i="263"/>
  <c r="K173" i="263"/>
  <c r="K172" i="263"/>
  <c r="K171" i="263"/>
  <c r="K170" i="263"/>
  <c r="K169" i="263"/>
  <c r="K168" i="263"/>
  <c r="K167" i="263"/>
  <c r="K166" i="263"/>
  <c r="K165" i="263"/>
  <c r="K164" i="263"/>
  <c r="K163" i="263"/>
  <c r="K162" i="263"/>
  <c r="K161" i="263"/>
  <c r="K160" i="263"/>
  <c r="K159" i="263"/>
  <c r="K158" i="263"/>
  <c r="K157" i="263"/>
  <c r="K156" i="263"/>
  <c r="K155" i="263"/>
  <c r="K154" i="263"/>
  <c r="K153" i="263"/>
  <c r="K152" i="263"/>
  <c r="K151" i="263"/>
  <c r="K150" i="263"/>
  <c r="K149" i="263"/>
  <c r="K148" i="263"/>
  <c r="K147" i="263"/>
  <c r="I33" i="256"/>
  <c r="J33" i="256"/>
  <c r="K33" i="256"/>
  <c r="L33" i="256"/>
  <c r="M33" i="256"/>
  <c r="H33" i="256"/>
  <c r="I804" i="263"/>
  <c r="H804" i="263"/>
  <c r="G804" i="263"/>
  <c r="F804" i="263"/>
  <c r="E804" i="263"/>
  <c r="J803" i="263"/>
  <c r="K803" i="263"/>
  <c r="J802" i="263"/>
  <c r="K802" i="263"/>
  <c r="J801" i="263"/>
  <c r="K801" i="263"/>
  <c r="J800" i="263"/>
  <c r="K800" i="263"/>
  <c r="J799" i="263"/>
  <c r="K799" i="263"/>
  <c r="J798" i="263"/>
  <c r="K798" i="263"/>
  <c r="J797" i="263"/>
  <c r="K797" i="263"/>
  <c r="J796" i="263"/>
  <c r="K796" i="263"/>
  <c r="J795" i="263"/>
  <c r="K795" i="263"/>
  <c r="J794" i="263"/>
  <c r="K794" i="263"/>
  <c r="J793" i="263"/>
  <c r="K793" i="263"/>
  <c r="J792" i="263"/>
  <c r="K792" i="263"/>
  <c r="J791" i="263"/>
  <c r="K791" i="263"/>
  <c r="J790" i="263"/>
  <c r="K790" i="263"/>
  <c r="J789" i="263"/>
  <c r="K789" i="263"/>
  <c r="J788" i="263"/>
  <c r="K788" i="263"/>
  <c r="J787" i="263"/>
  <c r="K787" i="263"/>
  <c r="J786" i="263"/>
  <c r="K786" i="263"/>
  <c r="J785" i="263"/>
  <c r="K785" i="263"/>
  <c r="J784" i="263"/>
  <c r="K784" i="263"/>
  <c r="J783" i="263"/>
  <c r="K783" i="263"/>
  <c r="J782" i="263"/>
  <c r="K782" i="263"/>
  <c r="J781" i="263"/>
  <c r="K781" i="263"/>
  <c r="J780" i="263"/>
  <c r="K780" i="263"/>
  <c r="J779" i="263"/>
  <c r="K779" i="263"/>
  <c r="J778" i="263"/>
  <c r="K778" i="263"/>
  <c r="J777" i="263"/>
  <c r="K777" i="263"/>
  <c r="J776" i="263"/>
  <c r="K776" i="263"/>
  <c r="J775" i="263"/>
  <c r="K775" i="263"/>
  <c r="J774" i="263"/>
  <c r="K774" i="263"/>
  <c r="J773" i="263"/>
  <c r="K773" i="263"/>
  <c r="J772" i="263"/>
  <c r="K772" i="263"/>
  <c r="J771" i="263"/>
  <c r="K771" i="263"/>
  <c r="J770" i="263"/>
  <c r="K770" i="263"/>
  <c r="J769" i="263"/>
  <c r="K769" i="263"/>
  <c r="J768" i="263"/>
  <c r="K768" i="263"/>
  <c r="J767" i="263"/>
  <c r="K767" i="263"/>
  <c r="J766" i="263"/>
  <c r="K766" i="263"/>
  <c r="J765" i="263"/>
  <c r="K765" i="263"/>
  <c r="J764" i="263"/>
  <c r="K764" i="263"/>
  <c r="J763" i="263"/>
  <c r="K763" i="263"/>
  <c r="J762" i="263"/>
  <c r="K762" i="263"/>
  <c r="J761" i="263"/>
  <c r="K761" i="263"/>
  <c r="J760" i="263"/>
  <c r="K760" i="263"/>
  <c r="J759" i="263"/>
  <c r="K759" i="263"/>
  <c r="J758" i="263"/>
  <c r="K758" i="263"/>
  <c r="J757" i="263"/>
  <c r="K757" i="263"/>
  <c r="J756" i="263"/>
  <c r="K756" i="263"/>
  <c r="J755" i="263"/>
  <c r="K755" i="263"/>
  <c r="J754" i="263"/>
  <c r="K754" i="263"/>
  <c r="J753" i="263"/>
  <c r="K753" i="263"/>
  <c r="J752" i="263"/>
  <c r="K752" i="263"/>
  <c r="J751" i="263"/>
  <c r="K751" i="263"/>
  <c r="J750" i="263"/>
  <c r="K750" i="263"/>
  <c r="J749" i="263"/>
  <c r="K749" i="263"/>
  <c r="J748" i="263"/>
  <c r="K748" i="263"/>
  <c r="J747" i="263"/>
  <c r="K747" i="263"/>
  <c r="J746" i="263"/>
  <c r="K746" i="263"/>
  <c r="J745" i="263"/>
  <c r="K745" i="263"/>
  <c r="J744" i="263"/>
  <c r="K744" i="263"/>
  <c r="J743" i="263"/>
  <c r="K743" i="263"/>
  <c r="J742" i="263"/>
  <c r="K742" i="263"/>
  <c r="J741" i="263"/>
  <c r="K741" i="263"/>
  <c r="J740" i="263"/>
  <c r="K740" i="263"/>
  <c r="J739" i="263"/>
  <c r="K739" i="263"/>
  <c r="J738" i="263"/>
  <c r="K738" i="263"/>
  <c r="J737" i="263"/>
  <c r="K737" i="263"/>
  <c r="J736" i="263"/>
  <c r="K736" i="263"/>
  <c r="J735" i="263"/>
  <c r="K735" i="263"/>
  <c r="J734" i="263"/>
  <c r="K734" i="263"/>
  <c r="J733" i="263"/>
  <c r="K733" i="263"/>
  <c r="J732" i="263"/>
  <c r="K732" i="263"/>
  <c r="J731" i="263"/>
  <c r="K731" i="263"/>
  <c r="J730" i="263"/>
  <c r="K730" i="263"/>
  <c r="J729" i="263"/>
  <c r="K729" i="263"/>
  <c r="J728" i="263"/>
  <c r="K728" i="263"/>
  <c r="J727" i="263"/>
  <c r="K727" i="263"/>
  <c r="J726" i="263"/>
  <c r="K726" i="263"/>
  <c r="J725" i="263"/>
  <c r="K725" i="263"/>
  <c r="J724" i="263"/>
  <c r="K724" i="263"/>
  <c r="J723" i="263"/>
  <c r="K723" i="263"/>
  <c r="J722" i="263"/>
  <c r="K722" i="263"/>
  <c r="J721" i="263"/>
  <c r="K721" i="263"/>
  <c r="J720" i="263"/>
  <c r="K720" i="263"/>
  <c r="J719" i="263"/>
  <c r="K719" i="263"/>
  <c r="J718" i="263"/>
  <c r="K718" i="263"/>
  <c r="J717" i="263"/>
  <c r="K717" i="263"/>
  <c r="J716" i="263"/>
  <c r="K716" i="263"/>
  <c r="J715" i="263"/>
  <c r="K715" i="263"/>
  <c r="J714" i="263"/>
  <c r="K714" i="263"/>
  <c r="J713" i="263"/>
  <c r="K713" i="263"/>
  <c r="J712" i="263"/>
  <c r="K712" i="263"/>
  <c r="J711" i="263"/>
  <c r="K711" i="263"/>
  <c r="J710" i="263"/>
  <c r="K710" i="263"/>
  <c r="J709" i="263"/>
  <c r="K709" i="263"/>
  <c r="J708" i="263"/>
  <c r="K708" i="263"/>
  <c r="J707" i="263"/>
  <c r="K707" i="263"/>
  <c r="J706" i="263"/>
  <c r="K706" i="263"/>
  <c r="J705" i="263"/>
  <c r="K705" i="263"/>
  <c r="J704" i="263"/>
  <c r="K704" i="263"/>
  <c r="J703" i="263"/>
  <c r="K703" i="263"/>
  <c r="J702" i="263"/>
  <c r="K702" i="263"/>
  <c r="J701" i="263"/>
  <c r="K701" i="263"/>
  <c r="J700" i="263"/>
  <c r="K700" i="263"/>
  <c r="J699" i="263"/>
  <c r="K699" i="263"/>
  <c r="J698" i="263"/>
  <c r="K698" i="263"/>
  <c r="J697" i="263"/>
  <c r="K697" i="263"/>
  <c r="J696" i="263"/>
  <c r="K696" i="263"/>
  <c r="J695" i="263"/>
  <c r="K695" i="263"/>
  <c r="J694" i="263"/>
  <c r="K694" i="263"/>
  <c r="J693" i="263"/>
  <c r="K693" i="263"/>
  <c r="J692" i="263"/>
  <c r="K692" i="263"/>
  <c r="J691" i="263"/>
  <c r="K691" i="263"/>
  <c r="J690" i="263"/>
  <c r="K690" i="263"/>
  <c r="J689" i="263"/>
  <c r="K689" i="263"/>
  <c r="J688" i="263"/>
  <c r="K688" i="263"/>
  <c r="J687" i="263"/>
  <c r="K687" i="263"/>
  <c r="J686" i="263"/>
  <c r="K686" i="263"/>
  <c r="J685" i="263"/>
  <c r="K685" i="263"/>
  <c r="J684" i="263"/>
  <c r="K684" i="263"/>
  <c r="J683" i="263"/>
  <c r="K683" i="263"/>
  <c r="J682" i="263"/>
  <c r="K682" i="263"/>
  <c r="J681" i="263"/>
  <c r="K681" i="263"/>
  <c r="J680" i="263"/>
  <c r="K680" i="263"/>
  <c r="J679" i="263"/>
  <c r="K679" i="263"/>
  <c r="J678" i="263"/>
  <c r="J670" i="263"/>
  <c r="K670" i="263"/>
  <c r="J669" i="263"/>
  <c r="K669" i="263"/>
  <c r="J668" i="263"/>
  <c r="K668" i="263"/>
  <c r="J667" i="263"/>
  <c r="K667" i="263"/>
  <c r="J666" i="263"/>
  <c r="K666" i="263"/>
  <c r="J665" i="263"/>
  <c r="K665" i="263"/>
  <c r="J664" i="263"/>
  <c r="K664" i="263"/>
  <c r="J663" i="263"/>
  <c r="K663" i="263"/>
  <c r="J662" i="263"/>
  <c r="K662" i="263"/>
  <c r="J661" i="263"/>
  <c r="K661" i="263"/>
  <c r="J660" i="263"/>
  <c r="K660" i="263"/>
  <c r="J659" i="263"/>
  <c r="K659" i="263"/>
  <c r="J658" i="263"/>
  <c r="K658" i="263"/>
  <c r="J657" i="263"/>
  <c r="K657" i="263"/>
  <c r="J656" i="263"/>
  <c r="K656" i="263"/>
  <c r="J655" i="263"/>
  <c r="K655" i="263"/>
  <c r="J654" i="263"/>
  <c r="K654" i="263"/>
  <c r="J653" i="263"/>
  <c r="K653" i="263"/>
  <c r="J652" i="263"/>
  <c r="K652" i="263"/>
  <c r="J651" i="263"/>
  <c r="K651" i="263"/>
  <c r="J650" i="263"/>
  <c r="K650" i="263"/>
  <c r="J649" i="263"/>
  <c r="K649" i="263"/>
  <c r="J648" i="263"/>
  <c r="K648" i="263"/>
  <c r="J647" i="263"/>
  <c r="K647" i="263"/>
  <c r="J646" i="263"/>
  <c r="K646" i="263"/>
  <c r="J645" i="263"/>
  <c r="K645" i="263"/>
  <c r="J644" i="263"/>
  <c r="K644" i="263"/>
  <c r="J643" i="263"/>
  <c r="K643" i="263"/>
  <c r="J642" i="263"/>
  <c r="K642" i="263"/>
  <c r="J641" i="263"/>
  <c r="K641" i="263"/>
  <c r="J640" i="263"/>
  <c r="K640" i="263"/>
  <c r="J639" i="263"/>
  <c r="K639" i="263"/>
  <c r="J638" i="263"/>
  <c r="K638" i="263"/>
  <c r="J637" i="263"/>
  <c r="K637" i="263"/>
  <c r="J636" i="263"/>
  <c r="K636" i="263"/>
  <c r="J635" i="263"/>
  <c r="K635" i="263"/>
  <c r="J634" i="263"/>
  <c r="K634" i="263"/>
  <c r="J633" i="263"/>
  <c r="K633" i="263"/>
  <c r="J632" i="263"/>
  <c r="K632" i="263"/>
  <c r="J631" i="263"/>
  <c r="K631" i="263"/>
  <c r="J630" i="263"/>
  <c r="K630" i="263"/>
  <c r="J629" i="263"/>
  <c r="K629" i="263"/>
  <c r="J628" i="263"/>
  <c r="K628" i="263"/>
  <c r="J627" i="263"/>
  <c r="K627" i="263"/>
  <c r="J626" i="263"/>
  <c r="K626" i="263"/>
  <c r="J625" i="263"/>
  <c r="K625" i="263"/>
  <c r="J624" i="263"/>
  <c r="K624" i="263"/>
  <c r="J623" i="263"/>
  <c r="K623" i="263"/>
  <c r="J622" i="263"/>
  <c r="K622" i="263"/>
  <c r="J621" i="263"/>
  <c r="K621" i="263"/>
  <c r="J620" i="263"/>
  <c r="K620" i="263"/>
  <c r="J619" i="263"/>
  <c r="K619" i="263"/>
  <c r="J618" i="263"/>
  <c r="K618" i="263"/>
  <c r="J617" i="263"/>
  <c r="K617" i="263"/>
  <c r="J616" i="263"/>
  <c r="K616" i="263"/>
  <c r="J615" i="263"/>
  <c r="K615" i="263"/>
  <c r="J614" i="263"/>
  <c r="K614" i="263"/>
  <c r="J613" i="263"/>
  <c r="K613" i="263"/>
  <c r="J612" i="263"/>
  <c r="K612" i="263"/>
  <c r="J611" i="263"/>
  <c r="K611" i="263"/>
  <c r="J610" i="263"/>
  <c r="K610" i="263"/>
  <c r="J609" i="263"/>
  <c r="K609" i="263"/>
  <c r="J608" i="263"/>
  <c r="K608" i="263"/>
  <c r="J607" i="263"/>
  <c r="K607" i="263"/>
  <c r="J606" i="263"/>
  <c r="K606" i="263"/>
  <c r="J605" i="263"/>
  <c r="K605" i="263"/>
  <c r="J604" i="263"/>
  <c r="K604" i="263"/>
  <c r="J603" i="263"/>
  <c r="K603" i="263"/>
  <c r="J602" i="263"/>
  <c r="K602" i="263"/>
  <c r="J601" i="263"/>
  <c r="K601" i="263"/>
  <c r="J600" i="263"/>
  <c r="K600" i="263"/>
  <c r="J599" i="263"/>
  <c r="K599" i="263"/>
  <c r="J598" i="263"/>
  <c r="K598" i="263"/>
  <c r="J597" i="263"/>
  <c r="K597" i="263"/>
  <c r="J596" i="263"/>
  <c r="K596" i="263"/>
  <c r="J595" i="263"/>
  <c r="K595" i="263"/>
  <c r="J594" i="263"/>
  <c r="K594" i="263"/>
  <c r="J593" i="263"/>
  <c r="K593" i="263"/>
  <c r="J592" i="263"/>
  <c r="K592" i="263"/>
  <c r="J591" i="263"/>
  <c r="K591" i="263"/>
  <c r="J590" i="263"/>
  <c r="K590" i="263"/>
  <c r="J589" i="263"/>
  <c r="K589" i="263"/>
  <c r="J588" i="263"/>
  <c r="K588" i="263"/>
  <c r="J587" i="263"/>
  <c r="K587" i="263"/>
  <c r="J586" i="263"/>
  <c r="K586" i="263"/>
  <c r="J585" i="263"/>
  <c r="K585" i="263"/>
  <c r="J584" i="263"/>
  <c r="K584" i="263"/>
  <c r="J583" i="263"/>
  <c r="K583" i="263"/>
  <c r="J582" i="263"/>
  <c r="K582" i="263"/>
  <c r="J581" i="263"/>
  <c r="K581" i="263"/>
  <c r="J580" i="263"/>
  <c r="K580" i="263"/>
  <c r="J579" i="263"/>
  <c r="K579" i="263"/>
  <c r="J578" i="263"/>
  <c r="K578" i="263"/>
  <c r="J577" i="263"/>
  <c r="K577" i="263"/>
  <c r="J576" i="263"/>
  <c r="K576" i="263"/>
  <c r="J575" i="263"/>
  <c r="K575" i="263"/>
  <c r="J574" i="263"/>
  <c r="K574" i="263"/>
  <c r="J573" i="263"/>
  <c r="K573" i="263"/>
  <c r="J572" i="263"/>
  <c r="K572" i="263"/>
  <c r="J571" i="263"/>
  <c r="K571" i="263"/>
  <c r="J570" i="263"/>
  <c r="K570" i="263"/>
  <c r="J569" i="263"/>
  <c r="K569" i="263"/>
  <c r="J568" i="263"/>
  <c r="K568" i="263"/>
  <c r="J567" i="263"/>
  <c r="K567" i="263"/>
  <c r="J566" i="263"/>
  <c r="K566" i="263"/>
  <c r="J565" i="263"/>
  <c r="K565" i="263"/>
  <c r="J564" i="263"/>
  <c r="K564" i="263"/>
  <c r="J563" i="263"/>
  <c r="K563" i="263"/>
  <c r="J562" i="263"/>
  <c r="K562" i="263"/>
  <c r="J561" i="263"/>
  <c r="K561" i="263"/>
  <c r="J560" i="263"/>
  <c r="K560" i="263"/>
  <c r="J559" i="263"/>
  <c r="K559" i="263"/>
  <c r="J558" i="263"/>
  <c r="K558" i="263"/>
  <c r="J557" i="263"/>
  <c r="K557" i="263"/>
  <c r="J556" i="263"/>
  <c r="K556" i="263"/>
  <c r="J555" i="263"/>
  <c r="K555" i="263"/>
  <c r="J554" i="263"/>
  <c r="K554" i="263"/>
  <c r="J553" i="263"/>
  <c r="K553" i="263"/>
  <c r="J552" i="263"/>
  <c r="K552" i="263"/>
  <c r="J551" i="263"/>
  <c r="K551" i="263"/>
  <c r="J550" i="263"/>
  <c r="K550" i="263"/>
  <c r="J549" i="263"/>
  <c r="K549" i="263"/>
  <c r="J548" i="263"/>
  <c r="K548" i="263"/>
  <c r="J547" i="263"/>
  <c r="K547" i="263"/>
  <c r="J546" i="263"/>
  <c r="K546" i="263"/>
  <c r="J545" i="263"/>
  <c r="J413" i="263"/>
  <c r="K413" i="263"/>
  <c r="J414" i="263"/>
  <c r="K414" i="263"/>
  <c r="J415" i="263"/>
  <c r="K415" i="263"/>
  <c r="J416" i="263"/>
  <c r="K416" i="263"/>
  <c r="J417" i="263"/>
  <c r="K417" i="263"/>
  <c r="J418" i="263"/>
  <c r="K418" i="263"/>
  <c r="J419" i="263"/>
  <c r="K419" i="263"/>
  <c r="J420" i="263"/>
  <c r="K420" i="263"/>
  <c r="J421" i="263"/>
  <c r="K421" i="263"/>
  <c r="J422" i="263"/>
  <c r="K422" i="263"/>
  <c r="J423" i="263"/>
  <c r="K423" i="263"/>
  <c r="J424" i="263"/>
  <c r="K424" i="263"/>
  <c r="J425" i="263"/>
  <c r="K425" i="263"/>
  <c r="J426" i="263"/>
  <c r="K426" i="263"/>
  <c r="J427" i="263"/>
  <c r="K427" i="263"/>
  <c r="J428" i="263"/>
  <c r="K428" i="263"/>
  <c r="J429" i="263"/>
  <c r="K429" i="263"/>
  <c r="J430" i="263"/>
  <c r="K430" i="263"/>
  <c r="J431" i="263"/>
  <c r="K431" i="263"/>
  <c r="J432" i="263"/>
  <c r="K432" i="263"/>
  <c r="J433" i="263"/>
  <c r="K433" i="263"/>
  <c r="J434" i="263"/>
  <c r="K434" i="263"/>
  <c r="J435" i="263"/>
  <c r="K435" i="263"/>
  <c r="J436" i="263"/>
  <c r="K436" i="263"/>
  <c r="J437" i="263"/>
  <c r="K437" i="263"/>
  <c r="J438" i="263"/>
  <c r="K438" i="263"/>
  <c r="J439" i="263"/>
  <c r="K439" i="263"/>
  <c r="J440" i="263"/>
  <c r="K440" i="263"/>
  <c r="J441" i="263"/>
  <c r="K441" i="263"/>
  <c r="J442" i="263"/>
  <c r="K442" i="263"/>
  <c r="J443" i="263"/>
  <c r="K443" i="263"/>
  <c r="J444" i="263"/>
  <c r="K444" i="263"/>
  <c r="J445" i="263"/>
  <c r="K445" i="263"/>
  <c r="J446" i="263"/>
  <c r="K446" i="263"/>
  <c r="J447" i="263"/>
  <c r="K447" i="263"/>
  <c r="J448" i="263"/>
  <c r="K448" i="263"/>
  <c r="J449" i="263"/>
  <c r="K449" i="263"/>
  <c r="J450" i="263"/>
  <c r="K450" i="263"/>
  <c r="J451" i="263"/>
  <c r="K451" i="263"/>
  <c r="J452" i="263"/>
  <c r="K452" i="263"/>
  <c r="J453" i="263"/>
  <c r="K453" i="263"/>
  <c r="J454" i="263"/>
  <c r="K454" i="263"/>
  <c r="J455" i="263"/>
  <c r="K455" i="263"/>
  <c r="J456" i="263"/>
  <c r="K456" i="263"/>
  <c r="J457" i="263"/>
  <c r="K457" i="263"/>
  <c r="J458" i="263"/>
  <c r="K458" i="263"/>
  <c r="J459" i="263"/>
  <c r="K459" i="263"/>
  <c r="J460" i="263"/>
  <c r="K460" i="263"/>
  <c r="J461" i="263"/>
  <c r="K461" i="263"/>
  <c r="J462" i="263"/>
  <c r="K462" i="263"/>
  <c r="J463" i="263"/>
  <c r="K463" i="263"/>
  <c r="J464" i="263"/>
  <c r="K464" i="263"/>
  <c r="J465" i="263"/>
  <c r="K465" i="263"/>
  <c r="J466" i="263"/>
  <c r="K466" i="263"/>
  <c r="J467" i="263"/>
  <c r="K467" i="263"/>
  <c r="J468" i="263"/>
  <c r="K468" i="263"/>
  <c r="J469" i="263"/>
  <c r="K469" i="263"/>
  <c r="J470" i="263"/>
  <c r="K470" i="263"/>
  <c r="J471" i="263"/>
  <c r="K471" i="263"/>
  <c r="J472" i="263"/>
  <c r="K472" i="263"/>
  <c r="J473" i="263"/>
  <c r="K473" i="263"/>
  <c r="J474" i="263"/>
  <c r="K474" i="263"/>
  <c r="J475" i="263"/>
  <c r="K475" i="263"/>
  <c r="J476" i="263"/>
  <c r="K476" i="263"/>
  <c r="J477" i="263"/>
  <c r="K477" i="263"/>
  <c r="J478" i="263"/>
  <c r="K478" i="263"/>
  <c r="J479" i="263"/>
  <c r="K479" i="263"/>
  <c r="J480" i="263"/>
  <c r="K480" i="263"/>
  <c r="J481" i="263"/>
  <c r="K481" i="263"/>
  <c r="J482" i="263"/>
  <c r="K482" i="263"/>
  <c r="J483" i="263"/>
  <c r="K483" i="263"/>
  <c r="J484" i="263"/>
  <c r="K484" i="263"/>
  <c r="J485" i="263"/>
  <c r="K485" i="263"/>
  <c r="J486" i="263"/>
  <c r="K486" i="263"/>
  <c r="J487" i="263"/>
  <c r="K487" i="263"/>
  <c r="J488" i="263"/>
  <c r="K488" i="263"/>
  <c r="J489" i="263"/>
  <c r="K489" i="263"/>
  <c r="J490" i="263"/>
  <c r="K490" i="263"/>
  <c r="J491" i="263"/>
  <c r="K491" i="263"/>
  <c r="J492" i="263"/>
  <c r="K492" i="263"/>
  <c r="J493" i="263"/>
  <c r="K493" i="263"/>
  <c r="J494" i="263"/>
  <c r="K494" i="263"/>
  <c r="J495" i="263"/>
  <c r="K495" i="263"/>
  <c r="J496" i="263"/>
  <c r="K496" i="263"/>
  <c r="J497" i="263"/>
  <c r="K497" i="263"/>
  <c r="J498" i="263"/>
  <c r="K498" i="263"/>
  <c r="J499" i="263"/>
  <c r="K499" i="263"/>
  <c r="J500" i="263"/>
  <c r="K500" i="263"/>
  <c r="J501" i="263"/>
  <c r="K501" i="263"/>
  <c r="J502" i="263"/>
  <c r="K502" i="263"/>
  <c r="J503" i="263"/>
  <c r="K503" i="263"/>
  <c r="J504" i="263"/>
  <c r="K504" i="263"/>
  <c r="J505" i="263"/>
  <c r="K505" i="263"/>
  <c r="J506" i="263"/>
  <c r="K506" i="263"/>
  <c r="J507" i="263"/>
  <c r="K507" i="263"/>
  <c r="J508" i="263"/>
  <c r="K508" i="263"/>
  <c r="J509" i="263"/>
  <c r="K509" i="263"/>
  <c r="J510" i="263"/>
  <c r="K510" i="263"/>
  <c r="J511" i="263"/>
  <c r="K511" i="263"/>
  <c r="J512" i="263"/>
  <c r="K512" i="263"/>
  <c r="J513" i="263"/>
  <c r="K513" i="263"/>
  <c r="J514" i="263"/>
  <c r="K514" i="263"/>
  <c r="J515" i="263"/>
  <c r="K515" i="263"/>
  <c r="J516" i="263"/>
  <c r="K516" i="263"/>
  <c r="J517" i="263"/>
  <c r="K517" i="263"/>
  <c r="J518" i="263"/>
  <c r="K518" i="263"/>
  <c r="J519" i="263"/>
  <c r="K519" i="263"/>
  <c r="J520" i="263"/>
  <c r="K520" i="263"/>
  <c r="J521" i="263"/>
  <c r="K521" i="263"/>
  <c r="J522" i="263"/>
  <c r="K522" i="263"/>
  <c r="J523" i="263"/>
  <c r="K523" i="263"/>
  <c r="J524" i="263"/>
  <c r="K524" i="263"/>
  <c r="J525" i="263"/>
  <c r="K525" i="263"/>
  <c r="J526" i="263"/>
  <c r="K526" i="263"/>
  <c r="J527" i="263"/>
  <c r="K527" i="263"/>
  <c r="J528" i="263"/>
  <c r="K528" i="263"/>
  <c r="J529" i="263"/>
  <c r="K529" i="263"/>
  <c r="J530" i="263"/>
  <c r="K530" i="263"/>
  <c r="J531" i="263"/>
  <c r="K531" i="263"/>
  <c r="J532" i="263"/>
  <c r="K532" i="263"/>
  <c r="J533" i="263"/>
  <c r="K533" i="263"/>
  <c r="J534" i="263"/>
  <c r="K534" i="263"/>
  <c r="J535" i="263"/>
  <c r="K535" i="263"/>
  <c r="J536" i="263"/>
  <c r="K536" i="263"/>
  <c r="J537" i="263"/>
  <c r="K537" i="263"/>
  <c r="J412" i="263"/>
  <c r="K412" i="263"/>
  <c r="J279" i="263"/>
  <c r="K279" i="263"/>
  <c r="J280" i="263"/>
  <c r="K280" i="263"/>
  <c r="J281" i="263"/>
  <c r="K281" i="263"/>
  <c r="J282" i="263"/>
  <c r="K282" i="263"/>
  <c r="J283" i="263"/>
  <c r="K283" i="263"/>
  <c r="J284" i="263"/>
  <c r="K284" i="263"/>
  <c r="J285" i="263"/>
  <c r="K285" i="263"/>
  <c r="J286" i="263"/>
  <c r="K286" i="263"/>
  <c r="J287" i="263"/>
  <c r="K287" i="263"/>
  <c r="J288" i="263"/>
  <c r="K288" i="263"/>
  <c r="J289" i="263"/>
  <c r="K289" i="263"/>
  <c r="J290" i="263"/>
  <c r="K290" i="263"/>
  <c r="J291" i="263"/>
  <c r="K291" i="263"/>
  <c r="J292" i="263"/>
  <c r="K292" i="263"/>
  <c r="J293" i="263"/>
  <c r="K293" i="263"/>
  <c r="J294" i="263"/>
  <c r="K294" i="263"/>
  <c r="J295" i="263"/>
  <c r="K295" i="263"/>
  <c r="J296" i="263"/>
  <c r="K296" i="263"/>
  <c r="J297" i="263"/>
  <c r="K297" i="263"/>
  <c r="J298" i="263"/>
  <c r="K298" i="263"/>
  <c r="J299" i="263"/>
  <c r="K299" i="263"/>
  <c r="J300" i="263"/>
  <c r="K300" i="263"/>
  <c r="J301" i="263"/>
  <c r="K301" i="263"/>
  <c r="J302" i="263"/>
  <c r="K302" i="263"/>
  <c r="J303" i="263"/>
  <c r="K303" i="263"/>
  <c r="J304" i="263"/>
  <c r="K304" i="263"/>
  <c r="J305" i="263"/>
  <c r="K305" i="263"/>
  <c r="J306" i="263"/>
  <c r="K306" i="263"/>
  <c r="J307" i="263"/>
  <c r="K307" i="263"/>
  <c r="J308" i="263"/>
  <c r="K308" i="263"/>
  <c r="J309" i="263"/>
  <c r="K309" i="263"/>
  <c r="J310" i="263"/>
  <c r="K310" i="263"/>
  <c r="J311" i="263"/>
  <c r="K311" i="263"/>
  <c r="J312" i="263"/>
  <c r="K312" i="263"/>
  <c r="J313" i="263"/>
  <c r="K313" i="263"/>
  <c r="J314" i="263"/>
  <c r="K314" i="263"/>
  <c r="J315" i="263"/>
  <c r="K315" i="263"/>
  <c r="J316" i="263"/>
  <c r="K316" i="263"/>
  <c r="J317" i="263"/>
  <c r="K317" i="263"/>
  <c r="J318" i="263"/>
  <c r="K318" i="263"/>
  <c r="J319" i="263"/>
  <c r="K319" i="263"/>
  <c r="J320" i="263"/>
  <c r="K320" i="263"/>
  <c r="J321" i="263"/>
  <c r="K321" i="263"/>
  <c r="J322" i="263"/>
  <c r="K322" i="263"/>
  <c r="J323" i="263"/>
  <c r="K323" i="263"/>
  <c r="J324" i="263"/>
  <c r="K324" i="263"/>
  <c r="J325" i="263"/>
  <c r="K325" i="263"/>
  <c r="J326" i="263"/>
  <c r="K326" i="263"/>
  <c r="J327" i="263"/>
  <c r="K327" i="263"/>
  <c r="J328" i="263"/>
  <c r="K328" i="263"/>
  <c r="J329" i="263"/>
  <c r="K329" i="263"/>
  <c r="J330" i="263"/>
  <c r="K330" i="263"/>
  <c r="J331" i="263"/>
  <c r="K331" i="263"/>
  <c r="J332" i="263"/>
  <c r="K332" i="263"/>
  <c r="J333" i="263"/>
  <c r="K333" i="263"/>
  <c r="J334" i="263"/>
  <c r="K334" i="263"/>
  <c r="J335" i="263"/>
  <c r="K335" i="263"/>
  <c r="J336" i="263"/>
  <c r="K336" i="263"/>
  <c r="J337" i="263"/>
  <c r="K337" i="263"/>
  <c r="J338" i="263"/>
  <c r="K338" i="263"/>
  <c r="J339" i="263"/>
  <c r="K339" i="263"/>
  <c r="J340" i="263"/>
  <c r="K340" i="263"/>
  <c r="J341" i="263"/>
  <c r="K341" i="263"/>
  <c r="J342" i="263"/>
  <c r="K342" i="263"/>
  <c r="J343" i="263"/>
  <c r="K343" i="263"/>
  <c r="J344" i="263"/>
  <c r="K344" i="263"/>
  <c r="J345" i="263"/>
  <c r="K345" i="263"/>
  <c r="J346" i="263"/>
  <c r="K346" i="263"/>
  <c r="J347" i="263"/>
  <c r="K347" i="263"/>
  <c r="J348" i="263"/>
  <c r="K348" i="263"/>
  <c r="J349" i="263"/>
  <c r="K349" i="263"/>
  <c r="J350" i="263"/>
  <c r="K350" i="263"/>
  <c r="J351" i="263"/>
  <c r="K351" i="263"/>
  <c r="J352" i="263"/>
  <c r="K352" i="263"/>
  <c r="J353" i="263"/>
  <c r="K353" i="263"/>
  <c r="J354" i="263"/>
  <c r="K354" i="263"/>
  <c r="J355" i="263"/>
  <c r="K355" i="263"/>
  <c r="J356" i="263"/>
  <c r="K356" i="263"/>
  <c r="J357" i="263"/>
  <c r="K357" i="263"/>
  <c r="J358" i="263"/>
  <c r="K358" i="263"/>
  <c r="J359" i="263"/>
  <c r="K359" i="263"/>
  <c r="J360" i="263"/>
  <c r="K360" i="263"/>
  <c r="J361" i="263"/>
  <c r="K361" i="263"/>
  <c r="J362" i="263"/>
  <c r="K362" i="263"/>
  <c r="J363" i="263"/>
  <c r="K363" i="263"/>
  <c r="J364" i="263"/>
  <c r="K364" i="263"/>
  <c r="J365" i="263"/>
  <c r="K365" i="263"/>
  <c r="J366" i="263"/>
  <c r="K366" i="263"/>
  <c r="J367" i="263"/>
  <c r="K367" i="263"/>
  <c r="J368" i="263"/>
  <c r="K368" i="263"/>
  <c r="J369" i="263"/>
  <c r="K369" i="263"/>
  <c r="J370" i="263"/>
  <c r="K370" i="263"/>
  <c r="J371" i="263"/>
  <c r="K371" i="263"/>
  <c r="J372" i="263"/>
  <c r="K372" i="263"/>
  <c r="J373" i="263"/>
  <c r="K373" i="263"/>
  <c r="J374" i="263"/>
  <c r="K374" i="263"/>
  <c r="J375" i="263"/>
  <c r="K375" i="263"/>
  <c r="J376" i="263"/>
  <c r="K376" i="263"/>
  <c r="J377" i="263"/>
  <c r="K377" i="263"/>
  <c r="J378" i="263"/>
  <c r="K378" i="263"/>
  <c r="J379" i="263"/>
  <c r="K379" i="263"/>
  <c r="J380" i="263"/>
  <c r="K380" i="263"/>
  <c r="J381" i="263"/>
  <c r="K381" i="263"/>
  <c r="J382" i="263"/>
  <c r="K382" i="263"/>
  <c r="J383" i="263"/>
  <c r="K383" i="263"/>
  <c r="J384" i="263"/>
  <c r="K384" i="263"/>
  <c r="J385" i="263"/>
  <c r="K385" i="263"/>
  <c r="J386" i="263"/>
  <c r="K386" i="263"/>
  <c r="J387" i="263"/>
  <c r="K387" i="263"/>
  <c r="J388" i="263"/>
  <c r="K388" i="263"/>
  <c r="J389" i="263"/>
  <c r="K389" i="263"/>
  <c r="J390" i="263"/>
  <c r="K390" i="263"/>
  <c r="J391" i="263"/>
  <c r="K391" i="263"/>
  <c r="J392" i="263"/>
  <c r="K392" i="263"/>
  <c r="J393" i="263"/>
  <c r="K393" i="263"/>
  <c r="J394" i="263"/>
  <c r="K394" i="263"/>
  <c r="J395" i="263"/>
  <c r="K395" i="263"/>
  <c r="J396" i="263"/>
  <c r="K396" i="263"/>
  <c r="J397" i="263"/>
  <c r="K397" i="263"/>
  <c r="J398" i="263"/>
  <c r="K398" i="263"/>
  <c r="J399" i="263"/>
  <c r="K399" i="263"/>
  <c r="J400" i="263"/>
  <c r="K400" i="263"/>
  <c r="J401" i="263"/>
  <c r="K401" i="263"/>
  <c r="J402" i="263"/>
  <c r="K402" i="263"/>
  <c r="J403" i="263"/>
  <c r="K403" i="263"/>
  <c r="J404" i="263"/>
  <c r="K404" i="263"/>
  <c r="F405" i="263"/>
  <c r="G405" i="263"/>
  <c r="H405" i="263"/>
  <c r="I405" i="263"/>
  <c r="J13" i="263"/>
  <c r="J14" i="263"/>
  <c r="K14" i="263"/>
  <c r="J15" i="263"/>
  <c r="K15" i="263"/>
  <c r="J16" i="263"/>
  <c r="K16" i="263"/>
  <c r="J17" i="263"/>
  <c r="K17" i="263"/>
  <c r="J18" i="263"/>
  <c r="K18" i="263"/>
  <c r="J19" i="263"/>
  <c r="K19" i="263"/>
  <c r="J20" i="263"/>
  <c r="K20" i="263"/>
  <c r="J21" i="263"/>
  <c r="K21" i="263"/>
  <c r="J22" i="263"/>
  <c r="K22" i="263"/>
  <c r="J23" i="263"/>
  <c r="K23" i="263"/>
  <c r="J24" i="263"/>
  <c r="K24" i="263"/>
  <c r="J25" i="263"/>
  <c r="K25" i="263"/>
  <c r="J26" i="263"/>
  <c r="K26" i="263"/>
  <c r="J27" i="263"/>
  <c r="K27" i="263"/>
  <c r="J28" i="263"/>
  <c r="K28" i="263"/>
  <c r="J29" i="263"/>
  <c r="K29" i="263"/>
  <c r="J30" i="263"/>
  <c r="K30" i="263"/>
  <c r="J31" i="263"/>
  <c r="K31" i="263"/>
  <c r="J32" i="263"/>
  <c r="K32" i="263"/>
  <c r="J33" i="263"/>
  <c r="K33" i="263"/>
  <c r="J34" i="263"/>
  <c r="K34" i="263"/>
  <c r="J35" i="263"/>
  <c r="K35" i="263"/>
  <c r="J36" i="263"/>
  <c r="K36" i="263"/>
  <c r="J37" i="263"/>
  <c r="K37" i="263"/>
  <c r="J38" i="263"/>
  <c r="K38" i="263"/>
  <c r="J39" i="263"/>
  <c r="K39" i="263"/>
  <c r="J40" i="263"/>
  <c r="K40" i="263"/>
  <c r="J41" i="263"/>
  <c r="K41" i="263"/>
  <c r="J42" i="263"/>
  <c r="K42" i="263"/>
  <c r="J43" i="263"/>
  <c r="K43" i="263"/>
  <c r="J44" i="263"/>
  <c r="K44" i="263"/>
  <c r="J45" i="263"/>
  <c r="K45" i="263"/>
  <c r="J46" i="263"/>
  <c r="K46" i="263"/>
  <c r="J47" i="263"/>
  <c r="K47" i="263"/>
  <c r="J48" i="263"/>
  <c r="K48" i="263"/>
  <c r="J49" i="263"/>
  <c r="K49" i="263"/>
  <c r="J50" i="263"/>
  <c r="K50" i="263"/>
  <c r="J51" i="263"/>
  <c r="K51" i="263"/>
  <c r="J52" i="263"/>
  <c r="K52" i="263"/>
  <c r="J53" i="263"/>
  <c r="K53" i="263"/>
  <c r="J54" i="263"/>
  <c r="K54" i="263"/>
  <c r="J55" i="263"/>
  <c r="K55" i="263"/>
  <c r="J56" i="263"/>
  <c r="K56" i="263"/>
  <c r="J57" i="263"/>
  <c r="K57" i="263"/>
  <c r="J58" i="263"/>
  <c r="K58" i="263"/>
  <c r="J59" i="263"/>
  <c r="K59" i="263"/>
  <c r="J60" i="263"/>
  <c r="K60" i="263"/>
  <c r="J61" i="263"/>
  <c r="K61" i="263"/>
  <c r="J62" i="263"/>
  <c r="K62" i="263"/>
  <c r="J63" i="263"/>
  <c r="K63" i="263"/>
  <c r="J64" i="263"/>
  <c r="K64" i="263"/>
  <c r="J65" i="263"/>
  <c r="K65" i="263"/>
  <c r="J66" i="263"/>
  <c r="K66" i="263"/>
  <c r="J67" i="263"/>
  <c r="K67" i="263"/>
  <c r="J68" i="263"/>
  <c r="K68" i="263"/>
  <c r="J69" i="263"/>
  <c r="K69" i="263"/>
  <c r="J70" i="263"/>
  <c r="K70" i="263"/>
  <c r="J71" i="263"/>
  <c r="K71" i="263"/>
  <c r="J72" i="263"/>
  <c r="K72" i="263"/>
  <c r="J73" i="263"/>
  <c r="K73" i="263"/>
  <c r="J74" i="263"/>
  <c r="K74" i="263"/>
  <c r="J75" i="263"/>
  <c r="K75" i="263"/>
  <c r="J76" i="263"/>
  <c r="K76" i="263"/>
  <c r="J77" i="263"/>
  <c r="K77" i="263"/>
  <c r="J78" i="263"/>
  <c r="K78" i="263"/>
  <c r="J79" i="263"/>
  <c r="K79" i="263"/>
  <c r="J80" i="263"/>
  <c r="K80" i="263"/>
  <c r="J81" i="263"/>
  <c r="K81" i="263"/>
  <c r="J82" i="263"/>
  <c r="K82" i="263"/>
  <c r="J83" i="263"/>
  <c r="K83" i="263"/>
  <c r="J84" i="263"/>
  <c r="K84" i="263"/>
  <c r="J85" i="263"/>
  <c r="K85" i="263"/>
  <c r="J86" i="263"/>
  <c r="K86" i="263"/>
  <c r="J87" i="263"/>
  <c r="K87" i="263"/>
  <c r="J88" i="263"/>
  <c r="K88" i="263"/>
  <c r="J89" i="263"/>
  <c r="K89" i="263"/>
  <c r="J90" i="263"/>
  <c r="K90" i="263"/>
  <c r="J91" i="263"/>
  <c r="K91" i="263"/>
  <c r="J92" i="263"/>
  <c r="K92" i="263"/>
  <c r="J93" i="263"/>
  <c r="K93" i="263"/>
  <c r="J94" i="263"/>
  <c r="K94" i="263"/>
  <c r="J95" i="263"/>
  <c r="K95" i="263"/>
  <c r="J96" i="263"/>
  <c r="K96" i="263"/>
  <c r="J97" i="263"/>
  <c r="K97" i="263"/>
  <c r="J98" i="263"/>
  <c r="K98" i="263"/>
  <c r="J99" i="263"/>
  <c r="K99" i="263"/>
  <c r="J100" i="263"/>
  <c r="K100" i="263"/>
  <c r="J101" i="263"/>
  <c r="K101" i="263"/>
  <c r="J102" i="263"/>
  <c r="K102" i="263"/>
  <c r="J103" i="263"/>
  <c r="K103" i="263"/>
  <c r="J104" i="263"/>
  <c r="K104" i="263"/>
  <c r="J105" i="263"/>
  <c r="K105" i="263"/>
  <c r="J106" i="263"/>
  <c r="K106" i="263"/>
  <c r="J107" i="263"/>
  <c r="K107" i="263"/>
  <c r="J108" i="263"/>
  <c r="K108" i="263"/>
  <c r="J109" i="263"/>
  <c r="K109" i="263"/>
  <c r="J110" i="263"/>
  <c r="K110" i="263"/>
  <c r="J111" i="263"/>
  <c r="K111" i="263"/>
  <c r="J112" i="263"/>
  <c r="K112" i="263"/>
  <c r="J113" i="263"/>
  <c r="K113" i="263"/>
  <c r="J114" i="263"/>
  <c r="K114" i="263"/>
  <c r="J115" i="263"/>
  <c r="K115" i="263"/>
  <c r="J116" i="263"/>
  <c r="K116" i="263"/>
  <c r="J117" i="263"/>
  <c r="K117" i="263"/>
  <c r="J118" i="263"/>
  <c r="K118" i="263"/>
  <c r="J119" i="263"/>
  <c r="K119" i="263"/>
  <c r="J120" i="263"/>
  <c r="K120" i="263"/>
  <c r="J121" i="263"/>
  <c r="K121" i="263"/>
  <c r="J122" i="263"/>
  <c r="K122" i="263"/>
  <c r="J123" i="263"/>
  <c r="K123" i="263"/>
  <c r="J124" i="263"/>
  <c r="K124" i="263"/>
  <c r="J125" i="263"/>
  <c r="K125" i="263"/>
  <c r="J126" i="263"/>
  <c r="K126" i="263"/>
  <c r="J127" i="263"/>
  <c r="K127" i="263"/>
  <c r="F139" i="263"/>
  <c r="G139" i="263"/>
  <c r="J128" i="263"/>
  <c r="J129" i="263"/>
  <c r="K129" i="263"/>
  <c r="J130" i="263"/>
  <c r="K130" i="263"/>
  <c r="J131" i="263"/>
  <c r="K131" i="263"/>
  <c r="J132" i="263"/>
  <c r="K132" i="263"/>
  <c r="J133" i="263"/>
  <c r="K133" i="263"/>
  <c r="J134" i="263"/>
  <c r="K134" i="263"/>
  <c r="J135" i="263"/>
  <c r="K135" i="263"/>
  <c r="J136" i="263"/>
  <c r="K136" i="263"/>
  <c r="J137" i="263"/>
  <c r="K137" i="263"/>
  <c r="J138" i="263"/>
  <c r="K138" i="263"/>
  <c r="E3" i="263"/>
  <c r="E2" i="263" s="1"/>
  <c r="F937" i="263"/>
  <c r="E937" i="263"/>
  <c r="G538" i="263"/>
  <c r="F538" i="263"/>
  <c r="E538" i="263"/>
  <c r="E139" i="263"/>
  <c r="F44" i="262"/>
  <c r="G44" i="262"/>
  <c r="H44" i="262"/>
  <c r="I44" i="262"/>
  <c r="J44" i="262"/>
  <c r="K44" i="262"/>
  <c r="L44" i="262"/>
  <c r="M44" i="262"/>
  <c r="N44" i="262"/>
  <c r="O44" i="262"/>
  <c r="P44" i="262"/>
  <c r="Q44" i="262"/>
  <c r="R44" i="262"/>
  <c r="S44" i="262"/>
  <c r="T44" i="262"/>
  <c r="U44" i="262"/>
  <c r="E44" i="262"/>
  <c r="D43" i="262"/>
  <c r="E38" i="230"/>
  <c r="O36" i="230" s="1"/>
  <c r="O8" i="230" s="1"/>
  <c r="F24" i="262" s="1"/>
  <c r="G24" i="262" s="1"/>
  <c r="H24" i="262" s="1"/>
  <c r="I24" i="262" s="1"/>
  <c r="J24" i="262" s="1"/>
  <c r="K24" i="262" s="1"/>
  <c r="L24" i="262" s="1"/>
  <c r="M24" i="262" s="1"/>
  <c r="N24" i="262" s="1"/>
  <c r="O24" i="262" s="1"/>
  <c r="P24" i="262" s="1"/>
  <c r="Q24" i="262" s="1"/>
  <c r="R24" i="262" s="1"/>
  <c r="S24" i="262" s="1"/>
  <c r="T24" i="262" s="1"/>
  <c r="U24" i="262" s="1"/>
  <c r="E57" i="230"/>
  <c r="O55" i="230" s="1"/>
  <c r="O9" i="230" s="1"/>
  <c r="F25" i="262" s="1"/>
  <c r="G25" i="262" s="1"/>
  <c r="H25" i="262" s="1"/>
  <c r="I25" i="262" s="1"/>
  <c r="J25" i="262" s="1"/>
  <c r="K25" i="262" s="1"/>
  <c r="L25" i="262" s="1"/>
  <c r="M25" i="262" s="1"/>
  <c r="N25" i="262" s="1"/>
  <c r="O25" i="262" s="1"/>
  <c r="P25" i="262" s="1"/>
  <c r="Q25" i="262" s="1"/>
  <c r="R25" i="262" s="1"/>
  <c r="S25" i="262" s="1"/>
  <c r="T25" i="262" s="1"/>
  <c r="U25" i="262" s="1"/>
  <c r="E76" i="230"/>
  <c r="O74" i="230" s="1"/>
  <c r="O10" i="230" s="1"/>
  <c r="F26" i="262" s="1"/>
  <c r="G26" i="262"/>
  <c r="H26" i="262" s="1"/>
  <c r="I26" i="262" s="1"/>
  <c r="J26" i="262" s="1"/>
  <c r="K26" i="262" s="1"/>
  <c r="L26" i="262" s="1"/>
  <c r="M26" i="262" s="1"/>
  <c r="N26" i="262" s="1"/>
  <c r="O26" i="262" s="1"/>
  <c r="P26" i="262" s="1"/>
  <c r="Q26" i="262" s="1"/>
  <c r="R26" i="262" s="1"/>
  <c r="S26" i="262" s="1"/>
  <c r="T26" i="262" s="1"/>
  <c r="U26" i="262" s="1"/>
  <c r="E95" i="230"/>
  <c r="O93" i="230"/>
  <c r="O11" i="230" s="1"/>
  <c r="F27" i="262" s="1"/>
  <c r="G27" i="262" s="1"/>
  <c r="H27" i="262" s="1"/>
  <c r="I27" i="262" s="1"/>
  <c r="J27" i="262" s="1"/>
  <c r="K27" i="262" s="1"/>
  <c r="L27" i="262"/>
  <c r="M27" i="262" s="1"/>
  <c r="N27" i="262" s="1"/>
  <c r="O27" i="262" s="1"/>
  <c r="P27" i="262" s="1"/>
  <c r="Q27" i="262" s="1"/>
  <c r="R27" i="262" s="1"/>
  <c r="S27" i="262" s="1"/>
  <c r="T27" i="262" s="1"/>
  <c r="U27" i="262" s="1"/>
  <c r="E114" i="230"/>
  <c r="O112" i="230" s="1"/>
  <c r="O12" i="230" s="1"/>
  <c r="F28" i="262" s="1"/>
  <c r="G28" i="262" s="1"/>
  <c r="H28" i="262" s="1"/>
  <c r="I28" i="262" s="1"/>
  <c r="J28" i="262" s="1"/>
  <c r="K28" i="262" s="1"/>
  <c r="L28" i="262" s="1"/>
  <c r="M28" i="262" s="1"/>
  <c r="N28" i="262" s="1"/>
  <c r="O28" i="262" s="1"/>
  <c r="P28" i="262" s="1"/>
  <c r="Q28" i="262" s="1"/>
  <c r="R28" i="262" s="1"/>
  <c r="S28" i="262" s="1"/>
  <c r="T28" i="262" s="1"/>
  <c r="U28" i="262" s="1"/>
  <c r="E134" i="230"/>
  <c r="O132" i="230" s="1"/>
  <c r="O13" i="230" s="1"/>
  <c r="F29" i="262"/>
  <c r="G29" i="262" s="1"/>
  <c r="H29" i="262" s="1"/>
  <c r="I29" i="262" s="1"/>
  <c r="J29" i="262" s="1"/>
  <c r="K29" i="262" s="1"/>
  <c r="L29" i="262" s="1"/>
  <c r="M29" i="262" s="1"/>
  <c r="N29" i="262" s="1"/>
  <c r="O29" i="262" s="1"/>
  <c r="P29" i="262" s="1"/>
  <c r="Q29" i="262" s="1"/>
  <c r="R29" i="262" s="1"/>
  <c r="S29" i="262" s="1"/>
  <c r="T29" i="262" s="1"/>
  <c r="U29" i="262" s="1"/>
  <c r="E19" i="230"/>
  <c r="K22" i="230" s="1"/>
  <c r="E50" i="230"/>
  <c r="E51" i="230" s="1"/>
  <c r="G8" i="230" s="1"/>
  <c r="D50" i="230"/>
  <c r="E69" i="230"/>
  <c r="D69" i="230"/>
  <c r="E9" i="230" s="1"/>
  <c r="E88" i="230"/>
  <c r="E89" i="230" s="1"/>
  <c r="G10" i="230" s="1"/>
  <c r="D88" i="230"/>
  <c r="E107" i="230"/>
  <c r="D107" i="230"/>
  <c r="E126" i="230"/>
  <c r="E127" i="230" s="1"/>
  <c r="G12" i="230" s="1"/>
  <c r="D126" i="230"/>
  <c r="E31" i="230"/>
  <c r="D31" i="230"/>
  <c r="F5" i="262"/>
  <c r="G5" i="262" s="1"/>
  <c r="G937" i="263"/>
  <c r="I811" i="263"/>
  <c r="H937" i="263"/>
  <c r="J272" i="263"/>
  <c r="K146" i="263"/>
  <c r="K272" i="263"/>
  <c r="J804" i="263"/>
  <c r="K678" i="263"/>
  <c r="K804" i="263"/>
  <c r="K545" i="263"/>
  <c r="K405" i="263"/>
  <c r="J405" i="263"/>
  <c r="K13" i="263"/>
  <c r="K128" i="263"/>
  <c r="H139" i="263"/>
  <c r="I538" i="263"/>
  <c r="H538" i="263"/>
  <c r="J811" i="263"/>
  <c r="I937" i="263"/>
  <c r="I139" i="263"/>
  <c r="K139" i="263"/>
  <c r="J139" i="263"/>
  <c r="J538" i="263"/>
  <c r="K811" i="263"/>
  <c r="K937" i="263"/>
  <c r="J937" i="263"/>
  <c r="K538" i="263"/>
  <c r="D60" i="261"/>
  <c r="D61" i="261"/>
  <c r="F45" i="261"/>
  <c r="G45" i="261"/>
  <c r="F46" i="261"/>
  <c r="G46" i="261"/>
  <c r="F47" i="261"/>
  <c r="G47" i="261"/>
  <c r="H3" i="261"/>
  <c r="U50" i="261"/>
  <c r="P57" i="261"/>
  <c r="Q61" i="261"/>
  <c r="O57" i="261"/>
  <c r="Q59" i="261"/>
  <c r="M57" i="261"/>
  <c r="N61" i="261"/>
  <c r="L57" i="261"/>
  <c r="N59" i="261"/>
  <c r="O55" i="261"/>
  <c r="L55" i="261"/>
  <c r="D2" i="261"/>
  <c r="H4" i="261" s="1"/>
  <c r="D58" i="261"/>
  <c r="D59" i="261"/>
  <c r="C52" i="261"/>
  <c r="C50" i="261"/>
  <c r="C47" i="261"/>
  <c r="C46" i="261"/>
  <c r="C44" i="261"/>
  <c r="C49" i="261"/>
  <c r="C17" i="261"/>
  <c r="C9" i="261"/>
  <c r="C12" i="261"/>
  <c r="C15" i="261"/>
  <c r="C20" i="261"/>
  <c r="C23" i="261"/>
  <c r="C26" i="261"/>
  <c r="C29" i="261"/>
  <c r="C33" i="261"/>
  <c r="S47" i="261"/>
  <c r="S45" i="261"/>
  <c r="S46" i="261"/>
  <c r="N57" i="261"/>
  <c r="N58" i="261"/>
  <c r="N60" i="261"/>
  <c r="Q57" i="261"/>
  <c r="Q58" i="261"/>
  <c r="Q60" i="261"/>
  <c r="D62" i="261"/>
  <c r="E62" i="261"/>
  <c r="C67" i="261"/>
  <c r="C36" i="261"/>
  <c r="C39" i="261"/>
  <c r="N62" i="261"/>
  <c r="Q62" i="261"/>
  <c r="E59" i="261"/>
  <c r="L2" i="256"/>
  <c r="P2" i="256"/>
  <c r="T2" i="256"/>
  <c r="X2" i="256"/>
  <c r="O2" i="256"/>
  <c r="S2" i="256"/>
  <c r="W2" i="256"/>
  <c r="AA2" i="256"/>
  <c r="I2" i="256"/>
  <c r="J2" i="256"/>
  <c r="N2" i="256"/>
  <c r="R2" i="256"/>
  <c r="V2" i="256"/>
  <c r="Z2" i="256"/>
  <c r="M2" i="256"/>
  <c r="Q2" i="256"/>
  <c r="U2" i="256"/>
  <c r="Y2" i="256"/>
  <c r="H79" i="231"/>
  <c r="H87" i="231" s="1"/>
  <c r="H80" i="231"/>
  <c r="H88" i="231" s="1"/>
  <c r="H81" i="231"/>
  <c r="H89" i="231" s="1"/>
  <c r="H82" i="231"/>
  <c r="H90" i="231" s="1"/>
  <c r="AJ332" i="250"/>
  <c r="AJ323" i="250"/>
  <c r="AJ330" i="250"/>
  <c r="AJ339" i="250" s="1"/>
  <c r="AJ321" i="250"/>
  <c r="H164" i="250" s="1"/>
  <c r="AJ329" i="250"/>
  <c r="AJ338" i="250" s="1"/>
  <c r="AJ320" i="250"/>
  <c r="AJ328" i="250"/>
  <c r="AJ337" i="250" s="1"/>
  <c r="AJ319" i="250"/>
  <c r="AJ327" i="250"/>
  <c r="AJ318" i="250"/>
  <c r="H3" i="250" s="1"/>
  <c r="Z332" i="250"/>
  <c r="Z323" i="250"/>
  <c r="Z330" i="250"/>
  <c r="Z339" i="250" s="1"/>
  <c r="Z321" i="250"/>
  <c r="Z329" i="250"/>
  <c r="Z338" i="250" s="1"/>
  <c r="Z320" i="250"/>
  <c r="Z328" i="250"/>
  <c r="Z319" i="250"/>
  <c r="F58" i="250" s="1"/>
  <c r="Z327" i="250"/>
  <c r="Z336" i="250" s="1"/>
  <c r="Z318" i="250"/>
  <c r="U332" i="250"/>
  <c r="U323" i="250"/>
  <c r="U330" i="250"/>
  <c r="U321" i="250"/>
  <c r="E164" i="250" s="1"/>
  <c r="U329" i="250"/>
  <c r="U320" i="250"/>
  <c r="E111" i="250" s="1"/>
  <c r="U328" i="250"/>
  <c r="U319" i="250"/>
  <c r="U327" i="250"/>
  <c r="U336" i="250" s="1"/>
  <c r="U318" i="250"/>
  <c r="P332" i="250"/>
  <c r="P323" i="250"/>
  <c r="D217" i="250" s="1"/>
  <c r="P330" i="250"/>
  <c r="P321" i="250"/>
  <c r="D164" i="250" s="1"/>
  <c r="P329" i="250"/>
  <c r="P320" i="250"/>
  <c r="P338" i="250"/>
  <c r="P328" i="250"/>
  <c r="P319" i="250"/>
  <c r="P337" i="250"/>
  <c r="P327" i="250"/>
  <c r="P318" i="250"/>
  <c r="D3" i="250" s="1"/>
  <c r="D387" i="250" s="1"/>
  <c r="K332" i="250"/>
  <c r="K341" i="250" s="1"/>
  <c r="K323" i="250"/>
  <c r="K330" i="250"/>
  <c r="K321" i="250"/>
  <c r="K329" i="250"/>
  <c r="K320" i="250"/>
  <c r="C111" i="250" s="1"/>
  <c r="C445" i="250" s="1"/>
  <c r="K328" i="250"/>
  <c r="K319" i="250"/>
  <c r="C58" i="250" s="1"/>
  <c r="K327" i="250"/>
  <c r="K336" i="250" s="1"/>
  <c r="K318" i="250"/>
  <c r="F329" i="250"/>
  <c r="F338" i="250" s="1"/>
  <c r="F320" i="250"/>
  <c r="F328" i="250"/>
  <c r="F337" i="250" s="1"/>
  <c r="F319" i="250"/>
  <c r="F327" i="250"/>
  <c r="F336" i="250" s="1"/>
  <c r="F318" i="250"/>
  <c r="AN335" i="250"/>
  <c r="AM335" i="250"/>
  <c r="AL335" i="250"/>
  <c r="AK335" i="250"/>
  <c r="AI335" i="250"/>
  <c r="AH335" i="250"/>
  <c r="AG335" i="250"/>
  <c r="AF335" i="250"/>
  <c r="AD335" i="250"/>
  <c r="AC335" i="250"/>
  <c r="AB335" i="250"/>
  <c r="AA335" i="250"/>
  <c r="Y335" i="250"/>
  <c r="X335" i="250"/>
  <c r="W335" i="250"/>
  <c r="V335" i="250"/>
  <c r="T335" i="250"/>
  <c r="S335" i="250"/>
  <c r="R335" i="250"/>
  <c r="Q335" i="250"/>
  <c r="O335" i="250"/>
  <c r="N335" i="250"/>
  <c r="M335" i="250"/>
  <c r="L335" i="250"/>
  <c r="J335" i="250"/>
  <c r="I335" i="250"/>
  <c r="H335" i="250"/>
  <c r="G335" i="250"/>
  <c r="E335" i="250"/>
  <c r="D335" i="250"/>
  <c r="C335" i="250"/>
  <c r="B335" i="250"/>
  <c r="AO334" i="250"/>
  <c r="AN334" i="250"/>
  <c r="AM334" i="250"/>
  <c r="AL334" i="250"/>
  <c r="AK334" i="250"/>
  <c r="AJ334" i="250"/>
  <c r="AI334" i="250"/>
  <c r="AH334" i="250"/>
  <c r="AG334" i="250"/>
  <c r="AF334" i="250"/>
  <c r="AE334" i="250"/>
  <c r="AD334" i="250"/>
  <c r="AC334" i="250"/>
  <c r="AB334" i="250"/>
  <c r="AA334" i="250"/>
  <c r="Z334" i="250"/>
  <c r="Y334" i="250"/>
  <c r="X334" i="250"/>
  <c r="W334" i="250"/>
  <c r="V334" i="250"/>
  <c r="U334" i="250"/>
  <c r="T334" i="250"/>
  <c r="S334" i="250"/>
  <c r="R334" i="250"/>
  <c r="Q334" i="250"/>
  <c r="P334" i="250"/>
  <c r="O334" i="250"/>
  <c r="N334" i="250"/>
  <c r="M334" i="250"/>
  <c r="L334" i="250"/>
  <c r="K334" i="250"/>
  <c r="J334" i="250"/>
  <c r="I334" i="250"/>
  <c r="H334" i="250"/>
  <c r="G334" i="250"/>
  <c r="F334" i="250"/>
  <c r="E334" i="250"/>
  <c r="D334" i="250"/>
  <c r="C334" i="250"/>
  <c r="B334" i="250"/>
  <c r="F330" i="250"/>
  <c r="AN326" i="250"/>
  <c r="AM326" i="250"/>
  <c r="AL326" i="250"/>
  <c r="AK326" i="250"/>
  <c r="AI326" i="250"/>
  <c r="AH326" i="250"/>
  <c r="AG326" i="250"/>
  <c r="AF326" i="250"/>
  <c r="AD326" i="250"/>
  <c r="AC326" i="250"/>
  <c r="AB326" i="250"/>
  <c r="AA326" i="250"/>
  <c r="Y326" i="250"/>
  <c r="X326" i="250"/>
  <c r="W326" i="250"/>
  <c r="V326" i="250"/>
  <c r="T326" i="250"/>
  <c r="S326" i="250"/>
  <c r="R326" i="250"/>
  <c r="Q326" i="250"/>
  <c r="O326" i="250"/>
  <c r="N326" i="250"/>
  <c r="M326" i="250"/>
  <c r="L326" i="250"/>
  <c r="J326" i="250"/>
  <c r="I326" i="250"/>
  <c r="H326" i="250"/>
  <c r="G326" i="250"/>
  <c r="E326" i="250"/>
  <c r="D326" i="250"/>
  <c r="C326" i="250"/>
  <c r="B326" i="250"/>
  <c r="AO325" i="250"/>
  <c r="AN325" i="250"/>
  <c r="AM325" i="250"/>
  <c r="AL325" i="250"/>
  <c r="AK325" i="250"/>
  <c r="AJ325" i="250"/>
  <c r="AI325" i="250"/>
  <c r="AH325" i="250"/>
  <c r="AG325" i="250"/>
  <c r="AF325" i="250"/>
  <c r="AE325" i="250"/>
  <c r="AD325" i="250"/>
  <c r="AC325" i="250"/>
  <c r="AB325" i="250"/>
  <c r="AA325" i="250"/>
  <c r="Z325" i="250"/>
  <c r="Y325" i="250"/>
  <c r="X325" i="250"/>
  <c r="W325" i="250"/>
  <c r="V325" i="250"/>
  <c r="U325" i="250"/>
  <c r="T325" i="250"/>
  <c r="S325" i="250"/>
  <c r="R325" i="250"/>
  <c r="Q325" i="250"/>
  <c r="P325" i="250"/>
  <c r="O325" i="250"/>
  <c r="N325" i="250"/>
  <c r="M325" i="250"/>
  <c r="L325" i="250"/>
  <c r="K325" i="250"/>
  <c r="J325" i="250"/>
  <c r="I325" i="250"/>
  <c r="H325" i="250"/>
  <c r="G325" i="250"/>
  <c r="F325" i="250"/>
  <c r="E325" i="250"/>
  <c r="D325" i="250"/>
  <c r="C325" i="250"/>
  <c r="B325" i="250"/>
  <c r="I26" i="151"/>
  <c r="H26" i="151"/>
  <c r="B84" i="259"/>
  <c r="B63" i="259"/>
  <c r="B81" i="259" s="1"/>
  <c r="B83" i="259" s="1"/>
  <c r="C54" i="228"/>
  <c r="B176" i="224"/>
  <c r="B177" i="259"/>
  <c r="C53" i="228"/>
  <c r="B175" i="224"/>
  <c r="B176" i="259"/>
  <c r="B84" i="224"/>
  <c r="B63" i="224"/>
  <c r="B81" i="224"/>
  <c r="B83" i="224"/>
  <c r="F11" i="223"/>
  <c r="G11" i="223"/>
  <c r="H11" i="223"/>
  <c r="I11" i="223"/>
  <c r="J11" i="223"/>
  <c r="K11" i="223"/>
  <c r="L11" i="223"/>
  <c r="M11" i="223"/>
  <c r="N11" i="223"/>
  <c r="O11" i="223"/>
  <c r="P11" i="223"/>
  <c r="Q11" i="223"/>
  <c r="R11" i="223"/>
  <c r="S11" i="223"/>
  <c r="T11" i="223"/>
  <c r="U11" i="223"/>
  <c r="V11" i="223"/>
  <c r="W11" i="223"/>
  <c r="X11" i="223"/>
  <c r="Y11" i="223"/>
  <c r="Z11" i="223"/>
  <c r="AA11" i="223"/>
  <c r="AB11" i="223"/>
  <c r="AC11" i="223"/>
  <c r="AD11" i="223"/>
  <c r="AE11" i="223"/>
  <c r="AF11" i="223"/>
  <c r="AG11" i="223"/>
  <c r="AH11" i="223"/>
  <c r="AI11" i="223"/>
  <c r="AJ11" i="223"/>
  <c r="AK11" i="223"/>
  <c r="AL11" i="223"/>
  <c r="AM11" i="223"/>
  <c r="AN11" i="223"/>
  <c r="B139" i="259"/>
  <c r="B140" i="259"/>
  <c r="B129" i="259"/>
  <c r="B130" i="259"/>
  <c r="B131" i="259"/>
  <c r="B132" i="259"/>
  <c r="B133" i="259"/>
  <c r="B134" i="259"/>
  <c r="B135" i="259"/>
  <c r="B136" i="259"/>
  <c r="B128" i="259"/>
  <c r="B125" i="259"/>
  <c r="B140" i="224"/>
  <c r="B137" i="224"/>
  <c r="B136" i="224"/>
  <c r="B134" i="224"/>
  <c r="B132" i="224"/>
  <c r="B130" i="224"/>
  <c r="T115" i="224"/>
  <c r="T116" i="224"/>
  <c r="T117" i="224"/>
  <c r="B138" i="224"/>
  <c r="D158" i="259"/>
  <c r="T197" i="259"/>
  <c r="T196" i="259"/>
  <c r="T191" i="259"/>
  <c r="B191" i="259"/>
  <c r="B126" i="259"/>
  <c r="B124" i="259"/>
  <c r="B123" i="259"/>
  <c r="B122" i="259"/>
  <c r="B121" i="259"/>
  <c r="B118" i="259"/>
  <c r="B127" i="259"/>
  <c r="T50" i="259"/>
  <c r="F196" i="259"/>
  <c r="D196" i="259"/>
  <c r="R43" i="259"/>
  <c r="Q43" i="259"/>
  <c r="P43" i="259"/>
  <c r="O43" i="259"/>
  <c r="D173" i="259"/>
  <c r="E196" i="259"/>
  <c r="C180" i="259"/>
  <c r="N43" i="259"/>
  <c r="L43" i="259"/>
  <c r="K43" i="259"/>
  <c r="M43" i="259"/>
  <c r="J43" i="259"/>
  <c r="F14" i="219"/>
  <c r="G14" i="219" s="1"/>
  <c r="F15" i="219"/>
  <c r="F19" i="219"/>
  <c r="F21" i="219"/>
  <c r="I23" i="219" s="1"/>
  <c r="F7" i="217"/>
  <c r="I7" i="217" s="1"/>
  <c r="J7" i="217"/>
  <c r="F8" i="217"/>
  <c r="I8" i="217" s="1"/>
  <c r="F9" i="217"/>
  <c r="K9" i="217" s="1"/>
  <c r="J9" i="217"/>
  <c r="F12" i="216"/>
  <c r="N520" i="263" s="1"/>
  <c r="F14" i="215"/>
  <c r="N386" i="263"/>
  <c r="C5" i="215"/>
  <c r="C6" i="215"/>
  <c r="C9" i="215"/>
  <c r="C10" i="215"/>
  <c r="C11" i="215"/>
  <c r="C12" i="215"/>
  <c r="C13" i="215"/>
  <c r="C14" i="215"/>
  <c r="C15" i="215"/>
  <c r="C16" i="215"/>
  <c r="C17" i="215"/>
  <c r="C18" i="215"/>
  <c r="C19" i="215"/>
  <c r="C20" i="215"/>
  <c r="C21" i="215"/>
  <c r="C22" i="215"/>
  <c r="C23" i="215"/>
  <c r="G72" i="241"/>
  <c r="H72" i="241" s="1"/>
  <c r="K7" i="216"/>
  <c r="J16" i="219"/>
  <c r="J8" i="219"/>
  <c r="K8" i="219" s="1"/>
  <c r="J9" i="221"/>
  <c r="F16" i="221"/>
  <c r="K8" i="221"/>
  <c r="F15" i="221"/>
  <c r="F14" i="221"/>
  <c r="K7" i="221"/>
  <c r="K7" i="215"/>
  <c r="J7" i="212"/>
  <c r="J9" i="212"/>
  <c r="T190" i="224"/>
  <c r="B190" i="224"/>
  <c r="K9" i="221"/>
  <c r="K12" i="221"/>
  <c r="K13" i="221"/>
  <c r="K14" i="221"/>
  <c r="H36" i="257"/>
  <c r="I36" i="257"/>
  <c r="J36" i="257"/>
  <c r="K36" i="257"/>
  <c r="L36" i="257"/>
  <c r="M36" i="257"/>
  <c r="N36" i="257"/>
  <c r="O36" i="257"/>
  <c r="P36" i="257"/>
  <c r="Q36" i="257"/>
  <c r="R36" i="257"/>
  <c r="S36" i="257"/>
  <c r="T36" i="257"/>
  <c r="I20" i="257"/>
  <c r="J20" i="257"/>
  <c r="K20" i="257"/>
  <c r="L20" i="257"/>
  <c r="M20" i="257"/>
  <c r="N20" i="257"/>
  <c r="O20" i="257"/>
  <c r="P20" i="257"/>
  <c r="Q20" i="257"/>
  <c r="R20" i="257"/>
  <c r="S20" i="257"/>
  <c r="T20" i="257"/>
  <c r="C35" i="257"/>
  <c r="E22" i="257"/>
  <c r="F22" i="257"/>
  <c r="G22" i="257"/>
  <c r="H22" i="257"/>
  <c r="I22" i="257"/>
  <c r="J22" i="257"/>
  <c r="K22" i="257"/>
  <c r="L22" i="257"/>
  <c r="M22" i="257"/>
  <c r="N22" i="257"/>
  <c r="O22" i="257"/>
  <c r="P22" i="257"/>
  <c r="Q22" i="257"/>
  <c r="R22" i="257"/>
  <c r="S22" i="257"/>
  <c r="T22" i="257"/>
  <c r="A46" i="224"/>
  <c r="B18" i="204"/>
  <c r="C41" i="255"/>
  <c r="C40" i="255"/>
  <c r="C34" i="255"/>
  <c r="C33" i="255"/>
  <c r="C27" i="255"/>
  <c r="C26" i="255"/>
  <c r="D62" i="256"/>
  <c r="C62" i="256"/>
  <c r="D61" i="256"/>
  <c r="C61" i="256"/>
  <c r="D60" i="256"/>
  <c r="C60" i="256"/>
  <c r="D59" i="256"/>
  <c r="C59" i="256"/>
  <c r="D58" i="256"/>
  <c r="C58" i="256"/>
  <c r="D57" i="256"/>
  <c r="C57" i="256"/>
  <c r="D56" i="256"/>
  <c r="C56" i="256"/>
  <c r="D55" i="256"/>
  <c r="C55" i="256"/>
  <c r="D54" i="256"/>
  <c r="C54" i="256"/>
  <c r="D53" i="256"/>
  <c r="C53" i="256"/>
  <c r="D52" i="256"/>
  <c r="C52" i="256"/>
  <c r="D51" i="256"/>
  <c r="C51" i="256"/>
  <c r="D50" i="256"/>
  <c r="C50" i="256"/>
  <c r="D49" i="256"/>
  <c r="C49" i="256"/>
  <c r="D48" i="256"/>
  <c r="C48" i="256"/>
  <c r="D47" i="256"/>
  <c r="C47" i="256"/>
  <c r="D46" i="256"/>
  <c r="C46" i="256"/>
  <c r="D45" i="256"/>
  <c r="C45" i="256"/>
  <c r="D44" i="256"/>
  <c r="C44" i="256"/>
  <c r="D43" i="256"/>
  <c r="C43" i="256"/>
  <c r="D42" i="256"/>
  <c r="C42" i="256"/>
  <c r="D41" i="256"/>
  <c r="C41" i="256"/>
  <c r="D40" i="256"/>
  <c r="C40" i="256"/>
  <c r="D39" i="256"/>
  <c r="C39" i="256"/>
  <c r="D38" i="256"/>
  <c r="C38" i="256"/>
  <c r="U43" i="255"/>
  <c r="V43" i="255"/>
  <c r="W43" i="255"/>
  <c r="X43" i="255"/>
  <c r="Y43" i="255"/>
  <c r="Z43" i="255"/>
  <c r="D5" i="255"/>
  <c r="D6" i="255"/>
  <c r="D21" i="254"/>
  <c r="C21" i="254"/>
  <c r="C20" i="254"/>
  <c r="D19" i="254"/>
  <c r="C19" i="254"/>
  <c r="D23" i="254"/>
  <c r="C18" i="254"/>
  <c r="U5" i="254"/>
  <c r="U9" i="254"/>
  <c r="E15" i="254"/>
  <c r="T5" i="254"/>
  <c r="R5" i="254"/>
  <c r="R11" i="254"/>
  <c r="P5" i="254"/>
  <c r="P11" i="254"/>
  <c r="O5" i="254"/>
  <c r="O11" i="254"/>
  <c r="E8" i="254"/>
  <c r="M5" i="254"/>
  <c r="L5" i="254"/>
  <c r="L9" i="254"/>
  <c r="U6" i="254"/>
  <c r="U8" i="254"/>
  <c r="T6" i="254"/>
  <c r="S6" i="254"/>
  <c r="S10" i="254"/>
  <c r="R6" i="254"/>
  <c r="R10" i="254"/>
  <c r="Q6" i="254"/>
  <c r="Q10" i="254"/>
  <c r="P6" i="254"/>
  <c r="P10" i="254"/>
  <c r="O6" i="254"/>
  <c r="O10" i="254"/>
  <c r="N6" i="254"/>
  <c r="N10" i="254"/>
  <c r="M6" i="254"/>
  <c r="L6" i="254"/>
  <c r="L8" i="254"/>
  <c r="K6" i="254"/>
  <c r="K8" i="254"/>
  <c r="J6" i="254"/>
  <c r="K5" i="254"/>
  <c r="K9" i="254"/>
  <c r="Q5" i="254"/>
  <c r="Q11" i="254"/>
  <c r="V3" i="254"/>
  <c r="D23" i="222"/>
  <c r="C23" i="222"/>
  <c r="E4" i="255"/>
  <c r="E5" i="255"/>
  <c r="E21" i="254"/>
  <c r="S5" i="254"/>
  <c r="S11" i="254"/>
  <c r="V6" i="254"/>
  <c r="C23" i="254"/>
  <c r="E34" i="254"/>
  <c r="E35" i="254"/>
  <c r="J5" i="254"/>
  <c r="J8" i="254"/>
  <c r="E19" i="254"/>
  <c r="N5" i="254"/>
  <c r="N11" i="254"/>
  <c r="E6" i="255"/>
  <c r="F4" i="255"/>
  <c r="F5" i="255"/>
  <c r="E23" i="254"/>
  <c r="C34" i="254"/>
  <c r="C35" i="254"/>
  <c r="V5" i="254"/>
  <c r="J9" i="254"/>
  <c r="G4" i="255"/>
  <c r="F6" i="255"/>
  <c r="G5" i="255"/>
  <c r="M9" i="254"/>
  <c r="M11" i="254"/>
  <c r="H5" i="255"/>
  <c r="H4" i="255"/>
  <c r="G6" i="255"/>
  <c r="I5" i="255"/>
  <c r="I4" i="255"/>
  <c r="H6" i="255"/>
  <c r="M8" i="254"/>
  <c r="U37" i="255"/>
  <c r="I6" i="255"/>
  <c r="J4" i="255"/>
  <c r="J5" i="255"/>
  <c r="M10" i="254"/>
  <c r="J6" i="255"/>
  <c r="K4" i="255"/>
  <c r="V37" i="255"/>
  <c r="W37" i="255"/>
  <c r="U30" i="255"/>
  <c r="K5" i="255"/>
  <c r="T9" i="254"/>
  <c r="T8" i="254"/>
  <c r="T11" i="254"/>
  <c r="V11" i="254"/>
  <c r="V9" i="254"/>
  <c r="X37" i="255"/>
  <c r="K6" i="255"/>
  <c r="L4" i="255"/>
  <c r="L5" i="255"/>
  <c r="V30" i="255"/>
  <c r="W30" i="255"/>
  <c r="F34" i="254"/>
  <c r="F35" i="254"/>
  <c r="T10" i="254"/>
  <c r="V10" i="254"/>
  <c r="V8" i="254"/>
  <c r="X30" i="255"/>
  <c r="Y30" i="255"/>
  <c r="Y37" i="255"/>
  <c r="M5" i="255"/>
  <c r="L6" i="255"/>
  <c r="M4" i="255"/>
  <c r="D34" i="254"/>
  <c r="D35" i="254"/>
  <c r="Z37" i="255"/>
  <c r="Z30" i="255"/>
  <c r="M6" i="255"/>
  <c r="N4" i="255"/>
  <c r="N5" i="255"/>
  <c r="B34" i="254"/>
  <c r="B35" i="254"/>
  <c r="O4" i="255"/>
  <c r="N6" i="255"/>
  <c r="O5" i="255"/>
  <c r="K79" i="235"/>
  <c r="I59" i="235"/>
  <c r="I67" i="235" s="1"/>
  <c r="H59" i="235"/>
  <c r="H67" i="235" s="1"/>
  <c r="G59" i="235"/>
  <c r="G67" i="235" s="1"/>
  <c r="F59" i="235"/>
  <c r="F67" i="235" s="1"/>
  <c r="D47" i="234"/>
  <c r="D48" i="234"/>
  <c r="D49" i="234"/>
  <c r="D50" i="234"/>
  <c r="D51" i="234"/>
  <c r="D52" i="234" s="1"/>
  <c r="P5" i="255"/>
  <c r="P4" i="255"/>
  <c r="O6" i="255"/>
  <c r="K74" i="235"/>
  <c r="C45" i="253"/>
  <c r="AC29" i="253"/>
  <c r="AD29" i="253"/>
  <c r="Q4" i="255"/>
  <c r="P6" i="255"/>
  <c r="Q5" i="255"/>
  <c r="AE29" i="253"/>
  <c r="Q6" i="255"/>
  <c r="R4" i="255"/>
  <c r="R5" i="255"/>
  <c r="AF29" i="253"/>
  <c r="R6" i="255"/>
  <c r="S4" i="255"/>
  <c r="S5" i="255"/>
  <c r="AG29" i="253"/>
  <c r="T5" i="255"/>
  <c r="S6" i="255"/>
  <c r="T4" i="255"/>
  <c r="AH29" i="253"/>
  <c r="U5" i="255"/>
  <c r="T6" i="255"/>
  <c r="U4" i="255"/>
  <c r="AI29" i="253"/>
  <c r="V5" i="255"/>
  <c r="W4" i="255"/>
  <c r="U6" i="255"/>
  <c r="V4" i="255"/>
  <c r="AJ29" i="253"/>
  <c r="W5" i="255"/>
  <c r="V6" i="255"/>
  <c r="AK29" i="253"/>
  <c r="W6" i="255"/>
  <c r="X4" i="255"/>
  <c r="X5" i="255"/>
  <c r="AL29" i="253"/>
  <c r="X6" i="255"/>
  <c r="Y4" i="255"/>
  <c r="Y5" i="255"/>
  <c r="AM29" i="253"/>
  <c r="Z5" i="255"/>
  <c r="Y6" i="255"/>
  <c r="Z4" i="255"/>
  <c r="AN29" i="253"/>
  <c r="Z6" i="255"/>
  <c r="AO29" i="253"/>
  <c r="AP29" i="253"/>
  <c r="A58" i="252"/>
  <c r="J59" i="252"/>
  <c r="K59" i="252" s="1"/>
  <c r="L59" i="252" s="1"/>
  <c r="M59" i="252" s="1"/>
  <c r="N59" i="252" s="1"/>
  <c r="O59" i="252" s="1"/>
  <c r="P59" i="252" s="1"/>
  <c r="Q59" i="252" s="1"/>
  <c r="R59" i="252" s="1"/>
  <c r="S59" i="252" s="1"/>
  <c r="T59" i="252" s="1"/>
  <c r="U59" i="252" s="1"/>
  <c r="V59" i="252" s="1"/>
  <c r="I47" i="252"/>
  <c r="J47" i="252" s="1"/>
  <c r="K47" i="252" s="1"/>
  <c r="L47" i="252" s="1"/>
  <c r="M47" i="252" s="1"/>
  <c r="N47" i="252" s="1"/>
  <c r="O47" i="252" s="1"/>
  <c r="P47" i="252" s="1"/>
  <c r="Q47" i="252" s="1"/>
  <c r="R47" i="252" s="1"/>
  <c r="S47" i="252" s="1"/>
  <c r="T47" i="252" s="1"/>
  <c r="U47" i="252" s="1"/>
  <c r="V47" i="252" s="1"/>
  <c r="I38" i="252"/>
  <c r="J38" i="252" s="1"/>
  <c r="K38" i="252" s="1"/>
  <c r="L38" i="252" s="1"/>
  <c r="M38" i="252" s="1"/>
  <c r="N38" i="252" s="1"/>
  <c r="O38" i="252" s="1"/>
  <c r="P38" i="252" s="1"/>
  <c r="Q38" i="252" s="1"/>
  <c r="R38" i="252" s="1"/>
  <c r="S38" i="252" s="1"/>
  <c r="T38" i="252" s="1"/>
  <c r="U38" i="252" s="1"/>
  <c r="V38" i="252" s="1"/>
  <c r="F15" i="252"/>
  <c r="F36" i="252"/>
  <c r="F54" i="252" s="1"/>
  <c r="G54" i="252" s="1"/>
  <c r="H54" i="252" s="1"/>
  <c r="I54" i="252" s="1"/>
  <c r="J54" i="252" s="1"/>
  <c r="K54" i="252" s="1"/>
  <c r="L54" i="252" s="1"/>
  <c r="M54" i="252" s="1"/>
  <c r="N54" i="252" s="1"/>
  <c r="O54" i="252" s="1"/>
  <c r="P54" i="252" s="1"/>
  <c r="Q54" i="252" s="1"/>
  <c r="R54" i="252" s="1"/>
  <c r="S54" i="252" s="1"/>
  <c r="T54" i="252" s="1"/>
  <c r="U54" i="252" s="1"/>
  <c r="V54" i="252" s="1"/>
  <c r="H57" i="252"/>
  <c r="G57" i="252"/>
  <c r="F57" i="252"/>
  <c r="G55" i="252"/>
  <c r="H55" i="252" s="1"/>
  <c r="I55" i="252" s="1"/>
  <c r="J55" i="252" s="1"/>
  <c r="K55" i="252" s="1"/>
  <c r="L55" i="252" s="1"/>
  <c r="M55" i="252" s="1"/>
  <c r="N55" i="252" s="1"/>
  <c r="O55" i="252" s="1"/>
  <c r="P55" i="252" s="1"/>
  <c r="Q55" i="252" s="1"/>
  <c r="R55" i="252" s="1"/>
  <c r="S55" i="252" s="1"/>
  <c r="T55" i="252" s="1"/>
  <c r="U55" i="252" s="1"/>
  <c r="V55" i="252" s="1"/>
  <c r="J29" i="252"/>
  <c r="K29" i="252" s="1"/>
  <c r="L29" i="252" s="1"/>
  <c r="M29" i="252" s="1"/>
  <c r="N29" i="252" s="1"/>
  <c r="O29" i="252" s="1"/>
  <c r="P29" i="252" s="1"/>
  <c r="Q29" i="252" s="1"/>
  <c r="R29" i="252" s="1"/>
  <c r="S29" i="252" s="1"/>
  <c r="T29" i="252" s="1"/>
  <c r="U29" i="252" s="1"/>
  <c r="V29" i="252" s="1"/>
  <c r="G15" i="252"/>
  <c r="H15" i="252" s="1"/>
  <c r="I15" i="252" s="1"/>
  <c r="J15" i="252" s="1"/>
  <c r="K15" i="252" s="1"/>
  <c r="L15" i="252" s="1"/>
  <c r="M15" i="252" s="1"/>
  <c r="N15" i="252" s="1"/>
  <c r="O15" i="252" s="1"/>
  <c r="P15" i="252" s="1"/>
  <c r="Q15" i="252" s="1"/>
  <c r="R15" i="252" s="1"/>
  <c r="S15" i="252" s="1"/>
  <c r="T15" i="252" s="1"/>
  <c r="U15" i="252" s="1"/>
  <c r="V15" i="252" s="1"/>
  <c r="C103" i="251"/>
  <c r="C104" i="251" s="1"/>
  <c r="C99" i="251"/>
  <c r="C95" i="251"/>
  <c r="C91" i="251"/>
  <c r="C87" i="251"/>
  <c r="C85" i="251"/>
  <c r="C84" i="251"/>
  <c r="C83" i="251"/>
  <c r="B59" i="251"/>
  <c r="L19" i="241"/>
  <c r="L20" i="241" s="1"/>
  <c r="C46" i="222"/>
  <c r="C45" i="222"/>
  <c r="E17" i="231"/>
  <c r="E18" i="231"/>
  <c r="E19" i="231"/>
  <c r="E20" i="231"/>
  <c r="E16" i="231"/>
  <c r="G14" i="231"/>
  <c r="H14" i="231" s="1"/>
  <c r="I14" i="231" s="1"/>
  <c r="J14" i="231" s="1"/>
  <c r="K14" i="231" s="1"/>
  <c r="L14" i="231" s="1"/>
  <c r="M14" i="231" s="1"/>
  <c r="N14" i="231" s="1"/>
  <c r="O14" i="231" s="1"/>
  <c r="P14" i="231" s="1"/>
  <c r="Q14" i="231" s="1"/>
  <c r="R14" i="231" s="1"/>
  <c r="S14" i="231" s="1"/>
  <c r="T14" i="231" s="1"/>
  <c r="U14" i="231" s="1"/>
  <c r="V14" i="231" s="1"/>
  <c r="W14" i="231" s="1"/>
  <c r="X14" i="231" s="1"/>
  <c r="Y14" i="231" s="1"/>
  <c r="Z14" i="231" s="1"/>
  <c r="AA14" i="231" s="1"/>
  <c r="AB14" i="231" s="1"/>
  <c r="AC14" i="231" s="1"/>
  <c r="C216" i="250"/>
  <c r="D216" i="250" s="1"/>
  <c r="E216" i="250" s="1"/>
  <c r="F216" i="250" s="1"/>
  <c r="G216" i="250" s="1"/>
  <c r="H216" i="250" s="1"/>
  <c r="I216" i="250" s="1"/>
  <c r="K216" i="250" s="1"/>
  <c r="L216" i="250" s="1"/>
  <c r="M216" i="250" s="1"/>
  <c r="N216" i="250" s="1"/>
  <c r="O216" i="250" s="1"/>
  <c r="I166" i="250"/>
  <c r="H166" i="250"/>
  <c r="G166" i="250"/>
  <c r="F166" i="250"/>
  <c r="E166" i="250"/>
  <c r="J167" i="250" s="1"/>
  <c r="D166" i="250"/>
  <c r="C166" i="250"/>
  <c r="B166" i="250"/>
  <c r="I113" i="250"/>
  <c r="H113" i="250"/>
  <c r="G113" i="250"/>
  <c r="F113" i="250"/>
  <c r="E113" i="250"/>
  <c r="J114" i="250" s="1"/>
  <c r="D113" i="250"/>
  <c r="C113" i="250"/>
  <c r="C115" i="250" s="1"/>
  <c r="B113" i="250"/>
  <c r="I5" i="250"/>
  <c r="H5" i="250"/>
  <c r="G5" i="250"/>
  <c r="F5" i="250"/>
  <c r="E5" i="250"/>
  <c r="J6" i="250" s="1"/>
  <c r="D5" i="250"/>
  <c r="C5" i="250"/>
  <c r="B5" i="250"/>
  <c r="B7" i="250" s="1"/>
  <c r="H382" i="250"/>
  <c r="I382" i="250"/>
  <c r="J382" i="250"/>
  <c r="K382" i="250"/>
  <c r="C219" i="250"/>
  <c r="C505" i="250" s="1"/>
  <c r="L382" i="250"/>
  <c r="M382" i="250"/>
  <c r="N382" i="250"/>
  <c r="O382" i="250"/>
  <c r="P382" i="250"/>
  <c r="D219" i="250" s="1"/>
  <c r="Q382" i="250"/>
  <c r="R382" i="250"/>
  <c r="S382" i="250"/>
  <c r="T382" i="250"/>
  <c r="U382" i="250"/>
  <c r="E219" i="250"/>
  <c r="E505" i="250" s="1"/>
  <c r="E558" i="250" s="1"/>
  <c r="V382" i="250"/>
  <c r="W382" i="250"/>
  <c r="X382" i="250"/>
  <c r="Y382" i="250"/>
  <c r="Z382" i="250"/>
  <c r="F219" i="250" s="1"/>
  <c r="AA382" i="250"/>
  <c r="AB382" i="250"/>
  <c r="AC382" i="250"/>
  <c r="AD382" i="250"/>
  <c r="AE382" i="250"/>
  <c r="G219" i="250" s="1"/>
  <c r="AF382" i="250"/>
  <c r="AG382" i="250"/>
  <c r="AH382" i="250"/>
  <c r="AI382" i="250"/>
  <c r="AJ382" i="250"/>
  <c r="H219" i="250" s="1"/>
  <c r="AK382" i="250"/>
  <c r="AL382" i="250"/>
  <c r="AM382" i="250"/>
  <c r="G382" i="250"/>
  <c r="H323" i="250"/>
  <c r="I323" i="250"/>
  <c r="J323" i="250"/>
  <c r="L323" i="250"/>
  <c r="M323" i="250"/>
  <c r="N323" i="250"/>
  <c r="O323" i="250"/>
  <c r="Q323" i="250"/>
  <c r="R323" i="250"/>
  <c r="S323" i="250"/>
  <c r="T323" i="250"/>
  <c r="V323" i="250"/>
  <c r="W323" i="250"/>
  <c r="X323" i="250"/>
  <c r="Y323" i="250"/>
  <c r="AA323" i="250"/>
  <c r="AB323" i="250"/>
  <c r="AC323" i="250"/>
  <c r="AD323" i="250"/>
  <c r="AF323" i="250"/>
  <c r="AG323" i="250"/>
  <c r="AH323" i="250"/>
  <c r="AI323" i="250"/>
  <c r="AK323" i="250"/>
  <c r="AL323" i="250"/>
  <c r="AM323" i="250"/>
  <c r="G323" i="250"/>
  <c r="L380" i="250"/>
  <c r="M380" i="250"/>
  <c r="N380" i="250"/>
  <c r="O380" i="250"/>
  <c r="P380" i="250"/>
  <c r="D172" i="250" s="1"/>
  <c r="Q380" i="250"/>
  <c r="R380" i="250"/>
  <c r="S380" i="250"/>
  <c r="T380" i="250"/>
  <c r="U380" i="250"/>
  <c r="E172" i="250" s="1"/>
  <c r="E170" i="250" s="1"/>
  <c r="V380" i="250"/>
  <c r="W380" i="250"/>
  <c r="X380" i="250"/>
  <c r="Y380" i="250"/>
  <c r="Z380" i="250"/>
  <c r="F172" i="250" s="1"/>
  <c r="F170" i="250" s="1"/>
  <c r="F174" i="250" s="1"/>
  <c r="AA380" i="250"/>
  <c r="AB380" i="250"/>
  <c r="AC380" i="250"/>
  <c r="AD380" i="250"/>
  <c r="AE380" i="250"/>
  <c r="G172" i="250" s="1"/>
  <c r="AF380" i="250"/>
  <c r="AG380" i="250"/>
  <c r="AH380" i="250"/>
  <c r="AI380" i="250"/>
  <c r="AJ380" i="250"/>
  <c r="H172" i="250" s="1"/>
  <c r="AK380" i="250"/>
  <c r="AL380" i="250"/>
  <c r="AM380" i="250"/>
  <c r="AN380" i="250"/>
  <c r="G380" i="250"/>
  <c r="H380" i="250"/>
  <c r="I380" i="250"/>
  <c r="J380" i="250"/>
  <c r="K380" i="250"/>
  <c r="C172" i="250"/>
  <c r="F371" i="250"/>
  <c r="F372" i="250" s="1"/>
  <c r="F312" i="250"/>
  <c r="F313" i="250" s="1"/>
  <c r="C380" i="250"/>
  <c r="D380" i="250"/>
  <c r="E380" i="250"/>
  <c r="B380" i="250"/>
  <c r="B321" i="250"/>
  <c r="A380" i="250"/>
  <c r="A473" i="250" s="1"/>
  <c r="A546" i="250" s="1"/>
  <c r="A557" i="250" s="1"/>
  <c r="A570" i="250" s="1"/>
  <c r="AO372" i="250"/>
  <c r="AN372" i="250"/>
  <c r="AM372" i="250"/>
  <c r="AL372" i="250"/>
  <c r="AK372" i="250"/>
  <c r="AJ372" i="250"/>
  <c r="AJ381" i="250" s="1"/>
  <c r="AI372" i="250"/>
  <c r="AH372" i="250"/>
  <c r="AG372" i="250"/>
  <c r="AF372" i="250"/>
  <c r="AE372" i="250"/>
  <c r="AD372" i="250"/>
  <c r="AC372" i="250"/>
  <c r="AB372" i="250"/>
  <c r="AB381" i="250" s="1"/>
  <c r="AA372" i="250"/>
  <c r="Z372" i="250"/>
  <c r="Y372" i="250"/>
  <c r="X372" i="250"/>
  <c r="W372" i="250"/>
  <c r="V372" i="250"/>
  <c r="U372" i="250"/>
  <c r="T372" i="250"/>
  <c r="T381" i="250" s="1"/>
  <c r="S372" i="250"/>
  <c r="R372" i="250"/>
  <c r="Q372" i="250"/>
  <c r="P372" i="250"/>
  <c r="O372" i="250"/>
  <c r="N372" i="250"/>
  <c r="M372" i="250"/>
  <c r="L372" i="250"/>
  <c r="K372" i="250"/>
  <c r="J372" i="250"/>
  <c r="I372" i="250"/>
  <c r="H372" i="250"/>
  <c r="G372" i="250"/>
  <c r="E372" i="250"/>
  <c r="D372" i="250"/>
  <c r="C372" i="250"/>
  <c r="B372" i="250"/>
  <c r="AN321" i="250"/>
  <c r="AM321" i="250"/>
  <c r="AL321" i="250"/>
  <c r="AK321" i="250"/>
  <c r="AI321" i="250"/>
  <c r="AH321" i="250"/>
  <c r="AG321" i="250"/>
  <c r="AF321" i="250"/>
  <c r="AD321" i="250"/>
  <c r="AC321" i="250"/>
  <c r="AB321" i="250"/>
  <c r="AA321" i="250"/>
  <c r="Y321" i="250"/>
  <c r="X321" i="250"/>
  <c r="W321" i="250"/>
  <c r="V321" i="250"/>
  <c r="T321" i="250"/>
  <c r="S321" i="250"/>
  <c r="R321" i="250"/>
  <c r="Q321" i="250"/>
  <c r="O321" i="250"/>
  <c r="N321" i="250"/>
  <c r="M321" i="250"/>
  <c r="L321" i="250"/>
  <c r="J321" i="250"/>
  <c r="I321" i="250"/>
  <c r="H321" i="250"/>
  <c r="G321" i="250"/>
  <c r="E321" i="250"/>
  <c r="D321" i="250"/>
  <c r="C321" i="250"/>
  <c r="A321" i="250"/>
  <c r="A330" i="250" s="1"/>
  <c r="A339" i="250" s="1"/>
  <c r="AO313" i="250"/>
  <c r="AO322" i="250" s="1"/>
  <c r="AN313" i="250"/>
  <c r="AM313" i="250"/>
  <c r="AL313" i="250"/>
  <c r="AK313" i="250"/>
  <c r="AJ313" i="250"/>
  <c r="AI313" i="250"/>
  <c r="AI322" i="250" s="1"/>
  <c r="AH313" i="250"/>
  <c r="AG313" i="250"/>
  <c r="AF313" i="250"/>
  <c r="AE313" i="250"/>
  <c r="AD313" i="250"/>
  <c r="AC313" i="250"/>
  <c r="AB313" i="250"/>
  <c r="AA313" i="250"/>
  <c r="AA322" i="250" s="1"/>
  <c r="Z313" i="250"/>
  <c r="Y313" i="250"/>
  <c r="Y322" i="250" s="1"/>
  <c r="X313" i="250"/>
  <c r="W313" i="250"/>
  <c r="V313" i="250"/>
  <c r="U313" i="250"/>
  <c r="T313" i="250"/>
  <c r="S313" i="250"/>
  <c r="S322" i="250" s="1"/>
  <c r="R313" i="250"/>
  <c r="Q313" i="250"/>
  <c r="Q322" i="250" s="1"/>
  <c r="P313" i="250"/>
  <c r="O313" i="250"/>
  <c r="N313" i="250"/>
  <c r="M313" i="250"/>
  <c r="L313" i="250"/>
  <c r="K313" i="250"/>
  <c r="K322" i="250" s="1"/>
  <c r="J313" i="250"/>
  <c r="I313" i="250"/>
  <c r="I322" i="250" s="1"/>
  <c r="H313" i="250"/>
  <c r="G313" i="250"/>
  <c r="E313" i="250"/>
  <c r="D313" i="250"/>
  <c r="D381" i="250" s="1"/>
  <c r="C313" i="250"/>
  <c r="B313" i="250"/>
  <c r="B381" i="250" s="1"/>
  <c r="AO281" i="250"/>
  <c r="AN281" i="250"/>
  <c r="AM281" i="250"/>
  <c r="AL281" i="250"/>
  <c r="AK281" i="250"/>
  <c r="AJ281" i="250"/>
  <c r="AI281" i="250"/>
  <c r="AH281" i="250"/>
  <c r="AH322" i="250" s="1"/>
  <c r="AG281" i="250"/>
  <c r="AF281" i="250"/>
  <c r="AE281" i="250"/>
  <c r="AE322" i="250" s="1"/>
  <c r="AD281" i="250"/>
  <c r="AC281" i="250"/>
  <c r="AB281" i="250"/>
  <c r="AA281" i="250"/>
  <c r="Z281" i="250"/>
  <c r="Z322" i="250" s="1"/>
  <c r="Y281" i="250"/>
  <c r="X281" i="250"/>
  <c r="W281" i="250"/>
  <c r="W322" i="250" s="1"/>
  <c r="V281" i="250"/>
  <c r="U281" i="250"/>
  <c r="T281" i="250"/>
  <c r="S281" i="250"/>
  <c r="R281" i="250"/>
  <c r="R322" i="250" s="1"/>
  <c r="Q281" i="250"/>
  <c r="P281" i="250"/>
  <c r="O281" i="250"/>
  <c r="O322" i="250" s="1"/>
  <c r="N281" i="250"/>
  <c r="M281" i="250"/>
  <c r="L281" i="250"/>
  <c r="K281" i="250"/>
  <c r="J281" i="250"/>
  <c r="J322" i="250" s="1"/>
  <c r="I281" i="250"/>
  <c r="H281" i="250"/>
  <c r="G281" i="250"/>
  <c r="G322" i="250" s="1"/>
  <c r="F281" i="250"/>
  <c r="E281" i="250"/>
  <c r="D281" i="250"/>
  <c r="C281" i="250"/>
  <c r="B281" i="250"/>
  <c r="C187" i="250"/>
  <c r="L179" i="250"/>
  <c r="M179" i="250" s="1"/>
  <c r="P178" i="250"/>
  <c r="C163" i="250"/>
  <c r="C134" i="250"/>
  <c r="L126" i="250"/>
  <c r="P125" i="250"/>
  <c r="C110" i="250"/>
  <c r="D110" i="250" s="1"/>
  <c r="E110" i="250" s="1"/>
  <c r="F110" i="250" s="1"/>
  <c r="G110" i="250" s="1"/>
  <c r="H110" i="250" s="1"/>
  <c r="I110" i="250" s="1"/>
  <c r="K110" i="250" s="1"/>
  <c r="L110" i="250" s="1"/>
  <c r="M110" i="250" s="1"/>
  <c r="N110" i="250" s="1"/>
  <c r="O110" i="250" s="1"/>
  <c r="A56" i="250"/>
  <c r="A109" i="250" s="1"/>
  <c r="A162" i="250" s="1"/>
  <c r="A215" i="250" s="1"/>
  <c r="C164" i="250"/>
  <c r="C176" i="250" s="1"/>
  <c r="C217" i="250"/>
  <c r="C504" i="250" s="1"/>
  <c r="F217" i="250"/>
  <c r="G218" i="250" s="1"/>
  <c r="G164" i="250"/>
  <c r="G168" i="250" s="1"/>
  <c r="G474" i="250"/>
  <c r="G217" i="250"/>
  <c r="G504" i="250" s="1"/>
  <c r="G547" i="250" s="1"/>
  <c r="E217" i="250"/>
  <c r="F164" i="250"/>
  <c r="F474" i="250" s="1"/>
  <c r="H217" i="250"/>
  <c r="H504" i="250" s="1"/>
  <c r="C170" i="250"/>
  <c r="C475" i="250"/>
  <c r="C221" i="250"/>
  <c r="D163" i="250"/>
  <c r="E163" i="250" s="1"/>
  <c r="F163" i="250" s="1"/>
  <c r="G163" i="250" s="1"/>
  <c r="H163" i="250" s="1"/>
  <c r="I163" i="250" s="1"/>
  <c r="K163" i="250" s="1"/>
  <c r="L163" i="250" s="1"/>
  <c r="M163" i="250" s="1"/>
  <c r="N163" i="250" s="1"/>
  <c r="O163" i="250" s="1"/>
  <c r="AN382" i="250"/>
  <c r="E381" i="250"/>
  <c r="AN323" i="250"/>
  <c r="E167" i="250"/>
  <c r="G167" i="250"/>
  <c r="F167" i="250"/>
  <c r="I167" i="250"/>
  <c r="H167" i="250"/>
  <c r="M126" i="250"/>
  <c r="N126" i="250" s="1"/>
  <c r="O126" i="250" s="1"/>
  <c r="P126" i="250" s="1"/>
  <c r="H218" i="250"/>
  <c r="A389" i="250"/>
  <c r="A417" i="250" s="1"/>
  <c r="A388" i="250"/>
  <c r="A416" i="250" s="1"/>
  <c r="A387" i="250"/>
  <c r="A415" i="250" s="1"/>
  <c r="B386" i="250"/>
  <c r="A386" i="250"/>
  <c r="A543" i="250" s="1"/>
  <c r="A554" i="250" s="1"/>
  <c r="A567" i="250" s="1"/>
  <c r="A381" i="250"/>
  <c r="AM379" i="250"/>
  <c r="AL379" i="250"/>
  <c r="AK379" i="250"/>
  <c r="AI379" i="250"/>
  <c r="AH379" i="250"/>
  <c r="AG379" i="250"/>
  <c r="AF379" i="250"/>
  <c r="AD379" i="250"/>
  <c r="AC379" i="250"/>
  <c r="AB379" i="250"/>
  <c r="AA379" i="250"/>
  <c r="Y379" i="250"/>
  <c r="X379" i="250"/>
  <c r="W379" i="250"/>
  <c r="V379" i="250"/>
  <c r="T379" i="250"/>
  <c r="S379" i="250"/>
  <c r="R379" i="250"/>
  <c r="Q379" i="250"/>
  <c r="O379" i="250"/>
  <c r="N379" i="250"/>
  <c r="M379" i="250"/>
  <c r="L379" i="250"/>
  <c r="J379" i="250"/>
  <c r="I379" i="250"/>
  <c r="H379" i="250"/>
  <c r="G379" i="250"/>
  <c r="E379" i="250"/>
  <c r="D379" i="250"/>
  <c r="C379" i="250"/>
  <c r="B379" i="250"/>
  <c r="A379" i="250"/>
  <c r="A444" i="250" s="1"/>
  <c r="A545" i="250" s="1"/>
  <c r="A556" i="250" s="1"/>
  <c r="A569" i="250" s="1"/>
  <c r="AM378" i="250"/>
  <c r="AL378" i="250"/>
  <c r="AK378" i="250"/>
  <c r="AI378" i="250"/>
  <c r="AH378" i="250"/>
  <c r="AG378" i="250"/>
  <c r="AF378" i="250"/>
  <c r="AD378" i="250"/>
  <c r="AC378" i="250"/>
  <c r="AB378" i="250"/>
  <c r="AA378" i="250"/>
  <c r="Y378" i="250"/>
  <c r="X378" i="250"/>
  <c r="W378" i="250"/>
  <c r="V378" i="250"/>
  <c r="T378" i="250"/>
  <c r="S378" i="250"/>
  <c r="R378" i="250"/>
  <c r="Q378" i="250"/>
  <c r="O378" i="250"/>
  <c r="N378" i="250"/>
  <c r="M378" i="250"/>
  <c r="L378" i="250"/>
  <c r="J378" i="250"/>
  <c r="I378" i="250"/>
  <c r="H378" i="250"/>
  <c r="G378" i="250"/>
  <c r="E378" i="250"/>
  <c r="D378" i="250"/>
  <c r="C378" i="250"/>
  <c r="B378" i="250"/>
  <c r="A378" i="250"/>
  <c r="A414" i="250" s="1"/>
  <c r="A544" i="250" s="1"/>
  <c r="A555" i="250" s="1"/>
  <c r="A568" i="250" s="1"/>
  <c r="AM377" i="250"/>
  <c r="AL377" i="250"/>
  <c r="AK377" i="250"/>
  <c r="AI377" i="250"/>
  <c r="AH377" i="250"/>
  <c r="AG377" i="250"/>
  <c r="AF377" i="250"/>
  <c r="AD377" i="250"/>
  <c r="AC377" i="250"/>
  <c r="AB377" i="250"/>
  <c r="AA377" i="250"/>
  <c r="Y377" i="250"/>
  <c r="X377" i="250"/>
  <c r="W377" i="250"/>
  <c r="V377" i="250"/>
  <c r="T377" i="250"/>
  <c r="S377" i="250"/>
  <c r="R377" i="250"/>
  <c r="Q377" i="250"/>
  <c r="O377" i="250"/>
  <c r="N377" i="250"/>
  <c r="M377" i="250"/>
  <c r="L377" i="250"/>
  <c r="J377" i="250"/>
  <c r="I377" i="250"/>
  <c r="H377" i="250"/>
  <c r="G377" i="250"/>
  <c r="E377" i="250"/>
  <c r="D377" i="250"/>
  <c r="C377" i="250"/>
  <c r="B377" i="250"/>
  <c r="A377" i="250"/>
  <c r="AO376" i="250"/>
  <c r="AN376" i="250"/>
  <c r="AM376" i="250"/>
  <c r="AL376" i="250"/>
  <c r="AK376" i="250"/>
  <c r="AJ376" i="250"/>
  <c r="AI376" i="250"/>
  <c r="AH376" i="250"/>
  <c r="AG376" i="250"/>
  <c r="AF376" i="250"/>
  <c r="AE376" i="250"/>
  <c r="AD376" i="250"/>
  <c r="AC376" i="250"/>
  <c r="AB376" i="250"/>
  <c r="AA376" i="250"/>
  <c r="Z376" i="250"/>
  <c r="Y376" i="250"/>
  <c r="X376" i="250"/>
  <c r="W376" i="250"/>
  <c r="V376" i="250"/>
  <c r="U376" i="250"/>
  <c r="T376" i="250"/>
  <c r="S376" i="250"/>
  <c r="R376" i="250"/>
  <c r="Q376" i="250"/>
  <c r="P376" i="250"/>
  <c r="O376" i="250"/>
  <c r="N376" i="250"/>
  <c r="M376" i="250"/>
  <c r="L376" i="250"/>
  <c r="K376" i="250"/>
  <c r="J376" i="250"/>
  <c r="I376" i="250"/>
  <c r="H376" i="250"/>
  <c r="G376" i="250"/>
  <c r="F376" i="250"/>
  <c r="E376" i="250"/>
  <c r="D376" i="250"/>
  <c r="C376" i="250"/>
  <c r="B376" i="250"/>
  <c r="AO375" i="250"/>
  <c r="AN375" i="250"/>
  <c r="AM375" i="250"/>
  <c r="AL375" i="250"/>
  <c r="AK375" i="250"/>
  <c r="AJ375" i="250"/>
  <c r="AI375" i="250"/>
  <c r="AH375" i="250"/>
  <c r="AG375" i="250"/>
  <c r="AF375" i="250"/>
  <c r="AE375" i="250"/>
  <c r="AD375" i="250"/>
  <c r="AC375" i="250"/>
  <c r="AB375" i="250"/>
  <c r="AA375" i="250"/>
  <c r="Z375" i="250"/>
  <c r="Y375" i="250"/>
  <c r="X375" i="250"/>
  <c r="W375" i="250"/>
  <c r="V375" i="250"/>
  <c r="U375" i="250"/>
  <c r="T375" i="250"/>
  <c r="S375" i="250"/>
  <c r="R375" i="250"/>
  <c r="Q375" i="250"/>
  <c r="P375" i="250"/>
  <c r="O375" i="250"/>
  <c r="N375" i="250"/>
  <c r="M375" i="250"/>
  <c r="L375" i="250"/>
  <c r="K375" i="250"/>
  <c r="J375" i="250"/>
  <c r="I375" i="250"/>
  <c r="H375" i="250"/>
  <c r="G375" i="250"/>
  <c r="F375" i="250"/>
  <c r="E375" i="250"/>
  <c r="D375" i="250"/>
  <c r="C375" i="250"/>
  <c r="B375" i="250"/>
  <c r="AJ379" i="250"/>
  <c r="H119" i="250" s="1"/>
  <c r="AE379" i="250"/>
  <c r="G119" i="250" s="1"/>
  <c r="G446" i="250" s="1"/>
  <c r="Z379" i="250"/>
  <c r="F119" i="250" s="1"/>
  <c r="U379" i="250"/>
  <c r="E119" i="250" s="1"/>
  <c r="P379" i="250"/>
  <c r="D119" i="250" s="1"/>
  <c r="K379" i="250"/>
  <c r="C119" i="250" s="1"/>
  <c r="C120" i="250" s="1"/>
  <c r="F379" i="250"/>
  <c r="B119" i="250" s="1"/>
  <c r="AE377" i="250"/>
  <c r="G11" i="250" s="1"/>
  <c r="U377" i="250"/>
  <c r="E11" i="250" s="1"/>
  <c r="P377" i="250"/>
  <c r="D11" i="250" s="1"/>
  <c r="K377" i="250"/>
  <c r="C11" i="250" s="1"/>
  <c r="AO344" i="250"/>
  <c r="AN344" i="250"/>
  <c r="AM344" i="250"/>
  <c r="AL344" i="250"/>
  <c r="AK344" i="250"/>
  <c r="AJ344" i="250"/>
  <c r="AI344" i="250"/>
  <c r="AH344" i="250"/>
  <c r="AG344" i="250"/>
  <c r="AF344" i="250"/>
  <c r="AE344" i="250"/>
  <c r="AD344" i="250"/>
  <c r="AC344" i="250"/>
  <c r="AB344" i="250"/>
  <c r="AA344" i="250"/>
  <c r="Z344" i="250"/>
  <c r="Y344" i="250"/>
  <c r="X344" i="250"/>
  <c r="W344" i="250"/>
  <c r="V344" i="250"/>
  <c r="U344" i="250"/>
  <c r="T344" i="250"/>
  <c r="S344" i="250"/>
  <c r="R344" i="250"/>
  <c r="Q344" i="250"/>
  <c r="P344" i="250"/>
  <c r="O344" i="250"/>
  <c r="N344" i="250"/>
  <c r="M344" i="250"/>
  <c r="L344" i="250"/>
  <c r="K344" i="250"/>
  <c r="J344" i="250"/>
  <c r="I344" i="250"/>
  <c r="H344" i="250"/>
  <c r="G344" i="250"/>
  <c r="F344" i="250"/>
  <c r="E344" i="250"/>
  <c r="D344" i="250"/>
  <c r="C344" i="250"/>
  <c r="B344" i="250"/>
  <c r="AO343" i="250"/>
  <c r="AN343" i="250"/>
  <c r="AM343" i="250"/>
  <c r="AL343" i="250"/>
  <c r="AK343" i="250"/>
  <c r="AJ343" i="250"/>
  <c r="AI343" i="250"/>
  <c r="AH343" i="250"/>
  <c r="AG343" i="250"/>
  <c r="AF343" i="250"/>
  <c r="AE343" i="250"/>
  <c r="AD343" i="250"/>
  <c r="AC343" i="250"/>
  <c r="AB343" i="250"/>
  <c r="AA343" i="250"/>
  <c r="Z343" i="250"/>
  <c r="Y343" i="250"/>
  <c r="X343" i="250"/>
  <c r="W343" i="250"/>
  <c r="V343" i="250"/>
  <c r="U343" i="250"/>
  <c r="T343" i="250"/>
  <c r="S343" i="250"/>
  <c r="R343" i="250"/>
  <c r="Q343" i="250"/>
  <c r="P343" i="250"/>
  <c r="O343" i="250"/>
  <c r="N343" i="250"/>
  <c r="M343" i="250"/>
  <c r="L343" i="250"/>
  <c r="K343" i="250"/>
  <c r="J343" i="250"/>
  <c r="I343" i="250"/>
  <c r="H343" i="250"/>
  <c r="G343" i="250"/>
  <c r="F343" i="250"/>
  <c r="E343" i="250"/>
  <c r="D343" i="250"/>
  <c r="C343" i="250"/>
  <c r="B343" i="250"/>
  <c r="A322" i="250"/>
  <c r="A331" i="250" s="1"/>
  <c r="A340" i="250" s="1"/>
  <c r="AM320" i="250"/>
  <c r="AL320" i="250"/>
  <c r="AK320" i="250"/>
  <c r="H111" i="250"/>
  <c r="H445" i="250" s="1"/>
  <c r="H545" i="250" s="1"/>
  <c r="AI320" i="250"/>
  <c r="AH320" i="250"/>
  <c r="AG320" i="250"/>
  <c r="AF320" i="250"/>
  <c r="G111" i="250"/>
  <c r="G445" i="250" s="1"/>
  <c r="G545" i="250" s="1"/>
  <c r="AD320" i="250"/>
  <c r="AC320" i="250"/>
  <c r="AB320" i="250"/>
  <c r="AA320" i="250"/>
  <c r="F111" i="250"/>
  <c r="F115" i="250" s="1"/>
  <c r="F445" i="250"/>
  <c r="F545" i="250" s="1"/>
  <c r="Y320" i="250"/>
  <c r="X320" i="250"/>
  <c r="W320" i="250"/>
  <c r="V320" i="250"/>
  <c r="T320" i="250"/>
  <c r="S320" i="250"/>
  <c r="R320" i="250"/>
  <c r="Q320" i="250"/>
  <c r="D111" i="250"/>
  <c r="O320" i="250"/>
  <c r="N320" i="250"/>
  <c r="M320" i="250"/>
  <c r="L320" i="250"/>
  <c r="J320" i="250"/>
  <c r="I320" i="250"/>
  <c r="H320" i="250"/>
  <c r="G320" i="250"/>
  <c r="B111" i="250"/>
  <c r="B445" i="250" s="1"/>
  <c r="E320" i="250"/>
  <c r="D320" i="250"/>
  <c r="C320" i="250"/>
  <c r="B320" i="250"/>
  <c r="A320" i="250"/>
  <c r="A329" i="250" s="1"/>
  <c r="A338" i="250" s="1"/>
  <c r="AM319" i="250"/>
  <c r="AL319" i="250"/>
  <c r="AK319" i="250"/>
  <c r="H58" i="250"/>
  <c r="AI319" i="250"/>
  <c r="AH319" i="250"/>
  <c r="AG319" i="250"/>
  <c r="AF319" i="250"/>
  <c r="AD319" i="250"/>
  <c r="AC319" i="250"/>
  <c r="AB319" i="250"/>
  <c r="AA319" i="250"/>
  <c r="Y319" i="250"/>
  <c r="X319" i="250"/>
  <c r="W319" i="250"/>
  <c r="V319" i="250"/>
  <c r="E58" i="250"/>
  <c r="E415" i="250" s="1"/>
  <c r="T319" i="250"/>
  <c r="S319" i="250"/>
  <c r="R319" i="250"/>
  <c r="Q319" i="250"/>
  <c r="D58" i="250"/>
  <c r="D415" i="250" s="1"/>
  <c r="O319" i="250"/>
  <c r="N319" i="250"/>
  <c r="M319" i="250"/>
  <c r="L319" i="250"/>
  <c r="J319" i="250"/>
  <c r="I319" i="250"/>
  <c r="H319" i="250"/>
  <c r="G319" i="250"/>
  <c r="B58" i="250"/>
  <c r="B415" i="250" s="1"/>
  <c r="E319" i="250"/>
  <c r="D319" i="250"/>
  <c r="C319" i="250"/>
  <c r="B319" i="250"/>
  <c r="A319" i="250"/>
  <c r="A328" i="250" s="1"/>
  <c r="A337" i="250" s="1"/>
  <c r="AM318" i="250"/>
  <c r="AL318" i="250"/>
  <c r="AK318" i="250"/>
  <c r="AI318" i="250"/>
  <c r="AH318" i="250"/>
  <c r="AG318" i="250"/>
  <c r="AF318" i="250"/>
  <c r="AD318" i="250"/>
  <c r="AC318" i="250"/>
  <c r="AB318" i="250"/>
  <c r="AA318" i="250"/>
  <c r="F3" i="250"/>
  <c r="Y318" i="250"/>
  <c r="X318" i="250"/>
  <c r="W318" i="250"/>
  <c r="V318" i="250"/>
  <c r="E3" i="250"/>
  <c r="E387" i="250" s="1"/>
  <c r="E543" i="250" s="1"/>
  <c r="T318" i="250"/>
  <c r="S318" i="250"/>
  <c r="R318" i="250"/>
  <c r="Q318" i="250"/>
  <c r="O318" i="250"/>
  <c r="N318" i="250"/>
  <c r="M318" i="250"/>
  <c r="L318" i="250"/>
  <c r="C3" i="250"/>
  <c r="J318" i="250"/>
  <c r="I318" i="250"/>
  <c r="H318" i="250"/>
  <c r="G318" i="250"/>
  <c r="B3" i="250"/>
  <c r="E318" i="250"/>
  <c r="D318" i="250"/>
  <c r="C318" i="250"/>
  <c r="B318" i="250"/>
  <c r="A318" i="250"/>
  <c r="A327" i="250" s="1"/>
  <c r="A336" i="250" s="1"/>
  <c r="AO317" i="250"/>
  <c r="AN317" i="250"/>
  <c r="AM317" i="250"/>
  <c r="AL317" i="250"/>
  <c r="AK317" i="250"/>
  <c r="AJ317" i="250"/>
  <c r="AI317" i="250"/>
  <c r="AH317" i="250"/>
  <c r="AG317" i="250"/>
  <c r="AF317" i="250"/>
  <c r="AE317" i="250"/>
  <c r="AD317" i="250"/>
  <c r="AC317" i="250"/>
  <c r="AB317" i="250"/>
  <c r="AA317" i="250"/>
  <c r="Z317" i="250"/>
  <c r="Y317" i="250"/>
  <c r="X317" i="250"/>
  <c r="W317" i="250"/>
  <c r="V317" i="250"/>
  <c r="U317" i="250"/>
  <c r="T317" i="250"/>
  <c r="S317" i="250"/>
  <c r="R317" i="250"/>
  <c r="Q317" i="250"/>
  <c r="P317" i="250"/>
  <c r="O317" i="250"/>
  <c r="N317" i="250"/>
  <c r="M317" i="250"/>
  <c r="L317" i="250"/>
  <c r="K317" i="250"/>
  <c r="J317" i="250"/>
  <c r="I317" i="250"/>
  <c r="H317" i="250"/>
  <c r="G317" i="250"/>
  <c r="F317" i="250"/>
  <c r="E317" i="250"/>
  <c r="D317" i="250"/>
  <c r="C317" i="250"/>
  <c r="B317" i="250"/>
  <c r="AO316" i="250"/>
  <c r="AN316" i="250"/>
  <c r="AM316" i="250"/>
  <c r="AL316" i="250"/>
  <c r="AK316" i="250"/>
  <c r="AJ316" i="250"/>
  <c r="AI316" i="250"/>
  <c r="AH316" i="250"/>
  <c r="AG316" i="250"/>
  <c r="AF316" i="250"/>
  <c r="AE316" i="250"/>
  <c r="AD316" i="250"/>
  <c r="AC316" i="250"/>
  <c r="AB316" i="250"/>
  <c r="AA316" i="250"/>
  <c r="Z316" i="250"/>
  <c r="Y316" i="250"/>
  <c r="X316" i="250"/>
  <c r="W316" i="250"/>
  <c r="V316" i="250"/>
  <c r="U316" i="250"/>
  <c r="T316" i="250"/>
  <c r="S316" i="250"/>
  <c r="R316" i="250"/>
  <c r="Q316" i="250"/>
  <c r="P316" i="250"/>
  <c r="O316" i="250"/>
  <c r="N316" i="250"/>
  <c r="M316" i="250"/>
  <c r="L316" i="250"/>
  <c r="K316" i="250"/>
  <c r="J316" i="250"/>
  <c r="I316" i="250"/>
  <c r="H316" i="250"/>
  <c r="G316" i="250"/>
  <c r="F316" i="250"/>
  <c r="E316" i="250"/>
  <c r="D316" i="250"/>
  <c r="C316" i="250"/>
  <c r="B316" i="250"/>
  <c r="AN378" i="250"/>
  <c r="AO285" i="250"/>
  <c r="AN285" i="250"/>
  <c r="AM285" i="250"/>
  <c r="AL285" i="250"/>
  <c r="AK285" i="250"/>
  <c r="AJ285" i="250"/>
  <c r="AI285" i="250"/>
  <c r="AH285" i="250"/>
  <c r="AG285" i="250"/>
  <c r="AF285" i="250"/>
  <c r="AE285" i="250"/>
  <c r="AD285" i="250"/>
  <c r="AC285" i="250"/>
  <c r="AB285" i="250"/>
  <c r="AA285" i="250"/>
  <c r="Z285" i="250"/>
  <c r="Y285" i="250"/>
  <c r="X285" i="250"/>
  <c r="W285" i="250"/>
  <c r="V285" i="250"/>
  <c r="U285" i="250"/>
  <c r="T285" i="250"/>
  <c r="S285" i="250"/>
  <c r="R285" i="250"/>
  <c r="Q285" i="250"/>
  <c r="P285" i="250"/>
  <c r="O285" i="250"/>
  <c r="N285" i="250"/>
  <c r="M285" i="250"/>
  <c r="L285" i="250"/>
  <c r="K285" i="250"/>
  <c r="J285" i="250"/>
  <c r="I285" i="250"/>
  <c r="H285" i="250"/>
  <c r="G285" i="250"/>
  <c r="F285" i="250"/>
  <c r="E285" i="250"/>
  <c r="D285" i="250"/>
  <c r="C285" i="250"/>
  <c r="B285" i="250"/>
  <c r="AO284" i="250"/>
  <c r="AN284" i="250"/>
  <c r="AM284" i="250"/>
  <c r="AL284" i="250"/>
  <c r="AK284" i="250"/>
  <c r="AJ284" i="250"/>
  <c r="AI284" i="250"/>
  <c r="AH284" i="250"/>
  <c r="AG284" i="250"/>
  <c r="AF284" i="250"/>
  <c r="AE284" i="250"/>
  <c r="AD284" i="250"/>
  <c r="AC284" i="250"/>
  <c r="AB284" i="250"/>
  <c r="AA284" i="250"/>
  <c r="Z284" i="250"/>
  <c r="Y284" i="250"/>
  <c r="X284" i="250"/>
  <c r="W284" i="250"/>
  <c r="V284" i="250"/>
  <c r="U284" i="250"/>
  <c r="T284" i="250"/>
  <c r="S284" i="250"/>
  <c r="R284" i="250"/>
  <c r="Q284" i="250"/>
  <c r="P284" i="250"/>
  <c r="O284" i="250"/>
  <c r="N284" i="250"/>
  <c r="M284" i="250"/>
  <c r="L284" i="250"/>
  <c r="K284" i="250"/>
  <c r="J284" i="250"/>
  <c r="I284" i="250"/>
  <c r="H284" i="250"/>
  <c r="G284" i="250"/>
  <c r="F284" i="250"/>
  <c r="E284" i="250"/>
  <c r="D284" i="250"/>
  <c r="C284" i="250"/>
  <c r="B284" i="250"/>
  <c r="AN319" i="250"/>
  <c r="C81" i="250"/>
  <c r="L73" i="250"/>
  <c r="P72" i="250"/>
  <c r="H60" i="250"/>
  <c r="G60" i="250"/>
  <c r="F60" i="250"/>
  <c r="F61" i="250" s="1"/>
  <c r="E60" i="250"/>
  <c r="E62" i="250" s="1"/>
  <c r="D60" i="250"/>
  <c r="C60" i="250"/>
  <c r="B60" i="250"/>
  <c r="B62" i="250" s="1"/>
  <c r="C57" i="250"/>
  <c r="D57" i="250" s="1"/>
  <c r="E57" i="250" s="1"/>
  <c r="F57" i="250" s="1"/>
  <c r="G57" i="250" s="1"/>
  <c r="H57" i="250" s="1"/>
  <c r="I57" i="250" s="1"/>
  <c r="K57" i="250" s="1"/>
  <c r="C26" i="250"/>
  <c r="L18" i="250"/>
  <c r="M18" i="250" s="1"/>
  <c r="N18" i="250" s="1"/>
  <c r="O18" i="250" s="1"/>
  <c r="P17" i="250"/>
  <c r="C2" i="250"/>
  <c r="D2" i="250" s="1"/>
  <c r="E2" i="250" s="1"/>
  <c r="G117" i="250"/>
  <c r="E117" i="250"/>
  <c r="H112" i="250"/>
  <c r="B387" i="250"/>
  <c r="C386" i="250"/>
  <c r="D386" i="250" s="1"/>
  <c r="B444" i="250"/>
  <c r="B473" i="250"/>
  <c r="B503" i="250"/>
  <c r="B414" i="250"/>
  <c r="U378" i="250"/>
  <c r="E66" i="250" s="1"/>
  <c r="Z378" i="250"/>
  <c r="F66" i="250" s="1"/>
  <c r="AJ378" i="250"/>
  <c r="H66" i="250"/>
  <c r="I114" i="250"/>
  <c r="F378" i="250"/>
  <c r="B66" i="250" s="1"/>
  <c r="B70" i="250" s="1"/>
  <c r="AE378" i="250"/>
  <c r="G66" i="250" s="1"/>
  <c r="G64" i="250" s="1"/>
  <c r="P378" i="250"/>
  <c r="D66" i="250" s="1"/>
  <c r="D322" i="250"/>
  <c r="L322" i="250"/>
  <c r="T322" i="250"/>
  <c r="AB322" i="250"/>
  <c r="AJ322" i="250"/>
  <c r="Z381" i="250"/>
  <c r="D9" i="250"/>
  <c r="AN379" i="250"/>
  <c r="E6" i="250"/>
  <c r="B322" i="250"/>
  <c r="G6" i="250"/>
  <c r="H6" i="250"/>
  <c r="C9" i="250"/>
  <c r="W381" i="250"/>
  <c r="C322" i="250"/>
  <c r="O381" i="250"/>
  <c r="G381" i="250"/>
  <c r="V322" i="250"/>
  <c r="AD322" i="250"/>
  <c r="F377" i="250"/>
  <c r="B11" i="250" s="1"/>
  <c r="F6" i="250"/>
  <c r="AM322" i="250"/>
  <c r="AN377" i="250"/>
  <c r="Z377" i="250"/>
  <c r="F11" i="250" s="1"/>
  <c r="AF322" i="250"/>
  <c r="AM381" i="250"/>
  <c r="AN320" i="250"/>
  <c r="AG322" i="250"/>
  <c r="AE381" i="250"/>
  <c r="I6" i="250"/>
  <c r="V381" i="250"/>
  <c r="AN318" i="250"/>
  <c r="H415" i="250"/>
  <c r="H544" i="250" s="1"/>
  <c r="H62" i="250"/>
  <c r="K378" i="250"/>
  <c r="C66" i="250" s="1"/>
  <c r="E322" i="250"/>
  <c r="F339" i="250" s="1"/>
  <c r="M322" i="250"/>
  <c r="U322" i="250"/>
  <c r="AC322" i="250"/>
  <c r="AK322" i="250"/>
  <c r="N381" i="250"/>
  <c r="N322" i="250"/>
  <c r="AL322" i="250"/>
  <c r="AL381" i="250"/>
  <c r="AJ377" i="250"/>
  <c r="H11" i="250" s="1"/>
  <c r="AD381" i="250"/>
  <c r="M381" i="250"/>
  <c r="U381" i="250"/>
  <c r="AC381" i="250"/>
  <c r="AK381" i="250"/>
  <c r="I60" i="250"/>
  <c r="I61" i="250" s="1"/>
  <c r="I445" i="250"/>
  <c r="I545" i="250" s="1"/>
  <c r="J381" i="250"/>
  <c r="R381" i="250"/>
  <c r="AH381" i="250"/>
  <c r="L381" i="250"/>
  <c r="I112" i="250"/>
  <c r="I115" i="250"/>
  <c r="C414" i="250"/>
  <c r="D115" i="250"/>
  <c r="H114" i="250"/>
  <c r="H115" i="250"/>
  <c r="G114" i="250"/>
  <c r="G115" i="250"/>
  <c r="F114" i="250"/>
  <c r="E114" i="250"/>
  <c r="I64" i="250"/>
  <c r="I416" i="250"/>
  <c r="I555" i="250" s="1"/>
  <c r="I387" i="250"/>
  <c r="I543" i="250" s="1"/>
  <c r="I7" i="250"/>
  <c r="G16" i="231"/>
  <c r="I123" i="250"/>
  <c r="I446" i="250"/>
  <c r="K64" i="250"/>
  <c r="I117" i="250"/>
  <c r="K118" i="250" s="1"/>
  <c r="I68" i="250"/>
  <c r="H116" i="250"/>
  <c r="L66" i="250"/>
  <c r="K416" i="250"/>
  <c r="AO381" i="250"/>
  <c r="I415" i="250"/>
  <c r="I544" i="250" s="1"/>
  <c r="I59" i="250"/>
  <c r="I70" i="250"/>
  <c r="K387" i="250"/>
  <c r="K446" i="250"/>
  <c r="G17" i="231"/>
  <c r="K117" i="250"/>
  <c r="L119" i="250"/>
  <c r="L387" i="250"/>
  <c r="J415" i="250"/>
  <c r="J544" i="250" s="1"/>
  <c r="K70" i="250"/>
  <c r="L446" i="250"/>
  <c r="M119" i="250"/>
  <c r="M117" i="250" s="1"/>
  <c r="L117" i="250"/>
  <c r="L118" i="250" s="1"/>
  <c r="K415" i="250"/>
  <c r="K417" i="250" s="1"/>
  <c r="E53" i="222"/>
  <c r="N79" i="235"/>
  <c r="C5" i="217"/>
  <c r="C6" i="217" s="1"/>
  <c r="C10" i="217" s="1"/>
  <c r="C11" i="217" s="1"/>
  <c r="C12" i="217" s="1"/>
  <c r="C13" i="217" s="1"/>
  <c r="C14" i="217" s="1"/>
  <c r="C15" i="217" s="1"/>
  <c r="C16" i="217" s="1"/>
  <c r="C17" i="217" s="1"/>
  <c r="C18" i="217" s="1"/>
  <c r="C19" i="217" s="1"/>
  <c r="C20" i="217" s="1"/>
  <c r="F14" i="217"/>
  <c r="F11" i="217"/>
  <c r="G11" i="217" s="1"/>
  <c r="F16" i="216"/>
  <c r="F15" i="216"/>
  <c r="N512" i="263" s="1"/>
  <c r="F14" i="216"/>
  <c r="E44" i="222" s="1"/>
  <c r="I44" i="222" s="1"/>
  <c r="F10" i="216"/>
  <c r="G10" i="216" s="1"/>
  <c r="F22" i="215"/>
  <c r="E42" i="222" s="1"/>
  <c r="C35" i="222"/>
  <c r="E41" i="222"/>
  <c r="N7" i="235" s="1"/>
  <c r="C41" i="222"/>
  <c r="C40" i="222"/>
  <c r="C39" i="222"/>
  <c r="F18" i="215"/>
  <c r="E40" i="222" s="1"/>
  <c r="F17" i="215"/>
  <c r="E39" i="222" s="1"/>
  <c r="F16" i="215"/>
  <c r="G16" i="215" s="1"/>
  <c r="F10" i="215"/>
  <c r="G10" i="215" s="1"/>
  <c r="C34" i="222"/>
  <c r="C33" i="222"/>
  <c r="F18" i="212"/>
  <c r="F17" i="212"/>
  <c r="E33" i="222" s="1"/>
  <c r="L15" i="241" s="1"/>
  <c r="E32" i="222"/>
  <c r="F16" i="212"/>
  <c r="G16" i="212"/>
  <c r="F13" i="212"/>
  <c r="N120" i="263" s="1"/>
  <c r="F11" i="212"/>
  <c r="G11" i="212" s="1"/>
  <c r="N113" i="263"/>
  <c r="E45" i="222"/>
  <c r="L17" i="241" s="1"/>
  <c r="E34" i="222"/>
  <c r="N114" i="263"/>
  <c r="E46" i="222"/>
  <c r="N513" i="263"/>
  <c r="G14" i="216"/>
  <c r="G14" i="217" s="1"/>
  <c r="F13" i="217" s="1"/>
  <c r="G19" i="221"/>
  <c r="E38" i="222"/>
  <c r="I38" i="222" s="1"/>
  <c r="C45" i="246"/>
  <c r="AA29" i="246"/>
  <c r="AB29" i="246"/>
  <c r="C45" i="245"/>
  <c r="AA29" i="245"/>
  <c r="AB29" i="245" s="1"/>
  <c r="AC29" i="245" s="1"/>
  <c r="AD29" i="245" s="1"/>
  <c r="AE29" i="245" s="1"/>
  <c r="AF29" i="245" s="1"/>
  <c r="AG29" i="245" s="1"/>
  <c r="AH29" i="245" s="1"/>
  <c r="AI29" i="245" s="1"/>
  <c r="AJ29" i="245" s="1"/>
  <c r="AK29" i="245" s="1"/>
  <c r="AL29" i="245" s="1"/>
  <c r="Z29" i="244"/>
  <c r="AA29" i="244" s="1"/>
  <c r="AB29" i="244" s="1"/>
  <c r="AC29" i="244" s="1"/>
  <c r="AD29" i="244" s="1"/>
  <c r="AE29" i="244" s="1"/>
  <c r="AF29" i="244" s="1"/>
  <c r="AG29" i="244" s="1"/>
  <c r="AH29" i="244" s="1"/>
  <c r="AI29" i="244" s="1"/>
  <c r="AJ29" i="244" s="1"/>
  <c r="AK29" i="244" s="1"/>
  <c r="AL29" i="244" s="1"/>
  <c r="Y29" i="244"/>
  <c r="X29" i="244"/>
  <c r="W29" i="244"/>
  <c r="V29" i="244"/>
  <c r="C45" i="244"/>
  <c r="W29" i="243"/>
  <c r="X29" i="243"/>
  <c r="Y29" i="243"/>
  <c r="Z29" i="243"/>
  <c r="AA29" i="243" s="1"/>
  <c r="AB29" i="243" s="1"/>
  <c r="AC29" i="243" s="1"/>
  <c r="AD29" i="243" s="1"/>
  <c r="AE29" i="243" s="1"/>
  <c r="AF29" i="243" s="1"/>
  <c r="AG29" i="243" s="1"/>
  <c r="AH29" i="243" s="1"/>
  <c r="AI29" i="243" s="1"/>
  <c r="AJ29" i="243" s="1"/>
  <c r="AK29" i="243" s="1"/>
  <c r="AL29" i="243" s="1"/>
  <c r="V29" i="243"/>
  <c r="W29" i="242"/>
  <c r="X29" i="242"/>
  <c r="Y29" i="242"/>
  <c r="Z29" i="242"/>
  <c r="AA29" i="242" s="1"/>
  <c r="AB29" i="242" s="1"/>
  <c r="AC29" i="242" s="1"/>
  <c r="AD29" i="242" s="1"/>
  <c r="AE29" i="242" s="1"/>
  <c r="AF29" i="242" s="1"/>
  <c r="AG29" i="242" s="1"/>
  <c r="AH29" i="242" s="1"/>
  <c r="AI29" i="242" s="1"/>
  <c r="AJ29" i="242" s="1"/>
  <c r="AK29" i="242" s="1"/>
  <c r="AL29" i="242" s="1"/>
  <c r="V29" i="242"/>
  <c r="C45" i="243"/>
  <c r="C45" i="242"/>
  <c r="V29" i="237"/>
  <c r="E15" i="241"/>
  <c r="E16" i="241" s="1"/>
  <c r="E17" i="241" s="1"/>
  <c r="E18" i="241" s="1"/>
  <c r="E19" i="241" s="1"/>
  <c r="E20" i="241" s="1"/>
  <c r="E8" i="241"/>
  <c r="E9" i="241" s="1"/>
  <c r="E10" i="241" s="1"/>
  <c r="E11" i="241" s="1"/>
  <c r="E12" i="241" s="1"/>
  <c r="E13" i="241" s="1"/>
  <c r="AC29" i="246"/>
  <c r="AD29" i="246"/>
  <c r="AE29" i="246"/>
  <c r="AF29" i="246"/>
  <c r="AG29" i="246"/>
  <c r="AH29" i="246"/>
  <c r="AI29" i="246"/>
  <c r="AJ29" i="246"/>
  <c r="AK29" i="246"/>
  <c r="AL29" i="246"/>
  <c r="H58" i="235"/>
  <c r="H66" i="235" s="1"/>
  <c r="G58" i="235"/>
  <c r="G66" i="235" s="1"/>
  <c r="F58" i="235"/>
  <c r="F66" i="235" s="1"/>
  <c r="H57" i="235"/>
  <c r="H65" i="235" s="1"/>
  <c r="G57" i="235"/>
  <c r="G65" i="235" s="1"/>
  <c r="F57" i="235"/>
  <c r="F65" i="235" s="1"/>
  <c r="H56" i="235"/>
  <c r="H64" i="235" s="1"/>
  <c r="G56" i="235"/>
  <c r="G64" i="235" s="1"/>
  <c r="F56" i="235"/>
  <c r="F64" i="235" s="1"/>
  <c r="H55" i="235"/>
  <c r="H63" i="235" s="1"/>
  <c r="G55" i="235"/>
  <c r="G63" i="235" s="1"/>
  <c r="F55" i="235"/>
  <c r="F63" i="235" s="1"/>
  <c r="N8" i="235"/>
  <c r="I56" i="235"/>
  <c r="I64" i="235" s="1"/>
  <c r="F25" i="222"/>
  <c r="D24" i="222"/>
  <c r="C24" i="222"/>
  <c r="C22" i="222"/>
  <c r="C16" i="222"/>
  <c r="M16" i="222"/>
  <c r="C26" i="222"/>
  <c r="C25" i="222"/>
  <c r="C18" i="222"/>
  <c r="C7" i="248" s="1"/>
  <c r="C15" i="248" s="1"/>
  <c r="C28" i="248" s="1"/>
  <c r="C33" i="248" s="1"/>
  <c r="C41" i="248" s="1"/>
  <c r="C46" i="248" s="1"/>
  <c r="C17" i="222"/>
  <c r="N13" i="230"/>
  <c r="M13" i="230"/>
  <c r="N12" i="230"/>
  <c r="M12" i="230"/>
  <c r="N11" i="230"/>
  <c r="M11" i="230"/>
  <c r="A8" i="230"/>
  <c r="A9" i="230" s="1"/>
  <c r="C233" i="229"/>
  <c r="C214" i="229"/>
  <c r="C195" i="229"/>
  <c r="E34" i="229"/>
  <c r="F12" i="228"/>
  <c r="F13" i="228"/>
  <c r="F14" i="228"/>
  <c r="F15" i="228"/>
  <c r="F16" i="228"/>
  <c r="F17" i="228"/>
  <c r="F18" i="228"/>
  <c r="F19" i="228"/>
  <c r="F20" i="228"/>
  <c r="F21" i="228"/>
  <c r="F22" i="228"/>
  <c r="F23" i="228"/>
  <c r="F24" i="228"/>
  <c r="F25" i="228"/>
  <c r="D4" i="228"/>
  <c r="E235" i="239"/>
  <c r="D235" i="239"/>
  <c r="C242" i="239"/>
  <c r="F4" i="219"/>
  <c r="J190" i="239"/>
  <c r="H190" i="239"/>
  <c r="F190" i="239"/>
  <c r="D190" i="239"/>
  <c r="F189" i="239"/>
  <c r="D189" i="239"/>
  <c r="J188" i="239"/>
  <c r="H188" i="239"/>
  <c r="F188" i="239"/>
  <c r="D188" i="239"/>
  <c r="F187" i="239"/>
  <c r="D187" i="239"/>
  <c r="J186" i="239"/>
  <c r="H186" i="239"/>
  <c r="F186" i="239"/>
  <c r="D186" i="239"/>
  <c r="K186" i="239" s="1"/>
  <c r="J149" i="239"/>
  <c r="H149" i="239"/>
  <c r="F149" i="239"/>
  <c r="D149" i="239"/>
  <c r="F148" i="239"/>
  <c r="D148" i="239"/>
  <c r="J147" i="239"/>
  <c r="H147" i="239"/>
  <c r="F147" i="239"/>
  <c r="D147" i="239"/>
  <c r="F146" i="239"/>
  <c r="D146" i="239"/>
  <c r="J145" i="239"/>
  <c r="H145" i="239"/>
  <c r="F145" i="239"/>
  <c r="D145" i="239"/>
  <c r="K145" i="239" s="1"/>
  <c r="L202" i="239"/>
  <c r="L194" i="239"/>
  <c r="K149" i="239"/>
  <c r="L175" i="239"/>
  <c r="L156" i="239"/>
  <c r="L28" i="239"/>
  <c r="K190" i="239"/>
  <c r="L193" i="239"/>
  <c r="L97" i="239"/>
  <c r="K146" i="239"/>
  <c r="L71" i="239"/>
  <c r="F125" i="239"/>
  <c r="L113" i="239"/>
  <c r="L199" i="239"/>
  <c r="L215" i="239"/>
  <c r="L118" i="239"/>
  <c r="L142" i="239"/>
  <c r="L178" i="239"/>
  <c r="L184" i="239"/>
  <c r="L65" i="239"/>
  <c r="L81" i="239"/>
  <c r="K187" i="239"/>
  <c r="L39" i="239"/>
  <c r="L216" i="239"/>
  <c r="L50" i="239"/>
  <c r="L214" i="239"/>
  <c r="F207" i="239"/>
  <c r="L116" i="239"/>
  <c r="L205" i="239"/>
  <c r="L25" i="239"/>
  <c r="L158" i="239"/>
  <c r="L203" i="239"/>
  <c r="L153" i="239"/>
  <c r="L197" i="239"/>
  <c r="L196" i="239"/>
  <c r="L182" i="239"/>
  <c r="L52" i="239"/>
  <c r="L218" i="239"/>
  <c r="L204" i="239"/>
  <c r="L200" i="239"/>
  <c r="L183" i="239"/>
  <c r="L119" i="239"/>
  <c r="L102" i="239"/>
  <c r="L180" i="239"/>
  <c r="L217" i="239"/>
  <c r="L21" i="239"/>
  <c r="L174" i="239"/>
  <c r="L15" i="239"/>
  <c r="L192" i="239"/>
  <c r="L219" i="239"/>
  <c r="L143" i="239"/>
  <c r="L122" i="239"/>
  <c r="L17" i="239"/>
  <c r="L13" i="239"/>
  <c r="C25" i="223"/>
  <c r="C26" i="223"/>
  <c r="C45" i="237"/>
  <c r="H54" i="235"/>
  <c r="H62" i="235" s="1"/>
  <c r="G54" i="235"/>
  <c r="G62" i="235" s="1"/>
  <c r="F54" i="235"/>
  <c r="F62" i="235" s="1"/>
  <c r="H53" i="235"/>
  <c r="H61" i="235" s="1"/>
  <c r="G53" i="235"/>
  <c r="G61" i="235" s="1"/>
  <c r="F53" i="235"/>
  <c r="F61" i="235" s="1"/>
  <c r="G19" i="235"/>
  <c r="G23" i="235" s="1"/>
  <c r="F19" i="235"/>
  <c r="F23" i="235" s="1"/>
  <c r="F18" i="235"/>
  <c r="F22" i="235" s="1"/>
  <c r="E7" i="235"/>
  <c r="E8" i="235" s="1"/>
  <c r="P35" i="234"/>
  <c r="K35" i="234"/>
  <c r="O35" i="234"/>
  <c r="J35" i="234"/>
  <c r="N35" i="234"/>
  <c r="I35" i="234"/>
  <c r="M35" i="234"/>
  <c r="H35" i="234"/>
  <c r="L35" i="234"/>
  <c r="C35" i="231"/>
  <c r="C46" i="231" s="1"/>
  <c r="B35" i="231"/>
  <c r="B46" i="231" s="1"/>
  <c r="E146" i="230"/>
  <c r="D146" i="230"/>
  <c r="E145" i="230"/>
  <c r="D145" i="230"/>
  <c r="J144" i="230"/>
  <c r="H144" i="230"/>
  <c r="L144" i="230" s="1"/>
  <c r="J143" i="230"/>
  <c r="H143" i="230"/>
  <c r="J142" i="230"/>
  <c r="H142" i="230"/>
  <c r="J141" i="230"/>
  <c r="H141" i="230"/>
  <c r="J140" i="230"/>
  <c r="H140" i="230"/>
  <c r="L140" i="230" s="1"/>
  <c r="J139" i="230"/>
  <c r="H139" i="230"/>
  <c r="J138" i="230"/>
  <c r="H138" i="230"/>
  <c r="J137" i="230"/>
  <c r="H137" i="230"/>
  <c r="J136" i="230"/>
  <c r="H136" i="230"/>
  <c r="L136" i="230" s="1"/>
  <c r="L145" i="230" s="1"/>
  <c r="L148" i="230" s="1"/>
  <c r="J135" i="230"/>
  <c r="H135" i="230"/>
  <c r="N133" i="230"/>
  <c r="M133" i="230"/>
  <c r="K133" i="230"/>
  <c r="K132" i="230"/>
  <c r="J132" i="230"/>
  <c r="F132" i="230"/>
  <c r="F12" i="230"/>
  <c r="E125" i="230"/>
  <c r="D125" i="230"/>
  <c r="J124" i="230"/>
  <c r="H124" i="230"/>
  <c r="J123" i="230"/>
  <c r="H123" i="230"/>
  <c r="L123" i="230" s="1"/>
  <c r="J122" i="230"/>
  <c r="H122" i="230"/>
  <c r="J121" i="230"/>
  <c r="H121" i="230"/>
  <c r="J120" i="230"/>
  <c r="H120" i="230"/>
  <c r="J119" i="230"/>
  <c r="H119" i="230"/>
  <c r="L119" i="230" s="1"/>
  <c r="J118" i="230"/>
  <c r="H118" i="230"/>
  <c r="J117" i="230"/>
  <c r="H117" i="230"/>
  <c r="J116" i="230"/>
  <c r="H116" i="230"/>
  <c r="J115" i="230"/>
  <c r="H115" i="230"/>
  <c r="L115" i="230" s="1"/>
  <c r="K121" i="230"/>
  <c r="N113" i="230"/>
  <c r="M113" i="230"/>
  <c r="K113" i="230"/>
  <c r="K112" i="230"/>
  <c r="J112" i="230"/>
  <c r="F112" i="230"/>
  <c r="F11" i="230"/>
  <c r="E106" i="230"/>
  <c r="D106" i="230"/>
  <c r="J105" i="230"/>
  <c r="H105" i="230"/>
  <c r="J104" i="230"/>
  <c r="H104" i="230"/>
  <c r="J103" i="230"/>
  <c r="H103" i="230"/>
  <c r="J102" i="230"/>
  <c r="H102" i="230"/>
  <c r="J101" i="230"/>
  <c r="H101" i="230"/>
  <c r="J100" i="230"/>
  <c r="H100" i="230"/>
  <c r="J99" i="230"/>
  <c r="J106" i="230" s="1"/>
  <c r="H99" i="230"/>
  <c r="J98" i="230"/>
  <c r="H98" i="230"/>
  <c r="J97" i="230"/>
  <c r="H97" i="230"/>
  <c r="J96" i="230"/>
  <c r="H96" i="230"/>
  <c r="K96" i="230"/>
  <c r="N94" i="230"/>
  <c r="M94" i="230"/>
  <c r="K94" i="230"/>
  <c r="K93" i="230"/>
  <c r="J93" i="230"/>
  <c r="F93" i="230"/>
  <c r="F10" i="230"/>
  <c r="E10" i="230"/>
  <c r="E87" i="230"/>
  <c r="D87" i="230"/>
  <c r="J86" i="230"/>
  <c r="H86" i="230"/>
  <c r="J85" i="230"/>
  <c r="H85" i="230"/>
  <c r="J84" i="230"/>
  <c r="H84" i="230"/>
  <c r="L84" i="230" s="1"/>
  <c r="J83" i="230"/>
  <c r="H83" i="230"/>
  <c r="J82" i="230"/>
  <c r="H82" i="230"/>
  <c r="J81" i="230"/>
  <c r="H81" i="230"/>
  <c r="J80" i="230"/>
  <c r="H80" i="230"/>
  <c r="L80" i="230" s="1"/>
  <c r="L87" i="230" s="1"/>
  <c r="L90" i="230" s="1"/>
  <c r="J79" i="230"/>
  <c r="H79" i="230"/>
  <c r="J78" i="230"/>
  <c r="H78" i="230"/>
  <c r="J77" i="230"/>
  <c r="H77" i="230"/>
  <c r="N75" i="230"/>
  <c r="M75" i="230"/>
  <c r="K75" i="230"/>
  <c r="K74" i="230"/>
  <c r="J74" i="230"/>
  <c r="F74" i="230"/>
  <c r="F9" i="230"/>
  <c r="E68" i="230"/>
  <c r="D68" i="230"/>
  <c r="J67" i="230"/>
  <c r="H67" i="230"/>
  <c r="J66" i="230"/>
  <c r="H66" i="230"/>
  <c r="J65" i="230"/>
  <c r="H65" i="230"/>
  <c r="J64" i="230"/>
  <c r="H64" i="230"/>
  <c r="J63" i="230"/>
  <c r="H63" i="230"/>
  <c r="J62" i="230"/>
  <c r="H62" i="230"/>
  <c r="J61" i="230"/>
  <c r="H61" i="230"/>
  <c r="J60" i="230"/>
  <c r="J68" i="230" s="1"/>
  <c r="H60" i="230"/>
  <c r="J59" i="230"/>
  <c r="H59" i="230"/>
  <c r="J58" i="230"/>
  <c r="H58" i="230"/>
  <c r="K63" i="230"/>
  <c r="N56" i="230"/>
  <c r="M56" i="230"/>
  <c r="K56" i="230"/>
  <c r="K55" i="230"/>
  <c r="J55" i="230"/>
  <c r="F55" i="230"/>
  <c r="F8" i="230"/>
  <c r="E8" i="230"/>
  <c r="E49" i="230"/>
  <c r="D49" i="230"/>
  <c r="J48" i="230"/>
  <c r="H48" i="230"/>
  <c r="J47" i="230"/>
  <c r="H47" i="230"/>
  <c r="J46" i="230"/>
  <c r="H46" i="230"/>
  <c r="J45" i="230"/>
  <c r="H45" i="230"/>
  <c r="J44" i="230"/>
  <c r="H44" i="230"/>
  <c r="J43" i="230"/>
  <c r="H43" i="230"/>
  <c r="J42" i="230"/>
  <c r="H42" i="230"/>
  <c r="J41" i="230"/>
  <c r="J49" i="230" s="1"/>
  <c r="H41" i="230"/>
  <c r="J40" i="230"/>
  <c r="H40" i="230"/>
  <c r="J39" i="230"/>
  <c r="H39" i="230"/>
  <c r="K41" i="230"/>
  <c r="N37" i="230"/>
  <c r="M37" i="230"/>
  <c r="K37" i="230"/>
  <c r="K36" i="230"/>
  <c r="J36" i="230"/>
  <c r="F36" i="230"/>
  <c r="A35" i="230"/>
  <c r="E7" i="230"/>
  <c r="E30" i="230"/>
  <c r="D30" i="230"/>
  <c r="J29" i="230"/>
  <c r="H29" i="230"/>
  <c r="J28" i="230"/>
  <c r="H28" i="230"/>
  <c r="J27" i="230"/>
  <c r="H27" i="230"/>
  <c r="J26" i="230"/>
  <c r="H26" i="230"/>
  <c r="J25" i="230"/>
  <c r="H25" i="230"/>
  <c r="J24" i="230"/>
  <c r="H24" i="230"/>
  <c r="J23" i="230"/>
  <c r="H23" i="230"/>
  <c r="J22" i="230"/>
  <c r="J30" i="230" s="1"/>
  <c r="H22" i="230"/>
  <c r="J21" i="230"/>
  <c r="H21" i="230"/>
  <c r="J20" i="230"/>
  <c r="H20" i="230"/>
  <c r="N18" i="230"/>
  <c r="N6" i="230"/>
  <c r="M18" i="230"/>
  <c r="M6" i="230" s="1"/>
  <c r="K18" i="230"/>
  <c r="K17" i="230"/>
  <c r="F4" i="230" s="1"/>
  <c r="J5" i="230" s="1"/>
  <c r="J17" i="230"/>
  <c r="E4" i="230"/>
  <c r="I5" i="230" s="1"/>
  <c r="F17" i="230"/>
  <c r="A16" i="230"/>
  <c r="C30" i="231"/>
  <c r="C29" i="231"/>
  <c r="N10" i="230"/>
  <c r="M10" i="230"/>
  <c r="C27" i="231"/>
  <c r="N9" i="230"/>
  <c r="M9" i="230"/>
  <c r="C26" i="231"/>
  <c r="N8" i="230"/>
  <c r="M8" i="230"/>
  <c r="C25" i="231"/>
  <c r="N7" i="230"/>
  <c r="M7" i="230"/>
  <c r="C24" i="231"/>
  <c r="K4" i="230"/>
  <c r="C298" i="229"/>
  <c r="C276" i="229"/>
  <c r="C255" i="229"/>
  <c r="C32" i="228"/>
  <c r="C31" i="228"/>
  <c r="F11" i="228"/>
  <c r="G31" i="228"/>
  <c r="I10" i="225"/>
  <c r="E10" i="225"/>
  <c r="T196" i="224"/>
  <c r="T195" i="224"/>
  <c r="D172" i="224"/>
  <c r="B139" i="224"/>
  <c r="B135" i="224"/>
  <c r="B133" i="224"/>
  <c r="B131" i="224"/>
  <c r="B129" i="224"/>
  <c r="B126" i="224"/>
  <c r="B123" i="224"/>
  <c r="B122" i="224"/>
  <c r="B121" i="224"/>
  <c r="B127" i="224"/>
  <c r="T50" i="224"/>
  <c r="R43" i="224"/>
  <c r="Q43" i="224"/>
  <c r="P43" i="224"/>
  <c r="O43" i="224"/>
  <c r="H10" i="223"/>
  <c r="I10" i="223"/>
  <c r="J10" i="223"/>
  <c r="K10" i="223"/>
  <c r="L10" i="223"/>
  <c r="M10" i="223"/>
  <c r="N10" i="223"/>
  <c r="O10" i="223"/>
  <c r="P10" i="223"/>
  <c r="Q10" i="223"/>
  <c r="R10" i="223"/>
  <c r="S10" i="223"/>
  <c r="T10" i="223"/>
  <c r="U10" i="223"/>
  <c r="V10" i="223"/>
  <c r="W10" i="223"/>
  <c r="X10" i="223"/>
  <c r="Y10" i="223"/>
  <c r="Z10" i="223"/>
  <c r="AA10" i="223"/>
  <c r="AB10" i="223"/>
  <c r="AC10" i="223"/>
  <c r="AD10" i="223"/>
  <c r="AE10" i="223"/>
  <c r="AF10" i="223"/>
  <c r="AG10" i="223"/>
  <c r="AH10" i="223"/>
  <c r="AI10" i="223"/>
  <c r="AJ10" i="223"/>
  <c r="AK10" i="223"/>
  <c r="AL10" i="223"/>
  <c r="AM10" i="223"/>
  <c r="AN10" i="223"/>
  <c r="F8" i="223"/>
  <c r="J22" i="223" s="1"/>
  <c r="E8" i="223"/>
  <c r="L115" i="224"/>
  <c r="L117" i="224"/>
  <c r="M115" i="224"/>
  <c r="M117" i="224"/>
  <c r="N115" i="224"/>
  <c r="N117" i="224"/>
  <c r="O115" i="224"/>
  <c r="O117" i="224"/>
  <c r="P115" i="224"/>
  <c r="P117" i="224"/>
  <c r="Q115" i="224"/>
  <c r="Q117" i="224"/>
  <c r="R115" i="224"/>
  <c r="R117" i="224"/>
  <c r="S115" i="224"/>
  <c r="S117" i="224"/>
  <c r="D193" i="224"/>
  <c r="D50" i="224"/>
  <c r="D170" i="224"/>
  <c r="K117" i="230"/>
  <c r="K125" i="230" s="1"/>
  <c r="L127" i="230" s="1"/>
  <c r="K115" i="230"/>
  <c r="L121" i="230"/>
  <c r="K123" i="230"/>
  <c r="K119" i="230"/>
  <c r="K100" i="230"/>
  <c r="J145" i="230"/>
  <c r="L146" i="230" s="1"/>
  <c r="K98" i="230"/>
  <c r="L100" i="230"/>
  <c r="L98" i="230"/>
  <c r="L86" i="230"/>
  <c r="L96" i="230"/>
  <c r="K104" i="230"/>
  <c r="L101" i="230"/>
  <c r="L105" i="230"/>
  <c r="L69" i="230"/>
  <c r="L97" i="230"/>
  <c r="L99" i="230"/>
  <c r="L102" i="230"/>
  <c r="L47" i="230"/>
  <c r="K43" i="230"/>
  <c r="K39" i="230"/>
  <c r="K45" i="230"/>
  <c r="K49" i="230" s="1"/>
  <c r="L51" i="230" s="1"/>
  <c r="L43" i="230"/>
  <c r="K47" i="230"/>
  <c r="L39" i="230"/>
  <c r="L45" i="230"/>
  <c r="L31" i="230"/>
  <c r="L63" i="230"/>
  <c r="K61" i="230"/>
  <c r="K67" i="230"/>
  <c r="K102" i="230"/>
  <c r="L104" i="230"/>
  <c r="L117" i="230"/>
  <c r="K142" i="230"/>
  <c r="L67" i="230"/>
  <c r="K77" i="230"/>
  <c r="K140" i="230"/>
  <c r="L59" i="230"/>
  <c r="K65" i="230"/>
  <c r="K59" i="230"/>
  <c r="L41" i="230"/>
  <c r="L103" i="230"/>
  <c r="K138" i="230"/>
  <c r="L138" i="230"/>
  <c r="K144" i="230"/>
  <c r="K136" i="230"/>
  <c r="C41" i="231"/>
  <c r="C52" i="231" s="1"/>
  <c r="H31" i="228"/>
  <c r="F7" i="223"/>
  <c r="G7" i="223"/>
  <c r="H7" i="223"/>
  <c r="I7" i="223"/>
  <c r="J7" i="223"/>
  <c r="T6" i="223"/>
  <c r="X6" i="223"/>
  <c r="E18" i="223"/>
  <c r="E14" i="223"/>
  <c r="E17" i="223"/>
  <c r="C179" i="224"/>
  <c r="G8" i="223"/>
  <c r="D102" i="224"/>
  <c r="G6" i="228"/>
  <c r="C42" i="231"/>
  <c r="C53" i="231" s="1"/>
  <c r="E147" i="230"/>
  <c r="L66" i="230"/>
  <c r="L64" i="230"/>
  <c r="L62" i="230"/>
  <c r="L60" i="230"/>
  <c r="K66" i="230"/>
  <c r="K64" i="230"/>
  <c r="K62" i="230"/>
  <c r="K60" i="230"/>
  <c r="L58" i="230"/>
  <c r="K58" i="230"/>
  <c r="L65" i="230"/>
  <c r="C37" i="231"/>
  <c r="C48" i="231" s="1"/>
  <c r="F13" i="230"/>
  <c r="L124" i="230"/>
  <c r="C36" i="231"/>
  <c r="C47" i="231" s="1"/>
  <c r="C39" i="231"/>
  <c r="C50" i="231" s="1"/>
  <c r="C40" i="231"/>
  <c r="C51" i="231" s="1"/>
  <c r="J125" i="230"/>
  <c r="L61" i="230"/>
  <c r="L143" i="230"/>
  <c r="L141" i="230"/>
  <c r="L139" i="230"/>
  <c r="L137" i="230"/>
  <c r="K143" i="230"/>
  <c r="K141" i="230"/>
  <c r="K139" i="230"/>
  <c r="K137" i="230"/>
  <c r="L135" i="230"/>
  <c r="K135" i="230"/>
  <c r="L142" i="230"/>
  <c r="C38" i="231"/>
  <c r="C49" i="231" s="1"/>
  <c r="L48" i="230"/>
  <c r="J87" i="230"/>
  <c r="K40" i="230"/>
  <c r="K42" i="230"/>
  <c r="K44" i="230"/>
  <c r="K46" i="230"/>
  <c r="K48" i="230"/>
  <c r="L77" i="230"/>
  <c r="K79" i="230"/>
  <c r="K81" i="230"/>
  <c r="K83" i="230"/>
  <c r="K85" i="230"/>
  <c r="K116" i="230"/>
  <c r="K118" i="230"/>
  <c r="K120" i="230"/>
  <c r="K122" i="230"/>
  <c r="K124" i="230"/>
  <c r="H23" i="231"/>
  <c r="L40" i="230"/>
  <c r="L49" i="230" s="1"/>
  <c r="L52" i="230" s="1"/>
  <c r="L42" i="230"/>
  <c r="L44" i="230"/>
  <c r="L46" i="230"/>
  <c r="L79" i="230"/>
  <c r="L81" i="230"/>
  <c r="L83" i="230"/>
  <c r="L85" i="230"/>
  <c r="L116" i="230"/>
  <c r="L118" i="230"/>
  <c r="L120" i="230"/>
  <c r="L122" i="230"/>
  <c r="K27" i="230"/>
  <c r="K97" i="230"/>
  <c r="K99" i="230"/>
  <c r="K101" i="230"/>
  <c r="K103" i="230"/>
  <c r="K105" i="230"/>
  <c r="K78" i="230"/>
  <c r="K80" i="230"/>
  <c r="K82" i="230"/>
  <c r="K84" i="230"/>
  <c r="K86" i="230"/>
  <c r="L78" i="230"/>
  <c r="L82" i="230"/>
  <c r="K106" i="230"/>
  <c r="L108" i="230" s="1"/>
  <c r="G10" i="228"/>
  <c r="G32" i="228"/>
  <c r="F14" i="223"/>
  <c r="F17" i="223"/>
  <c r="L68" i="230"/>
  <c r="L71" i="230" s="1"/>
  <c r="Y6" i="223"/>
  <c r="C200" i="229"/>
  <c r="C219" i="229"/>
  <c r="C238" i="229"/>
  <c r="C260" i="229"/>
  <c r="C281" i="229"/>
  <c r="C303" i="229"/>
  <c r="C325" i="229"/>
  <c r="E170" i="224"/>
  <c r="E50" i="224"/>
  <c r="E6" i="224"/>
  <c r="E172" i="224"/>
  <c r="E102" i="224"/>
  <c r="E193" i="224"/>
  <c r="H8" i="223"/>
  <c r="N43" i="224"/>
  <c r="M43" i="224"/>
  <c r="L43" i="224"/>
  <c r="K43" i="224"/>
  <c r="J43" i="224"/>
  <c r="L125" i="230"/>
  <c r="L128" i="230" s="1"/>
  <c r="K56" i="228"/>
  <c r="G9" i="228"/>
  <c r="K7" i="223"/>
  <c r="L7" i="223"/>
  <c r="M7" i="223"/>
  <c r="N7" i="223"/>
  <c r="O7" i="223"/>
  <c r="AC6" i="223"/>
  <c r="H35" i="229"/>
  <c r="D122" i="224"/>
  <c r="E122" i="224"/>
  <c r="F122" i="224"/>
  <c r="G122" i="224"/>
  <c r="H122" i="224"/>
  <c r="I122" i="224"/>
  <c r="J122" i="224"/>
  <c r="K122" i="224"/>
  <c r="L122" i="224"/>
  <c r="M122" i="224"/>
  <c r="N122" i="224"/>
  <c r="O122" i="224"/>
  <c r="P122" i="224"/>
  <c r="Q122" i="224"/>
  <c r="R122" i="224"/>
  <c r="S122" i="224"/>
  <c r="T122" i="224"/>
  <c r="D174" i="224"/>
  <c r="H6" i="228"/>
  <c r="H9" i="228"/>
  <c r="H32" i="228"/>
  <c r="H10" i="228"/>
  <c r="I31" i="228"/>
  <c r="I32" i="228"/>
  <c r="I10" i="228"/>
  <c r="I6" i="228"/>
  <c r="F18" i="223"/>
  <c r="G14" i="223"/>
  <c r="G17" i="223"/>
  <c r="W6" i="223"/>
  <c r="L56" i="228"/>
  <c r="H46" i="229"/>
  <c r="E8" i="224"/>
  <c r="E174" i="224"/>
  <c r="AH6" i="223"/>
  <c r="F6" i="224"/>
  <c r="F172" i="224"/>
  <c r="F102" i="224"/>
  <c r="F193" i="224"/>
  <c r="F170" i="224"/>
  <c r="F50" i="224"/>
  <c r="AD6" i="223"/>
  <c r="U6" i="223"/>
  <c r="P7" i="223"/>
  <c r="Q7" i="223"/>
  <c r="R7" i="223"/>
  <c r="S7" i="223"/>
  <c r="T7" i="223"/>
  <c r="I8" i="223"/>
  <c r="V6" i="223"/>
  <c r="I9" i="228"/>
  <c r="J31" i="228"/>
  <c r="G18" i="223"/>
  <c r="H14" i="223"/>
  <c r="H17" i="223"/>
  <c r="G6" i="224"/>
  <c r="G172" i="224"/>
  <c r="G102" i="224"/>
  <c r="G193" i="224"/>
  <c r="G170" i="224"/>
  <c r="G50" i="224"/>
  <c r="AM6" i="223"/>
  <c r="AB6" i="223"/>
  <c r="U7" i="223"/>
  <c r="V7" i="223"/>
  <c r="W7" i="223"/>
  <c r="X7" i="223"/>
  <c r="Y7" i="223"/>
  <c r="Z6" i="223"/>
  <c r="H57" i="229"/>
  <c r="M56" i="228"/>
  <c r="AI6" i="223"/>
  <c r="I35" i="229"/>
  <c r="AA6" i="223"/>
  <c r="F8" i="224"/>
  <c r="F174" i="224"/>
  <c r="K31" i="228"/>
  <c r="J32" i="228"/>
  <c r="J10" i="228"/>
  <c r="J6" i="228"/>
  <c r="J9" i="228"/>
  <c r="H18" i="223"/>
  <c r="H68" i="229"/>
  <c r="G8" i="224"/>
  <c r="G174" i="224"/>
  <c r="I46" i="229"/>
  <c r="AG6" i="223"/>
  <c r="AE6" i="223"/>
  <c r="Z7" i="223"/>
  <c r="AA7" i="223"/>
  <c r="AB7" i="223"/>
  <c r="AC7" i="223"/>
  <c r="AD7" i="223"/>
  <c r="H6" i="224"/>
  <c r="H172" i="224"/>
  <c r="H102" i="224"/>
  <c r="H193" i="224"/>
  <c r="H170" i="224"/>
  <c r="H50" i="224"/>
  <c r="AF6" i="223"/>
  <c r="AN6" i="223"/>
  <c r="N56" i="228"/>
  <c r="J35" i="229"/>
  <c r="K6" i="228"/>
  <c r="K9" i="228"/>
  <c r="K32" i="228"/>
  <c r="K10" i="228"/>
  <c r="L31" i="228"/>
  <c r="I14" i="223"/>
  <c r="I17" i="223"/>
  <c r="I18" i="223"/>
  <c r="J46" i="229"/>
  <c r="AK6" i="223"/>
  <c r="I102" i="224"/>
  <c r="I193" i="224"/>
  <c r="I170" i="224"/>
  <c r="I50" i="224"/>
  <c r="I6" i="224"/>
  <c r="I172" i="224"/>
  <c r="AE7" i="223"/>
  <c r="AF7" i="223"/>
  <c r="AG7" i="223"/>
  <c r="AH7" i="223"/>
  <c r="AI7" i="223"/>
  <c r="AJ6" i="223"/>
  <c r="I57" i="229"/>
  <c r="H8" i="224"/>
  <c r="H174" i="224"/>
  <c r="AL6" i="223"/>
  <c r="H79" i="229"/>
  <c r="P56" i="228"/>
  <c r="O56" i="228"/>
  <c r="K35" i="229"/>
  <c r="L6" i="228"/>
  <c r="L9" i="228"/>
  <c r="L10" i="228"/>
  <c r="L32" i="228"/>
  <c r="M31" i="228"/>
  <c r="J14" i="223"/>
  <c r="J17" i="223"/>
  <c r="J18" i="223"/>
  <c r="K46" i="229"/>
  <c r="J57" i="229"/>
  <c r="L35" i="229"/>
  <c r="J193" i="224"/>
  <c r="J170" i="224"/>
  <c r="J50" i="224"/>
  <c r="J6" i="224"/>
  <c r="J172" i="224"/>
  <c r="J102" i="224"/>
  <c r="I8" i="224"/>
  <c r="I174" i="224"/>
  <c r="I68" i="229"/>
  <c r="AJ7" i="223"/>
  <c r="AK7" i="223"/>
  <c r="AL7" i="223"/>
  <c r="AM7" i="223"/>
  <c r="AN7" i="223"/>
  <c r="N31" i="228"/>
  <c r="M6" i="228"/>
  <c r="M9" i="228"/>
  <c r="M32" i="228"/>
  <c r="M10" i="228"/>
  <c r="K14" i="223"/>
  <c r="K17" i="223"/>
  <c r="K18" i="223"/>
  <c r="J68" i="229"/>
  <c r="L46" i="229"/>
  <c r="I79" i="229"/>
  <c r="K170" i="224"/>
  <c r="K50" i="224"/>
  <c r="K102" i="224"/>
  <c r="K6" i="224"/>
  <c r="K172" i="224"/>
  <c r="K193" i="224"/>
  <c r="J8" i="224"/>
  <c r="J174" i="224"/>
  <c r="M35" i="229"/>
  <c r="K57" i="229"/>
  <c r="O52" i="228"/>
  <c r="P52" i="228"/>
  <c r="Q52" i="228"/>
  <c r="R52" i="228"/>
  <c r="N6" i="228"/>
  <c r="N9" i="228"/>
  <c r="N32" i="228"/>
  <c r="N10" i="228"/>
  <c r="O31" i="228"/>
  <c r="L14" i="223"/>
  <c r="L17" i="223"/>
  <c r="L18" i="223"/>
  <c r="L57" i="229"/>
  <c r="J79" i="229"/>
  <c r="K8" i="224"/>
  <c r="K174" i="224"/>
  <c r="M46" i="229"/>
  <c r="N35" i="229"/>
  <c r="L6" i="224"/>
  <c r="L172" i="224"/>
  <c r="L193" i="224"/>
  <c r="L102" i="224"/>
  <c r="L170" i="224"/>
  <c r="L50" i="224"/>
  <c r="K68" i="229"/>
  <c r="P31" i="228"/>
  <c r="O6" i="228"/>
  <c r="O9" i="228"/>
  <c r="O10" i="228"/>
  <c r="O32" i="228"/>
  <c r="M14" i="223"/>
  <c r="M17" i="223"/>
  <c r="M18" i="223"/>
  <c r="M57" i="229"/>
  <c r="O35" i="229"/>
  <c r="M170" i="224"/>
  <c r="M6" i="224"/>
  <c r="M172" i="224"/>
  <c r="M102" i="224"/>
  <c r="M193" i="224"/>
  <c r="M50" i="224"/>
  <c r="I193" i="229"/>
  <c r="I212" i="229"/>
  <c r="I231" i="229"/>
  <c r="N46" i="229"/>
  <c r="L8" i="224"/>
  <c r="L174" i="224"/>
  <c r="H193" i="229"/>
  <c r="H212" i="229"/>
  <c r="H231" i="229"/>
  <c r="H253" i="229"/>
  <c r="H274" i="229"/>
  <c r="H296" i="229"/>
  <c r="H318" i="229"/>
  <c r="L68" i="229"/>
  <c r="K79" i="229"/>
  <c r="Q31" i="228"/>
  <c r="P10" i="228"/>
  <c r="P32" i="228"/>
  <c r="P6" i="228"/>
  <c r="P9" i="228"/>
  <c r="N14" i="223"/>
  <c r="N17" i="223"/>
  <c r="N18" i="223"/>
  <c r="P35" i="229"/>
  <c r="N6" i="224"/>
  <c r="N172" i="224"/>
  <c r="N102" i="224"/>
  <c r="N193" i="224"/>
  <c r="N170" i="224"/>
  <c r="N50" i="224"/>
  <c r="N57" i="229"/>
  <c r="O46" i="229"/>
  <c r="M68" i="229"/>
  <c r="M8" i="224"/>
  <c r="M174" i="224"/>
  <c r="L79" i="229"/>
  <c r="Q32" i="228"/>
  <c r="Q10" i="228"/>
  <c r="Q6" i="228"/>
  <c r="Q9" i="228"/>
  <c r="R31" i="228"/>
  <c r="O14" i="223"/>
  <c r="O17" i="223"/>
  <c r="O18" i="223"/>
  <c r="O57" i="229"/>
  <c r="T65" i="224"/>
  <c r="Q35" i="229"/>
  <c r="J193" i="229"/>
  <c r="J212" i="229"/>
  <c r="J231" i="229"/>
  <c r="N8" i="224"/>
  <c r="N174" i="224"/>
  <c r="P46" i="229"/>
  <c r="N68" i="229"/>
  <c r="M79" i="229"/>
  <c r="O6" i="224"/>
  <c r="O172" i="224"/>
  <c r="O102" i="224"/>
  <c r="O193" i="224"/>
  <c r="O170" i="224"/>
  <c r="R6" i="228"/>
  <c r="R9" i="228"/>
  <c r="S31" i="228"/>
  <c r="R32" i="228"/>
  <c r="R10" i="228"/>
  <c r="P18" i="223"/>
  <c r="P14" i="223"/>
  <c r="P17" i="223"/>
  <c r="P6" i="224"/>
  <c r="P172" i="224"/>
  <c r="P102" i="224"/>
  <c r="P193" i="224"/>
  <c r="P170" i="224"/>
  <c r="P57" i="229"/>
  <c r="K193" i="229"/>
  <c r="K212" i="229"/>
  <c r="K231" i="229"/>
  <c r="O68" i="229"/>
  <c r="R35" i="229"/>
  <c r="Q46" i="229"/>
  <c r="O8" i="224"/>
  <c r="O174" i="224"/>
  <c r="N79" i="229"/>
  <c r="T31" i="228"/>
  <c r="S6" i="228"/>
  <c r="S9" i="228"/>
  <c r="S32" i="228"/>
  <c r="S10" i="228"/>
  <c r="Q14" i="223"/>
  <c r="Q17" i="223"/>
  <c r="Q18" i="223"/>
  <c r="R46" i="229"/>
  <c r="L193" i="229"/>
  <c r="L212" i="229"/>
  <c r="L231" i="229"/>
  <c r="Q57" i="229"/>
  <c r="P68" i="229"/>
  <c r="O79" i="229"/>
  <c r="P8" i="224"/>
  <c r="P174" i="224"/>
  <c r="Q102" i="224"/>
  <c r="Q193" i="224"/>
  <c r="Q170" i="224"/>
  <c r="Q6" i="224"/>
  <c r="Q172" i="224"/>
  <c r="S35" i="229"/>
  <c r="I211" i="229"/>
  <c r="U31" i="228"/>
  <c r="T6" i="228"/>
  <c r="T9" i="228"/>
  <c r="T32" i="228"/>
  <c r="T10" i="228"/>
  <c r="R14" i="223"/>
  <c r="R17" i="223"/>
  <c r="R18" i="223"/>
  <c r="P79" i="229"/>
  <c r="Q68" i="229"/>
  <c r="S46" i="229"/>
  <c r="Q8" i="224"/>
  <c r="Q174" i="224"/>
  <c r="R193" i="224"/>
  <c r="R170" i="224"/>
  <c r="R6" i="224"/>
  <c r="R172" i="224"/>
  <c r="R7" i="224"/>
  <c r="R102" i="224"/>
  <c r="M193" i="229"/>
  <c r="M212" i="229"/>
  <c r="M231" i="229"/>
  <c r="R57" i="229"/>
  <c r="J211" i="229"/>
  <c r="V31" i="228"/>
  <c r="U6" i="228"/>
  <c r="U9" i="228"/>
  <c r="U32" i="228"/>
  <c r="U10" i="228"/>
  <c r="S14" i="223"/>
  <c r="S17" i="223"/>
  <c r="S18" i="223"/>
  <c r="S170" i="224"/>
  <c r="S102" i="224"/>
  <c r="S7" i="224"/>
  <c r="S6" i="224"/>
  <c r="S172" i="224"/>
  <c r="S193" i="224"/>
  <c r="N193" i="229"/>
  <c r="N212" i="229"/>
  <c r="N231" i="229"/>
  <c r="R8" i="224"/>
  <c r="R174" i="224"/>
  <c r="R173" i="224"/>
  <c r="Q79" i="229"/>
  <c r="R68" i="229"/>
  <c r="S57" i="229"/>
  <c r="K211" i="229"/>
  <c r="W31" i="228"/>
  <c r="V6" i="228"/>
  <c r="V9" i="228"/>
  <c r="V32" i="228"/>
  <c r="V10" i="228"/>
  <c r="T14" i="223"/>
  <c r="T17" i="223"/>
  <c r="T18" i="223"/>
  <c r="O193" i="229"/>
  <c r="O212" i="229"/>
  <c r="O231" i="229"/>
  <c r="S68" i="229"/>
  <c r="R79" i="229"/>
  <c r="S8" i="224"/>
  <c r="S174" i="224"/>
  <c r="S173" i="224"/>
  <c r="T7" i="224"/>
  <c r="T6" i="224"/>
  <c r="T172" i="224"/>
  <c r="T102" i="224"/>
  <c r="T193" i="224"/>
  <c r="T170" i="224"/>
  <c r="L211" i="229"/>
  <c r="T66" i="224"/>
  <c r="X31" i="228"/>
  <c r="W6" i="228"/>
  <c r="W9" i="228"/>
  <c r="W10" i="228"/>
  <c r="W32" i="228"/>
  <c r="U14" i="223"/>
  <c r="U17" i="223"/>
  <c r="U18" i="223"/>
  <c r="T8" i="224"/>
  <c r="T174" i="224"/>
  <c r="T173" i="224"/>
  <c r="H211" i="229"/>
  <c r="P193" i="229"/>
  <c r="P212" i="229"/>
  <c r="P231" i="229"/>
  <c r="S79" i="229"/>
  <c r="M211" i="229"/>
  <c r="T67" i="224"/>
  <c r="Y31" i="228"/>
  <c r="X6" i="228"/>
  <c r="X9" i="228"/>
  <c r="X10" i="228"/>
  <c r="X32" i="228"/>
  <c r="V14" i="223"/>
  <c r="V17" i="223"/>
  <c r="V18" i="223"/>
  <c r="Q193" i="229"/>
  <c r="Q212" i="229"/>
  <c r="Q231" i="229"/>
  <c r="N211" i="229"/>
  <c r="Y6" i="228"/>
  <c r="Y9" i="228"/>
  <c r="Z31" i="228"/>
  <c r="Y32" i="228"/>
  <c r="Y10" i="228"/>
  <c r="W14" i="223"/>
  <c r="W17" i="223"/>
  <c r="W18" i="223"/>
  <c r="I253" i="229"/>
  <c r="I274" i="229"/>
  <c r="I296" i="229"/>
  <c r="I318" i="229"/>
  <c r="H297" i="229"/>
  <c r="H319" i="229"/>
  <c r="R193" i="229"/>
  <c r="R212" i="229"/>
  <c r="R231" i="229"/>
  <c r="O211" i="229"/>
  <c r="AA31" i="228"/>
  <c r="Z6" i="228"/>
  <c r="Z9" i="228"/>
  <c r="Z10" i="228"/>
  <c r="Z32" i="228"/>
  <c r="X14" i="223"/>
  <c r="X17" i="223"/>
  <c r="X18" i="223"/>
  <c r="J253" i="229"/>
  <c r="J274" i="229"/>
  <c r="J296" i="229"/>
  <c r="J318" i="229"/>
  <c r="S193" i="229"/>
  <c r="S212" i="229"/>
  <c r="S231" i="229"/>
  <c r="I297" i="229"/>
  <c r="I319" i="229"/>
  <c r="P211" i="229"/>
  <c r="AB31" i="228"/>
  <c r="AA6" i="228"/>
  <c r="AA9" i="228"/>
  <c r="AA32" i="228"/>
  <c r="AA10" i="228"/>
  <c r="Y14" i="223"/>
  <c r="Y17" i="223"/>
  <c r="Y18" i="223"/>
  <c r="T193" i="229"/>
  <c r="T212" i="229"/>
  <c r="T231" i="229"/>
  <c r="J297" i="229"/>
  <c r="J319" i="229"/>
  <c r="K253" i="229"/>
  <c r="K274" i="229"/>
  <c r="K296" i="229"/>
  <c r="K318" i="229"/>
  <c r="Q211" i="229"/>
  <c r="AC31" i="228"/>
  <c r="AB6" i="228"/>
  <c r="AB9" i="228"/>
  <c r="AB32" i="228"/>
  <c r="AB10" i="228"/>
  <c r="Z14" i="223"/>
  <c r="Z17" i="223"/>
  <c r="Z18" i="223"/>
  <c r="K297" i="229"/>
  <c r="K319" i="229"/>
  <c r="L253" i="229"/>
  <c r="L274" i="229"/>
  <c r="L296" i="229"/>
  <c r="L318" i="229"/>
  <c r="U193" i="229"/>
  <c r="U212" i="229"/>
  <c r="U231" i="229"/>
  <c r="R211" i="229"/>
  <c r="AC6" i="228"/>
  <c r="AC9" i="228"/>
  <c r="AC32" i="228"/>
  <c r="AC10" i="228"/>
  <c r="AD31" i="228"/>
  <c r="AA14" i="223"/>
  <c r="AA17" i="223"/>
  <c r="AA18" i="223"/>
  <c r="V193" i="229"/>
  <c r="V212" i="229"/>
  <c r="V231" i="229"/>
  <c r="M253" i="229"/>
  <c r="M274" i="229"/>
  <c r="M296" i="229"/>
  <c r="M318" i="229"/>
  <c r="L297" i="229"/>
  <c r="L319" i="229"/>
  <c r="S211" i="229"/>
  <c r="AD32" i="228"/>
  <c r="AD10" i="228"/>
  <c r="AD6" i="228"/>
  <c r="AD9" i="228"/>
  <c r="AE31" i="228"/>
  <c r="AB14" i="223"/>
  <c r="AB17" i="223"/>
  <c r="AB18" i="223"/>
  <c r="N253" i="229"/>
  <c r="N274" i="229"/>
  <c r="N296" i="229"/>
  <c r="N318" i="229"/>
  <c r="M297" i="229"/>
  <c r="M319" i="229"/>
  <c r="W193" i="229"/>
  <c r="W212" i="229"/>
  <c r="W231" i="229"/>
  <c r="T211" i="229"/>
  <c r="AE6" i="228"/>
  <c r="AE9" i="228"/>
  <c r="AE32" i="228"/>
  <c r="AE10" i="228"/>
  <c r="AC14" i="223"/>
  <c r="AC17" i="223"/>
  <c r="AC18" i="223"/>
  <c r="X193" i="229"/>
  <c r="X212" i="229"/>
  <c r="X231" i="229"/>
  <c r="N297" i="229"/>
  <c r="N319" i="229"/>
  <c r="O253" i="229"/>
  <c r="O274" i="229"/>
  <c r="O296" i="229"/>
  <c r="O318" i="229"/>
  <c r="U211" i="229"/>
  <c r="AD14" i="223"/>
  <c r="AD17" i="223"/>
  <c r="AD18" i="223"/>
  <c r="O297" i="229"/>
  <c r="O319" i="229"/>
  <c r="P253" i="229"/>
  <c r="P274" i="229"/>
  <c r="P296" i="229"/>
  <c r="P318" i="229"/>
  <c r="Y193" i="229"/>
  <c r="Y212" i="229"/>
  <c r="Y231" i="229"/>
  <c r="V211" i="229"/>
  <c r="AE14" i="223"/>
  <c r="AE17" i="223"/>
  <c r="AE18" i="223"/>
  <c r="P297" i="229"/>
  <c r="P319" i="229"/>
  <c r="Q253" i="229"/>
  <c r="Q274" i="229"/>
  <c r="Q296" i="229"/>
  <c r="Q318" i="229"/>
  <c r="Z193" i="229"/>
  <c r="Z212" i="229"/>
  <c r="Z231" i="229"/>
  <c r="W211" i="229"/>
  <c r="AF14" i="223"/>
  <c r="AF17" i="223"/>
  <c r="AF18" i="223"/>
  <c r="AG14" i="223"/>
  <c r="AG17" i="223"/>
  <c r="R253" i="229"/>
  <c r="R274" i="229"/>
  <c r="R296" i="229"/>
  <c r="R318" i="229"/>
  <c r="Q297" i="229"/>
  <c r="Q319" i="229"/>
  <c r="AA193" i="229"/>
  <c r="AA212" i="229"/>
  <c r="AA231" i="229"/>
  <c r="X211" i="229"/>
  <c r="AG18" i="223"/>
  <c r="R297" i="229"/>
  <c r="R319" i="229"/>
  <c r="S253" i="229"/>
  <c r="S274" i="229"/>
  <c r="S296" i="229"/>
  <c r="S318" i="229"/>
  <c r="AB193" i="229"/>
  <c r="AB212" i="229"/>
  <c r="AB231" i="229"/>
  <c r="Y211" i="229"/>
  <c r="AH14" i="223"/>
  <c r="AH17" i="223"/>
  <c r="AH18" i="223"/>
  <c r="T253" i="229"/>
  <c r="T274" i="229"/>
  <c r="T296" i="229"/>
  <c r="T318" i="229"/>
  <c r="AC193" i="229"/>
  <c r="AC212" i="229"/>
  <c r="AC231" i="229"/>
  <c r="S297" i="229"/>
  <c r="S319" i="229"/>
  <c r="Z211" i="229"/>
  <c r="AI14" i="223"/>
  <c r="AI17" i="223"/>
  <c r="AI18" i="223"/>
  <c r="T297" i="229"/>
  <c r="T319" i="229"/>
  <c r="AD193" i="229"/>
  <c r="AD212" i="229"/>
  <c r="AD231" i="229"/>
  <c r="U253" i="229"/>
  <c r="U274" i="229"/>
  <c r="U296" i="229"/>
  <c r="U318" i="229"/>
  <c r="AA211" i="229"/>
  <c r="AJ14" i="223"/>
  <c r="AJ17" i="223"/>
  <c r="AJ18" i="223"/>
  <c r="U297" i="229"/>
  <c r="U319" i="229"/>
  <c r="AE193" i="229"/>
  <c r="AE212" i="229"/>
  <c r="AE231" i="229"/>
  <c r="V253" i="229"/>
  <c r="V274" i="229"/>
  <c r="V296" i="229"/>
  <c r="V318" i="229"/>
  <c r="AB211" i="229"/>
  <c r="AK14" i="223"/>
  <c r="AK17" i="223"/>
  <c r="AK18" i="223"/>
  <c r="V297" i="229"/>
  <c r="V319" i="229"/>
  <c r="W253" i="229"/>
  <c r="W274" i="229"/>
  <c r="W296" i="229"/>
  <c r="W318" i="229"/>
  <c r="AF193" i="229"/>
  <c r="AF212" i="229"/>
  <c r="AF231" i="229"/>
  <c r="AC211" i="229"/>
  <c r="AL14" i="223"/>
  <c r="AL17" i="223"/>
  <c r="AL18" i="223"/>
  <c r="W297" i="229"/>
  <c r="W319" i="229"/>
  <c r="X253" i="229"/>
  <c r="X274" i="229"/>
  <c r="X296" i="229"/>
  <c r="X318" i="229"/>
  <c r="AG193" i="229"/>
  <c r="AG212" i="229"/>
  <c r="AG231" i="229"/>
  <c r="AD211" i="229"/>
  <c r="AM14" i="223"/>
  <c r="AM17" i="223"/>
  <c r="AM18" i="223"/>
  <c r="AN14" i="223"/>
  <c r="AN17" i="223"/>
  <c r="AH193" i="229"/>
  <c r="AH212" i="229"/>
  <c r="AH231" i="229"/>
  <c r="X297" i="229"/>
  <c r="X319" i="229"/>
  <c r="Y253" i="229"/>
  <c r="Y274" i="229"/>
  <c r="Y296" i="229"/>
  <c r="Y318" i="229"/>
  <c r="AE211" i="229"/>
  <c r="AN18" i="223"/>
  <c r="Y297" i="229"/>
  <c r="Y319" i="229"/>
  <c r="AI193" i="229"/>
  <c r="AI212" i="229"/>
  <c r="AI231" i="229"/>
  <c r="Z253" i="229"/>
  <c r="Z274" i="229"/>
  <c r="Z296" i="229"/>
  <c r="Z318" i="229"/>
  <c r="AF211" i="229"/>
  <c r="AO14" i="223"/>
  <c r="AO17" i="223"/>
  <c r="AO18" i="223"/>
  <c r="Z297" i="229"/>
  <c r="Z319" i="229"/>
  <c r="AA253" i="229"/>
  <c r="AA274" i="229"/>
  <c r="AA296" i="229"/>
  <c r="AA318" i="229"/>
  <c r="AJ193" i="229"/>
  <c r="AJ212" i="229"/>
  <c r="AJ231" i="229"/>
  <c r="AG211" i="229"/>
  <c r="AP14" i="223"/>
  <c r="AP17" i="223"/>
  <c r="AP18" i="223"/>
  <c r="AA297" i="229"/>
  <c r="AA319" i="229"/>
  <c r="AB253" i="229"/>
  <c r="AB274" i="229"/>
  <c r="AB296" i="229"/>
  <c r="AB318" i="229"/>
  <c r="AK193" i="229"/>
  <c r="AK212" i="229"/>
  <c r="AK231" i="229"/>
  <c r="AH211" i="229"/>
  <c r="AQ14" i="223"/>
  <c r="AQ17" i="223"/>
  <c r="AQ18" i="223"/>
  <c r="AL193" i="229"/>
  <c r="AL212" i="229"/>
  <c r="AL231" i="229"/>
  <c r="AC253" i="229"/>
  <c r="AC274" i="229"/>
  <c r="AC296" i="229"/>
  <c r="AC318" i="229"/>
  <c r="AB297" i="229"/>
  <c r="AB319" i="229"/>
  <c r="AI211" i="229"/>
  <c r="AR14" i="223"/>
  <c r="AR17" i="223"/>
  <c r="AR18" i="223"/>
  <c r="AC297" i="229"/>
  <c r="AC319" i="229"/>
  <c r="AM193" i="229"/>
  <c r="AM212" i="229"/>
  <c r="AM231" i="229"/>
  <c r="AD253" i="229"/>
  <c r="AD274" i="229"/>
  <c r="AD296" i="229"/>
  <c r="AD318" i="229"/>
  <c r="AJ211" i="229"/>
  <c r="AS14" i="223"/>
  <c r="AS17" i="223"/>
  <c r="AS18" i="223"/>
  <c r="AD297" i="229"/>
  <c r="AD319" i="229"/>
  <c r="AE253" i="229"/>
  <c r="AE274" i="229"/>
  <c r="AE296" i="229"/>
  <c r="AE318" i="229"/>
  <c r="AN193" i="229"/>
  <c r="AN212" i="229"/>
  <c r="AN231" i="229"/>
  <c r="AK211" i="229"/>
  <c r="AU14" i="223"/>
  <c r="AU17" i="223"/>
  <c r="AT14" i="223"/>
  <c r="AT17" i="223"/>
  <c r="AT18" i="223"/>
  <c r="AO193" i="229"/>
  <c r="AO212" i="229"/>
  <c r="AO231" i="229"/>
  <c r="AE297" i="229"/>
  <c r="AE319" i="229"/>
  <c r="AF253" i="229"/>
  <c r="AF274" i="229"/>
  <c r="AF296" i="229"/>
  <c r="AF318" i="229"/>
  <c r="AL211" i="229"/>
  <c r="AU18" i="223"/>
  <c r="AF297" i="229"/>
  <c r="AF319" i="229"/>
  <c r="AG253" i="229"/>
  <c r="AG274" i="229"/>
  <c r="AG296" i="229"/>
  <c r="AG318" i="229"/>
  <c r="AP193" i="229"/>
  <c r="AP212" i="229"/>
  <c r="AP231" i="229"/>
  <c r="AM211" i="229"/>
  <c r="AV14" i="223"/>
  <c r="AV17" i="223"/>
  <c r="AV18" i="223"/>
  <c r="AH253" i="229"/>
  <c r="AH274" i="229"/>
  <c r="AH296" i="229"/>
  <c r="AH318" i="229"/>
  <c r="AG297" i="229"/>
  <c r="AG319" i="229"/>
  <c r="AQ193" i="229"/>
  <c r="AQ212" i="229"/>
  <c r="AQ231" i="229"/>
  <c r="AN211" i="229"/>
  <c r="AW14" i="223"/>
  <c r="AW17" i="223"/>
  <c r="AW18" i="223"/>
  <c r="AH297" i="229"/>
  <c r="AH319" i="229"/>
  <c r="AR193" i="229"/>
  <c r="AR212" i="229"/>
  <c r="AR231" i="229"/>
  <c r="AI253" i="229"/>
  <c r="AI274" i="229"/>
  <c r="AI296" i="229"/>
  <c r="AI318" i="229"/>
  <c r="AO211" i="229"/>
  <c r="AX14" i="223"/>
  <c r="AX17" i="223"/>
  <c r="AX18" i="223"/>
  <c r="AI297" i="229"/>
  <c r="AI319" i="229"/>
  <c r="AJ253" i="229"/>
  <c r="AJ274" i="229"/>
  <c r="AJ296" i="229"/>
  <c r="AJ318" i="229"/>
  <c r="AS193" i="229"/>
  <c r="AS212" i="229"/>
  <c r="AS231" i="229"/>
  <c r="AP211" i="229"/>
  <c r="AY14" i="223"/>
  <c r="AY17" i="223"/>
  <c r="AY18" i="223"/>
  <c r="AJ297" i="229"/>
  <c r="AJ319" i="229"/>
  <c r="AK253" i="229"/>
  <c r="AK274" i="229"/>
  <c r="AK296" i="229"/>
  <c r="AK318" i="229"/>
  <c r="AT193" i="229"/>
  <c r="AT212" i="229"/>
  <c r="AT231" i="229"/>
  <c r="AQ211" i="229"/>
  <c r="AZ14" i="223"/>
  <c r="AZ17" i="223"/>
  <c r="AZ18" i="223"/>
  <c r="AK297" i="229"/>
  <c r="AK319" i="229"/>
  <c r="AL253" i="229"/>
  <c r="AL274" i="229"/>
  <c r="AL296" i="229"/>
  <c r="AL318" i="229"/>
  <c r="AU193" i="229"/>
  <c r="AU212" i="229"/>
  <c r="AU231" i="229"/>
  <c r="AR211" i="229"/>
  <c r="BA14" i="223"/>
  <c r="BA17" i="223"/>
  <c r="BA18" i="223"/>
  <c r="AM253" i="229"/>
  <c r="AM274" i="229"/>
  <c r="AM296" i="229"/>
  <c r="AM318" i="229"/>
  <c r="AL297" i="229"/>
  <c r="AL319" i="229"/>
  <c r="AV193" i="229"/>
  <c r="AV212" i="229"/>
  <c r="AV231" i="229"/>
  <c r="AS211" i="229"/>
  <c r="BB14" i="223"/>
  <c r="BB17" i="223"/>
  <c r="BB18" i="223"/>
  <c r="AW193" i="229"/>
  <c r="AW212" i="229"/>
  <c r="AW231" i="229"/>
  <c r="AM297" i="229"/>
  <c r="AM319" i="229"/>
  <c r="AN253" i="229"/>
  <c r="AN274" i="229"/>
  <c r="AN296" i="229"/>
  <c r="AN318" i="229"/>
  <c r="AT211" i="229"/>
  <c r="BC14" i="223"/>
  <c r="BC17" i="223"/>
  <c r="BC18" i="223"/>
  <c r="AX193" i="229"/>
  <c r="AX212" i="229"/>
  <c r="AX231" i="229"/>
  <c r="AN297" i="229"/>
  <c r="AN319" i="229"/>
  <c r="AO253" i="229"/>
  <c r="AO274" i="229"/>
  <c r="AO296" i="229"/>
  <c r="AO318" i="229"/>
  <c r="AU211" i="229"/>
  <c r="BD14" i="223"/>
  <c r="BD17" i="223"/>
  <c r="BD18" i="223"/>
  <c r="AP253" i="229"/>
  <c r="AP274" i="229"/>
  <c r="AP296" i="229"/>
  <c r="AP318" i="229"/>
  <c r="AO297" i="229"/>
  <c r="AO319" i="229"/>
  <c r="AY193" i="229"/>
  <c r="AY212" i="229"/>
  <c r="AY231" i="229"/>
  <c r="AV211" i="229"/>
  <c r="BE14" i="223"/>
  <c r="BE17" i="223"/>
  <c r="BE18" i="223"/>
  <c r="AP297" i="229"/>
  <c r="AP319" i="229"/>
  <c r="AZ193" i="229"/>
  <c r="AZ212" i="229"/>
  <c r="AZ231" i="229"/>
  <c r="AW211" i="229"/>
  <c r="BF14" i="223"/>
  <c r="BF17" i="223"/>
  <c r="BF18" i="223"/>
  <c r="BA193" i="229"/>
  <c r="BA212" i="229"/>
  <c r="BA231" i="229"/>
  <c r="AX211" i="229"/>
  <c r="BG14" i="223"/>
  <c r="BG17" i="223"/>
  <c r="BG18" i="223"/>
  <c r="BB193" i="229"/>
  <c r="BB212" i="229"/>
  <c r="BB231" i="229"/>
  <c r="AY211" i="229"/>
  <c r="BH14" i="223"/>
  <c r="BH17" i="223"/>
  <c r="BH18" i="223"/>
  <c r="BC193" i="229"/>
  <c r="BC212" i="229"/>
  <c r="BC231" i="229"/>
  <c r="AZ211" i="229"/>
  <c r="BI18" i="223"/>
  <c r="BI14" i="223"/>
  <c r="BI17" i="223"/>
  <c r="BD193" i="229"/>
  <c r="BD212" i="229"/>
  <c r="BD231" i="229"/>
  <c r="BA211" i="229"/>
  <c r="BJ18" i="223"/>
  <c r="BJ14" i="223"/>
  <c r="BJ17" i="223"/>
  <c r="BE193" i="229"/>
  <c r="BE212" i="229"/>
  <c r="BE231" i="229"/>
  <c r="BB211" i="229"/>
  <c r="BK14" i="223"/>
  <c r="BK17" i="223"/>
  <c r="BK18" i="223"/>
  <c r="BF193" i="229"/>
  <c r="BF212" i="229"/>
  <c r="BF231" i="229"/>
  <c r="BC211" i="229"/>
  <c r="BL14" i="223"/>
  <c r="BL17" i="223"/>
  <c r="BL18" i="223"/>
  <c r="BG193" i="229"/>
  <c r="BG212" i="229"/>
  <c r="BG231" i="229"/>
  <c r="BD211" i="229"/>
  <c r="BH193" i="229"/>
  <c r="BH212" i="229"/>
  <c r="BH231" i="229"/>
  <c r="BE211" i="229"/>
  <c r="BI193" i="229"/>
  <c r="BI212" i="229"/>
  <c r="BI231" i="229"/>
  <c r="BF211" i="229"/>
  <c r="BJ193" i="229"/>
  <c r="BJ212" i="229"/>
  <c r="BJ231" i="229"/>
  <c r="BG211" i="229"/>
  <c r="BK193" i="229"/>
  <c r="BK212" i="229"/>
  <c r="BK231" i="229"/>
  <c r="BH211" i="229"/>
  <c r="BL193" i="229"/>
  <c r="BL212" i="229"/>
  <c r="BL231" i="229"/>
  <c r="BI211" i="229"/>
  <c r="BM193" i="229"/>
  <c r="BM212" i="229"/>
  <c r="BM231" i="229"/>
  <c r="BJ211" i="229"/>
  <c r="BN193" i="229"/>
  <c r="BN212" i="229"/>
  <c r="BN231" i="229"/>
  <c r="BK211" i="229"/>
  <c r="BO193" i="229"/>
  <c r="BO212" i="229"/>
  <c r="BO231" i="229"/>
  <c r="BL211" i="229"/>
  <c r="BP193" i="229"/>
  <c r="BP212" i="229"/>
  <c r="BP231" i="229"/>
  <c r="BM211" i="229"/>
  <c r="BQ193" i="229"/>
  <c r="BQ212" i="229"/>
  <c r="BQ231" i="229"/>
  <c r="BN211" i="229"/>
  <c r="BR193" i="229"/>
  <c r="BR212" i="229"/>
  <c r="BR231" i="229"/>
  <c r="BO211" i="229"/>
  <c r="BS193" i="229"/>
  <c r="BS212" i="229"/>
  <c r="BS231" i="229"/>
  <c r="BP211" i="229"/>
  <c r="BX113" i="229"/>
  <c r="BT193" i="229"/>
  <c r="BT212" i="229"/>
  <c r="BT231" i="229"/>
  <c r="BQ211" i="229"/>
  <c r="BX135" i="229"/>
  <c r="BY113" i="229"/>
  <c r="BU193" i="229"/>
  <c r="BU212" i="229"/>
  <c r="BU231" i="229"/>
  <c r="BR211" i="229"/>
  <c r="BY135" i="229"/>
  <c r="BX124" i="229"/>
  <c r="BX90" i="229"/>
  <c r="BV193" i="229"/>
  <c r="BV212" i="229"/>
  <c r="BV231" i="229"/>
  <c r="BX146" i="229"/>
  <c r="BX112" i="229"/>
  <c r="BZ113" i="229"/>
  <c r="BS211" i="229"/>
  <c r="BY90" i="229"/>
  <c r="BX125" i="229"/>
  <c r="BX123" i="229"/>
  <c r="BY112" i="229"/>
  <c r="BY146" i="229"/>
  <c r="BW193" i="229"/>
  <c r="BW212" i="229"/>
  <c r="BW231" i="229"/>
  <c r="BX134" i="229"/>
  <c r="BY124" i="229"/>
  <c r="BZ135" i="229"/>
  <c r="BX157" i="229"/>
  <c r="CA113" i="229"/>
  <c r="BT211" i="229"/>
  <c r="BZ112" i="229"/>
  <c r="BY134" i="229"/>
  <c r="BZ146" i="229"/>
  <c r="BX145" i="229"/>
  <c r="BZ124" i="229"/>
  <c r="CA135" i="229"/>
  <c r="CB113" i="229"/>
  <c r="BX168" i="229"/>
  <c r="BX179" i="229"/>
  <c r="BX193" i="229"/>
  <c r="BX212" i="229"/>
  <c r="BX231" i="229"/>
  <c r="BZ90" i="229"/>
  <c r="BY157" i="229"/>
  <c r="BY125" i="229"/>
  <c r="BY123" i="229"/>
  <c r="BU211" i="229"/>
  <c r="BZ125" i="229"/>
  <c r="BZ123" i="229"/>
  <c r="CB135" i="229"/>
  <c r="BX169" i="229"/>
  <c r="BX156" i="229"/>
  <c r="CA124" i="229"/>
  <c r="BY145" i="229"/>
  <c r="CC113" i="229"/>
  <c r="CA146" i="229"/>
  <c r="BY168" i="229"/>
  <c r="BY179" i="229"/>
  <c r="BY193" i="229"/>
  <c r="BY212" i="229"/>
  <c r="BY231" i="229"/>
  <c r="BZ157" i="229"/>
  <c r="CA90" i="229"/>
  <c r="CA112" i="229"/>
  <c r="BZ134" i="229"/>
  <c r="BV211" i="229"/>
  <c r="BX178" i="229"/>
  <c r="BZ145" i="229"/>
  <c r="BZ179" i="229"/>
  <c r="BZ193" i="229"/>
  <c r="BZ212" i="229"/>
  <c r="BZ231" i="229"/>
  <c r="BZ168" i="229"/>
  <c r="CD113" i="229"/>
  <c r="BX167" i="229"/>
  <c r="CB146" i="229"/>
  <c r="CA157" i="229"/>
  <c r="BY156" i="229"/>
  <c r="BY169" i="229"/>
  <c r="CA125" i="229"/>
  <c r="CA123" i="229"/>
  <c r="CB90" i="229"/>
  <c r="CC135" i="229"/>
  <c r="CA134" i="229"/>
  <c r="CB112" i="229"/>
  <c r="CB124" i="229"/>
  <c r="BW211" i="229"/>
  <c r="BY178" i="229"/>
  <c r="CA179" i="229"/>
  <c r="CA193" i="229"/>
  <c r="CA212" i="229"/>
  <c r="CA231" i="229"/>
  <c r="CA168" i="229"/>
  <c r="CB134" i="229"/>
  <c r="CC124" i="229"/>
  <c r="CB157" i="229"/>
  <c r="CE113" i="229"/>
  <c r="BZ156" i="229"/>
  <c r="BZ169" i="229"/>
  <c r="CA145" i="229"/>
  <c r="CC90" i="229"/>
  <c r="CD135" i="229"/>
  <c r="CC112" i="229"/>
  <c r="BY167" i="229"/>
  <c r="CC146" i="229"/>
  <c r="CB125" i="229"/>
  <c r="CB123" i="229"/>
  <c r="BX211" i="229"/>
  <c r="BZ178" i="229"/>
  <c r="CE135" i="229"/>
  <c r="CA156" i="229"/>
  <c r="CA169" i="229"/>
  <c r="CD124" i="229"/>
  <c r="BZ167" i="229"/>
  <c r="CD90" i="229"/>
  <c r="CC134" i="229"/>
  <c r="CD146" i="229"/>
  <c r="CC125" i="229"/>
  <c r="CC123" i="229"/>
  <c r="CB179" i="229"/>
  <c r="CB193" i="229"/>
  <c r="CB212" i="229"/>
  <c r="CB231" i="229"/>
  <c r="CB168" i="229"/>
  <c r="CD112" i="229"/>
  <c r="CB145" i="229"/>
  <c r="CC157" i="229"/>
  <c r="CF113" i="229"/>
  <c r="BY211" i="229"/>
  <c r="CA178" i="229"/>
  <c r="CE112" i="229"/>
  <c r="CE146" i="229"/>
  <c r="CE124" i="229"/>
  <c r="CF135" i="229"/>
  <c r="CD125" i="229"/>
  <c r="CD123" i="229"/>
  <c r="CG113" i="229"/>
  <c r="CA167" i="229"/>
  <c r="CC179" i="229"/>
  <c r="CC193" i="229"/>
  <c r="CC212" i="229"/>
  <c r="CC231" i="229"/>
  <c r="CC168" i="229"/>
  <c r="CB156" i="229"/>
  <c r="CB169" i="229"/>
  <c r="CC145" i="229"/>
  <c r="CE90" i="229"/>
  <c r="CJ35" i="229"/>
  <c r="CD134" i="229"/>
  <c r="CD157" i="229"/>
  <c r="BZ211" i="229"/>
  <c r="CB178" i="229"/>
  <c r="CD145" i="229"/>
  <c r="CH113" i="229"/>
  <c r="CB167" i="229"/>
  <c r="CK35" i="229"/>
  <c r="CJ46" i="229"/>
  <c r="CC169" i="229"/>
  <c r="CC156" i="229"/>
  <c r="CF90" i="229"/>
  <c r="CF146" i="229"/>
  <c r="CD179" i="229"/>
  <c r="CD193" i="229"/>
  <c r="CD212" i="229"/>
  <c r="CD231" i="229"/>
  <c r="CD168" i="229"/>
  <c r="CE125" i="229"/>
  <c r="CE123" i="229"/>
  <c r="CG135" i="229"/>
  <c r="CF112" i="229"/>
  <c r="CE157" i="229"/>
  <c r="CE134" i="229"/>
  <c r="CF124" i="229"/>
  <c r="CA211" i="229"/>
  <c r="CC178" i="229"/>
  <c r="CJ57" i="229"/>
  <c r="CH135" i="229"/>
  <c r="CF125" i="229"/>
  <c r="CF123" i="229"/>
  <c r="CC167" i="229"/>
  <c r="CG146" i="229"/>
  <c r="CK46" i="229"/>
  <c r="CE179" i="229"/>
  <c r="CE193" i="229"/>
  <c r="CE212" i="229"/>
  <c r="CE231" i="229"/>
  <c r="CE168" i="229"/>
  <c r="CE145" i="229"/>
  <c r="CG90" i="229"/>
  <c r="CF157" i="229"/>
  <c r="CI113" i="229"/>
  <c r="CD169" i="229"/>
  <c r="CD156" i="229"/>
  <c r="CF134" i="229"/>
  <c r="CL35" i="229"/>
  <c r="CG112" i="229"/>
  <c r="CG124" i="229"/>
  <c r="CB211" i="229"/>
  <c r="CD178" i="229"/>
  <c r="CG157" i="229"/>
  <c r="CG125" i="229"/>
  <c r="CG123" i="229"/>
  <c r="CJ113" i="229"/>
  <c r="CH124" i="229"/>
  <c r="CD167" i="229"/>
  <c r="CI135" i="229"/>
  <c r="CH90" i="229"/>
  <c r="CE169" i="229"/>
  <c r="CE156" i="229"/>
  <c r="CF145" i="229"/>
  <c r="CH146" i="229"/>
  <c r="CH112" i="229"/>
  <c r="CM35" i="229"/>
  <c r="CG134" i="229"/>
  <c r="CK57" i="229"/>
  <c r="CJ68" i="229"/>
  <c r="CL46" i="229"/>
  <c r="CF179" i="229"/>
  <c r="CF193" i="229"/>
  <c r="CF212" i="229"/>
  <c r="CF231" i="229"/>
  <c r="CF168" i="229"/>
  <c r="CC211" i="229"/>
  <c r="CE178" i="229"/>
  <c r="CJ79" i="229"/>
  <c r="CH157" i="229"/>
  <c r="CI146" i="229"/>
  <c r="CI112" i="229"/>
  <c r="CK68" i="229"/>
  <c r="CI124" i="229"/>
  <c r="CN35" i="229"/>
  <c r="CL57" i="229"/>
  <c r="CG145" i="229"/>
  <c r="CH134" i="229"/>
  <c r="CF169" i="229"/>
  <c r="CF156" i="229"/>
  <c r="CE167" i="229"/>
  <c r="CG168" i="229"/>
  <c r="CG179" i="229"/>
  <c r="CG193" i="229"/>
  <c r="CG212" i="229"/>
  <c r="CG231" i="229"/>
  <c r="CH125" i="229"/>
  <c r="CH123" i="229"/>
  <c r="CM46" i="229"/>
  <c r="CJ135" i="229"/>
  <c r="CI90" i="229"/>
  <c r="CK113" i="229"/>
  <c r="CD211" i="229"/>
  <c r="CF178" i="229"/>
  <c r="CI157" i="229"/>
  <c r="CF167" i="229"/>
  <c r="CL68" i="229"/>
  <c r="CH145" i="229"/>
  <c r="CG156" i="229"/>
  <c r="CG169" i="229"/>
  <c r="CK79" i="229"/>
  <c r="CL113" i="229"/>
  <c r="CI125" i="229"/>
  <c r="CI123" i="229"/>
  <c r="CJ146" i="229"/>
  <c r="CJ124" i="229"/>
  <c r="CO35" i="229"/>
  <c r="CN46" i="229"/>
  <c r="CJ112" i="229"/>
  <c r="CK135" i="229"/>
  <c r="CM57" i="229"/>
  <c r="CH179" i="229"/>
  <c r="CH193" i="229"/>
  <c r="CH212" i="229"/>
  <c r="CH231" i="229"/>
  <c r="CH168" i="229"/>
  <c r="CI134" i="229"/>
  <c r="CJ90" i="229"/>
  <c r="CE211" i="229"/>
  <c r="CG178" i="229"/>
  <c r="CL135" i="229"/>
  <c r="CH156" i="229"/>
  <c r="CH169" i="229"/>
  <c r="CJ125" i="229"/>
  <c r="CJ123" i="229"/>
  <c r="CI145" i="229"/>
  <c r="CK124" i="229"/>
  <c r="CJ134" i="229"/>
  <c r="CK90" i="229"/>
  <c r="CL79" i="229"/>
  <c r="CM68" i="229"/>
  <c r="CK112" i="229"/>
  <c r="CO46" i="229"/>
  <c r="CJ157" i="229"/>
  <c r="CG167" i="229"/>
  <c r="CK146" i="229"/>
  <c r="CP35" i="229"/>
  <c r="CI179" i="229"/>
  <c r="CI193" i="229"/>
  <c r="CI212" i="229"/>
  <c r="CI231" i="229"/>
  <c r="CI168" i="229"/>
  <c r="CN57" i="229"/>
  <c r="CM113" i="229"/>
  <c r="CF211" i="229"/>
  <c r="CH178" i="229"/>
  <c r="CK157" i="229"/>
  <c r="CQ35" i="229"/>
  <c r="CL90" i="229"/>
  <c r="CK125" i="229"/>
  <c r="CK123" i="229"/>
  <c r="CP46" i="229"/>
  <c r="CJ179" i="229"/>
  <c r="CJ193" i="229"/>
  <c r="CJ212" i="229"/>
  <c r="CJ231" i="229"/>
  <c r="CJ168" i="229"/>
  <c r="CN113" i="229"/>
  <c r="CL112" i="229"/>
  <c r="CH167" i="229"/>
  <c r="CN68" i="229"/>
  <c r="CO57" i="229"/>
  <c r="CM79" i="229"/>
  <c r="CM135" i="229"/>
  <c r="CK134" i="229"/>
  <c r="CI156" i="229"/>
  <c r="CI169" i="229"/>
  <c r="CJ145" i="229"/>
  <c r="CL124" i="229"/>
  <c r="CL146" i="229"/>
  <c r="CG211" i="229"/>
  <c r="CI178" i="229"/>
  <c r="CK179" i="229"/>
  <c r="CK193" i="229"/>
  <c r="CK212" i="229"/>
  <c r="CK231" i="229"/>
  <c r="CK168" i="229"/>
  <c r="CL157" i="229"/>
  <c r="CM90" i="229"/>
  <c r="CN135" i="229"/>
  <c r="CM112" i="229"/>
  <c r="CO113" i="229"/>
  <c r="CK145" i="229"/>
  <c r="CL125" i="229"/>
  <c r="CL123" i="229"/>
  <c r="CN79" i="229"/>
  <c r="CL134" i="229"/>
  <c r="CI167" i="229"/>
  <c r="CM146" i="229"/>
  <c r="CR35" i="229"/>
  <c r="CO68" i="229"/>
  <c r="CJ156" i="229"/>
  <c r="CJ169" i="229"/>
  <c r="CM124" i="229"/>
  <c r="CP57" i="229"/>
  <c r="CQ46" i="229"/>
  <c r="CH211" i="229"/>
  <c r="CJ178" i="229"/>
  <c r="CS35" i="229"/>
  <c r="CP68" i="229"/>
  <c r="CJ167" i="229"/>
  <c r="CM134" i="229"/>
  <c r="CM157" i="229"/>
  <c r="CN146" i="229"/>
  <c r="CO79" i="229"/>
  <c r="CQ57" i="229"/>
  <c r="CR46" i="229"/>
  <c r="CN124" i="229"/>
  <c r="CN90" i="229"/>
  <c r="CK169" i="229"/>
  <c r="CK156" i="229"/>
  <c r="CO135" i="229"/>
  <c r="CL145" i="229"/>
  <c r="CM125" i="229"/>
  <c r="CM123" i="229"/>
  <c r="CP113" i="229"/>
  <c r="CN112" i="229"/>
  <c r="CL179" i="229"/>
  <c r="CL193" i="229"/>
  <c r="CL212" i="229"/>
  <c r="CL231" i="229"/>
  <c r="CL168" i="229"/>
  <c r="CI211" i="229"/>
  <c r="CK178" i="229"/>
  <c r="CL169" i="229"/>
  <c r="CL156" i="229"/>
  <c r="CO146" i="229"/>
  <c r="CR57" i="229"/>
  <c r="CN134" i="229"/>
  <c r="CO90" i="229"/>
  <c r="CS46" i="229"/>
  <c r="CO112" i="229"/>
  <c r="CT35" i="229"/>
  <c r="CQ68" i="229"/>
  <c r="CO124" i="229"/>
  <c r="CM179" i="229"/>
  <c r="CM193" i="229"/>
  <c r="CM212" i="229"/>
  <c r="CM231" i="229"/>
  <c r="CM168" i="229"/>
  <c r="CN157" i="229"/>
  <c r="CQ113" i="229"/>
  <c r="CK167" i="229"/>
  <c r="CP135" i="229"/>
  <c r="CN125" i="229"/>
  <c r="CN123" i="229"/>
  <c r="CM145" i="229"/>
  <c r="CP79" i="229"/>
  <c r="CJ211" i="229"/>
  <c r="CL178" i="229"/>
  <c r="CP146" i="229"/>
  <c r="CP124" i="229"/>
  <c r="CP90" i="229"/>
  <c r="CT46" i="229"/>
  <c r="CO125" i="229"/>
  <c r="CO123" i="229"/>
  <c r="CO157" i="229"/>
  <c r="CR68" i="229"/>
  <c r="CP112" i="229"/>
  <c r="CR113" i="229"/>
  <c r="CO134" i="229"/>
  <c r="CM169" i="229"/>
  <c r="CM156" i="229"/>
  <c r="CS57" i="229"/>
  <c r="CN168" i="229"/>
  <c r="CN179" i="229"/>
  <c r="CN193" i="229"/>
  <c r="CN212" i="229"/>
  <c r="CN231" i="229"/>
  <c r="CU35" i="229"/>
  <c r="CQ79" i="229"/>
  <c r="CL167" i="229"/>
  <c r="CQ135" i="229"/>
  <c r="CN145" i="229"/>
  <c r="CK211" i="229"/>
  <c r="CM178" i="229"/>
  <c r="CM167" i="229"/>
  <c r="CQ90" i="229"/>
  <c r="CU46" i="229"/>
  <c r="CS68" i="229"/>
  <c r="CP134" i="229"/>
  <c r="CQ124" i="229"/>
  <c r="CS113" i="229"/>
  <c r="CT57" i="229"/>
  <c r="CN169" i="229"/>
  <c r="CN156" i="229"/>
  <c r="CO145" i="229"/>
  <c r="CP125" i="229"/>
  <c r="CP123" i="229"/>
  <c r="CQ112" i="229"/>
  <c r="CR79" i="229"/>
  <c r="CP157" i="229"/>
  <c r="CQ146" i="229"/>
  <c r="CV35" i="229"/>
  <c r="CR135" i="229"/>
  <c r="CO168" i="229"/>
  <c r="CO179" i="229"/>
  <c r="CO193" i="229"/>
  <c r="CO212" i="229"/>
  <c r="CO231" i="229"/>
  <c r="CL211" i="229"/>
  <c r="CN178" i="229"/>
  <c r="CR146" i="229"/>
  <c r="CV46" i="229"/>
  <c r="CT68" i="229"/>
  <c r="CN167" i="229"/>
  <c r="CP179" i="229"/>
  <c r="CP193" i="229"/>
  <c r="CP212" i="229"/>
  <c r="CP231" i="229"/>
  <c r="CP168" i="229"/>
  <c r="CO156" i="229"/>
  <c r="CO169" i="229"/>
  <c r="CR112" i="229"/>
  <c r="CW35" i="229"/>
  <c r="CQ134" i="229"/>
  <c r="CR124" i="229"/>
  <c r="CP145" i="229"/>
  <c r="CT113" i="229"/>
  <c r="CQ157" i="229"/>
  <c r="CS79" i="229"/>
  <c r="CQ125" i="229"/>
  <c r="CQ123" i="229"/>
  <c r="CR90" i="229"/>
  <c r="CS135" i="229"/>
  <c r="CU57" i="229"/>
  <c r="CM211" i="229"/>
  <c r="CO178" i="229"/>
  <c r="CR134" i="229"/>
  <c r="CX35" i="229"/>
  <c r="CT79" i="229"/>
  <c r="CP156" i="229"/>
  <c r="CP169" i="229"/>
  <c r="CO167" i="229"/>
  <c r="CU68" i="229"/>
  <c r="CS90" i="229"/>
  <c r="CT135" i="229"/>
  <c r="CS124" i="229"/>
  <c r="CS146" i="229"/>
  <c r="CS112" i="229"/>
  <c r="CQ145" i="229"/>
  <c r="CU113" i="229"/>
  <c r="CV57" i="229"/>
  <c r="CQ179" i="229"/>
  <c r="CQ193" i="229"/>
  <c r="CQ212" i="229"/>
  <c r="CQ231" i="229"/>
  <c r="CQ168" i="229"/>
  <c r="CR125" i="229"/>
  <c r="CR123" i="229"/>
  <c r="CW46" i="229"/>
  <c r="CR157" i="229"/>
  <c r="CN211" i="229"/>
  <c r="CP178" i="229"/>
  <c r="CR168" i="229"/>
  <c r="CR179" i="229"/>
  <c r="CR193" i="229"/>
  <c r="CR212" i="229"/>
  <c r="CR231" i="229"/>
  <c r="CU135" i="229"/>
  <c r="CR145" i="229"/>
  <c r="CW57" i="229"/>
  <c r="CS125" i="229"/>
  <c r="CS123" i="229"/>
  <c r="CS157" i="229"/>
  <c r="CQ156" i="229"/>
  <c r="CQ169" i="229"/>
  <c r="CU79" i="229"/>
  <c r="CT124" i="229"/>
  <c r="CT90" i="229"/>
  <c r="CX46" i="229"/>
  <c r="CV68" i="229"/>
  <c r="CY35" i="229"/>
  <c r="CT112" i="229"/>
  <c r="CP167" i="229"/>
  <c r="CS134" i="229"/>
  <c r="CV113" i="229"/>
  <c r="CT146" i="229"/>
  <c r="CO211" i="229"/>
  <c r="CQ178" i="229"/>
  <c r="CV79" i="229"/>
  <c r="CQ167" i="229"/>
  <c r="CU124" i="229"/>
  <c r="CT157" i="229"/>
  <c r="CV135" i="229"/>
  <c r="CX57" i="229"/>
  <c r="CW113" i="229"/>
  <c r="CS168" i="229"/>
  <c r="CS179" i="229"/>
  <c r="CS193" i="229"/>
  <c r="CS212" i="229"/>
  <c r="CS231" i="229"/>
  <c r="CU146" i="229"/>
  <c r="CT134" i="229"/>
  <c r="CT125" i="229"/>
  <c r="CT123" i="229"/>
  <c r="CW68" i="229"/>
  <c r="CU90" i="229"/>
  <c r="CR156" i="229"/>
  <c r="CR169" i="229"/>
  <c r="CS145" i="229"/>
  <c r="CZ35" i="229"/>
  <c r="CY46" i="229"/>
  <c r="CU112" i="229"/>
  <c r="CP211" i="229"/>
  <c r="CR178" i="229"/>
  <c r="CU134" i="229"/>
  <c r="CY57" i="229"/>
  <c r="CT145" i="229"/>
  <c r="CR167" i="229"/>
  <c r="CV112" i="229"/>
  <c r="CU157" i="229"/>
  <c r="CW135" i="229"/>
  <c r="CU125" i="229"/>
  <c r="CU123" i="229"/>
  <c r="CV146" i="229"/>
  <c r="CZ46" i="229"/>
  <c r="CV124" i="229"/>
  <c r="CW79" i="229"/>
  <c r="CX68" i="229"/>
  <c r="CS169" i="229"/>
  <c r="CS156" i="229"/>
  <c r="CX113" i="229"/>
  <c r="DA35" i="229"/>
  <c r="CT168" i="229"/>
  <c r="CT179" i="229"/>
  <c r="CT193" i="229"/>
  <c r="CT212" i="229"/>
  <c r="CT231" i="229"/>
  <c r="CV90" i="229"/>
  <c r="CQ211" i="229"/>
  <c r="CS178" i="229"/>
  <c r="CV134" i="229"/>
  <c r="CX79" i="229"/>
  <c r="DB35" i="229"/>
  <c r="CT169" i="229"/>
  <c r="CT156" i="229"/>
  <c r="DA46" i="229"/>
  <c r="CX135" i="229"/>
  <c r="CW90" i="229"/>
  <c r="CV157" i="229"/>
  <c r="CY68" i="229"/>
  <c r="CW112" i="229"/>
  <c r="CW146" i="229"/>
  <c r="CS167" i="229"/>
  <c r="CZ57" i="229"/>
  <c r="CU179" i="229"/>
  <c r="CU193" i="229"/>
  <c r="CU212" i="229"/>
  <c r="CU231" i="229"/>
  <c r="CU168" i="229"/>
  <c r="CU145" i="229"/>
  <c r="CV125" i="229"/>
  <c r="CV123" i="229"/>
  <c r="CW124" i="229"/>
  <c r="CY113" i="229"/>
  <c r="CR211" i="229"/>
  <c r="CT178" i="229"/>
  <c r="CT167" i="229"/>
  <c r="CX90" i="229"/>
  <c r="CY135" i="229"/>
  <c r="CU169" i="229"/>
  <c r="CU156" i="229"/>
  <c r="CW125" i="229"/>
  <c r="CW123" i="229"/>
  <c r="CW157" i="229"/>
  <c r="DC35" i="229"/>
  <c r="CZ113" i="229"/>
  <c r="CX146" i="229"/>
  <c r="CX112" i="229"/>
  <c r="CV145" i="229"/>
  <c r="CW134" i="229"/>
  <c r="CY79" i="229"/>
  <c r="CX124" i="229"/>
  <c r="CZ68" i="229"/>
  <c r="DB46" i="229"/>
  <c r="CV168" i="229"/>
  <c r="CV179" i="229"/>
  <c r="CV193" i="229"/>
  <c r="CV212" i="229"/>
  <c r="CV231" i="229"/>
  <c r="DA57" i="229"/>
  <c r="CS211" i="229"/>
  <c r="CU178" i="229"/>
  <c r="DA68" i="229"/>
  <c r="CW145" i="229"/>
  <c r="CV169" i="229"/>
  <c r="CV156" i="229"/>
  <c r="DB57" i="229"/>
  <c r="CX134" i="229"/>
  <c r="CY146" i="229"/>
  <c r="DD35" i="229"/>
  <c r="CW168" i="229"/>
  <c r="CW179" i="229"/>
  <c r="CW193" i="229"/>
  <c r="CW212" i="229"/>
  <c r="CW231" i="229"/>
  <c r="CZ135" i="229"/>
  <c r="CZ79" i="229"/>
  <c r="CY124" i="229"/>
  <c r="CY112" i="229"/>
  <c r="CU167" i="229"/>
  <c r="DA113" i="229"/>
  <c r="CY90" i="229"/>
  <c r="DC46" i="229"/>
  <c r="CX157" i="229"/>
  <c r="CX125" i="229"/>
  <c r="CX123" i="229"/>
  <c r="CT211" i="229"/>
  <c r="CV178" i="229"/>
  <c r="DA135" i="229"/>
  <c r="CX179" i="229"/>
  <c r="CX193" i="229"/>
  <c r="CX212" i="229"/>
  <c r="CX231" i="229"/>
  <c r="CX168" i="229"/>
  <c r="CV167" i="229"/>
  <c r="CZ112" i="229"/>
  <c r="CX145" i="229"/>
  <c r="DE35" i="229"/>
  <c r="CY134" i="229"/>
  <c r="CZ90" i="229"/>
  <c r="CW156" i="229"/>
  <c r="CW169" i="229"/>
  <c r="CY125" i="229"/>
  <c r="CY123" i="229"/>
  <c r="CZ146" i="229"/>
  <c r="DD46" i="229"/>
  <c r="CY157" i="229"/>
  <c r="DC57" i="229"/>
  <c r="DB113" i="229"/>
  <c r="DB68" i="229"/>
  <c r="CZ124" i="229"/>
  <c r="DA79" i="229"/>
  <c r="CU211" i="229"/>
  <c r="CW178" i="229"/>
  <c r="DC68" i="229"/>
  <c r="DE46" i="229"/>
  <c r="CY179" i="229"/>
  <c r="CY193" i="229"/>
  <c r="CY212" i="229"/>
  <c r="CY231" i="229"/>
  <c r="CY168" i="229"/>
  <c r="CZ125" i="229"/>
  <c r="CZ123" i="229"/>
  <c r="DD57" i="229"/>
  <c r="CX156" i="229"/>
  <c r="CX169" i="229"/>
  <c r="CZ134" i="229"/>
  <c r="DA90" i="229"/>
  <c r="DB135" i="229"/>
  <c r="CW167" i="229"/>
  <c r="DA146" i="229"/>
  <c r="DB79" i="229"/>
  <c r="DF35" i="229"/>
  <c r="DC113" i="229"/>
  <c r="CY145" i="229"/>
  <c r="DA124" i="229"/>
  <c r="DA112" i="229"/>
  <c r="CZ157" i="229"/>
  <c r="CV211" i="229"/>
  <c r="CX178" i="229"/>
  <c r="DB90" i="229"/>
  <c r="CZ145" i="229"/>
  <c r="DD68" i="229"/>
  <c r="DB112" i="229"/>
  <c r="CX167" i="229"/>
  <c r="DG35" i="229"/>
  <c r="DA134" i="229"/>
  <c r="DF46" i="229"/>
  <c r="DA125" i="229"/>
  <c r="DA123" i="229"/>
  <c r="DA157" i="229"/>
  <c r="CY156" i="229"/>
  <c r="CY169" i="229"/>
  <c r="CZ179" i="229"/>
  <c r="CZ193" i="229"/>
  <c r="CZ212" i="229"/>
  <c r="CZ231" i="229"/>
  <c r="CZ168" i="229"/>
  <c r="DB146" i="229"/>
  <c r="DB124" i="229"/>
  <c r="DC135" i="229"/>
  <c r="DD113" i="229"/>
  <c r="DE57" i="229"/>
  <c r="DC79" i="229"/>
  <c r="CW211" i="229"/>
  <c r="CY178" i="229"/>
  <c r="DD135" i="229"/>
  <c r="DC146" i="229"/>
  <c r="DC124" i="229"/>
  <c r="CY167" i="229"/>
  <c r="DB134" i="229"/>
  <c r="DA179" i="229"/>
  <c r="DA193" i="229"/>
  <c r="DA212" i="229"/>
  <c r="DA231" i="229"/>
  <c r="DA168" i="229"/>
  <c r="DG46" i="229"/>
  <c r="DD79" i="229"/>
  <c r="DC112" i="229"/>
  <c r="DB157" i="229"/>
  <c r="DE113" i="229"/>
  <c r="DH35" i="229"/>
  <c r="CZ156" i="229"/>
  <c r="CZ169" i="229"/>
  <c r="DE68" i="229"/>
  <c r="DF57" i="229"/>
  <c r="DC90" i="229"/>
  <c r="DA145" i="229"/>
  <c r="DB125" i="229"/>
  <c r="DB123" i="229"/>
  <c r="CX211" i="229"/>
  <c r="CZ178" i="229"/>
  <c r="DC157" i="229"/>
  <c r="DA169" i="229"/>
  <c r="DA156" i="229"/>
  <c r="DI35" i="229"/>
  <c r="DF68" i="229"/>
  <c r="DF113" i="229"/>
  <c r="DD90" i="229"/>
  <c r="DG57" i="229"/>
  <c r="DB145" i="229"/>
  <c r="DC125" i="229"/>
  <c r="DC123" i="229"/>
  <c r="DE79" i="229"/>
  <c r="DH46" i="229"/>
  <c r="DE135" i="229"/>
  <c r="DC134" i="229"/>
  <c r="DD112" i="229"/>
  <c r="DD146" i="229"/>
  <c r="CZ167" i="229"/>
  <c r="DB168" i="229"/>
  <c r="DB179" i="229"/>
  <c r="DB193" i="229"/>
  <c r="DB212" i="229"/>
  <c r="DB231" i="229"/>
  <c r="DD124" i="229"/>
  <c r="CY211" i="229"/>
  <c r="DA178" i="229"/>
  <c r="DH57" i="229"/>
  <c r="DA167" i="229"/>
  <c r="DD157" i="229"/>
  <c r="DE90" i="229"/>
  <c r="DE124" i="229"/>
  <c r="DD134" i="229"/>
  <c r="DB169" i="229"/>
  <c r="DB156" i="229"/>
  <c r="DC179" i="229"/>
  <c r="DC193" i="229"/>
  <c r="DC212" i="229"/>
  <c r="DC231" i="229"/>
  <c r="DC168" i="229"/>
  <c r="DE146" i="229"/>
  <c r="DE112" i="229"/>
  <c r="DG68" i="229"/>
  <c r="DF135" i="229"/>
  <c r="DC145" i="229"/>
  <c r="DJ35" i="229"/>
  <c r="DD125" i="229"/>
  <c r="DD123" i="229"/>
  <c r="DF79" i="229"/>
  <c r="DG113" i="229"/>
  <c r="DI46" i="229"/>
  <c r="CZ211" i="229"/>
  <c r="DB178" i="229"/>
  <c r="DG79" i="229"/>
  <c r="DE134" i="229"/>
  <c r="DD145" i="229"/>
  <c r="DH113" i="229"/>
  <c r="DI57" i="229"/>
  <c r="DD168" i="229"/>
  <c r="DD179" i="229"/>
  <c r="DD193" i="229"/>
  <c r="DD212" i="229"/>
  <c r="DD231" i="229"/>
  <c r="DF90" i="229"/>
  <c r="DF146" i="229"/>
  <c r="DE157" i="229"/>
  <c r="DE125" i="229"/>
  <c r="DE123" i="229"/>
  <c r="DH68" i="229"/>
  <c r="DK35" i="229"/>
  <c r="DJ46" i="229"/>
  <c r="DF112" i="229"/>
  <c r="DB167" i="229"/>
  <c r="DF124" i="229"/>
  <c r="DG135" i="229"/>
  <c r="DC169" i="229"/>
  <c r="DC156" i="229"/>
  <c r="DA211" i="229"/>
  <c r="DC178" i="229"/>
  <c r="DH79" i="229"/>
  <c r="DJ57" i="229"/>
  <c r="DC167" i="229"/>
  <c r="DI113" i="229"/>
  <c r="DE168" i="229"/>
  <c r="DE179" i="229"/>
  <c r="DE193" i="229"/>
  <c r="DE212" i="229"/>
  <c r="DE231" i="229"/>
  <c r="DG124" i="229"/>
  <c r="DH135" i="229"/>
  <c r="DE145" i="229"/>
  <c r="DL35" i="229"/>
  <c r="DK46" i="229"/>
  <c r="DF157" i="229"/>
  <c r="DI68" i="229"/>
  <c r="DG90" i="229"/>
  <c r="DF125" i="229"/>
  <c r="DF123" i="229"/>
  <c r="DD169" i="229"/>
  <c r="DD156" i="229"/>
  <c r="DG112" i="229"/>
  <c r="DG146" i="229"/>
  <c r="DF134" i="229"/>
  <c r="DB211" i="229"/>
  <c r="DD178" i="229"/>
  <c r="DF179" i="229"/>
  <c r="DF193" i="229"/>
  <c r="DF212" i="229"/>
  <c r="DF231" i="229"/>
  <c r="DF168" i="229"/>
  <c r="DM35" i="229"/>
  <c r="DG125" i="229"/>
  <c r="DG123" i="229"/>
  <c r="DG157" i="229"/>
  <c r="DK57" i="229"/>
  <c r="DL46" i="229"/>
  <c r="DF145" i="229"/>
  <c r="DE156" i="229"/>
  <c r="DE169" i="229"/>
  <c r="DG134" i="229"/>
  <c r="DD167" i="229"/>
  <c r="DJ113" i="229"/>
  <c r="DH146" i="229"/>
  <c r="DI79" i="229"/>
  <c r="DI135" i="229"/>
  <c r="DH90" i="229"/>
  <c r="DH124" i="229"/>
  <c r="DJ68" i="229"/>
  <c r="DH112" i="229"/>
  <c r="DC211" i="229"/>
  <c r="DE178" i="229"/>
  <c r="DL57" i="229"/>
  <c r="DG179" i="229"/>
  <c r="DG193" i="229"/>
  <c r="DG212" i="229"/>
  <c r="DG231" i="229"/>
  <c r="DG168" i="229"/>
  <c r="DH125" i="229"/>
  <c r="DH123" i="229"/>
  <c r="DH157" i="229"/>
  <c r="DF156" i="229"/>
  <c r="DF169" i="229"/>
  <c r="DH134" i="229"/>
  <c r="DK113" i="229"/>
  <c r="DI146" i="229"/>
  <c r="DJ135" i="229"/>
  <c r="DE167" i="229"/>
  <c r="DM46" i="229"/>
  <c r="DI124" i="229"/>
  <c r="DG145" i="229"/>
  <c r="DK68" i="229"/>
  <c r="DJ79" i="229"/>
  <c r="DI90" i="229"/>
  <c r="DN35" i="229"/>
  <c r="DI112" i="229"/>
  <c r="DD211" i="229"/>
  <c r="DF178" i="229"/>
  <c r="DK79" i="229"/>
  <c r="DH179" i="229"/>
  <c r="DH193" i="229"/>
  <c r="DH212" i="229"/>
  <c r="DH231" i="229"/>
  <c r="DH168" i="229"/>
  <c r="DI134" i="229"/>
  <c r="DH145" i="229"/>
  <c r="DJ90" i="229"/>
  <c r="DL113" i="229"/>
  <c r="DJ112" i="229"/>
  <c r="DG156" i="229"/>
  <c r="DG169" i="229"/>
  <c r="DK135" i="229"/>
  <c r="DN46" i="229"/>
  <c r="DM57" i="229"/>
  <c r="DJ124" i="229"/>
  <c r="DJ146" i="229"/>
  <c r="DO35" i="229"/>
  <c r="DI125" i="229"/>
  <c r="DI123" i="229"/>
  <c r="DI157" i="229"/>
  <c r="DF167" i="229"/>
  <c r="DL68" i="229"/>
  <c r="DE211" i="229"/>
  <c r="DG178" i="229"/>
  <c r="DK146" i="229"/>
  <c r="DG167" i="229"/>
  <c r="DK112" i="229"/>
  <c r="DM113" i="229"/>
  <c r="DI145" i="229"/>
  <c r="DJ134" i="229"/>
  <c r="DJ125" i="229"/>
  <c r="DJ123" i="229"/>
  <c r="DK124" i="229"/>
  <c r="DL135" i="229"/>
  <c r="DH156" i="229"/>
  <c r="DH169" i="229"/>
  <c r="DI179" i="229"/>
  <c r="DI193" i="229"/>
  <c r="DI212" i="229"/>
  <c r="DI231" i="229"/>
  <c r="DI168" i="229"/>
  <c r="DP35" i="229"/>
  <c r="DO46" i="229"/>
  <c r="DJ157" i="229"/>
  <c r="DM68" i="229"/>
  <c r="DK90" i="229"/>
  <c r="DL79" i="229"/>
  <c r="DN57" i="229"/>
  <c r="DF211" i="229"/>
  <c r="DH178" i="229"/>
  <c r="DN68" i="229"/>
  <c r="DQ35" i="229"/>
  <c r="DL90" i="229"/>
  <c r="DM135" i="229"/>
  <c r="DL112" i="229"/>
  <c r="DL146" i="229"/>
  <c r="DL124" i="229"/>
  <c r="DM79" i="229"/>
  <c r="DP46" i="229"/>
  <c r="DK125" i="229"/>
  <c r="DK123" i="229"/>
  <c r="DI169" i="229"/>
  <c r="DI156" i="229"/>
  <c r="DN113" i="229"/>
  <c r="DJ179" i="229"/>
  <c r="DJ193" i="229"/>
  <c r="DJ212" i="229"/>
  <c r="DJ231" i="229"/>
  <c r="DJ168" i="229"/>
  <c r="DO57" i="229"/>
  <c r="DK134" i="229"/>
  <c r="DK157" i="229"/>
  <c r="DH167" i="229"/>
  <c r="DJ145" i="229"/>
  <c r="DG211" i="229"/>
  <c r="DI178" i="229"/>
  <c r="DJ169" i="229"/>
  <c r="DJ156" i="229"/>
  <c r="DO68" i="229"/>
  <c r="DM124" i="229"/>
  <c r="DO113" i="229"/>
  <c r="DM146" i="229"/>
  <c r="DL125" i="229"/>
  <c r="DL123" i="229"/>
  <c r="DK145" i="229"/>
  <c r="DR35" i="229"/>
  <c r="DK179" i="229"/>
  <c r="DK193" i="229"/>
  <c r="DK212" i="229"/>
  <c r="DK231" i="229"/>
  <c r="DK168" i="229"/>
  <c r="DM90" i="229"/>
  <c r="DN135" i="229"/>
  <c r="DP57" i="229"/>
  <c r="DQ46" i="229"/>
  <c r="DM112" i="229"/>
  <c r="DL134" i="229"/>
  <c r="DN79" i="229"/>
  <c r="DI167" i="229"/>
  <c r="DL157" i="229"/>
  <c r="DH211" i="229"/>
  <c r="DJ178" i="229"/>
  <c r="DM157" i="229"/>
  <c r="DO135" i="229"/>
  <c r="DN124" i="229"/>
  <c r="DQ57" i="229"/>
  <c r="DL179" i="229"/>
  <c r="DL193" i="229"/>
  <c r="DL212" i="229"/>
  <c r="DL231" i="229"/>
  <c r="DL168" i="229"/>
  <c r="DM134" i="229"/>
  <c r="DR46" i="229"/>
  <c r="DS35" i="229"/>
  <c r="DM125" i="229"/>
  <c r="DM123" i="229"/>
  <c r="DO79" i="229"/>
  <c r="DN90" i="229"/>
  <c r="DP68" i="229"/>
  <c r="DN146" i="229"/>
  <c r="DK169" i="229"/>
  <c r="DK156" i="229"/>
  <c r="DL145" i="229"/>
  <c r="DP113" i="229"/>
  <c r="DJ167" i="229"/>
  <c r="DN112" i="229"/>
  <c r="DI211" i="229"/>
  <c r="DK178" i="229"/>
  <c r="DL169" i="229"/>
  <c r="DL156" i="229"/>
  <c r="DO90" i="229"/>
  <c r="DR57" i="229"/>
  <c r="DP79" i="229"/>
  <c r="DO112" i="229"/>
  <c r="DQ68" i="229"/>
  <c r="DT35" i="229"/>
  <c r="DM145" i="229"/>
  <c r="DN134" i="229"/>
  <c r="DK167" i="229"/>
  <c r="DN157" i="229"/>
  <c r="DO124" i="229"/>
  <c r="DQ113" i="229"/>
  <c r="DN125" i="229"/>
  <c r="DN123" i="229"/>
  <c r="DP135" i="229"/>
  <c r="DM168" i="229"/>
  <c r="DM179" i="229"/>
  <c r="DM193" i="229"/>
  <c r="DM212" i="229"/>
  <c r="DM231" i="229"/>
  <c r="DS46" i="229"/>
  <c r="DO146" i="229"/>
  <c r="DJ211" i="229"/>
  <c r="DL178" i="229"/>
  <c r="DO157" i="229"/>
  <c r="DM156" i="229"/>
  <c r="DM169" i="229"/>
  <c r="DT46" i="229"/>
  <c r="DQ135" i="229"/>
  <c r="DR68" i="229"/>
  <c r="DP124" i="229"/>
  <c r="DQ79" i="229"/>
  <c r="DU35" i="229"/>
  <c r="DN168" i="229"/>
  <c r="DN179" i="229"/>
  <c r="DN193" i="229"/>
  <c r="DN212" i="229"/>
  <c r="DN231" i="229"/>
  <c r="DN145" i="229"/>
  <c r="DP112" i="229"/>
  <c r="DS57" i="229"/>
  <c r="DR113" i="229"/>
  <c r="DO134" i="229"/>
  <c r="DP90" i="229"/>
  <c r="DL167" i="229"/>
  <c r="DO125" i="229"/>
  <c r="DO123" i="229"/>
  <c r="DP146" i="229"/>
  <c r="DK211" i="229"/>
  <c r="DM178" i="229"/>
  <c r="DP125" i="229"/>
  <c r="DP123" i="229"/>
  <c r="DS68" i="229"/>
  <c r="DQ90" i="229"/>
  <c r="DP134" i="229"/>
  <c r="DN156" i="229"/>
  <c r="DN169" i="229"/>
  <c r="DQ112" i="229"/>
  <c r="DO145" i="229"/>
  <c r="DS113" i="229"/>
  <c r="DR135" i="229"/>
  <c r="DU46" i="229"/>
  <c r="DV35" i="229"/>
  <c r="DR79" i="229"/>
  <c r="DT57" i="229"/>
  <c r="DO179" i="229"/>
  <c r="DO193" i="229"/>
  <c r="DO212" i="229"/>
  <c r="DO231" i="229"/>
  <c r="DO168" i="229"/>
  <c r="DP157" i="229"/>
  <c r="DQ124" i="229"/>
  <c r="DM167" i="229"/>
  <c r="DQ146" i="229"/>
  <c r="DL211" i="229"/>
  <c r="DN178" i="229"/>
  <c r="DT68" i="229"/>
  <c r="DO156" i="229"/>
  <c r="DO169" i="229"/>
  <c r="DQ157" i="229"/>
  <c r="DU57" i="229"/>
  <c r="DS79" i="229"/>
  <c r="DR90" i="229"/>
  <c r="DP145" i="229"/>
  <c r="DR112" i="229"/>
  <c r="DS135" i="229"/>
  <c r="DT113" i="229"/>
  <c r="DR146" i="229"/>
  <c r="DR124" i="229"/>
  <c r="DW35" i="229"/>
  <c r="DQ134" i="229"/>
  <c r="DQ125" i="229"/>
  <c r="DQ123" i="229"/>
  <c r="DP179" i="229"/>
  <c r="DP193" i="229"/>
  <c r="DP212" i="229"/>
  <c r="DP231" i="229"/>
  <c r="DP168" i="229"/>
  <c r="DV46" i="229"/>
  <c r="DN167" i="229"/>
  <c r="DM211" i="229"/>
  <c r="DO178" i="229"/>
  <c r="DT135" i="229"/>
  <c r="DS124" i="229"/>
  <c r="DO167" i="229"/>
  <c r="DX35" i="229"/>
  <c r="DQ179" i="229"/>
  <c r="DQ193" i="229"/>
  <c r="DQ212" i="229"/>
  <c r="DQ231" i="229"/>
  <c r="DQ168" i="229"/>
  <c r="DU113" i="229"/>
  <c r="DT79" i="229"/>
  <c r="DW46" i="229"/>
  <c r="DR157" i="229"/>
  <c r="DR134" i="229"/>
  <c r="DR125" i="229"/>
  <c r="DR123" i="229"/>
  <c r="DS90" i="229"/>
  <c r="DU68" i="229"/>
  <c r="DS146" i="229"/>
  <c r="DP156" i="229"/>
  <c r="DP169" i="229"/>
  <c r="DV57" i="229"/>
  <c r="DQ145" i="229"/>
  <c r="DS112" i="229"/>
  <c r="DN211" i="229"/>
  <c r="DP178" i="229"/>
  <c r="DR179" i="229"/>
  <c r="DR193" i="229"/>
  <c r="DR212" i="229"/>
  <c r="DR231" i="229"/>
  <c r="DR168" i="229"/>
  <c r="DU135" i="229"/>
  <c r="DS157" i="229"/>
  <c r="DV113" i="229"/>
  <c r="DY35" i="229"/>
  <c r="DS125" i="229"/>
  <c r="DS123" i="229"/>
  <c r="DT124" i="229"/>
  <c r="DQ169" i="229"/>
  <c r="DQ156" i="229"/>
  <c r="DT90" i="229"/>
  <c r="DT146" i="229"/>
  <c r="DW57" i="229"/>
  <c r="DV68" i="229"/>
  <c r="DR145" i="229"/>
  <c r="DT112" i="229"/>
  <c r="DS134" i="229"/>
  <c r="DP167" i="229"/>
  <c r="DU79" i="229"/>
  <c r="DX46" i="229"/>
  <c r="DO211" i="229"/>
  <c r="DQ178" i="229"/>
  <c r="DR169" i="229"/>
  <c r="DR156" i="229"/>
  <c r="DZ35" i="229"/>
  <c r="DS179" i="229"/>
  <c r="DS193" i="229"/>
  <c r="DS212" i="229"/>
  <c r="DS231" i="229"/>
  <c r="DS168" i="229"/>
  <c r="DX57" i="229"/>
  <c r="DU90" i="229"/>
  <c r="DW68" i="229"/>
  <c r="DQ167" i="229"/>
  <c r="DV135" i="229"/>
  <c r="DS145" i="229"/>
  <c r="DT157" i="229"/>
  <c r="DY46" i="229"/>
  <c r="DU112" i="229"/>
  <c r="DT134" i="229"/>
  <c r="DU124" i="229"/>
  <c r="DW113" i="229"/>
  <c r="DU146" i="229"/>
  <c r="DV79" i="229"/>
  <c r="DT125" i="229"/>
  <c r="DT123" i="229"/>
  <c r="DP211" i="229"/>
  <c r="DR178" i="229"/>
  <c r="DT145" i="229"/>
  <c r="DY57" i="229"/>
  <c r="DS169" i="229"/>
  <c r="DS156" i="229"/>
  <c r="DW79" i="229"/>
  <c r="DU125" i="229"/>
  <c r="DU123" i="229"/>
  <c r="EA35" i="229"/>
  <c r="DX68" i="229"/>
  <c r="DZ46" i="229"/>
  <c r="DV90" i="229"/>
  <c r="DV124" i="229"/>
  <c r="DV146" i="229"/>
  <c r="DW135" i="229"/>
  <c r="DV112" i="229"/>
  <c r="DU134" i="229"/>
  <c r="DT168" i="229"/>
  <c r="DT179" i="229"/>
  <c r="DT193" i="229"/>
  <c r="DT212" i="229"/>
  <c r="DT231" i="229"/>
  <c r="DX113" i="229"/>
  <c r="DR167" i="229"/>
  <c r="DU157" i="229"/>
  <c r="DQ211" i="229"/>
  <c r="DS178" i="229"/>
  <c r="DV134" i="229"/>
  <c r="EA46" i="229"/>
  <c r="DW112" i="229"/>
  <c r="DW146" i="229"/>
  <c r="DW90" i="229"/>
  <c r="DZ57" i="229"/>
  <c r="DW124" i="229"/>
  <c r="DX135" i="229"/>
  <c r="DV157" i="229"/>
  <c r="DS167" i="229"/>
  <c r="DU168" i="229"/>
  <c r="DU179" i="229"/>
  <c r="DU193" i="229"/>
  <c r="DU212" i="229"/>
  <c r="DU231" i="229"/>
  <c r="DX79" i="229"/>
  <c r="DY68" i="229"/>
  <c r="DV125" i="229"/>
  <c r="DV123" i="229"/>
  <c r="DY113" i="229"/>
  <c r="DU145" i="229"/>
  <c r="EB35" i="229"/>
  <c r="DT169" i="229"/>
  <c r="DT156" i="229"/>
  <c r="DR211" i="229"/>
  <c r="DT178" i="229"/>
  <c r="DZ113" i="229"/>
  <c r="DZ68" i="229"/>
  <c r="DX112" i="229"/>
  <c r="DW125" i="229"/>
  <c r="DW123" i="229"/>
  <c r="DW157" i="229"/>
  <c r="DX124" i="229"/>
  <c r="EB46" i="229"/>
  <c r="DY79" i="229"/>
  <c r="DX90" i="229"/>
  <c r="DT167" i="229"/>
  <c r="EC35" i="229"/>
  <c r="DX146" i="229"/>
  <c r="DU156" i="229"/>
  <c r="DU169" i="229"/>
  <c r="DV179" i="229"/>
  <c r="DV193" i="229"/>
  <c r="DV212" i="229"/>
  <c r="DV231" i="229"/>
  <c r="DV168" i="229"/>
  <c r="EA57" i="229"/>
  <c r="DY135" i="229"/>
  <c r="DW134" i="229"/>
  <c r="DV145" i="229"/>
  <c r="DS211" i="229"/>
  <c r="DU178" i="229"/>
  <c r="DW145" i="229"/>
  <c r="DY146" i="229"/>
  <c r="EC46" i="229"/>
  <c r="DY90" i="229"/>
  <c r="DX134" i="229"/>
  <c r="DU167" i="229"/>
  <c r="DX157" i="229"/>
  <c r="DY112" i="229"/>
  <c r="DY124" i="229"/>
  <c r="EA113" i="229"/>
  <c r="EB57" i="229"/>
  <c r="DZ135" i="229"/>
  <c r="DW179" i="229"/>
  <c r="DW193" i="229"/>
  <c r="DW212" i="229"/>
  <c r="DW231" i="229"/>
  <c r="DW168" i="229"/>
  <c r="ED35" i="229"/>
  <c r="EA68" i="229"/>
  <c r="DV156" i="229"/>
  <c r="DV169" i="229"/>
  <c r="DX125" i="229"/>
  <c r="DX123" i="229"/>
  <c r="DZ79" i="229"/>
  <c r="DT211" i="229"/>
  <c r="DV178" i="229"/>
  <c r="DZ112" i="229"/>
  <c r="DZ146" i="229"/>
  <c r="EA79" i="229"/>
  <c r="DZ124" i="229"/>
  <c r="EC57" i="229"/>
  <c r="DW156" i="229"/>
  <c r="DW169" i="229"/>
  <c r="DX145" i="229"/>
  <c r="ED46" i="229"/>
  <c r="EB68" i="229"/>
  <c r="DY134" i="229"/>
  <c r="DX168" i="229"/>
  <c r="DX179" i="229"/>
  <c r="DX193" i="229"/>
  <c r="DX212" i="229"/>
  <c r="DX231" i="229"/>
  <c r="DY125" i="229"/>
  <c r="DY123" i="229"/>
  <c r="EB113" i="229"/>
  <c r="DY157" i="229"/>
  <c r="EE35" i="229"/>
  <c r="DZ90" i="229"/>
  <c r="DV167" i="229"/>
  <c r="EA135" i="229"/>
  <c r="DU211" i="229"/>
  <c r="DW178" i="229"/>
  <c r="DZ125" i="229"/>
  <c r="DZ123" i="229"/>
  <c r="DY168" i="229"/>
  <c r="DY179" i="229"/>
  <c r="DY193" i="229"/>
  <c r="DY212" i="229"/>
  <c r="DY231" i="229"/>
  <c r="EB135" i="229"/>
  <c r="DY145" i="229"/>
  <c r="EF35" i="229"/>
  <c r="EC68" i="229"/>
  <c r="DW167" i="229"/>
  <c r="EA124" i="229"/>
  <c r="EB79" i="229"/>
  <c r="EE46" i="229"/>
  <c r="DZ157" i="229"/>
  <c r="ED57" i="229"/>
  <c r="EC113" i="229"/>
  <c r="EA90" i="229"/>
  <c r="EA146" i="229"/>
  <c r="DX156" i="229"/>
  <c r="DX169" i="229"/>
  <c r="EA112" i="229"/>
  <c r="DZ134" i="229"/>
  <c r="DV211" i="229"/>
  <c r="DX178" i="229"/>
  <c r="EB90" i="229"/>
  <c r="EC79" i="229"/>
  <c r="DX167" i="229"/>
  <c r="EG35" i="229"/>
  <c r="EC135" i="229"/>
  <c r="DZ168" i="229"/>
  <c r="DZ179" i="229"/>
  <c r="DZ193" i="229"/>
  <c r="DZ212" i="229"/>
  <c r="DZ231" i="229"/>
  <c r="EB112" i="229"/>
  <c r="EB124" i="229"/>
  <c r="EF46" i="229"/>
  <c r="EA134" i="229"/>
  <c r="ED68" i="229"/>
  <c r="DY169" i="229"/>
  <c r="DY156" i="229"/>
  <c r="EA125" i="229"/>
  <c r="EA123" i="229"/>
  <c r="EE57" i="229"/>
  <c r="ED113" i="229"/>
  <c r="EB146" i="229"/>
  <c r="EA157" i="229"/>
  <c r="DZ145" i="229"/>
  <c r="DW211" i="229"/>
  <c r="DY178" i="229"/>
  <c r="EA179" i="229"/>
  <c r="EA193" i="229"/>
  <c r="EA212" i="229"/>
  <c r="EA231" i="229"/>
  <c r="EA168" i="229"/>
  <c r="EB157" i="229"/>
  <c r="ED135" i="229"/>
  <c r="EE68" i="229"/>
  <c r="EA145" i="229"/>
  <c r="EH35" i="229"/>
  <c r="EG46" i="229"/>
  <c r="EF57" i="229"/>
  <c r="EJ28" i="229"/>
  <c r="EC90" i="229"/>
  <c r="EC124" i="229"/>
  <c r="EE113" i="229"/>
  <c r="DZ169" i="229"/>
  <c r="DZ156" i="229"/>
  <c r="DY167" i="229"/>
  <c r="EC146" i="229"/>
  <c r="EC112" i="229"/>
  <c r="EB125" i="229"/>
  <c r="EB123" i="229"/>
  <c r="ED79" i="229"/>
  <c r="EB134" i="229"/>
  <c r="DX211" i="229"/>
  <c r="DZ178" i="229"/>
  <c r="EB145" i="229"/>
  <c r="EE135" i="229"/>
  <c r="EC125" i="229"/>
  <c r="EC123" i="229"/>
  <c r="EH46" i="229"/>
  <c r="EB168" i="229"/>
  <c r="EB179" i="229"/>
  <c r="EB193" i="229"/>
  <c r="EB212" i="229"/>
  <c r="EB231" i="229"/>
  <c r="EC134" i="229"/>
  <c r="EF113" i="229"/>
  <c r="EE79" i="229"/>
  <c r="EF68" i="229"/>
  <c r="EG57" i="229"/>
  <c r="ED146" i="229"/>
  <c r="EC157" i="229"/>
  <c r="ED90" i="229"/>
  <c r="EI35" i="229"/>
  <c r="DZ167" i="229"/>
  <c r="ED124" i="229"/>
  <c r="EK28" i="229"/>
  <c r="EA169" i="229"/>
  <c r="EA156" i="229"/>
  <c r="ED112" i="229"/>
  <c r="EJ39" i="229"/>
  <c r="DY211" i="229"/>
  <c r="EA178" i="229"/>
  <c r="EJ50" i="229"/>
  <c r="ED125" i="229"/>
  <c r="ED123" i="229"/>
  <c r="EG113" i="229"/>
  <c r="EF79" i="229"/>
  <c r="EJ35" i="229"/>
  <c r="EE124" i="229"/>
  <c r="EE112" i="229"/>
  <c r="EA167" i="229"/>
  <c r="EE90" i="229"/>
  <c r="EC145" i="229"/>
  <c r="EH57" i="229"/>
  <c r="EI46" i="229"/>
  <c r="EF135" i="229"/>
  <c r="ED134" i="229"/>
  <c r="EL28" i="229"/>
  <c r="ED157" i="229"/>
  <c r="EG68" i="229"/>
  <c r="EE146" i="229"/>
  <c r="EK39" i="229"/>
  <c r="EC168" i="229"/>
  <c r="EC179" i="229"/>
  <c r="EC193" i="229"/>
  <c r="EC212" i="229"/>
  <c r="EC231" i="229"/>
  <c r="EB169" i="229"/>
  <c r="EB156" i="229"/>
  <c r="DZ211" i="229"/>
  <c r="EB178" i="229"/>
  <c r="EE134" i="229"/>
  <c r="EF112" i="229"/>
  <c r="EL39" i="229"/>
  <c r="EJ46" i="229"/>
  <c r="EF90" i="229"/>
  <c r="EK35" i="229"/>
  <c r="EF146" i="229"/>
  <c r="EC156" i="229"/>
  <c r="EC169" i="229"/>
  <c r="EG135" i="229"/>
  <c r="EJ61" i="229"/>
  <c r="EF124" i="229"/>
  <c r="EM28" i="229"/>
  <c r="EH68" i="229"/>
  <c r="EE125" i="229"/>
  <c r="EE123" i="229"/>
  <c r="EG79" i="229"/>
  <c r="EK50" i="229"/>
  <c r="EE157" i="229"/>
  <c r="ED145" i="229"/>
  <c r="EI57" i="229"/>
  <c r="EH113" i="229"/>
  <c r="EB167" i="229"/>
  <c r="ED179" i="229"/>
  <c r="ED193" i="229"/>
  <c r="ED212" i="229"/>
  <c r="ED231" i="229"/>
  <c r="ED168" i="229"/>
  <c r="EA211" i="229"/>
  <c r="EC178" i="229"/>
  <c r="EG124" i="229"/>
  <c r="EI68" i="229"/>
  <c r="EE179" i="229"/>
  <c r="EE193" i="229"/>
  <c r="EE212" i="229"/>
  <c r="EE231" i="229"/>
  <c r="EE168" i="229"/>
  <c r="EH79" i="229"/>
  <c r="EM39" i="229"/>
  <c r="ED156" i="229"/>
  <c r="ED169" i="229"/>
  <c r="EK61" i="229"/>
  <c r="EG90" i="229"/>
  <c r="EG112" i="229"/>
  <c r="EI113" i="229"/>
  <c r="EH135" i="229"/>
  <c r="EJ72" i="229"/>
  <c r="EF157" i="229"/>
  <c r="EJ57" i="229"/>
  <c r="EL50" i="229"/>
  <c r="EF134" i="229"/>
  <c r="EG146" i="229"/>
  <c r="EE145" i="229"/>
  <c r="EN28" i="229"/>
  <c r="EL35" i="229"/>
  <c r="EK46" i="229"/>
  <c r="EC167" i="229"/>
  <c r="EF125" i="229"/>
  <c r="EF123" i="229"/>
  <c r="EB211" i="229"/>
  <c r="ED178" i="229"/>
  <c r="EH112" i="229"/>
  <c r="EH146" i="229"/>
  <c r="EF179" i="229"/>
  <c r="EF193" i="229"/>
  <c r="EF212" i="229"/>
  <c r="EF231" i="229"/>
  <c r="EF168" i="229"/>
  <c r="EK72" i="229"/>
  <c r="EM35" i="229"/>
  <c r="EL61" i="229"/>
  <c r="EI135" i="229"/>
  <c r="EH124" i="229"/>
  <c r="EM50" i="229"/>
  <c r="EJ113" i="229"/>
  <c r="EJ83" i="229"/>
  <c r="EG125" i="229"/>
  <c r="EG123" i="229"/>
  <c r="EF145" i="229"/>
  <c r="EI79" i="229"/>
  <c r="EK57" i="229"/>
  <c r="EG157" i="229"/>
  <c r="EJ68" i="229"/>
  <c r="EN39" i="229"/>
  <c r="EL46" i="229"/>
  <c r="EE156" i="229"/>
  <c r="EE169" i="229"/>
  <c r="EG134" i="229"/>
  <c r="ED167" i="229"/>
  <c r="EH90" i="229"/>
  <c r="EC211" i="229"/>
  <c r="EE178" i="229"/>
  <c r="EN50" i="229"/>
  <c r="EI112" i="229"/>
  <c r="EN35" i="229"/>
  <c r="EG145" i="229"/>
  <c r="EL57" i="229"/>
  <c r="EK68" i="229"/>
  <c r="EF156" i="229"/>
  <c r="EF169" i="229"/>
  <c r="EJ94" i="229"/>
  <c r="EH157" i="229"/>
  <c r="EH134" i="229"/>
  <c r="EG179" i="229"/>
  <c r="EG193" i="229"/>
  <c r="EG212" i="229"/>
  <c r="EG231" i="229"/>
  <c r="EG168" i="229"/>
  <c r="EM46" i="229"/>
  <c r="EK113" i="229"/>
  <c r="EK83" i="229"/>
  <c r="EJ79" i="229"/>
  <c r="EH125" i="229"/>
  <c r="EH123" i="229"/>
  <c r="EE167" i="229"/>
  <c r="EJ135" i="229"/>
  <c r="EJ116" i="229"/>
  <c r="EM61" i="229"/>
  <c r="EI146" i="229"/>
  <c r="EL72" i="229"/>
  <c r="EI90" i="229"/>
  <c r="EI124" i="229"/>
  <c r="ED211" i="229"/>
  <c r="EF178" i="229"/>
  <c r="EL113" i="229"/>
  <c r="EL83" i="229"/>
  <c r="EK94" i="229"/>
  <c r="EJ90" i="229"/>
  <c r="EJ112" i="229"/>
  <c r="EL68" i="229"/>
  <c r="EJ105" i="229"/>
  <c r="EJ124" i="229"/>
  <c r="EM72" i="229"/>
  <c r="EI157" i="229"/>
  <c r="EK116" i="229"/>
  <c r="EK135" i="229"/>
  <c r="EH145" i="229"/>
  <c r="EN46" i="229"/>
  <c r="EJ138" i="229"/>
  <c r="EJ146" i="229"/>
  <c r="EF167" i="229"/>
  <c r="EN61" i="229"/>
  <c r="EI125" i="229"/>
  <c r="EI123" i="229"/>
  <c r="EM57" i="229"/>
  <c r="EH168" i="229"/>
  <c r="EH179" i="229"/>
  <c r="EH193" i="229"/>
  <c r="EH212" i="229"/>
  <c r="EH231" i="229"/>
  <c r="EK79" i="229"/>
  <c r="EG169" i="229"/>
  <c r="EG156" i="229"/>
  <c r="EI134" i="229"/>
  <c r="EE211" i="229"/>
  <c r="EG178" i="229"/>
  <c r="EI179" i="229"/>
  <c r="EI193" i="229"/>
  <c r="EI212" i="229"/>
  <c r="EI231" i="229"/>
  <c r="EI168" i="229"/>
  <c r="EK112" i="229"/>
  <c r="EM68" i="229"/>
  <c r="EJ149" i="229"/>
  <c r="EJ157" i="229"/>
  <c r="EL116" i="229"/>
  <c r="EL135" i="229"/>
  <c r="EN72" i="229"/>
  <c r="EH169" i="229"/>
  <c r="EH156" i="229"/>
  <c r="EJ127" i="229"/>
  <c r="EI145" i="229"/>
  <c r="EN57" i="229"/>
  <c r="EJ134" i="229"/>
  <c r="EK124" i="229"/>
  <c r="EK105" i="229"/>
  <c r="EG167" i="229"/>
  <c r="EJ125" i="229"/>
  <c r="EJ123" i="229"/>
  <c r="EL94" i="229"/>
  <c r="EK138" i="229"/>
  <c r="EK146" i="229"/>
  <c r="EK90" i="229"/>
  <c r="EM113" i="229"/>
  <c r="EM83" i="229"/>
  <c r="EL79" i="229"/>
  <c r="EF211" i="229"/>
  <c r="EH178" i="229"/>
  <c r="EM116" i="229"/>
  <c r="EM135" i="229"/>
  <c r="EL90" i="229"/>
  <c r="EK127" i="229"/>
  <c r="EI169" i="229"/>
  <c r="EI156" i="229"/>
  <c r="EH167" i="229"/>
  <c r="EL138" i="229"/>
  <c r="EL146" i="229"/>
  <c r="EN68" i="229"/>
  <c r="EM79" i="229"/>
  <c r="EL112" i="229"/>
  <c r="EK134" i="229"/>
  <c r="EM94" i="229"/>
  <c r="EK125" i="229"/>
  <c r="EK123" i="229"/>
  <c r="EK157" i="229"/>
  <c r="EK149" i="229"/>
  <c r="EL105" i="229"/>
  <c r="EL124" i="229"/>
  <c r="EJ145" i="229"/>
  <c r="EN83" i="229"/>
  <c r="EN113" i="229"/>
  <c r="EJ168" i="229"/>
  <c r="EJ179" i="229"/>
  <c r="EJ193" i="229"/>
  <c r="EJ212" i="229"/>
  <c r="EJ231" i="229"/>
  <c r="EJ160" i="229"/>
  <c r="EG211" i="229"/>
  <c r="EI178" i="229"/>
  <c r="EM105" i="229"/>
  <c r="EM124" i="229"/>
  <c r="EJ171" i="229"/>
  <c r="EL127" i="229"/>
  <c r="EM90" i="229"/>
  <c r="EL157" i="229"/>
  <c r="EL149" i="229"/>
  <c r="EL125" i="229"/>
  <c r="EL123" i="229"/>
  <c r="EM112" i="229"/>
  <c r="EM146" i="229"/>
  <c r="EM138" i="229"/>
  <c r="EN116" i="229"/>
  <c r="EN135" i="229"/>
  <c r="EK145" i="229"/>
  <c r="EI167" i="229"/>
  <c r="EJ182" i="229"/>
  <c r="EN94" i="229"/>
  <c r="EJ169" i="229"/>
  <c r="EJ156" i="229"/>
  <c r="EK168" i="229"/>
  <c r="EK179" i="229"/>
  <c r="EK193" i="229"/>
  <c r="EK212" i="229"/>
  <c r="EK231" i="229"/>
  <c r="EK160" i="229"/>
  <c r="EN79" i="229"/>
  <c r="EL134" i="229"/>
  <c r="EH211" i="229"/>
  <c r="EJ178" i="229"/>
  <c r="EM134" i="229"/>
  <c r="EN90" i="229"/>
  <c r="EN112" i="229"/>
  <c r="EM125" i="229"/>
  <c r="EM123" i="229"/>
  <c r="EN105" i="229"/>
  <c r="EN124" i="229"/>
  <c r="EM127" i="229"/>
  <c r="EK182" i="229"/>
  <c r="EK156" i="229"/>
  <c r="EK169" i="229"/>
  <c r="EM157" i="229"/>
  <c r="EM149" i="229"/>
  <c r="EJ167" i="229"/>
  <c r="EN146" i="229"/>
  <c r="EN138" i="229"/>
  <c r="EL179" i="229"/>
  <c r="EL193" i="229"/>
  <c r="EL212" i="229"/>
  <c r="EL231" i="229"/>
  <c r="EL160" i="229"/>
  <c r="EL168" i="229"/>
  <c r="EL145" i="229"/>
  <c r="EK171" i="229"/>
  <c r="EI211" i="229"/>
  <c r="EK178" i="229"/>
  <c r="EM179" i="229"/>
  <c r="EM193" i="229"/>
  <c r="EM212" i="229"/>
  <c r="EM231" i="229"/>
  <c r="EM160" i="229"/>
  <c r="EM168" i="229"/>
  <c r="EN127" i="229"/>
  <c r="EL182" i="229"/>
  <c r="EN125" i="229"/>
  <c r="EN123" i="229"/>
  <c r="EN149" i="229"/>
  <c r="EN157" i="229"/>
  <c r="EK167" i="229"/>
  <c r="EN134" i="229"/>
  <c r="EL156" i="229"/>
  <c r="EL169" i="229"/>
  <c r="EM145" i="229"/>
  <c r="EL171" i="229"/>
  <c r="EJ211" i="229"/>
  <c r="EL178" i="229"/>
  <c r="EM171" i="229"/>
  <c r="EL167" i="229"/>
  <c r="EN145" i="229"/>
  <c r="EM156" i="229"/>
  <c r="EM169" i="229"/>
  <c r="EN160" i="229"/>
  <c r="EN179" i="229"/>
  <c r="EN193" i="229"/>
  <c r="EN212" i="229"/>
  <c r="EN231" i="229"/>
  <c r="EN168" i="229"/>
  <c r="EM182" i="229"/>
  <c r="EK211" i="229"/>
  <c r="EM178" i="229"/>
  <c r="EN171" i="229"/>
  <c r="EN156" i="229"/>
  <c r="EN169" i="229"/>
  <c r="EN182" i="229"/>
  <c r="EM167" i="229"/>
  <c r="EL211" i="229"/>
  <c r="EN178" i="229"/>
  <c r="EN167" i="229"/>
  <c r="EM211" i="229"/>
  <c r="EN211" i="229"/>
  <c r="AP287" i="229"/>
  <c r="AP331" i="229" s="1"/>
  <c r="AP284" i="229"/>
  <c r="AP328" i="229" s="1"/>
  <c r="AP288" i="229"/>
  <c r="AP332" i="229" s="1"/>
  <c r="AP290" i="229"/>
  <c r="AP334" i="229" s="1"/>
  <c r="AP289" i="229"/>
  <c r="AP333" i="229" s="1"/>
  <c r="AP285" i="229"/>
  <c r="AP329" i="229" s="1"/>
  <c r="AP286" i="229"/>
  <c r="AP330" i="229" s="1"/>
  <c r="AP291" i="229"/>
  <c r="AP335" i="229" s="1"/>
  <c r="AP283" i="229"/>
  <c r="AP327" i="229" s="1"/>
  <c r="D807" i="263"/>
  <c r="D142" i="263"/>
  <c r="D541" i="263"/>
  <c r="D674" i="263"/>
  <c r="D9" i="263"/>
  <c r="B14" i="255"/>
  <c r="D408" i="263"/>
  <c r="B13" i="255"/>
  <c r="D275" i="263"/>
  <c r="B16" i="255"/>
  <c r="B12" i="255"/>
  <c r="B15" i="255"/>
  <c r="B17" i="255"/>
  <c r="B18" i="255"/>
  <c r="K24" i="222"/>
  <c r="K18" i="222"/>
  <c r="K19" i="222"/>
  <c r="F51" i="222"/>
  <c r="F57" i="222"/>
  <c r="F19" i="222" s="1"/>
  <c r="E57" i="222"/>
  <c r="C58" i="222"/>
  <c r="C20" i="222" s="1"/>
  <c r="C6" i="248" s="1"/>
  <c r="C14" i="248" s="1"/>
  <c r="C27" i="248" s="1"/>
  <c r="C32" i="248" s="1"/>
  <c r="C40" i="248" s="1"/>
  <c r="C45" i="248" s="1"/>
  <c r="C57" i="222"/>
  <c r="C19" i="222" s="1"/>
  <c r="F55" i="222"/>
  <c r="F18" i="222" s="1"/>
  <c r="L10" i="241"/>
  <c r="F44" i="222"/>
  <c r="F38" i="222"/>
  <c r="E35" i="222"/>
  <c r="N6" i="235" s="1"/>
  <c r="F32" i="222"/>
  <c r="G13" i="222"/>
  <c r="G10" i="222"/>
  <c r="J9" i="219"/>
  <c r="K9" i="219" s="1"/>
  <c r="J10" i="219"/>
  <c r="K10" i="219" s="1"/>
  <c r="J11" i="219"/>
  <c r="K11" i="219" s="1"/>
  <c r="D9" i="222"/>
  <c r="G7" i="222"/>
  <c r="I7" i="222" s="1"/>
  <c r="G6" i="222"/>
  <c r="G5" i="222"/>
  <c r="C5" i="221"/>
  <c r="C6" i="221"/>
  <c r="C11" i="221"/>
  <c r="F2" i="221"/>
  <c r="D13" i="222"/>
  <c r="C5" i="219"/>
  <c r="C6" i="219" s="1"/>
  <c r="C7" i="219" s="1"/>
  <c r="C12" i="219" s="1"/>
  <c r="C13" i="219" s="1"/>
  <c r="C14" i="219" s="1"/>
  <c r="C15" i="219" s="1"/>
  <c r="C16" i="219" s="1"/>
  <c r="C17" i="219" s="1"/>
  <c r="C18" i="219" s="1"/>
  <c r="C19" i="219" s="1"/>
  <c r="C20" i="219" s="1"/>
  <c r="C21" i="219" s="1"/>
  <c r="C22" i="219" s="1"/>
  <c r="C23" i="219" s="1"/>
  <c r="C24" i="219" s="1"/>
  <c r="F2" i="219"/>
  <c r="C15" i="218"/>
  <c r="C16" i="218"/>
  <c r="C17" i="218"/>
  <c r="C18" i="218"/>
  <c r="C19" i="218"/>
  <c r="C20" i="218"/>
  <c r="C21" i="218"/>
  <c r="C22" i="218"/>
  <c r="C23" i="218"/>
  <c r="C5" i="218"/>
  <c r="C6" i="218"/>
  <c r="C7" i="218"/>
  <c r="C8" i="218"/>
  <c r="C9" i="218"/>
  <c r="C10" i="218"/>
  <c r="F2" i="218"/>
  <c r="D10" i="222"/>
  <c r="F10" i="218"/>
  <c r="G7" i="218"/>
  <c r="C9" i="216"/>
  <c r="C5" i="212"/>
  <c r="C6" i="212"/>
  <c r="C10" i="212"/>
  <c r="G9" i="216"/>
  <c r="G10" i="212"/>
  <c r="G9" i="215"/>
  <c r="L8" i="216"/>
  <c r="L7" i="216"/>
  <c r="F8" i="215"/>
  <c r="L8" i="215"/>
  <c r="F7" i="215"/>
  <c r="L7" i="215"/>
  <c r="F8" i="212"/>
  <c r="K8" i="212"/>
  <c r="F7" i="212"/>
  <c r="K7" i="212"/>
  <c r="D7" i="198"/>
  <c r="I6" i="198"/>
  <c r="F6" i="198"/>
  <c r="J6" i="198"/>
  <c r="D7" i="151"/>
  <c r="C9" i="251"/>
  <c r="C13" i="255" s="1"/>
  <c r="D8" i="262"/>
  <c r="D16" i="262" s="1"/>
  <c r="D24" i="262" s="1"/>
  <c r="D32" i="262" s="1"/>
  <c r="C11" i="251"/>
  <c r="C15" i="255" s="1"/>
  <c r="D10" i="262"/>
  <c r="D18" i="262" s="1"/>
  <c r="D26" i="262" s="1"/>
  <c r="D34" i="262" s="1"/>
  <c r="D12" i="262"/>
  <c r="D20" i="262"/>
  <c r="D28" i="262" s="1"/>
  <c r="D36" i="262" s="1"/>
  <c r="B142" i="263"/>
  <c r="C12" i="234"/>
  <c r="B10" i="265" s="1"/>
  <c r="B807" i="263"/>
  <c r="D13" i="262"/>
  <c r="D21" i="262" s="1"/>
  <c r="D29" i="262" s="1"/>
  <c r="D37" i="262" s="1"/>
  <c r="E276" i="263"/>
  <c r="B8" i="262"/>
  <c r="C10" i="251"/>
  <c r="C14" i="255" s="1"/>
  <c r="D9" i="262"/>
  <c r="D17" i="262" s="1"/>
  <c r="D25" i="262" s="1"/>
  <c r="D33" i="262" s="1"/>
  <c r="D11" i="262"/>
  <c r="D19" i="262" s="1"/>
  <c r="D27" i="262" s="1"/>
  <c r="D35" i="262" s="1"/>
  <c r="B674" i="263"/>
  <c r="B12" i="262"/>
  <c r="E143" i="263"/>
  <c r="C8" i="251"/>
  <c r="C12" i="255" s="1"/>
  <c r="D7" i="262"/>
  <c r="D15" i="262"/>
  <c r="D23" i="262" s="1"/>
  <c r="D31" i="262" s="1"/>
  <c r="A6" i="234"/>
  <c r="B7" i="262"/>
  <c r="E10" i="263"/>
  <c r="B9" i="262"/>
  <c r="E409" i="263"/>
  <c r="D160" i="259"/>
  <c r="L10" i="216"/>
  <c r="L11" i="216"/>
  <c r="L10" i="215"/>
  <c r="L11" i="215"/>
  <c r="B15" i="204"/>
  <c r="D16" i="248"/>
  <c r="B42" i="248" s="1"/>
  <c r="D17" i="248"/>
  <c r="B43" i="248" s="1"/>
  <c r="D14" i="248"/>
  <c r="B40" i="248" s="1"/>
  <c r="F32" i="234"/>
  <c r="E30" i="265" s="1"/>
  <c r="C13" i="251"/>
  <c r="C17" i="255" s="1"/>
  <c r="C12" i="251"/>
  <c r="C16" i="255" s="1"/>
  <c r="C22" i="234"/>
  <c r="B20" i="265" s="1"/>
  <c r="C35" i="235"/>
  <c r="C43" i="235" s="1"/>
  <c r="C51" i="235" s="1"/>
  <c r="C59" i="235" s="1"/>
  <c r="C52" i="234"/>
  <c r="C13" i="241"/>
  <c r="C40" i="241" s="1"/>
  <c r="C55" i="241" s="1"/>
  <c r="C70" i="241" s="1"/>
  <c r="C85" i="241" s="1"/>
  <c r="C93" i="241" s="1"/>
  <c r="I51" i="222"/>
  <c r="L13" i="241"/>
  <c r="C17" i="252"/>
  <c r="C16" i="251"/>
  <c r="C24" i="251" s="1"/>
  <c r="C33" i="251" s="1"/>
  <c r="C41" i="251" s="1"/>
  <c r="A7" i="234"/>
  <c r="A9" i="234"/>
  <c r="L8" i="241"/>
  <c r="L9" i="241"/>
  <c r="A8" i="234"/>
  <c r="A11" i="234"/>
  <c r="G9" i="219"/>
  <c r="G12" i="221"/>
  <c r="C12" i="221"/>
  <c r="C13" i="221"/>
  <c r="C17" i="221"/>
  <c r="C18" i="221"/>
  <c r="C19" i="221"/>
  <c r="C20" i="221"/>
  <c r="C21" i="221"/>
  <c r="C22" i="221"/>
  <c r="C23" i="221"/>
  <c r="C24" i="221"/>
  <c r="C25" i="221"/>
  <c r="C10" i="216"/>
  <c r="C11" i="216"/>
  <c r="C12" i="216"/>
  <c r="C13" i="216"/>
  <c r="C14" i="216"/>
  <c r="C15" i="216"/>
  <c r="C16" i="216"/>
  <c r="C17" i="216"/>
  <c r="C18" i="216"/>
  <c r="C19" i="216"/>
  <c r="C20" i="216"/>
  <c r="C21" i="216"/>
  <c r="C22" i="216"/>
  <c r="C11" i="212"/>
  <c r="C12" i="212"/>
  <c r="C13" i="212"/>
  <c r="C14" i="212"/>
  <c r="C15" i="212"/>
  <c r="I55" i="222"/>
  <c r="G8" i="219"/>
  <c r="H8" i="230"/>
  <c r="I8" i="230" s="1"/>
  <c r="F26" i="234"/>
  <c r="E24" i="265" s="1"/>
  <c r="C9" i="230"/>
  <c r="H12" i="230"/>
  <c r="I12" i="230" s="1"/>
  <c r="F27" i="234"/>
  <c r="E25" i="265" s="1"/>
  <c r="H7" i="230"/>
  <c r="I7" i="230" s="1"/>
  <c r="C11" i="230"/>
  <c r="E28" i="231" s="1"/>
  <c r="C50" i="234"/>
  <c r="F31" i="234"/>
  <c r="E29" i="265" s="1"/>
  <c r="C8" i="230"/>
  <c r="E25" i="231" s="1"/>
  <c r="H9" i="230"/>
  <c r="I9" i="230" s="1"/>
  <c r="C15" i="151"/>
  <c r="C11" i="234"/>
  <c r="B9" i="265" s="1"/>
  <c r="C51" i="234"/>
  <c r="C12" i="230"/>
  <c r="H13" i="230"/>
  <c r="I13" i="230" s="1"/>
  <c r="F30" i="234"/>
  <c r="E28" i="265" s="1"/>
  <c r="C10" i="151"/>
  <c r="C13" i="230"/>
  <c r="F29" i="234"/>
  <c r="E27" i="265" s="1"/>
  <c r="C10" i="230"/>
  <c r="E27" i="231" s="1"/>
  <c r="I10" i="222"/>
  <c r="I5" i="222"/>
  <c r="C14" i="151"/>
  <c r="C16" i="151"/>
  <c r="I6" i="222"/>
  <c r="J10" i="222"/>
  <c r="B9" i="263"/>
  <c r="G9" i="221"/>
  <c r="G11" i="221"/>
  <c r="G8" i="221"/>
  <c r="G7" i="221"/>
  <c r="G11" i="219"/>
  <c r="G10" i="219"/>
  <c r="F9" i="212"/>
  <c r="K9" i="212"/>
  <c r="K10" i="212"/>
  <c r="K11" i="212"/>
  <c r="F276" i="263"/>
  <c r="G276" i="263" s="1"/>
  <c r="E278" i="263"/>
  <c r="E145" i="263"/>
  <c r="F143" i="263"/>
  <c r="E808" i="263"/>
  <c r="B13" i="262"/>
  <c r="F409" i="263"/>
  <c r="E411" i="263"/>
  <c r="E12" i="263"/>
  <c r="F10" i="263"/>
  <c r="C11" i="151"/>
  <c r="B275" i="263"/>
  <c r="I13" i="222"/>
  <c r="C72" i="222"/>
  <c r="C12" i="151"/>
  <c r="C20" i="251"/>
  <c r="C28" i="251" s="1"/>
  <c r="C37" i="251" s="1"/>
  <c r="C45" i="251" s="1"/>
  <c r="C21" i="252"/>
  <c r="A12" i="234"/>
  <c r="C68" i="222"/>
  <c r="C11" i="241"/>
  <c r="C28" i="241" s="1"/>
  <c r="C33" i="235"/>
  <c r="C41" i="235" s="1"/>
  <c r="C49" i="235" s="1"/>
  <c r="C12" i="241"/>
  <c r="C34" i="235"/>
  <c r="C42" i="235" s="1"/>
  <c r="C50" i="235" s="1"/>
  <c r="C67" i="222"/>
  <c r="C16" i="212"/>
  <c r="C16" i="230"/>
  <c r="C111" i="230"/>
  <c r="E29" i="231"/>
  <c r="C92" i="230"/>
  <c r="B24" i="231"/>
  <c r="E26" i="231"/>
  <c r="E60" i="231" s="1"/>
  <c r="E68" i="231" s="1"/>
  <c r="C54" i="230"/>
  <c r="C131" i="230"/>
  <c r="E30" i="231"/>
  <c r="E64" i="231" s="1"/>
  <c r="E72" i="231" s="1"/>
  <c r="E82" i="231" s="1"/>
  <c r="E90" i="231" s="1"/>
  <c r="B26" i="231"/>
  <c r="B38" i="231" s="1"/>
  <c r="B49" i="231" s="1"/>
  <c r="J9" i="230"/>
  <c r="B29" i="231"/>
  <c r="J12" i="230"/>
  <c r="K12" i="230" s="1"/>
  <c r="C21" i="234"/>
  <c r="B19" i="265" s="1"/>
  <c r="C31" i="234"/>
  <c r="B29" i="265" s="1"/>
  <c r="B30" i="231"/>
  <c r="B42" i="231" s="1"/>
  <c r="B53" i="231" s="1"/>
  <c r="B25" i="231"/>
  <c r="J8" i="230"/>
  <c r="K8" i="230" s="1"/>
  <c r="C66" i="222"/>
  <c r="C20" i="234"/>
  <c r="G10" i="263"/>
  <c r="G12" i="263" s="1"/>
  <c r="F12" i="263"/>
  <c r="F145" i="263"/>
  <c r="G143" i="263"/>
  <c r="H143" i="263" s="1"/>
  <c r="G409" i="263"/>
  <c r="H409" i="263" s="1"/>
  <c r="F411" i="263"/>
  <c r="F808" i="263"/>
  <c r="E810" i="263"/>
  <c r="C53" i="253"/>
  <c r="C14" i="251"/>
  <c r="C18" i="255" s="1"/>
  <c r="C20" i="241"/>
  <c r="C39" i="241" s="1"/>
  <c r="C47" i="241" s="1"/>
  <c r="C54" i="241" s="1"/>
  <c r="C62" i="241" s="1"/>
  <c r="C69" i="241" s="1"/>
  <c r="C77" i="241" s="1"/>
  <c r="C84" i="241" s="1"/>
  <c r="C92" i="241" s="1"/>
  <c r="C29" i="241"/>
  <c r="C19" i="241"/>
  <c r="C38" i="241" s="1"/>
  <c r="C46" i="241" s="1"/>
  <c r="C53" i="241" s="1"/>
  <c r="C61" i="241" s="1"/>
  <c r="C68" i="241" s="1"/>
  <c r="C76" i="241" s="1"/>
  <c r="C83" i="241" s="1"/>
  <c r="C91" i="241" s="1"/>
  <c r="C17" i="212"/>
  <c r="C18" i="212"/>
  <c r="C19" i="212"/>
  <c r="C20" i="212"/>
  <c r="C21" i="212"/>
  <c r="C22" i="212"/>
  <c r="C41" i="234"/>
  <c r="B39" i="265" s="1"/>
  <c r="B37" i="231"/>
  <c r="B48" i="231" s="1"/>
  <c r="E63" i="231"/>
  <c r="E71" i="231" s="1"/>
  <c r="E41" i="231"/>
  <c r="E52" i="231" s="1"/>
  <c r="B41" i="231"/>
  <c r="B52" i="231" s="1"/>
  <c r="B36" i="231"/>
  <c r="B47" i="231" s="1"/>
  <c r="G145" i="263"/>
  <c r="H10" i="263"/>
  <c r="H12" i="263" s="1"/>
  <c r="G808" i="263"/>
  <c r="H808" i="263" s="1"/>
  <c r="F810" i="263"/>
  <c r="C25" i="212"/>
  <c r="C26" i="212"/>
  <c r="C23" i="252"/>
  <c r="C22" i="251"/>
  <c r="C30" i="251" s="1"/>
  <c r="C39" i="251" s="1"/>
  <c r="C47" i="251" s="1"/>
  <c r="C26" i="215"/>
  <c r="C27" i="215"/>
  <c r="CS37" i="204"/>
  <c r="J10" i="204"/>
  <c r="N10" i="204" s="1"/>
  <c r="R10" i="204" s="1"/>
  <c r="V10" i="204" s="1"/>
  <c r="Z10" i="204" s="1"/>
  <c r="AD10" i="204" s="1"/>
  <c r="AH10" i="204" s="1"/>
  <c r="AL10" i="204" s="1"/>
  <c r="AP10" i="204" s="1"/>
  <c r="AT10" i="204" s="1"/>
  <c r="AX10" i="204" s="1"/>
  <c r="BB10" i="204" s="1"/>
  <c r="BF10" i="204" s="1"/>
  <c r="BJ10" i="204" s="1"/>
  <c r="BN10" i="204" s="1"/>
  <c r="BR10" i="204" s="1"/>
  <c r="BV10" i="204" s="1"/>
  <c r="BZ10" i="204" s="1"/>
  <c r="CD10" i="204" s="1"/>
  <c r="CH10" i="204" s="1"/>
  <c r="CL10" i="204" s="1"/>
  <c r="CP10" i="204" s="1"/>
  <c r="I10" i="204"/>
  <c r="M10" i="204" s="1"/>
  <c r="Q10" i="204" s="1"/>
  <c r="U10" i="204" s="1"/>
  <c r="Y10" i="204" s="1"/>
  <c r="AC10" i="204" s="1"/>
  <c r="AG10" i="204" s="1"/>
  <c r="AK10" i="204" s="1"/>
  <c r="AO10" i="204" s="1"/>
  <c r="AS10" i="204" s="1"/>
  <c r="AW10" i="204" s="1"/>
  <c r="BA10" i="204" s="1"/>
  <c r="BE10" i="204" s="1"/>
  <c r="BI10" i="204" s="1"/>
  <c r="BM10" i="204" s="1"/>
  <c r="BQ10" i="204" s="1"/>
  <c r="BU10" i="204" s="1"/>
  <c r="BY10" i="204" s="1"/>
  <c r="CC10" i="204" s="1"/>
  <c r="CG10" i="204" s="1"/>
  <c r="CK10" i="204" s="1"/>
  <c r="CO10" i="204" s="1"/>
  <c r="H10" i="204"/>
  <c r="L10" i="204" s="1"/>
  <c r="P10" i="204" s="1"/>
  <c r="T10" i="204" s="1"/>
  <c r="X10" i="204" s="1"/>
  <c r="AB10" i="204" s="1"/>
  <c r="AF10" i="204" s="1"/>
  <c r="AJ10" i="204" s="1"/>
  <c r="AN10" i="204" s="1"/>
  <c r="AR10" i="204" s="1"/>
  <c r="AV10" i="204" s="1"/>
  <c r="AZ10" i="204" s="1"/>
  <c r="BD10" i="204" s="1"/>
  <c r="BH10" i="204" s="1"/>
  <c r="BL10" i="204" s="1"/>
  <c r="BP10" i="204" s="1"/>
  <c r="BT10" i="204" s="1"/>
  <c r="BX10" i="204" s="1"/>
  <c r="CB10" i="204" s="1"/>
  <c r="CF10" i="204" s="1"/>
  <c r="CJ10" i="204" s="1"/>
  <c r="CN10" i="204" s="1"/>
  <c r="K10" i="204"/>
  <c r="O10" i="204"/>
  <c r="S10" i="204" s="1"/>
  <c r="W10" i="204" s="1"/>
  <c r="AA10" i="204" s="1"/>
  <c r="AE10" i="204" s="1"/>
  <c r="AI10" i="204" s="1"/>
  <c r="AM10" i="204" s="1"/>
  <c r="AQ10" i="204" s="1"/>
  <c r="AU10" i="204" s="1"/>
  <c r="AY10" i="204" s="1"/>
  <c r="BC10" i="204" s="1"/>
  <c r="BG10" i="204" s="1"/>
  <c r="BK10" i="204" s="1"/>
  <c r="BO10" i="204" s="1"/>
  <c r="BS10" i="204" s="1"/>
  <c r="BW10" i="204" s="1"/>
  <c r="CA10" i="204" s="1"/>
  <c r="CE10" i="204" s="1"/>
  <c r="CI10" i="204" s="1"/>
  <c r="CM10" i="204" s="1"/>
  <c r="CQ10" i="204" s="1"/>
  <c r="E9" i="204"/>
  <c r="F9" i="204" s="1"/>
  <c r="G9" i="204" s="1"/>
  <c r="H9" i="204" s="1"/>
  <c r="I9" i="204" s="1"/>
  <c r="J9" i="204" s="1"/>
  <c r="K9" i="204" s="1"/>
  <c r="L9" i="204" s="1"/>
  <c r="M9" i="204" s="1"/>
  <c r="N9" i="204" s="1"/>
  <c r="O9" i="204" s="1"/>
  <c r="P9" i="204" s="1"/>
  <c r="Q9" i="204" s="1"/>
  <c r="R9" i="204" s="1"/>
  <c r="S9" i="204" s="1"/>
  <c r="T9" i="204" s="1"/>
  <c r="U9" i="204" s="1"/>
  <c r="V9" i="204" s="1"/>
  <c r="W9" i="204" s="1"/>
  <c r="X9" i="204" s="1"/>
  <c r="Y9" i="204" s="1"/>
  <c r="Z9" i="204" s="1"/>
  <c r="AA9" i="204" s="1"/>
  <c r="AB9" i="204" s="1"/>
  <c r="AC9" i="204" s="1"/>
  <c r="AD9" i="204" s="1"/>
  <c r="AE9" i="204" s="1"/>
  <c r="AF9" i="204" s="1"/>
  <c r="AG9" i="204" s="1"/>
  <c r="AH9" i="204" s="1"/>
  <c r="AI9" i="204" s="1"/>
  <c r="AJ9" i="204" s="1"/>
  <c r="AK9" i="204" s="1"/>
  <c r="AL9" i="204" s="1"/>
  <c r="AM9" i="204" s="1"/>
  <c r="AN9" i="204" s="1"/>
  <c r="AO9" i="204" s="1"/>
  <c r="AP9" i="204" s="1"/>
  <c r="AQ9" i="204" s="1"/>
  <c r="AR9" i="204" s="1"/>
  <c r="AS9" i="204" s="1"/>
  <c r="AT9" i="204" s="1"/>
  <c r="AU9" i="204" s="1"/>
  <c r="AV9" i="204" s="1"/>
  <c r="AW9" i="204" s="1"/>
  <c r="AX9" i="204" s="1"/>
  <c r="AY9" i="204" s="1"/>
  <c r="AZ9" i="204" s="1"/>
  <c r="BA9" i="204" s="1"/>
  <c r="BB9" i="204" s="1"/>
  <c r="BC9" i="204" s="1"/>
  <c r="BD9" i="204" s="1"/>
  <c r="BE9" i="204" s="1"/>
  <c r="BF9" i="204" s="1"/>
  <c r="BG9" i="204" s="1"/>
  <c r="BH9" i="204" s="1"/>
  <c r="BI9" i="204" s="1"/>
  <c r="BJ9" i="204" s="1"/>
  <c r="BK9" i="204" s="1"/>
  <c r="BL9" i="204" s="1"/>
  <c r="BM9" i="204" s="1"/>
  <c r="BN9" i="204" s="1"/>
  <c r="BO9" i="204" s="1"/>
  <c r="BP9" i="204" s="1"/>
  <c r="BQ9" i="204" s="1"/>
  <c r="BR9" i="204" s="1"/>
  <c r="BS9" i="204" s="1"/>
  <c r="BT9" i="204" s="1"/>
  <c r="BU9" i="204" s="1"/>
  <c r="BV9" i="204" s="1"/>
  <c r="BW9" i="204" s="1"/>
  <c r="BX9" i="204" s="1"/>
  <c r="BY9" i="204" s="1"/>
  <c r="BZ9" i="204" s="1"/>
  <c r="CA9" i="204" s="1"/>
  <c r="CB9" i="204" s="1"/>
  <c r="CC9" i="204" s="1"/>
  <c r="CD9" i="204" s="1"/>
  <c r="CE9" i="204" s="1"/>
  <c r="CF9" i="204" s="1"/>
  <c r="CG9" i="204" s="1"/>
  <c r="CH9" i="204" s="1"/>
  <c r="CI9" i="204" s="1"/>
  <c r="CJ9" i="204" s="1"/>
  <c r="CK9" i="204" s="1"/>
  <c r="CL9" i="204" s="1"/>
  <c r="CM9" i="204" s="1"/>
  <c r="CN9" i="204" s="1"/>
  <c r="CO9" i="204" s="1"/>
  <c r="CP9" i="204" s="1"/>
  <c r="CQ9" i="204" s="1"/>
  <c r="DP17" i="198"/>
  <c r="D22" i="151"/>
  <c r="CS39" i="204"/>
  <c r="CS38" i="204"/>
  <c r="CS32" i="204"/>
  <c r="CS40" i="204"/>
  <c r="CS35" i="204"/>
  <c r="I5" i="198"/>
  <c r="E19" i="204"/>
  <c r="F19" i="204" s="1"/>
  <c r="G19" i="204" s="1"/>
  <c r="H19" i="204" s="1"/>
  <c r="D14" i="204"/>
  <c r="D7" i="255"/>
  <c r="AS11" i="253"/>
  <c r="AO11" i="243"/>
  <c r="AO11" i="246"/>
  <c r="N22" i="223"/>
  <c r="H22" i="223"/>
  <c r="E22" i="223"/>
  <c r="E26" i="223" s="1"/>
  <c r="I22" i="223"/>
  <c r="F22" i="223"/>
  <c r="O22" i="223"/>
  <c r="G22" i="223"/>
  <c r="T22" i="223"/>
  <c r="X22" i="223"/>
  <c r="M22" i="223"/>
  <c r="R22" i="223"/>
  <c r="P22" i="223"/>
  <c r="W22" i="223"/>
  <c r="S22" i="223"/>
  <c r="U22" i="223"/>
  <c r="V22" i="223"/>
  <c r="Q22" i="223"/>
  <c r="Z31" i="198"/>
  <c r="AA31" i="198"/>
  <c r="AB31" i="198"/>
  <c r="I43" i="259"/>
  <c r="F96" i="229"/>
  <c r="F195" i="224"/>
  <c r="E195" i="224"/>
  <c r="D195" i="224"/>
  <c r="I43" i="224"/>
  <c r="T68" i="224"/>
  <c r="D183" i="224" l="1"/>
  <c r="D121" i="259"/>
  <c r="D121" i="224"/>
  <c r="T182" i="224"/>
  <c r="T183" i="224" s="1"/>
  <c r="S183" i="224"/>
  <c r="S25" i="224" s="1"/>
  <c r="S44" i="224" s="1"/>
  <c r="S196" i="224" s="1"/>
  <c r="H25" i="231"/>
  <c r="H57" i="231"/>
  <c r="H65" i="231" s="1"/>
  <c r="D7" i="259"/>
  <c r="D194" i="259"/>
  <c r="D102" i="259"/>
  <c r="D50" i="259"/>
  <c r="D171" i="259"/>
  <c r="F20" i="259"/>
  <c r="E65" i="259"/>
  <c r="F65" i="259" s="1"/>
  <c r="I54" i="235"/>
  <c r="I62" i="235" s="1"/>
  <c r="I55" i="235"/>
  <c r="I63" i="235" s="1"/>
  <c r="F20" i="235"/>
  <c r="F24" i="235" s="1"/>
  <c r="Y41" i="243"/>
  <c r="H52" i="241"/>
  <c r="X26" i="244" s="1"/>
  <c r="F45" i="252"/>
  <c r="G45" i="252" s="1"/>
  <c r="H45" i="252" s="1"/>
  <c r="I45" i="252" s="1"/>
  <c r="J45" i="252" s="1"/>
  <c r="K45" i="252" s="1"/>
  <c r="L45" i="252" s="1"/>
  <c r="M45" i="252" s="1"/>
  <c r="N45" i="252" s="1"/>
  <c r="O45" i="252" s="1"/>
  <c r="P45" i="252" s="1"/>
  <c r="Q45" i="252" s="1"/>
  <c r="R45" i="252" s="1"/>
  <c r="S45" i="252" s="1"/>
  <c r="T45" i="252" s="1"/>
  <c r="U45" i="252" s="1"/>
  <c r="V45" i="252" s="1"/>
  <c r="C73" i="230"/>
  <c r="C19" i="251"/>
  <c r="C27" i="251" s="1"/>
  <c r="C36" i="251" s="1"/>
  <c r="C44" i="251" s="1"/>
  <c r="G4" i="261"/>
  <c r="H42" i="261"/>
  <c r="H65" i="261"/>
  <c r="I4" i="261"/>
  <c r="D9" i="257"/>
  <c r="D35" i="257"/>
  <c r="D41" i="257" s="1"/>
  <c r="H5" i="262"/>
  <c r="G42" i="262"/>
  <c r="E941" i="263"/>
  <c r="E951" i="263" s="1"/>
  <c r="E4" i="263"/>
  <c r="F2" i="263"/>
  <c r="D13" i="198"/>
  <c r="D14" i="198" s="1"/>
  <c r="F42" i="262"/>
  <c r="E42" i="262" s="1"/>
  <c r="T172" i="259"/>
  <c r="T182" i="259" s="1"/>
  <c r="S182" i="259"/>
  <c r="D8" i="259"/>
  <c r="D174" i="259"/>
  <c r="N5" i="264"/>
  <c r="E5" i="264"/>
  <c r="D184" i="259"/>
  <c r="E183" i="259"/>
  <c r="F183" i="259" s="1"/>
  <c r="G183" i="259" s="1"/>
  <c r="H183" i="259" s="1"/>
  <c r="I183" i="259" s="1"/>
  <c r="J183" i="259" s="1"/>
  <c r="K183" i="259" s="1"/>
  <c r="L183" i="259" s="1"/>
  <c r="M183" i="259" s="1"/>
  <c r="N183" i="259" s="1"/>
  <c r="O183" i="259" s="1"/>
  <c r="P183" i="259" s="1"/>
  <c r="Q183" i="259" s="1"/>
  <c r="R183" i="259" s="1"/>
  <c r="S183" i="259" s="1"/>
  <c r="T183" i="259" s="1"/>
  <c r="F19" i="259"/>
  <c r="K39" i="259"/>
  <c r="K117" i="259" s="1"/>
  <c r="E5" i="259"/>
  <c r="K37" i="259"/>
  <c r="K115" i="259" s="1"/>
  <c r="E20" i="259"/>
  <c r="J39" i="259"/>
  <c r="J117" i="259" s="1"/>
  <c r="D20" i="259"/>
  <c r="D19" i="259"/>
  <c r="N74" i="235"/>
  <c r="E24" i="222"/>
  <c r="D51" i="242"/>
  <c r="E51" i="242" s="1"/>
  <c r="F51" i="242" s="1"/>
  <c r="G51" i="242" s="1"/>
  <c r="H51" i="242" s="1"/>
  <c r="I51" i="242" s="1"/>
  <c r="J51" i="242" s="1"/>
  <c r="K51" i="242" s="1"/>
  <c r="L51" i="242" s="1"/>
  <c r="M51" i="242" s="1"/>
  <c r="N51" i="242" s="1"/>
  <c r="O51" i="242" s="1"/>
  <c r="P51" i="242" s="1"/>
  <c r="Q51" i="242" s="1"/>
  <c r="R51" i="242" s="1"/>
  <c r="S51" i="242" s="1"/>
  <c r="T51" i="242" s="1"/>
  <c r="AX22" i="204"/>
  <c r="AX32" i="204" s="1"/>
  <c r="AX40" i="204" s="1"/>
  <c r="BY22" i="204"/>
  <c r="BY32" i="204" s="1"/>
  <c r="BY40" i="204" s="1"/>
  <c r="BO22" i="204"/>
  <c r="BO32" i="204" s="1"/>
  <c r="BO40" i="204" s="1"/>
  <c r="AW22" i="204"/>
  <c r="AW32" i="204" s="1"/>
  <c r="AW40" i="204" s="1"/>
  <c r="AE22" i="204"/>
  <c r="CG22" i="204"/>
  <c r="CG32" i="204" s="1"/>
  <c r="CG40" i="204" s="1"/>
  <c r="BW22" i="204"/>
  <c r="BW32" i="204" s="1"/>
  <c r="BW40" i="204" s="1"/>
  <c r="BN22" i="204"/>
  <c r="BN32" i="204" s="1"/>
  <c r="BN40" i="204" s="1"/>
  <c r="BE22" i="204"/>
  <c r="BE32" i="204" s="1"/>
  <c r="BE40" i="204" s="1"/>
  <c r="AV22" i="204"/>
  <c r="AV32" i="204" s="1"/>
  <c r="AV40" i="204" s="1"/>
  <c r="AM22" i="204"/>
  <c r="AM32" i="204" s="1"/>
  <c r="AM40" i="204" s="1"/>
  <c r="U22" i="204"/>
  <c r="K22" i="204"/>
  <c r="CI22" i="204"/>
  <c r="CI32" i="204" s="1"/>
  <c r="CI40" i="204" s="1"/>
  <c r="BQ22" i="204"/>
  <c r="BQ32" i="204" s="1"/>
  <c r="BQ40" i="204" s="1"/>
  <c r="BG22" i="204"/>
  <c r="BG32" i="204" s="1"/>
  <c r="BG40" i="204" s="1"/>
  <c r="AO22" i="204"/>
  <c r="AO32" i="204" s="1"/>
  <c r="AF22" i="204"/>
  <c r="AF32" i="204" s="1"/>
  <c r="AF40" i="204" s="1"/>
  <c r="W22" i="204"/>
  <c r="CQ22" i="204"/>
  <c r="CQ32" i="204" s="1"/>
  <c r="CQ40" i="204" s="1"/>
  <c r="BF22" i="204"/>
  <c r="BF32" i="204" s="1"/>
  <c r="BF40" i="204" s="1"/>
  <c r="AN22" i="204"/>
  <c r="AN32" i="204" s="1"/>
  <c r="AN40" i="204" s="1"/>
  <c r="M22" i="204"/>
  <c r="CO22" i="204"/>
  <c r="CO32" i="204" s="1"/>
  <c r="CO40" i="204" s="1"/>
  <c r="CE22" i="204"/>
  <c r="CE32" i="204" s="1"/>
  <c r="CE40" i="204" s="1"/>
  <c r="BV22" i="204"/>
  <c r="BV32" i="204" s="1"/>
  <c r="BV40" i="204" s="1"/>
  <c r="BM22" i="204"/>
  <c r="BM32" i="204" s="1"/>
  <c r="BM40" i="204" s="1"/>
  <c r="BD22" i="204"/>
  <c r="BD32" i="204" s="1"/>
  <c r="BD40" i="204" s="1"/>
  <c r="AU22" i="204"/>
  <c r="AU32" i="204" s="1"/>
  <c r="AU40" i="204" s="1"/>
  <c r="AC22" i="204"/>
  <c r="S22" i="204"/>
  <c r="J22" i="204"/>
  <c r="I60" i="222"/>
  <c r="CM22" i="204"/>
  <c r="CM32" i="204" s="1"/>
  <c r="CM40" i="204" s="1"/>
  <c r="CD22" i="204"/>
  <c r="CD32" i="204" s="1"/>
  <c r="CD40" i="204" s="1"/>
  <c r="BU22" i="204"/>
  <c r="BU32" i="204" s="1"/>
  <c r="BU40" i="204" s="1"/>
  <c r="BL22" i="204"/>
  <c r="BL32" i="204" s="1"/>
  <c r="BL40" i="204" s="1"/>
  <c r="BC22" i="204"/>
  <c r="BC32" i="204" s="1"/>
  <c r="BC40" i="204" s="1"/>
  <c r="AK22" i="204"/>
  <c r="AK32" i="204" s="1"/>
  <c r="AK40" i="204" s="1"/>
  <c r="AA22" i="204"/>
  <c r="R22" i="204"/>
  <c r="I22" i="204"/>
  <c r="N380" i="263"/>
  <c r="CL22" i="204"/>
  <c r="CL32" i="204" s="1"/>
  <c r="CL40" i="204" s="1"/>
  <c r="CC22" i="204"/>
  <c r="CC32" i="204" s="1"/>
  <c r="CC40" i="204" s="1"/>
  <c r="BT22" i="204"/>
  <c r="BT32" i="204" s="1"/>
  <c r="BT40" i="204" s="1"/>
  <c r="BK22" i="204"/>
  <c r="BK32" i="204" s="1"/>
  <c r="BK40" i="204" s="1"/>
  <c r="AS22" i="204"/>
  <c r="AS32" i="204" s="1"/>
  <c r="AS40" i="204" s="1"/>
  <c r="AI22" i="204"/>
  <c r="AI32" i="204" s="1"/>
  <c r="AI40" i="204" s="1"/>
  <c r="Z22" i="204"/>
  <c r="Q22" i="204"/>
  <c r="H22" i="204"/>
  <c r="CK22" i="204"/>
  <c r="CK32" i="204" s="1"/>
  <c r="CK40" i="204" s="1"/>
  <c r="CB22" i="204"/>
  <c r="CB32" i="204" s="1"/>
  <c r="BS22" i="204"/>
  <c r="BS32" i="204" s="1"/>
  <c r="BS40" i="204" s="1"/>
  <c r="BA22" i="204"/>
  <c r="BA32" i="204" s="1"/>
  <c r="BA40" i="204" s="1"/>
  <c r="AQ22" i="204"/>
  <c r="AQ32" i="204" s="1"/>
  <c r="AQ40" i="204" s="1"/>
  <c r="AH22" i="204"/>
  <c r="AH32" i="204" s="1"/>
  <c r="AH40" i="204" s="1"/>
  <c r="Y22" i="204"/>
  <c r="P22" i="204"/>
  <c r="L22" i="204"/>
  <c r="I32" i="222"/>
  <c r="CJ22" i="204"/>
  <c r="CJ32" i="204" s="1"/>
  <c r="CJ40" i="204" s="1"/>
  <c r="CA22" i="204"/>
  <c r="CA32" i="204" s="1"/>
  <c r="CA40" i="204" s="1"/>
  <c r="BI22" i="204"/>
  <c r="BI32" i="204" s="1"/>
  <c r="BI40" i="204" s="1"/>
  <c r="AY22" i="204"/>
  <c r="AY32" i="204" s="1"/>
  <c r="AY40" i="204" s="1"/>
  <c r="AP22" i="204"/>
  <c r="AP32" i="204" s="1"/>
  <c r="AP40" i="204" s="1"/>
  <c r="AG22" i="204"/>
  <c r="AG32" i="204" s="1"/>
  <c r="AG40" i="204" s="1"/>
  <c r="X22" i="204"/>
  <c r="O22" i="204"/>
  <c r="V3" i="237"/>
  <c r="AO3" i="237" s="1"/>
  <c r="AO11" i="237" s="1"/>
  <c r="G36" i="252"/>
  <c r="H36" i="252" s="1"/>
  <c r="I36" i="252" s="1"/>
  <c r="J36" i="252" s="1"/>
  <c r="K36" i="252" s="1"/>
  <c r="L36" i="252" s="1"/>
  <c r="M36" i="252" s="1"/>
  <c r="N36" i="252" s="1"/>
  <c r="O36" i="252" s="1"/>
  <c r="P36" i="252" s="1"/>
  <c r="Q36" i="252" s="1"/>
  <c r="R36" i="252" s="1"/>
  <c r="S36" i="252" s="1"/>
  <c r="T36" i="252" s="1"/>
  <c r="U36" i="252" s="1"/>
  <c r="V36" i="252" s="1"/>
  <c r="H810" i="263"/>
  <c r="I808" i="263"/>
  <c r="E58" i="231"/>
  <c r="E66" i="231" s="1"/>
  <c r="E36" i="231"/>
  <c r="E47" i="231" s="1"/>
  <c r="H145" i="263"/>
  <c r="I143" i="263"/>
  <c r="B64" i="260"/>
  <c r="C64" i="228"/>
  <c r="C10" i="229" s="1"/>
  <c r="B55" i="260"/>
  <c r="C63" i="228"/>
  <c r="C9" i="229" s="1"/>
  <c r="E39" i="231"/>
  <c r="E50" i="231" s="1"/>
  <c r="E61" i="231"/>
  <c r="E69" i="231" s="1"/>
  <c r="E95" i="231" s="1"/>
  <c r="E54" i="253"/>
  <c r="F7" i="253"/>
  <c r="E42" i="231"/>
  <c r="E53" i="231" s="1"/>
  <c r="C22" i="252"/>
  <c r="L16" i="241"/>
  <c r="C5" i="227"/>
  <c r="C11" i="228" s="1"/>
  <c r="C33" i="228" s="1"/>
  <c r="C6" i="234"/>
  <c r="D5" i="253"/>
  <c r="E3" i="253"/>
  <c r="D53" i="253"/>
  <c r="D93" i="253" s="1"/>
  <c r="C21" i="251"/>
  <c r="C29" i="251" s="1"/>
  <c r="C38" i="251" s="1"/>
  <c r="C46" i="251" s="1"/>
  <c r="L7" i="241"/>
  <c r="E3" i="245"/>
  <c r="D5" i="245"/>
  <c r="D5" i="243"/>
  <c r="E3" i="243"/>
  <c r="D60" i="265"/>
  <c r="E67" i="260"/>
  <c r="D9" i="248"/>
  <c r="F9" i="248" s="1"/>
  <c r="E17" i="248" s="1"/>
  <c r="E69" i="260"/>
  <c r="D62" i="265"/>
  <c r="D54" i="253"/>
  <c r="F3" i="237"/>
  <c r="E5" i="237"/>
  <c r="I10" i="263"/>
  <c r="E19" i="222"/>
  <c r="D54" i="265"/>
  <c r="E68" i="260"/>
  <c r="D61" i="265"/>
  <c r="C3" i="242"/>
  <c r="C111" i="251" s="1"/>
  <c r="B46" i="265"/>
  <c r="CN20" i="204"/>
  <c r="CN22" i="204" s="1"/>
  <c r="CN32" i="204" s="1"/>
  <c r="CN40" i="204" s="1"/>
  <c r="CF20" i="204"/>
  <c r="CF22" i="204" s="1"/>
  <c r="CF32" i="204" s="1"/>
  <c r="CF40" i="204" s="1"/>
  <c r="BX20" i="204"/>
  <c r="BX22" i="204" s="1"/>
  <c r="BX32" i="204" s="1"/>
  <c r="BX40" i="204" s="1"/>
  <c r="BP20" i="204"/>
  <c r="BP22" i="204" s="1"/>
  <c r="BP32" i="204" s="1"/>
  <c r="BP40" i="204" s="1"/>
  <c r="BH20" i="204"/>
  <c r="BH22" i="204" s="1"/>
  <c r="BH32" i="204" s="1"/>
  <c r="BH40" i="204" s="1"/>
  <c r="AZ20" i="204"/>
  <c r="AZ22" i="204" s="1"/>
  <c r="AZ32" i="204" s="1"/>
  <c r="AZ40" i="204" s="1"/>
  <c r="AR20" i="204"/>
  <c r="AR22" i="204" s="1"/>
  <c r="AR32" i="204" s="1"/>
  <c r="AR40" i="204" s="1"/>
  <c r="AJ20" i="204"/>
  <c r="AJ22" i="204" s="1"/>
  <c r="AJ32" i="204" s="1"/>
  <c r="AJ40" i="204" s="1"/>
  <c r="AB20" i="204"/>
  <c r="AB22" i="204" s="1"/>
  <c r="T20" i="204"/>
  <c r="T22" i="204" s="1"/>
  <c r="E3" i="246"/>
  <c r="D5" i="246"/>
  <c r="G810" i="263"/>
  <c r="D5" i="244"/>
  <c r="E3" i="244"/>
  <c r="J13" i="230"/>
  <c r="D45" i="265"/>
  <c r="C32" i="234"/>
  <c r="E60" i="260"/>
  <c r="D51" i="265"/>
  <c r="D59" i="265"/>
  <c r="D8" i="248"/>
  <c r="F8" i="248" s="1"/>
  <c r="E16" i="248" s="1"/>
  <c r="E66" i="260"/>
  <c r="D49" i="265"/>
  <c r="E55" i="260"/>
  <c r="G11" i="234"/>
  <c r="G9" i="234"/>
  <c r="G7" i="234"/>
  <c r="L12" i="230"/>
  <c r="F29" i="231" s="1"/>
  <c r="F8" i="234"/>
  <c r="E61" i="260"/>
  <c r="D52" i="265"/>
  <c r="D4" i="242"/>
  <c r="D3" i="242" s="1"/>
  <c r="D4" i="251"/>
  <c r="D3" i="251" s="1"/>
  <c r="D120" i="251" s="1"/>
  <c r="G12" i="234"/>
  <c r="F73" i="222"/>
  <c r="G26" i="234"/>
  <c r="F24" i="265" s="1"/>
  <c r="G10" i="234"/>
  <c r="E59" i="260"/>
  <c r="D50" i="265"/>
  <c r="D5" i="237"/>
  <c r="E70" i="222"/>
  <c r="B19" i="255"/>
  <c r="F9" i="252"/>
  <c r="I57" i="252"/>
  <c r="G9" i="252"/>
  <c r="G7" i="252"/>
  <c r="H5" i="252"/>
  <c r="H9" i="252" s="1"/>
  <c r="J57" i="252"/>
  <c r="K56" i="252"/>
  <c r="F7" i="252"/>
  <c r="I19" i="204"/>
  <c r="J19" i="204" s="1"/>
  <c r="K19" i="204" s="1"/>
  <c r="L19" i="204" s="1"/>
  <c r="M19" i="204" s="1"/>
  <c r="N19" i="204" s="1"/>
  <c r="O19" i="204" s="1"/>
  <c r="P19" i="204" s="1"/>
  <c r="Q19" i="204" s="1"/>
  <c r="R19" i="204" s="1"/>
  <c r="S19" i="204" s="1"/>
  <c r="T19" i="204" s="1"/>
  <c r="H21" i="204"/>
  <c r="I21" i="204" s="1"/>
  <c r="J21" i="204" s="1"/>
  <c r="K21" i="204" s="1"/>
  <c r="L21" i="204" s="1"/>
  <c r="M21" i="204" s="1"/>
  <c r="N21" i="204" s="1"/>
  <c r="O21" i="204" s="1"/>
  <c r="P21" i="204" s="1"/>
  <c r="Q21" i="204" s="1"/>
  <c r="R21" i="204" s="1"/>
  <c r="S21" i="204" s="1"/>
  <c r="N22" i="204"/>
  <c r="CU8" i="204"/>
  <c r="E8" i="204"/>
  <c r="E14" i="204"/>
  <c r="E12" i="204"/>
  <c r="F11" i="204" s="1"/>
  <c r="H276" i="263"/>
  <c r="G278" i="263"/>
  <c r="E37" i="231"/>
  <c r="E48" i="231" s="1"/>
  <c r="E59" i="231"/>
  <c r="E67" i="231" s="1"/>
  <c r="E93" i="231" s="1"/>
  <c r="C6" i="227"/>
  <c r="C12" i="228" s="1"/>
  <c r="C34" i="228" s="1"/>
  <c r="C7" i="234"/>
  <c r="C17" i="251"/>
  <c r="C25" i="251" s="1"/>
  <c r="C34" i="251" s="1"/>
  <c r="C42" i="251" s="1"/>
  <c r="F278" i="263"/>
  <c r="C18" i="252"/>
  <c r="C35" i="230"/>
  <c r="I409" i="263"/>
  <c r="H411" i="263"/>
  <c r="C19" i="252"/>
  <c r="E38" i="231"/>
  <c r="E49" i="231" s="1"/>
  <c r="C18" i="251"/>
  <c r="C26" i="251" s="1"/>
  <c r="C35" i="251" s="1"/>
  <c r="C43" i="251" s="1"/>
  <c r="C7" i="227"/>
  <c r="C13" i="228" s="1"/>
  <c r="C35" i="228" s="1"/>
  <c r="B57" i="260" s="1"/>
  <c r="C3" i="243"/>
  <c r="C8" i="234"/>
  <c r="E7" i="243"/>
  <c r="G411" i="263"/>
  <c r="F10" i="217"/>
  <c r="C13" i="151"/>
  <c r="C48" i="222"/>
  <c r="H10" i="230"/>
  <c r="K8" i="217"/>
  <c r="C20" i="252"/>
  <c r="D7" i="244"/>
  <c r="B10" i="262"/>
  <c r="K7" i="217"/>
  <c r="K10" i="217" s="1"/>
  <c r="K11" i="217" s="1"/>
  <c r="E542" i="263"/>
  <c r="C3" i="244"/>
  <c r="C8" i="227"/>
  <c r="C14" i="228" s="1"/>
  <c r="C36" i="228" s="1"/>
  <c r="C61" i="228" s="1"/>
  <c r="C7" i="229" s="1"/>
  <c r="C9" i="234"/>
  <c r="C3" i="245"/>
  <c r="E40" i="231"/>
  <c r="E51" i="231" s="1"/>
  <c r="E62" i="231"/>
  <c r="E70" i="231" s="1"/>
  <c r="E80" i="231" s="1"/>
  <c r="E88" i="231" s="1"/>
  <c r="K12" i="219"/>
  <c r="K13" i="219" s="1"/>
  <c r="A10" i="234"/>
  <c r="H11" i="230"/>
  <c r="J11" i="230" s="1"/>
  <c r="B11" i="262"/>
  <c r="B38" i="262" s="1"/>
  <c r="D7" i="245"/>
  <c r="E675" i="263"/>
  <c r="E9" i="227"/>
  <c r="E20" i="227" s="1"/>
  <c r="F11" i="222"/>
  <c r="C23" i="260" s="1"/>
  <c r="J12" i="219"/>
  <c r="B23" i="260"/>
  <c r="C30" i="234"/>
  <c r="B18" i="265"/>
  <c r="J9" i="222"/>
  <c r="S24" i="256"/>
  <c r="R25" i="256"/>
  <c r="S25" i="256" s="1"/>
  <c r="T25" i="256" s="1"/>
  <c r="U25" i="256" s="1"/>
  <c r="V25" i="256" s="1"/>
  <c r="W25" i="256" s="1"/>
  <c r="X25" i="256" s="1"/>
  <c r="Y25" i="256" s="1"/>
  <c r="Z25" i="256" s="1"/>
  <c r="AA25" i="256" s="1"/>
  <c r="P27" i="256"/>
  <c r="Q27" i="256" s="1"/>
  <c r="R27" i="256" s="1"/>
  <c r="S27" i="256" s="1"/>
  <c r="T27" i="256" s="1"/>
  <c r="U27" i="256" s="1"/>
  <c r="V27" i="256" s="1"/>
  <c r="W27" i="256" s="1"/>
  <c r="X27" i="256" s="1"/>
  <c r="Y27" i="256" s="1"/>
  <c r="Z27" i="256" s="1"/>
  <c r="AA27" i="256" s="1"/>
  <c r="N33" i="256"/>
  <c r="O28" i="256"/>
  <c r="P28" i="256" s="1"/>
  <c r="Q28" i="256" s="1"/>
  <c r="R28" i="256" s="1"/>
  <c r="S28" i="256" s="1"/>
  <c r="T28" i="256" s="1"/>
  <c r="U28" i="256" s="1"/>
  <c r="V28" i="256" s="1"/>
  <c r="W28" i="256" s="1"/>
  <c r="X28" i="256" s="1"/>
  <c r="Y28" i="256" s="1"/>
  <c r="Z28" i="256" s="1"/>
  <c r="AA28" i="256" s="1"/>
  <c r="Q26" i="256"/>
  <c r="R26" i="256" s="1"/>
  <c r="S26" i="256" s="1"/>
  <c r="T26" i="256" s="1"/>
  <c r="U26" i="256" s="1"/>
  <c r="V26" i="256" s="1"/>
  <c r="W26" i="256" s="1"/>
  <c r="X26" i="256" s="1"/>
  <c r="Y26" i="256" s="1"/>
  <c r="Z26" i="256" s="1"/>
  <c r="AA26" i="256" s="1"/>
  <c r="C59" i="228"/>
  <c r="C5" i="229" s="1"/>
  <c r="B56" i="260"/>
  <c r="C58" i="228"/>
  <c r="C4" i="229" s="1"/>
  <c r="B54" i="260"/>
  <c r="G7" i="246"/>
  <c r="G7" i="242"/>
  <c r="I53" i="235"/>
  <c r="I61" i="235" s="1"/>
  <c r="C79" i="235"/>
  <c r="C67" i="235"/>
  <c r="I58" i="235"/>
  <c r="I66" i="235" s="1"/>
  <c r="Y41" i="244"/>
  <c r="H11" i="235"/>
  <c r="I11" i="235" s="1"/>
  <c r="J11" i="235" s="1"/>
  <c r="J19" i="235" s="1"/>
  <c r="J23" i="235" s="1"/>
  <c r="AA41" i="253"/>
  <c r="Y41" i="246"/>
  <c r="Y41" i="242"/>
  <c r="Y41" i="245"/>
  <c r="I57" i="235"/>
  <c r="I65" i="235" s="1"/>
  <c r="W34" i="237"/>
  <c r="G18" i="235"/>
  <c r="G22" i="235" s="1"/>
  <c r="Y41" i="237"/>
  <c r="I30" i="235"/>
  <c r="J30" i="235" s="1"/>
  <c r="Z39" i="242" s="1"/>
  <c r="AA39" i="242" s="1"/>
  <c r="AB39" i="242" s="1"/>
  <c r="AC39" i="242" s="1"/>
  <c r="AD39" i="242" s="1"/>
  <c r="AE39" i="242" s="1"/>
  <c r="AF39" i="242" s="1"/>
  <c r="AG39" i="242" s="1"/>
  <c r="AH39" i="242" s="1"/>
  <c r="AI39" i="242" s="1"/>
  <c r="AJ39" i="242" s="1"/>
  <c r="AK39" i="242" s="1"/>
  <c r="AL39" i="242" s="1"/>
  <c r="X34" i="237"/>
  <c r="Z41" i="246"/>
  <c r="AA41" i="246" s="1"/>
  <c r="AB41" i="246" s="1"/>
  <c r="AC41" i="246" s="1"/>
  <c r="AD41" i="246" s="1"/>
  <c r="AE41" i="246" s="1"/>
  <c r="AF41" i="246" s="1"/>
  <c r="AG41" i="246" s="1"/>
  <c r="AH41" i="246" s="1"/>
  <c r="AI41" i="246" s="1"/>
  <c r="AJ41" i="246" s="1"/>
  <c r="AK41" i="246" s="1"/>
  <c r="AL41" i="246" s="1"/>
  <c r="J58" i="235"/>
  <c r="J66" i="235" s="1"/>
  <c r="G20" i="235"/>
  <c r="G24" i="235" s="1"/>
  <c r="W34" i="243"/>
  <c r="Z41" i="243"/>
  <c r="AA41" i="243" s="1"/>
  <c r="AB41" i="243" s="1"/>
  <c r="AC41" i="243" s="1"/>
  <c r="AD41" i="243" s="1"/>
  <c r="AE41" i="243" s="1"/>
  <c r="AF41" i="243" s="1"/>
  <c r="AG41" i="243" s="1"/>
  <c r="AH41" i="243" s="1"/>
  <c r="AI41" i="243" s="1"/>
  <c r="AJ41" i="243" s="1"/>
  <c r="AK41" i="243" s="1"/>
  <c r="AL41" i="243" s="1"/>
  <c r="J55" i="235"/>
  <c r="J63" i="235" s="1"/>
  <c r="J54" i="235"/>
  <c r="J62" i="235" s="1"/>
  <c r="Z41" i="242"/>
  <c r="AA41" i="242" s="1"/>
  <c r="AB41" i="242" s="1"/>
  <c r="AC41" i="242" s="1"/>
  <c r="AD41" i="242" s="1"/>
  <c r="AE41" i="242" s="1"/>
  <c r="AF41" i="242" s="1"/>
  <c r="AG41" i="242" s="1"/>
  <c r="AH41" i="242" s="1"/>
  <c r="AI41" i="242" s="1"/>
  <c r="AJ41" i="242" s="1"/>
  <c r="AK41" i="242" s="1"/>
  <c r="AL41" i="242" s="1"/>
  <c r="AB41" i="253"/>
  <c r="AC41" i="253" s="1"/>
  <c r="AD41" i="253" s="1"/>
  <c r="AE41" i="253" s="1"/>
  <c r="AF41" i="253" s="1"/>
  <c r="AG41" i="253" s="1"/>
  <c r="AH41" i="253" s="1"/>
  <c r="AI41" i="253" s="1"/>
  <c r="AJ41" i="253" s="1"/>
  <c r="AK41" i="253" s="1"/>
  <c r="AL41" i="253" s="1"/>
  <c r="AM41" i="253" s="1"/>
  <c r="AN41" i="253" s="1"/>
  <c r="AO41" i="253" s="1"/>
  <c r="AP41" i="253" s="1"/>
  <c r="J59" i="235"/>
  <c r="J67" i="235" s="1"/>
  <c r="Z41" i="245"/>
  <c r="AA41" i="245" s="1"/>
  <c r="AB41" i="245" s="1"/>
  <c r="AC41" i="245" s="1"/>
  <c r="AD41" i="245" s="1"/>
  <c r="AE41" i="245" s="1"/>
  <c r="AF41" i="245" s="1"/>
  <c r="AG41" i="245" s="1"/>
  <c r="AH41" i="245" s="1"/>
  <c r="AI41" i="245" s="1"/>
  <c r="AJ41" i="245" s="1"/>
  <c r="AK41" i="245" s="1"/>
  <c r="AL41" i="245" s="1"/>
  <c r="J57" i="235"/>
  <c r="J65" i="235" s="1"/>
  <c r="X35" i="237"/>
  <c r="I14" i="235"/>
  <c r="H18" i="235"/>
  <c r="H22" i="235" s="1"/>
  <c r="Y34" i="237"/>
  <c r="J10" i="235"/>
  <c r="Z34" i="237" s="1"/>
  <c r="AA34" i="237" s="1"/>
  <c r="AB34" i="237" s="1"/>
  <c r="AC34" i="237" s="1"/>
  <c r="AD34" i="237" s="1"/>
  <c r="AE34" i="237" s="1"/>
  <c r="AF34" i="237" s="1"/>
  <c r="AG34" i="237" s="1"/>
  <c r="AH34" i="237" s="1"/>
  <c r="AI34" i="237" s="1"/>
  <c r="AJ34" i="237" s="1"/>
  <c r="AK34" i="237" s="1"/>
  <c r="AL34" i="237" s="1"/>
  <c r="J53" i="235"/>
  <c r="J61" i="235" s="1"/>
  <c r="Z41" i="237"/>
  <c r="AA41" i="237" s="1"/>
  <c r="AB41" i="237" s="1"/>
  <c r="AC41" i="237" s="1"/>
  <c r="AD41" i="237" s="1"/>
  <c r="AE41" i="237" s="1"/>
  <c r="AF41" i="237" s="1"/>
  <c r="AG41" i="237" s="1"/>
  <c r="AH41" i="237" s="1"/>
  <c r="AI41" i="237" s="1"/>
  <c r="AJ41" i="237" s="1"/>
  <c r="AK41" i="237" s="1"/>
  <c r="AL41" i="237" s="1"/>
  <c r="J56" i="235"/>
  <c r="J64" i="235" s="1"/>
  <c r="W35" i="237"/>
  <c r="I19" i="235"/>
  <c r="I23" i="235" s="1"/>
  <c r="H44" i="241"/>
  <c r="Y24" i="237"/>
  <c r="W29" i="237"/>
  <c r="J37" i="241"/>
  <c r="Z24" i="244" s="1"/>
  <c r="AA24" i="244" s="1"/>
  <c r="AB24" i="244" s="1"/>
  <c r="AC24" i="244" s="1"/>
  <c r="AD24" i="244" s="1"/>
  <c r="AE24" i="244" s="1"/>
  <c r="AF24" i="244" s="1"/>
  <c r="AG24" i="244" s="1"/>
  <c r="AH24" i="244" s="1"/>
  <c r="AI24" i="244" s="1"/>
  <c r="AJ24" i="244" s="1"/>
  <c r="AK24" i="244" s="1"/>
  <c r="AL24" i="244" s="1"/>
  <c r="C30" i="241"/>
  <c r="X29" i="237"/>
  <c r="I72" i="241"/>
  <c r="Y24" i="242"/>
  <c r="F7" i="237"/>
  <c r="U5" i="227"/>
  <c r="G38" i="264"/>
  <c r="K17" i="264"/>
  <c r="M38" i="264"/>
  <c r="Q17" i="264"/>
  <c r="N38" i="264"/>
  <c r="R17" i="264"/>
  <c r="O38" i="264"/>
  <c r="S17" i="264"/>
  <c r="E38" i="264"/>
  <c r="G16" i="248"/>
  <c r="B47" i="248"/>
  <c r="B48" i="248"/>
  <c r="G17" i="248"/>
  <c r="D15" i="248"/>
  <c r="B41" i="248" s="1"/>
  <c r="D22" i="248"/>
  <c r="D21" i="248" s="1"/>
  <c r="C78" i="235"/>
  <c r="C58" i="235"/>
  <c r="C66" i="235" s="1"/>
  <c r="C77" i="235"/>
  <c r="C57" i="235"/>
  <c r="C65" i="235" s="1"/>
  <c r="H75" i="231"/>
  <c r="H83" i="231" s="1"/>
  <c r="H91" i="231"/>
  <c r="I57" i="231"/>
  <c r="I65" i="231" s="1"/>
  <c r="I23" i="231"/>
  <c r="I28" i="231" s="1"/>
  <c r="I62" i="231" s="1"/>
  <c r="J6" i="231"/>
  <c r="I8" i="231"/>
  <c r="H26" i="231"/>
  <c r="I26" i="231" s="1"/>
  <c r="I60" i="231" s="1"/>
  <c r="H8" i="231"/>
  <c r="H10" i="231" s="1"/>
  <c r="I10" i="231" s="1"/>
  <c r="C97" i="231"/>
  <c r="C89" i="231"/>
  <c r="C86" i="231"/>
  <c r="C87" i="231"/>
  <c r="C95" i="231"/>
  <c r="C91" i="231"/>
  <c r="C83" i="231"/>
  <c r="C92" i="231"/>
  <c r="C84" i="231"/>
  <c r="C88" i="231"/>
  <c r="C96" i="231"/>
  <c r="C93" i="231"/>
  <c r="C85" i="231"/>
  <c r="C98" i="231"/>
  <c r="C90" i="231"/>
  <c r="L111" i="250"/>
  <c r="L445" i="250" s="1"/>
  <c r="K123" i="250"/>
  <c r="K121" i="250"/>
  <c r="G18" i="231"/>
  <c r="K445" i="250"/>
  <c r="H446" i="250"/>
  <c r="H556" i="250" s="1"/>
  <c r="H120" i="250"/>
  <c r="C415" i="250"/>
  <c r="C59" i="250"/>
  <c r="C62" i="250"/>
  <c r="C63" i="250" s="1"/>
  <c r="D474" i="250"/>
  <c r="D176" i="250"/>
  <c r="D168" i="250"/>
  <c r="E445" i="250"/>
  <c r="F112" i="250"/>
  <c r="E112" i="250"/>
  <c r="E115" i="250"/>
  <c r="F446" i="250"/>
  <c r="F556" i="250" s="1"/>
  <c r="F117" i="250"/>
  <c r="F123" i="250"/>
  <c r="I9" i="250"/>
  <c r="I15" i="250"/>
  <c r="K11" i="250"/>
  <c r="I388" i="250"/>
  <c r="I554" i="250" s="1"/>
  <c r="L447" i="250"/>
  <c r="L123" i="250"/>
  <c r="C503" i="250"/>
  <c r="AI381" i="250"/>
  <c r="C6" i="250"/>
  <c r="C168" i="250"/>
  <c r="D169" i="250" s="1"/>
  <c r="K337" i="250"/>
  <c r="P336" i="250"/>
  <c r="P339" i="250"/>
  <c r="U338" i="250"/>
  <c r="AE336" i="250"/>
  <c r="K71" i="250"/>
  <c r="C473" i="250"/>
  <c r="AA381" i="250"/>
  <c r="F15" i="250"/>
  <c r="F504" i="250"/>
  <c r="F547" i="250" s="1"/>
  <c r="AJ341" i="250"/>
  <c r="I62" i="250"/>
  <c r="C444" i="250"/>
  <c r="S381" i="250"/>
  <c r="AE337" i="250"/>
  <c r="F218" i="250"/>
  <c r="H381" i="250"/>
  <c r="X381" i="250"/>
  <c r="AF381" i="250"/>
  <c r="AN381" i="250"/>
  <c r="K381" i="250"/>
  <c r="C474" i="250"/>
  <c r="C476" i="250" s="1"/>
  <c r="H322" i="250"/>
  <c r="P322" i="250"/>
  <c r="X322" i="250"/>
  <c r="AN322" i="250"/>
  <c r="I381" i="250"/>
  <c r="Q381" i="250"/>
  <c r="Y381" i="250"/>
  <c r="AG381" i="250"/>
  <c r="U341" i="250"/>
  <c r="L121" i="250"/>
  <c r="G561" i="250"/>
  <c r="I63" i="250"/>
  <c r="E221" i="250"/>
  <c r="D177" i="250"/>
  <c r="M446" i="250"/>
  <c r="E7" i="250"/>
  <c r="Z341" i="250"/>
  <c r="M125" i="230"/>
  <c r="L126" i="230"/>
  <c r="A10" i="230"/>
  <c r="A54" i="230"/>
  <c r="E97" i="231"/>
  <c r="E81" i="231"/>
  <c r="E89" i="231" s="1"/>
  <c r="M145" i="230"/>
  <c r="L88" i="230"/>
  <c r="L106" i="230"/>
  <c r="L109" i="230" s="1"/>
  <c r="AO5" i="246"/>
  <c r="F20" i="262"/>
  <c r="G20" i="262" s="1"/>
  <c r="H20" i="262" s="1"/>
  <c r="I20" i="262" s="1"/>
  <c r="J20" i="262" s="1"/>
  <c r="K20" i="262" s="1"/>
  <c r="L20" i="262" s="1"/>
  <c r="M20" i="262" s="1"/>
  <c r="N20" i="262" s="1"/>
  <c r="O20" i="262" s="1"/>
  <c r="P20" i="262" s="1"/>
  <c r="Q20" i="262" s="1"/>
  <c r="R20" i="262" s="1"/>
  <c r="S20" i="262" s="1"/>
  <c r="T20" i="262" s="1"/>
  <c r="U20" i="262" s="1"/>
  <c r="F18" i="262"/>
  <c r="G18" i="262" s="1"/>
  <c r="H18" i="262" s="1"/>
  <c r="I18" i="262" s="1"/>
  <c r="J18" i="262" s="1"/>
  <c r="K18" i="262" s="1"/>
  <c r="L18" i="262" s="1"/>
  <c r="M18" i="262" s="1"/>
  <c r="N18" i="262" s="1"/>
  <c r="O18" i="262" s="1"/>
  <c r="P18" i="262" s="1"/>
  <c r="Q18" i="262" s="1"/>
  <c r="R18" i="262" s="1"/>
  <c r="S18" i="262" s="1"/>
  <c r="T18" i="262" s="1"/>
  <c r="U18" i="262" s="1"/>
  <c r="AO5" i="244"/>
  <c r="AO5" i="242"/>
  <c r="F16" i="262"/>
  <c r="G16" i="262" s="1"/>
  <c r="H16" i="262" s="1"/>
  <c r="I16" i="262" s="1"/>
  <c r="J16" i="262" s="1"/>
  <c r="K16" i="262" s="1"/>
  <c r="L16" i="262" s="1"/>
  <c r="M16" i="262" s="1"/>
  <c r="N16" i="262" s="1"/>
  <c r="O16" i="262" s="1"/>
  <c r="P16" i="262" s="1"/>
  <c r="Q16" i="262" s="1"/>
  <c r="R16" i="262" s="1"/>
  <c r="S16" i="262" s="1"/>
  <c r="T16" i="262" s="1"/>
  <c r="U16" i="262" s="1"/>
  <c r="K145" i="230"/>
  <c r="L147" i="230" s="1"/>
  <c r="E92" i="231"/>
  <c r="E76" i="231"/>
  <c r="E84" i="231" s="1"/>
  <c r="E98" i="231"/>
  <c r="L107" i="230"/>
  <c r="M106" i="230"/>
  <c r="E32" i="230"/>
  <c r="G7" i="230" s="1"/>
  <c r="F7" i="230"/>
  <c r="J7" i="230" s="1"/>
  <c r="K7" i="230" s="1"/>
  <c r="H77" i="231"/>
  <c r="H85" i="231" s="1"/>
  <c r="I25" i="231"/>
  <c r="K9" i="230"/>
  <c r="K13" i="230"/>
  <c r="O17" i="230"/>
  <c r="O7" i="230" s="1"/>
  <c r="F23" i="262" s="1"/>
  <c r="G23" i="262" s="1"/>
  <c r="H23" i="262" s="1"/>
  <c r="I23" i="262" s="1"/>
  <c r="J23" i="262" s="1"/>
  <c r="K23" i="262" s="1"/>
  <c r="L23" i="262" s="1"/>
  <c r="M23" i="262" s="1"/>
  <c r="N23" i="262" s="1"/>
  <c r="O23" i="262" s="1"/>
  <c r="P23" i="262" s="1"/>
  <c r="Q23" i="262" s="1"/>
  <c r="R23" i="262" s="1"/>
  <c r="S23" i="262" s="1"/>
  <c r="T23" i="262" s="1"/>
  <c r="U23" i="262" s="1"/>
  <c r="L26" i="230"/>
  <c r="L25" i="230"/>
  <c r="K29" i="230"/>
  <c r="L23" i="230"/>
  <c r="K28" i="230"/>
  <c r="L20" i="230"/>
  <c r="K26" i="230"/>
  <c r="L21" i="230"/>
  <c r="L27" i="230"/>
  <c r="L28" i="230"/>
  <c r="K24" i="230"/>
  <c r="K21" i="230"/>
  <c r="K20" i="230"/>
  <c r="L24" i="230"/>
  <c r="L22" i="230"/>
  <c r="K23" i="230"/>
  <c r="L29" i="230"/>
  <c r="K25" i="230"/>
  <c r="E94" i="231"/>
  <c r="E78" i="231"/>
  <c r="E86" i="231" s="1"/>
  <c r="K87" i="230"/>
  <c r="L89" i="230" s="1"/>
  <c r="K68" i="230"/>
  <c r="E108" i="230"/>
  <c r="G11" i="230" s="1"/>
  <c r="E70" i="230"/>
  <c r="G9" i="230" s="1"/>
  <c r="E96" i="231"/>
  <c r="M49" i="230"/>
  <c r="L50" i="230"/>
  <c r="K22" i="223"/>
  <c r="L22" i="223"/>
  <c r="E9" i="223"/>
  <c r="F9" i="223" s="1"/>
  <c r="G9" i="223" s="1"/>
  <c r="H9" i="223" s="1"/>
  <c r="I9" i="223" s="1"/>
  <c r="AE20" i="223"/>
  <c r="L4" i="223"/>
  <c r="AC20" i="223"/>
  <c r="AF20" i="223"/>
  <c r="AD20" i="223"/>
  <c r="K8" i="223"/>
  <c r="F5" i="223"/>
  <c r="Y20" i="223"/>
  <c r="F26" i="223"/>
  <c r="G26" i="223" s="1"/>
  <c r="H26" i="223" s="1"/>
  <c r="H29" i="223" s="1"/>
  <c r="J8" i="223"/>
  <c r="AA20" i="223"/>
  <c r="AB20" i="223"/>
  <c r="F24" i="223"/>
  <c r="G24" i="223" s="1"/>
  <c r="H25" i="223"/>
  <c r="Z20" i="223"/>
  <c r="E60" i="256"/>
  <c r="F26" i="198"/>
  <c r="E58" i="256"/>
  <c r="E38" i="256"/>
  <c r="E46" i="256"/>
  <c r="E54" i="256"/>
  <c r="E62" i="256"/>
  <c r="E41" i="256"/>
  <c r="E49" i="256"/>
  <c r="E57" i="256"/>
  <c r="E43" i="256"/>
  <c r="E53" i="256"/>
  <c r="E44" i="256"/>
  <c r="E55" i="256"/>
  <c r="E45" i="256"/>
  <c r="E56" i="256"/>
  <c r="E40" i="256"/>
  <c r="E51" i="256"/>
  <c r="E61" i="256"/>
  <c r="E42" i="256"/>
  <c r="E47" i="256"/>
  <c r="E48" i="256"/>
  <c r="E50" i="256"/>
  <c r="E52" i="256"/>
  <c r="E59" i="256"/>
  <c r="F116" i="250"/>
  <c r="G116" i="250"/>
  <c r="G415" i="250"/>
  <c r="G544" i="250" s="1"/>
  <c r="G62" i="250"/>
  <c r="H63" i="250" s="1"/>
  <c r="G59" i="250"/>
  <c r="H59" i="250"/>
  <c r="G556" i="250"/>
  <c r="G447" i="250"/>
  <c r="G569" i="250" s="1"/>
  <c r="F381" i="250"/>
  <c r="F322" i="250"/>
  <c r="H474" i="250"/>
  <c r="H546" i="250" s="1"/>
  <c r="H165" i="250"/>
  <c r="H168" i="250"/>
  <c r="H169" i="250" s="1"/>
  <c r="B446" i="250"/>
  <c r="B117" i="250"/>
  <c r="B121" i="250" s="1"/>
  <c r="K172" i="250"/>
  <c r="K170" i="250" s="1"/>
  <c r="I475" i="250"/>
  <c r="I557" i="250" s="1"/>
  <c r="I170" i="250"/>
  <c r="G505" i="250"/>
  <c r="G558" i="250" s="1"/>
  <c r="G221" i="250"/>
  <c r="F70" i="250"/>
  <c r="F59" i="250"/>
  <c r="F415" i="250"/>
  <c r="F544" i="250" s="1"/>
  <c r="I4" i="250"/>
  <c r="H387" i="250"/>
  <c r="H7" i="250"/>
  <c r="H4" i="250"/>
  <c r="D504" i="250"/>
  <c r="D218" i="250"/>
  <c r="J165" i="250"/>
  <c r="E474" i="250"/>
  <c r="E546" i="250" s="1"/>
  <c r="E168" i="250"/>
  <c r="E169" i="250" s="1"/>
  <c r="E165" i="250"/>
  <c r="M118" i="250"/>
  <c r="D473" i="250"/>
  <c r="D503" i="250"/>
  <c r="D414" i="250"/>
  <c r="D444" i="250"/>
  <c r="E386" i="250"/>
  <c r="P381" i="250"/>
  <c r="E4" i="250"/>
  <c r="E61" i="250"/>
  <c r="K338" i="250"/>
  <c r="P341" i="250"/>
  <c r="U339" i="250"/>
  <c r="Z337" i="250"/>
  <c r="AJ336" i="250"/>
  <c r="AO339" i="250"/>
  <c r="D6" i="250"/>
  <c r="D7" i="250"/>
  <c r="G61" i="250"/>
  <c r="E218" i="250"/>
  <c r="C174" i="250"/>
  <c r="G173" i="250"/>
  <c r="D167" i="250"/>
  <c r="E504" i="250"/>
  <c r="E547" i="250" s="1"/>
  <c r="K339" i="250"/>
  <c r="AQ337" i="250"/>
  <c r="I121" i="250"/>
  <c r="K122" i="250" s="1"/>
  <c r="I447" i="250"/>
  <c r="I569" i="250" s="1"/>
  <c r="I556" i="250"/>
  <c r="C114" i="250"/>
  <c r="D114" i="250"/>
  <c r="G112" i="250"/>
  <c r="F321" i="250"/>
  <c r="B164" i="250" s="1"/>
  <c r="F380" i="250"/>
  <c r="AO332" i="250"/>
  <c r="N119" i="250"/>
  <c r="I13" i="250"/>
  <c r="G4" i="250"/>
  <c r="F62" i="250"/>
  <c r="F63" i="250" s="1"/>
  <c r="G7" i="250"/>
  <c r="D70" i="250"/>
  <c r="B447" i="250"/>
  <c r="H447" i="250"/>
  <c r="H569" i="250" s="1"/>
  <c r="H575" i="250" s="1"/>
  <c r="D165" i="250"/>
  <c r="C381" i="250"/>
  <c r="U337" i="250"/>
  <c r="K447" i="250"/>
  <c r="I116" i="250"/>
  <c r="G176" i="250"/>
  <c r="F176" i="250"/>
  <c r="F168" i="250"/>
  <c r="F475" i="250"/>
  <c r="F557" i="250" s="1"/>
  <c r="I417" i="250"/>
  <c r="I568" i="250" s="1"/>
  <c r="K185" i="250"/>
  <c r="L57" i="250"/>
  <c r="K186" i="250"/>
  <c r="K78" i="250"/>
  <c r="K184" i="250"/>
  <c r="K132" i="250"/>
  <c r="K25" i="250"/>
  <c r="K131" i="250"/>
  <c r="K80" i="250"/>
  <c r="K79" i="250"/>
  <c r="K133" i="250"/>
  <c r="K24" i="250"/>
  <c r="K23" i="250"/>
  <c r="L122" i="250"/>
  <c r="J63" i="250"/>
  <c r="B416" i="250"/>
  <c r="B64" i="250"/>
  <c r="B68" i="250" s="1"/>
  <c r="C4" i="250"/>
  <c r="D4" i="250"/>
  <c r="C387" i="250"/>
  <c r="C7" i="250"/>
  <c r="C15" i="250"/>
  <c r="F387" i="250"/>
  <c r="F4" i="250"/>
  <c r="F7" i="250"/>
  <c r="E545" i="250"/>
  <c r="D12" i="250"/>
  <c r="D388" i="250"/>
  <c r="D389" i="250" s="1"/>
  <c r="D15" i="250"/>
  <c r="J120" i="250"/>
  <c r="J119" i="250"/>
  <c r="J446" i="250" s="1"/>
  <c r="E446" i="250"/>
  <c r="E123" i="250"/>
  <c r="E120" i="250"/>
  <c r="F120" i="250"/>
  <c r="D13" i="250"/>
  <c r="D10" i="250"/>
  <c r="M73" i="250"/>
  <c r="N73" i="250" s="1"/>
  <c r="O73" i="250" s="1"/>
  <c r="J11" i="250"/>
  <c r="J388" i="250" s="1"/>
  <c r="E12" i="250"/>
  <c r="E9" i="250"/>
  <c r="E388" i="250"/>
  <c r="D116" i="250"/>
  <c r="E116" i="250"/>
  <c r="C67" i="250"/>
  <c r="C70" i="250"/>
  <c r="C71" i="250" s="1"/>
  <c r="C64" i="250"/>
  <c r="C416" i="250"/>
  <c r="C417" i="250" s="1"/>
  <c r="F388" i="250"/>
  <c r="F554" i="250" s="1"/>
  <c r="F9" i="250"/>
  <c r="F12" i="250"/>
  <c r="G121" i="250"/>
  <c r="G118" i="250"/>
  <c r="C61" i="250"/>
  <c r="D61" i="250"/>
  <c r="E544" i="250"/>
  <c r="G15" i="250"/>
  <c r="G388" i="250"/>
  <c r="G9" i="250"/>
  <c r="E8" i="250"/>
  <c r="B9" i="250"/>
  <c r="B13" i="250" s="1"/>
  <c r="B15" i="250"/>
  <c r="B388" i="250"/>
  <c r="B389" i="250" s="1"/>
  <c r="C10" i="250"/>
  <c r="C13" i="250"/>
  <c r="C14" i="250" s="1"/>
  <c r="D64" i="250"/>
  <c r="D67" i="250"/>
  <c r="I67" i="250"/>
  <c r="H67" i="250"/>
  <c r="H64" i="250"/>
  <c r="H70" i="250"/>
  <c r="H416" i="250"/>
  <c r="H555" i="250" s="1"/>
  <c r="H561" i="250" s="1"/>
  <c r="B417" i="250"/>
  <c r="D445" i="250"/>
  <c r="D112" i="250"/>
  <c r="D123" i="250"/>
  <c r="G68" i="250"/>
  <c r="G12" i="250"/>
  <c r="H388" i="250"/>
  <c r="H554" i="250" s="1"/>
  <c r="H12" i="250"/>
  <c r="H15" i="250"/>
  <c r="I12" i="250"/>
  <c r="H9" i="250"/>
  <c r="G70" i="250"/>
  <c r="G71" i="250" s="1"/>
  <c r="G67" i="250"/>
  <c r="G416" i="250"/>
  <c r="G555" i="250" s="1"/>
  <c r="G120" i="250"/>
  <c r="G123" i="250"/>
  <c r="G124" i="250" s="1"/>
  <c r="P18" i="250"/>
  <c r="F64" i="250"/>
  <c r="G65" i="250" s="1"/>
  <c r="F67" i="250"/>
  <c r="F416" i="250"/>
  <c r="F555" i="250" s="1"/>
  <c r="F121" i="250"/>
  <c r="F118" i="250"/>
  <c r="C446" i="250"/>
  <c r="C447" i="250" s="1"/>
  <c r="C123" i="250"/>
  <c r="C117" i="250"/>
  <c r="L416" i="250"/>
  <c r="M66" i="250"/>
  <c r="L64" i="250"/>
  <c r="L70" i="250"/>
  <c r="K65" i="250"/>
  <c r="K68" i="250"/>
  <c r="J67" i="250"/>
  <c r="J66" i="250"/>
  <c r="J416" i="250" s="1"/>
  <c r="E70" i="250"/>
  <c r="E67" i="250"/>
  <c r="E416" i="250"/>
  <c r="E555" i="250" s="1"/>
  <c r="E64" i="250"/>
  <c r="J118" i="250"/>
  <c r="E121" i="250"/>
  <c r="E542" i="250"/>
  <c r="E553" i="250" s="1"/>
  <c r="E566" i="250" s="1"/>
  <c r="F2" i="250"/>
  <c r="D117" i="250"/>
  <c r="D120" i="250"/>
  <c r="D446" i="250"/>
  <c r="D416" i="250"/>
  <c r="D417" i="250" s="1"/>
  <c r="E15" i="250"/>
  <c r="H61" i="250"/>
  <c r="H543" i="250"/>
  <c r="C12" i="250"/>
  <c r="C388" i="250"/>
  <c r="E174" i="250"/>
  <c r="F175" i="250" s="1"/>
  <c r="J116" i="250"/>
  <c r="J115" i="250"/>
  <c r="H547" i="250"/>
  <c r="H220" i="250"/>
  <c r="H221" i="250"/>
  <c r="H505" i="250"/>
  <c r="I174" i="250"/>
  <c r="I165" i="250"/>
  <c r="I168" i="250"/>
  <c r="I169" i="250" s="1"/>
  <c r="I176" i="250"/>
  <c r="I474" i="250"/>
  <c r="K164" i="250"/>
  <c r="J61" i="250"/>
  <c r="J60" i="250"/>
  <c r="J112" i="250"/>
  <c r="J111" i="250"/>
  <c r="J445" i="250" s="1"/>
  <c r="F546" i="250"/>
  <c r="F476" i="250"/>
  <c r="F570" i="250" s="1"/>
  <c r="N179" i="250"/>
  <c r="O179" i="250" s="1"/>
  <c r="H16" i="231"/>
  <c r="M3" i="250"/>
  <c r="AQ339" i="250"/>
  <c r="M111" i="250"/>
  <c r="H18" i="231"/>
  <c r="B115" i="250"/>
  <c r="C116" i="250" s="1"/>
  <c r="B123" i="250"/>
  <c r="J3" i="250"/>
  <c r="J387" i="250" s="1"/>
  <c r="F505" i="250"/>
  <c r="F558" i="250" s="1"/>
  <c r="F221" i="250"/>
  <c r="F220" i="250"/>
  <c r="G220" i="250"/>
  <c r="K176" i="250"/>
  <c r="J417" i="250"/>
  <c r="E59" i="250"/>
  <c r="H123" i="250"/>
  <c r="H117" i="250"/>
  <c r="J117" i="250" s="1"/>
  <c r="G170" i="250"/>
  <c r="G475" i="250"/>
  <c r="D170" i="250"/>
  <c r="E171" i="250" s="1"/>
  <c r="D475" i="250"/>
  <c r="D476" i="250" s="1"/>
  <c r="D173" i="250"/>
  <c r="I120" i="250"/>
  <c r="D62" i="250"/>
  <c r="D59" i="250"/>
  <c r="C112" i="250"/>
  <c r="J59" i="250"/>
  <c r="J58" i="250"/>
  <c r="F447" i="250"/>
  <c r="F569" i="250" s="1"/>
  <c r="E220" i="250"/>
  <c r="D505" i="250"/>
  <c r="D220" i="250"/>
  <c r="D221" i="250"/>
  <c r="H17" i="231"/>
  <c r="M58" i="250"/>
  <c r="C506" i="250"/>
  <c r="H170" i="250"/>
  <c r="H475" i="250"/>
  <c r="H557" i="250" s="1"/>
  <c r="H176" i="250"/>
  <c r="H177" i="250" s="1"/>
  <c r="H173" i="250"/>
  <c r="I173" i="250"/>
  <c r="J173" i="250"/>
  <c r="E176" i="250"/>
  <c r="F177" i="250" s="1"/>
  <c r="F173" i="250"/>
  <c r="E475" i="250"/>
  <c r="E173" i="250"/>
  <c r="J172" i="250"/>
  <c r="J475" i="250" s="1"/>
  <c r="AO314" i="250"/>
  <c r="AO336" i="250"/>
  <c r="AQ336" i="250" s="1"/>
  <c r="G165" i="250"/>
  <c r="F165" i="250"/>
  <c r="J5" i="250"/>
  <c r="J113" i="250"/>
  <c r="J164" i="250"/>
  <c r="J474" i="250" s="1"/>
  <c r="J166" i="250"/>
  <c r="F171" i="250"/>
  <c r="E506" i="250"/>
  <c r="E571" i="250" s="1"/>
  <c r="G546" i="250"/>
  <c r="T7" i="227"/>
  <c r="U6" i="227"/>
  <c r="H39" i="231"/>
  <c r="J47" i="231"/>
  <c r="I51" i="231"/>
  <c r="H49" i="231"/>
  <c r="J48" i="231"/>
  <c r="I49" i="231"/>
  <c r="J117" i="224"/>
  <c r="U11" i="227"/>
  <c r="G52" i="231"/>
  <c r="G51" i="231"/>
  <c r="F12" i="227"/>
  <c r="G12" i="227" s="1"/>
  <c r="H12" i="227" s="1"/>
  <c r="D18" i="228" s="1"/>
  <c r="I48" i="231"/>
  <c r="F49" i="231"/>
  <c r="I52" i="231"/>
  <c r="I47" i="231"/>
  <c r="I50" i="231"/>
  <c r="G49" i="231"/>
  <c r="F48" i="231"/>
  <c r="F47" i="231"/>
  <c r="K115" i="224"/>
  <c r="K220" i="239"/>
  <c r="D9" i="227"/>
  <c r="H48" i="231"/>
  <c r="J52" i="231"/>
  <c r="J36" i="231"/>
  <c r="I41" i="231"/>
  <c r="H36" i="231"/>
  <c r="J40" i="231"/>
  <c r="G36" i="231"/>
  <c r="J37" i="231"/>
  <c r="G39" i="231"/>
  <c r="H42" i="231"/>
  <c r="F40" i="231"/>
  <c r="I40" i="231"/>
  <c r="J51" i="231"/>
  <c r="F52" i="231"/>
  <c r="F53" i="231"/>
  <c r="J50" i="231"/>
  <c r="H51" i="231"/>
  <c r="G47" i="231"/>
  <c r="F36" i="231"/>
  <c r="K117" i="224"/>
  <c r="J41" i="231"/>
  <c r="F39" i="231"/>
  <c r="J38" i="231"/>
  <c r="I36" i="231"/>
  <c r="H38" i="231"/>
  <c r="G54" i="228"/>
  <c r="D176" i="224" s="1"/>
  <c r="H41" i="231"/>
  <c r="I38" i="231"/>
  <c r="G42" i="231"/>
  <c r="F41" i="231"/>
  <c r="F42" i="231"/>
  <c r="J39" i="231"/>
  <c r="H40" i="231"/>
  <c r="G37" i="231"/>
  <c r="G40" i="231"/>
  <c r="H52" i="231"/>
  <c r="H47" i="231"/>
  <c r="H53" i="231"/>
  <c r="G48" i="231"/>
  <c r="J49" i="231"/>
  <c r="H50" i="231"/>
  <c r="G53" i="231"/>
  <c r="G50" i="231"/>
  <c r="F51" i="231"/>
  <c r="F50" i="231"/>
  <c r="K40" i="239"/>
  <c r="M40" i="239" s="1"/>
  <c r="I53" i="231"/>
  <c r="I37" i="231"/>
  <c r="I42" i="231"/>
  <c r="I39" i="231"/>
  <c r="H37" i="231"/>
  <c r="G38" i="231"/>
  <c r="G41" i="231"/>
  <c r="F37" i="231"/>
  <c r="F38" i="231"/>
  <c r="B75" i="260"/>
  <c r="C72" i="228"/>
  <c r="C18" i="229" s="1"/>
  <c r="CB40" i="204"/>
  <c r="AO40" i="204"/>
  <c r="L159" i="239"/>
  <c r="M159" i="239"/>
  <c r="J5" i="212"/>
  <c r="E5" i="222"/>
  <c r="K148" i="239"/>
  <c r="K147" i="239"/>
  <c r="K188" i="239"/>
  <c r="K189" i="239"/>
  <c r="M115" i="239"/>
  <c r="L115" i="239"/>
  <c r="L54" i="239"/>
  <c r="M54" i="239"/>
  <c r="M35" i="239"/>
  <c r="L35" i="239"/>
  <c r="L34" i="239"/>
  <c r="M34" i="239"/>
  <c r="B74" i="260"/>
  <c r="C71" i="228"/>
  <c r="C17" i="229" s="1"/>
  <c r="K141" i="239"/>
  <c r="K137" i="239"/>
  <c r="K96" i="239"/>
  <c r="K94" i="239"/>
  <c r="M59" i="239"/>
  <c r="L59" i="239"/>
  <c r="K58" i="239"/>
  <c r="M38" i="239"/>
  <c r="L38" i="239"/>
  <c r="K16" i="239"/>
  <c r="M66" i="239"/>
  <c r="L66" i="239"/>
  <c r="K162" i="239"/>
  <c r="K134" i="239"/>
  <c r="M121" i="239"/>
  <c r="L121" i="239"/>
  <c r="M101" i="239"/>
  <c r="L101" i="239"/>
  <c r="M83" i="239"/>
  <c r="L83" i="239"/>
  <c r="K77" i="239"/>
  <c r="L62" i="239"/>
  <c r="M62" i="239"/>
  <c r="L40" i="239"/>
  <c r="K19" i="239"/>
  <c r="C65" i="228"/>
  <c r="C11" i="229" s="1"/>
  <c r="M64" i="239"/>
  <c r="M27" i="239"/>
  <c r="B72" i="260"/>
  <c r="C69" i="228"/>
  <c r="C15" i="229" s="1"/>
  <c r="F4" i="217"/>
  <c r="L155" i="239"/>
  <c r="M155" i="239"/>
  <c r="M123" i="239"/>
  <c r="L123" i="239"/>
  <c r="L103" i="239"/>
  <c r="M103" i="239"/>
  <c r="L10" i="239"/>
  <c r="M10" i="239"/>
  <c r="M151" i="239"/>
  <c r="L151" i="239"/>
  <c r="M111" i="239"/>
  <c r="L111" i="239"/>
  <c r="L93" i="239"/>
  <c r="M93" i="239"/>
  <c r="B71" i="260"/>
  <c r="C68" i="228"/>
  <c r="C14" i="229" s="1"/>
  <c r="M82" i="239"/>
  <c r="L82" i="239"/>
  <c r="K80" i="239"/>
  <c r="L51" i="239"/>
  <c r="M88" i="239"/>
  <c r="M32" i="239"/>
  <c r="L32" i="239"/>
  <c r="M29" i="239"/>
  <c r="L29" i="239"/>
  <c r="M9" i="239"/>
  <c r="L9" i="239"/>
  <c r="K8" i="239"/>
  <c r="M45" i="239" s="1"/>
  <c r="M107" i="239"/>
  <c r="L107" i="239"/>
  <c r="M7" i="239"/>
  <c r="L7" i="239"/>
  <c r="B70" i="260"/>
  <c r="C67" i="228"/>
  <c r="C13" i="229" s="1"/>
  <c r="M161" i="239"/>
  <c r="L161" i="239"/>
  <c r="L139" i="239"/>
  <c r="M140" i="239"/>
  <c r="M136" i="239"/>
  <c r="L136" i="239"/>
  <c r="M75" i="239"/>
  <c r="L75" i="239"/>
  <c r="L53" i="239"/>
  <c r="M53" i="239"/>
  <c r="M11" i="239"/>
  <c r="L11" i="239"/>
  <c r="M70" i="239"/>
  <c r="L70" i="239"/>
  <c r="E7" i="222"/>
  <c r="D47" i="265" s="1"/>
  <c r="K5" i="216"/>
  <c r="M68" i="239"/>
  <c r="L68" i="239"/>
  <c r="F85" i="239"/>
  <c r="M105" i="239"/>
  <c r="L105" i="239"/>
  <c r="M23" i="239"/>
  <c r="L23" i="239"/>
  <c r="L163" i="239"/>
  <c r="M163" i="239"/>
  <c r="K109" i="239"/>
  <c r="M99" i="239"/>
  <c r="L99" i="239"/>
  <c r="F4" i="215"/>
  <c r="L78" i="239"/>
  <c r="M78" i="239"/>
  <c r="M74" i="239"/>
  <c r="L74" i="239"/>
  <c r="K72" i="239"/>
  <c r="M60" i="239"/>
  <c r="L60" i="239"/>
  <c r="L37" i="239"/>
  <c r="M37" i="239"/>
  <c r="M31" i="239"/>
  <c r="L31" i="239"/>
  <c r="B73" i="260"/>
  <c r="C70" i="228"/>
  <c r="C16" i="229" s="1"/>
  <c r="F135" i="239"/>
  <c r="F165" i="239" s="1"/>
  <c r="J135" i="239"/>
  <c r="H135" i="239"/>
  <c r="K135" i="239" s="1"/>
  <c r="C66" i="228"/>
  <c r="C12" i="229" s="1"/>
  <c r="N379" i="263"/>
  <c r="E62" i="260"/>
  <c r="E20" i="222"/>
  <c r="D6" i="248" s="1"/>
  <c r="F6" i="248" s="1"/>
  <c r="E14" i="248" s="1"/>
  <c r="E18" i="222"/>
  <c r="D7" i="248" s="1"/>
  <c r="F7" i="248" s="1"/>
  <c r="E15" i="248" s="1"/>
  <c r="K177" i="239"/>
  <c r="B206" i="239"/>
  <c r="B250" i="239" s="1"/>
  <c r="J176" i="239"/>
  <c r="CP22" i="204"/>
  <c r="CH22" i="204"/>
  <c r="BZ22" i="204"/>
  <c r="BR22" i="204"/>
  <c r="BJ22" i="204"/>
  <c r="BB22" i="204"/>
  <c r="AT22" i="204"/>
  <c r="AL22" i="204"/>
  <c r="AD22" i="204"/>
  <c r="V22" i="204"/>
  <c r="H176" i="239"/>
  <c r="K176" i="239" s="1"/>
  <c r="AP336" i="229"/>
  <c r="AP320" i="229"/>
  <c r="G17" i="227"/>
  <c r="H17" i="227" s="1"/>
  <c r="D23" i="228" s="1"/>
  <c r="G15" i="227"/>
  <c r="H15" i="227" s="1"/>
  <c r="D21" i="228" s="1"/>
  <c r="F10" i="227"/>
  <c r="G10" i="227" s="1"/>
  <c r="F13" i="227"/>
  <c r="G13" i="227" s="1"/>
  <c r="H13" i="227" s="1"/>
  <c r="D19" i="228" s="1"/>
  <c r="G18" i="227"/>
  <c r="H18" i="227" s="1"/>
  <c r="D24" i="228" s="1"/>
  <c r="G16" i="227"/>
  <c r="H16" i="227" s="1"/>
  <c r="D22" i="228" s="1"/>
  <c r="G14" i="227"/>
  <c r="H14" i="227" s="1"/>
  <c r="D20" i="228" s="1"/>
  <c r="J171" i="250" a="1"/>
  <c r="T21" i="204" l="1"/>
  <c r="U21" i="204" s="1"/>
  <c r="V21" i="204" s="1"/>
  <c r="W21" i="204" s="1"/>
  <c r="X21" i="204" s="1"/>
  <c r="Y21" i="204" s="1"/>
  <c r="Z21" i="204" s="1"/>
  <c r="AA21" i="204" s="1"/>
  <c r="AB21" i="204" s="1"/>
  <c r="AC21" i="204" s="1"/>
  <c r="AD21" i="204" s="1"/>
  <c r="AE21" i="204" s="1"/>
  <c r="AF21" i="204" s="1"/>
  <c r="AG21" i="204" s="1"/>
  <c r="AH21" i="204" s="1"/>
  <c r="AI21" i="204" s="1"/>
  <c r="AJ21" i="204" s="1"/>
  <c r="AK21" i="204" s="1"/>
  <c r="AL21" i="204" s="1"/>
  <c r="AM21" i="204" s="1"/>
  <c r="AN21" i="204" s="1"/>
  <c r="AO21" i="204" s="1"/>
  <c r="AP21" i="204" s="1"/>
  <c r="AQ21" i="204" s="1"/>
  <c r="AR21" i="204" s="1"/>
  <c r="AS21" i="204" s="1"/>
  <c r="AT21" i="204" s="1"/>
  <c r="AU21" i="204" s="1"/>
  <c r="AV21" i="204" s="1"/>
  <c r="AW21" i="204" s="1"/>
  <c r="AX21" i="204" s="1"/>
  <c r="AY21" i="204" s="1"/>
  <c r="AZ21" i="204" s="1"/>
  <c r="BA21" i="204" s="1"/>
  <c r="BB21" i="204" s="1"/>
  <c r="BC21" i="204" s="1"/>
  <c r="BD21" i="204" s="1"/>
  <c r="BE21" i="204" s="1"/>
  <c r="BF21" i="204" s="1"/>
  <c r="BG21" i="204" s="1"/>
  <c r="BH21" i="204" s="1"/>
  <c r="BI21" i="204" s="1"/>
  <c r="BJ21" i="204" s="1"/>
  <c r="BK21" i="204" s="1"/>
  <c r="BL21" i="204" s="1"/>
  <c r="BM21" i="204" s="1"/>
  <c r="BN21" i="204" s="1"/>
  <c r="BO21" i="204" s="1"/>
  <c r="BP21" i="204" s="1"/>
  <c r="BQ21" i="204" s="1"/>
  <c r="BR21" i="204" s="1"/>
  <c r="BS21" i="204" s="1"/>
  <c r="BT21" i="204" s="1"/>
  <c r="BU21" i="204" s="1"/>
  <c r="BV21" i="204" s="1"/>
  <c r="BW21" i="204" s="1"/>
  <c r="BX21" i="204" s="1"/>
  <c r="BY21" i="204" s="1"/>
  <c r="BZ21" i="204" s="1"/>
  <c r="CA21" i="204" s="1"/>
  <c r="CB21" i="204" s="1"/>
  <c r="CC21" i="204" s="1"/>
  <c r="CD21" i="204" s="1"/>
  <c r="CE21" i="204" s="1"/>
  <c r="CF21" i="204" s="1"/>
  <c r="CG21" i="204" s="1"/>
  <c r="CH21" i="204" s="1"/>
  <c r="CI21" i="204" s="1"/>
  <c r="CJ21" i="204" s="1"/>
  <c r="CK21" i="204" s="1"/>
  <c r="CL21" i="204" s="1"/>
  <c r="CM21" i="204" s="1"/>
  <c r="CN21" i="204" s="1"/>
  <c r="CO21" i="204" s="1"/>
  <c r="CP21" i="204" s="1"/>
  <c r="CQ21" i="204" s="1"/>
  <c r="B21" i="204" s="1"/>
  <c r="U19" i="204"/>
  <c r="V19" i="204" s="1"/>
  <c r="W19" i="204" s="1"/>
  <c r="X19" i="204" s="1"/>
  <c r="Y19" i="204" s="1"/>
  <c r="Z19" i="204" s="1"/>
  <c r="AA19" i="204" s="1"/>
  <c r="AB19" i="204" s="1"/>
  <c r="AC19" i="204" s="1"/>
  <c r="AD19" i="204" s="1"/>
  <c r="AE19" i="204" s="1"/>
  <c r="AF19" i="204" s="1"/>
  <c r="AG19" i="204" s="1"/>
  <c r="AH19" i="204" s="1"/>
  <c r="AI19" i="204" s="1"/>
  <c r="AJ19" i="204" s="1"/>
  <c r="AK19" i="204" s="1"/>
  <c r="AL19" i="204" s="1"/>
  <c r="AM19" i="204" s="1"/>
  <c r="AN19" i="204" s="1"/>
  <c r="AO19" i="204" s="1"/>
  <c r="AP19" i="204" s="1"/>
  <c r="AQ19" i="204" s="1"/>
  <c r="AR19" i="204" s="1"/>
  <c r="AS19" i="204" s="1"/>
  <c r="AT19" i="204" s="1"/>
  <c r="AU19" i="204" s="1"/>
  <c r="AV19" i="204" s="1"/>
  <c r="AW19" i="204" s="1"/>
  <c r="AX19" i="204" s="1"/>
  <c r="AY19" i="204" s="1"/>
  <c r="AZ19" i="204" s="1"/>
  <c r="BA19" i="204" s="1"/>
  <c r="BB19" i="204" s="1"/>
  <c r="BC19" i="204" s="1"/>
  <c r="BD19" i="204" s="1"/>
  <c r="BE19" i="204" s="1"/>
  <c r="BF19" i="204" s="1"/>
  <c r="BG19" i="204" s="1"/>
  <c r="BH19" i="204" s="1"/>
  <c r="BI19" i="204" s="1"/>
  <c r="BJ19" i="204" s="1"/>
  <c r="BK19" i="204" s="1"/>
  <c r="BL19" i="204" s="1"/>
  <c r="BM19" i="204" s="1"/>
  <c r="BN19" i="204" s="1"/>
  <c r="BO19" i="204" s="1"/>
  <c r="BP19" i="204" s="1"/>
  <c r="BQ19" i="204" s="1"/>
  <c r="BR19" i="204" s="1"/>
  <c r="BS19" i="204" s="1"/>
  <c r="BT19" i="204" s="1"/>
  <c r="BU19" i="204" s="1"/>
  <c r="BV19" i="204" s="1"/>
  <c r="BW19" i="204" s="1"/>
  <c r="BX19" i="204" s="1"/>
  <c r="BY19" i="204" s="1"/>
  <c r="BZ19" i="204" s="1"/>
  <c r="CA19" i="204" s="1"/>
  <c r="CB19" i="204" s="1"/>
  <c r="CC19" i="204" s="1"/>
  <c r="CD19" i="204" s="1"/>
  <c r="CE19" i="204" s="1"/>
  <c r="CF19" i="204" s="1"/>
  <c r="CG19" i="204" s="1"/>
  <c r="CH19" i="204" s="1"/>
  <c r="CI19" i="204" s="1"/>
  <c r="CJ19" i="204" s="1"/>
  <c r="CK19" i="204" s="1"/>
  <c r="CL19" i="204" s="1"/>
  <c r="CM19" i="204" s="1"/>
  <c r="CN19" i="204" s="1"/>
  <c r="CO19" i="204" s="1"/>
  <c r="CP19" i="204" s="1"/>
  <c r="CQ19" i="204" s="1"/>
  <c r="D25" i="224"/>
  <c r="D44" i="224" s="1"/>
  <c r="D196" i="224" s="1"/>
  <c r="D185" i="224"/>
  <c r="E121" i="224"/>
  <c r="D123" i="224"/>
  <c r="E121" i="259"/>
  <c r="F121" i="259" s="1"/>
  <c r="G121" i="259" s="1"/>
  <c r="I4" i="260"/>
  <c r="J171" i="250"/>
  <c r="I78" i="231"/>
  <c r="E77" i="231"/>
  <c r="E85" i="231" s="1"/>
  <c r="E79" i="231"/>
  <c r="E87" i="231" s="1"/>
  <c r="F941" i="263"/>
  <c r="F951" i="263" s="1"/>
  <c r="G2" i="263"/>
  <c r="F4" i="263"/>
  <c r="E5" i="263"/>
  <c r="F3" i="263"/>
  <c r="D34" i="257"/>
  <c r="D11" i="257"/>
  <c r="E9" i="257"/>
  <c r="H42" i="262"/>
  <c r="I5" i="262"/>
  <c r="W32" i="198"/>
  <c r="AA32" i="198"/>
  <c r="H32" i="198"/>
  <c r="G38" i="224" s="1"/>
  <c r="M32" i="198"/>
  <c r="L38" i="224" s="1"/>
  <c r="R32" i="198"/>
  <c r="Q38" i="224" s="1"/>
  <c r="X32" i="198"/>
  <c r="I32" i="198"/>
  <c r="H38" i="224" s="1"/>
  <c r="O32" i="198"/>
  <c r="N38" i="224" s="1"/>
  <c r="J32" i="198"/>
  <c r="I38" i="224" s="1"/>
  <c r="N32" i="198"/>
  <c r="M38" i="224" s="1"/>
  <c r="S32" i="198"/>
  <c r="R38" i="224" s="1"/>
  <c r="Y32" i="198"/>
  <c r="K32" i="198"/>
  <c r="J38" i="224" s="1"/>
  <c r="Z32" i="198"/>
  <c r="F33" i="198"/>
  <c r="L32" i="198"/>
  <c r="K38" i="224" s="1"/>
  <c r="P32" i="198"/>
  <c r="O38" i="224" s="1"/>
  <c r="Q32" i="198"/>
  <c r="P38" i="224" s="1"/>
  <c r="G33" i="198"/>
  <c r="U32" i="198"/>
  <c r="T32" i="198"/>
  <c r="S38" i="224" s="1"/>
  <c r="E33" i="198"/>
  <c r="V32" i="198"/>
  <c r="AB32" i="198"/>
  <c r="I42" i="261"/>
  <c r="J4" i="261"/>
  <c r="I65" i="261"/>
  <c r="G42" i="261"/>
  <c r="G65" i="261"/>
  <c r="F4" i="261"/>
  <c r="D127" i="251"/>
  <c r="D135" i="251" s="1"/>
  <c r="V3" i="251"/>
  <c r="AO3" i="251" s="1"/>
  <c r="E102" i="259"/>
  <c r="E7" i="259"/>
  <c r="F5" i="259"/>
  <c r="E194" i="259"/>
  <c r="E171" i="259"/>
  <c r="E50" i="259"/>
  <c r="E6" i="259"/>
  <c r="E173" i="259" s="1"/>
  <c r="D66" i="259"/>
  <c r="D122" i="259"/>
  <c r="D175" i="259"/>
  <c r="H121" i="259"/>
  <c r="G65" i="259"/>
  <c r="D25" i="259"/>
  <c r="D44" i="259" s="1"/>
  <c r="D197" i="259" s="1"/>
  <c r="D186" i="259"/>
  <c r="S184" i="259"/>
  <c r="S25" i="259" s="1"/>
  <c r="S44" i="259" s="1"/>
  <c r="S197" i="259" s="1"/>
  <c r="T184" i="259"/>
  <c r="T25" i="259" s="1"/>
  <c r="N9" i="227"/>
  <c r="D108" i="251"/>
  <c r="D82" i="251"/>
  <c r="E3" i="251"/>
  <c r="F3" i="251" s="1"/>
  <c r="D5" i="251"/>
  <c r="B58" i="260"/>
  <c r="E3" i="242"/>
  <c r="D5" i="242"/>
  <c r="V3" i="242"/>
  <c r="AO3" i="242" s="1"/>
  <c r="AO11" i="242" s="1"/>
  <c r="I12" i="263"/>
  <c r="J10" i="263"/>
  <c r="B93" i="229"/>
  <c r="C202" i="229"/>
  <c r="C221" i="229" s="1"/>
  <c r="C240" i="229" s="1"/>
  <c r="C262" i="229" s="1"/>
  <c r="C283" i="229" s="1"/>
  <c r="C305" i="229" s="1"/>
  <c r="C327" i="229" s="1"/>
  <c r="B30" i="265"/>
  <c r="C42" i="234"/>
  <c r="B40" i="265" s="1"/>
  <c r="F4" i="237"/>
  <c r="F54" i="253"/>
  <c r="G7" i="253"/>
  <c r="E4" i="246"/>
  <c r="D6" i="246"/>
  <c r="D8" i="246" s="1"/>
  <c r="F5" i="237"/>
  <c r="G3" i="237"/>
  <c r="X3" i="237"/>
  <c r="AQ3" i="237" s="1"/>
  <c r="AQ11" i="237" s="1"/>
  <c r="E5" i="243"/>
  <c r="F3" i="243"/>
  <c r="W3" i="243"/>
  <c r="AP3" i="243" s="1"/>
  <c r="AP11" i="243" s="1"/>
  <c r="F3" i="253"/>
  <c r="E5" i="253"/>
  <c r="E53" i="253"/>
  <c r="Y3" i="253"/>
  <c r="AT3" i="253" s="1"/>
  <c r="AT11" i="253" s="1"/>
  <c r="J143" i="263"/>
  <c r="I145" i="263"/>
  <c r="F8" i="265"/>
  <c r="G30" i="234"/>
  <c r="F28" i="265" s="1"/>
  <c r="E6" i="265"/>
  <c r="G8" i="234"/>
  <c r="F28" i="234"/>
  <c r="E26" i="265" s="1"/>
  <c r="E5" i="246"/>
  <c r="F3" i="246"/>
  <c r="W3" i="246"/>
  <c r="AP3" i="246" s="1"/>
  <c r="AP11" i="246" s="1"/>
  <c r="D6" i="243"/>
  <c r="D8" i="243" s="1"/>
  <c r="E4" i="243"/>
  <c r="D6" i="253"/>
  <c r="D8" i="253" s="1"/>
  <c r="E4" i="253"/>
  <c r="E4" i="245"/>
  <c r="D6" i="245"/>
  <c r="B4" i="265"/>
  <c r="C7" i="241"/>
  <c r="C16" i="234"/>
  <c r="C6" i="235"/>
  <c r="C10" i="235" s="1"/>
  <c r="C14" i="235" s="1"/>
  <c r="C18" i="235" s="1"/>
  <c r="C22" i="235" s="1"/>
  <c r="C29" i="235"/>
  <c r="C37" i="235" s="1"/>
  <c r="C45" i="235" s="1"/>
  <c r="C46" i="234"/>
  <c r="F5" i="265"/>
  <c r="G27" i="234"/>
  <c r="F25" i="265" s="1"/>
  <c r="E5" i="245"/>
  <c r="F3" i="245"/>
  <c r="W3" i="245"/>
  <c r="AP3" i="245" s="1"/>
  <c r="AP11" i="245" s="1"/>
  <c r="D6" i="257"/>
  <c r="E73" i="222"/>
  <c r="G73" i="222" s="1"/>
  <c r="F10" i="265"/>
  <c r="G32" i="234"/>
  <c r="F30" i="265" s="1"/>
  <c r="F7" i="265"/>
  <c r="G29" i="234"/>
  <c r="F27" i="265" s="1"/>
  <c r="E5" i="244"/>
  <c r="F3" i="244"/>
  <c r="W3" i="244"/>
  <c r="AP3" i="244" s="1"/>
  <c r="AP11" i="244" s="1"/>
  <c r="C201" i="229"/>
  <c r="C220" i="229" s="1"/>
  <c r="C239" i="229" s="1"/>
  <c r="C261" i="229" s="1"/>
  <c r="C282" i="229" s="1"/>
  <c r="C304" i="229" s="1"/>
  <c r="C326" i="229" s="1"/>
  <c r="B82" i="229"/>
  <c r="J808" i="263"/>
  <c r="I810" i="263"/>
  <c r="D6" i="237"/>
  <c r="D8" i="237" s="1"/>
  <c r="E4" i="237"/>
  <c r="E6" i="237" s="1"/>
  <c r="E8" i="237" s="1"/>
  <c r="F9" i="265"/>
  <c r="G31" i="234"/>
  <c r="F29" i="265" s="1"/>
  <c r="D6" i="244"/>
  <c r="D8" i="244" s="1"/>
  <c r="E4" i="244"/>
  <c r="G6" i="252"/>
  <c r="G8" i="252" s="1"/>
  <c r="F8" i="252"/>
  <c r="K57" i="252"/>
  <c r="L56" i="252"/>
  <c r="H6" i="252"/>
  <c r="H7" i="252"/>
  <c r="I5" i="252"/>
  <c r="D24" i="204"/>
  <c r="E24" i="204" s="1"/>
  <c r="F8" i="204"/>
  <c r="F14" i="204"/>
  <c r="F12" i="204"/>
  <c r="G11" i="204" s="1"/>
  <c r="CV8" i="204"/>
  <c r="B5" i="265"/>
  <c r="C17" i="234"/>
  <c r="C8" i="241"/>
  <c r="C7" i="235"/>
  <c r="C11" i="235" s="1"/>
  <c r="C15" i="235" s="1"/>
  <c r="C19" i="235" s="1"/>
  <c r="C23" i="235" s="1"/>
  <c r="C30" i="235"/>
  <c r="C38" i="235" s="1"/>
  <c r="C46" i="235" s="1"/>
  <c r="C47" i="234"/>
  <c r="H278" i="263"/>
  <c r="I276" i="263"/>
  <c r="B6" i="265"/>
  <c r="C48" i="234"/>
  <c r="C31" i="235"/>
  <c r="C39" i="235" s="1"/>
  <c r="C47" i="235" s="1"/>
  <c r="C18" i="234"/>
  <c r="C8" i="235"/>
  <c r="C12" i="235" s="1"/>
  <c r="C16" i="235" s="1"/>
  <c r="C20" i="235" s="1"/>
  <c r="C24" i="235" s="1"/>
  <c r="C9" i="241"/>
  <c r="C60" i="228"/>
  <c r="C6" i="229" s="1"/>
  <c r="F7" i="243"/>
  <c r="J409" i="263"/>
  <c r="I411" i="263"/>
  <c r="G10" i="217"/>
  <c r="E7" i="244"/>
  <c r="B7" i="265"/>
  <c r="C10" i="241"/>
  <c r="C32" i="235"/>
  <c r="C40" i="235" s="1"/>
  <c r="C48" i="235" s="1"/>
  <c r="C49" i="234"/>
  <c r="C19" i="234"/>
  <c r="I10" i="230"/>
  <c r="K10" i="230" s="1"/>
  <c r="B27" i="231"/>
  <c r="B39" i="231" s="1"/>
  <c r="B50" i="231" s="1"/>
  <c r="J10" i="230"/>
  <c r="B541" i="263"/>
  <c r="C69" i="222"/>
  <c r="E544" i="263"/>
  <c r="F542" i="263"/>
  <c r="C40" i="234"/>
  <c r="B38" i="265" s="1"/>
  <c r="B28" i="265"/>
  <c r="E677" i="263"/>
  <c r="F675" i="263"/>
  <c r="D8" i="245"/>
  <c r="E7" i="245"/>
  <c r="G9" i="222"/>
  <c r="G6" i="219"/>
  <c r="I11" i="230"/>
  <c r="K11" i="230" s="1"/>
  <c r="B28" i="231"/>
  <c r="B40" i="231" s="1"/>
  <c r="B51" i="231" s="1"/>
  <c r="C19" i="260"/>
  <c r="C20" i="260"/>
  <c r="C21" i="260"/>
  <c r="C22" i="260"/>
  <c r="C24" i="260"/>
  <c r="F14" i="222"/>
  <c r="O33" i="256"/>
  <c r="Q33" i="256"/>
  <c r="S33" i="256"/>
  <c r="T24" i="256"/>
  <c r="P33" i="256"/>
  <c r="R33" i="256"/>
  <c r="E120" i="251"/>
  <c r="B60" i="229"/>
  <c r="C199" i="229"/>
  <c r="C218" i="229" s="1"/>
  <c r="C237" i="229" s="1"/>
  <c r="C259" i="229" s="1"/>
  <c r="C280" i="229" s="1"/>
  <c r="C302" i="229" s="1"/>
  <c r="C324" i="229" s="1"/>
  <c r="C197" i="229"/>
  <c r="C216" i="229" s="1"/>
  <c r="C235" i="229" s="1"/>
  <c r="C257" i="229" s="1"/>
  <c r="C278" i="229" s="1"/>
  <c r="C300" i="229" s="1"/>
  <c r="C322" i="229" s="1"/>
  <c r="B38" i="229"/>
  <c r="C196" i="229"/>
  <c r="C215" i="229" s="1"/>
  <c r="C234" i="229" s="1"/>
  <c r="C256" i="229" s="1"/>
  <c r="C277" i="229" s="1"/>
  <c r="C299" i="229" s="1"/>
  <c r="C321" i="229" s="1"/>
  <c r="B27" i="229"/>
  <c r="H7" i="246"/>
  <c r="H7" i="242"/>
  <c r="J12" i="235"/>
  <c r="J20" i="235" s="1"/>
  <c r="J24" i="235" s="1"/>
  <c r="H12" i="235"/>
  <c r="X34" i="243" s="1"/>
  <c r="X34" i="242"/>
  <c r="I12" i="235"/>
  <c r="I20" i="235" s="1"/>
  <c r="I24" i="235" s="1"/>
  <c r="Y34" i="242"/>
  <c r="Z34" i="242"/>
  <c r="AA34" i="242" s="1"/>
  <c r="AB34" i="242" s="1"/>
  <c r="AC34" i="242" s="1"/>
  <c r="AD34" i="242" s="1"/>
  <c r="AE34" i="242" s="1"/>
  <c r="AF34" i="242" s="1"/>
  <c r="AG34" i="242" s="1"/>
  <c r="AH34" i="242" s="1"/>
  <c r="AI34" i="242" s="1"/>
  <c r="AJ34" i="242" s="1"/>
  <c r="AK34" i="242" s="1"/>
  <c r="AL34" i="242" s="1"/>
  <c r="H19" i="235"/>
  <c r="H23" i="235" s="1"/>
  <c r="Y39" i="242"/>
  <c r="Z34" i="243"/>
  <c r="AA34" i="243" s="1"/>
  <c r="AB34" i="243" s="1"/>
  <c r="AC34" i="243" s="1"/>
  <c r="AD34" i="243" s="1"/>
  <c r="AE34" i="243" s="1"/>
  <c r="AF34" i="243" s="1"/>
  <c r="AG34" i="243" s="1"/>
  <c r="AH34" i="243" s="1"/>
  <c r="AI34" i="243" s="1"/>
  <c r="AJ34" i="243" s="1"/>
  <c r="AK34" i="243" s="1"/>
  <c r="AL34" i="243" s="1"/>
  <c r="I18" i="235"/>
  <c r="I22" i="235" s="1"/>
  <c r="J14" i="235"/>
  <c r="Y35" i="237"/>
  <c r="Y34" i="243"/>
  <c r="I44" i="241"/>
  <c r="X25" i="243"/>
  <c r="Y29" i="237"/>
  <c r="J72" i="241"/>
  <c r="Z29" i="237" s="1"/>
  <c r="AA29" i="237" s="1"/>
  <c r="AB29" i="237" s="1"/>
  <c r="AC29" i="237" s="1"/>
  <c r="AD29" i="237" s="1"/>
  <c r="AE29" i="237" s="1"/>
  <c r="AF29" i="237" s="1"/>
  <c r="AG29" i="237" s="1"/>
  <c r="AH29" i="237" s="1"/>
  <c r="AI29" i="237" s="1"/>
  <c r="AJ29" i="237" s="1"/>
  <c r="AK29" i="237" s="1"/>
  <c r="AL29" i="237" s="1"/>
  <c r="G7" i="237"/>
  <c r="S38" i="264"/>
  <c r="O63" i="264"/>
  <c r="S63" i="264" s="1"/>
  <c r="R38" i="264"/>
  <c r="N63" i="264"/>
  <c r="R63" i="264" s="1"/>
  <c r="M63" i="264"/>
  <c r="Q63" i="264" s="1"/>
  <c r="Q38" i="264"/>
  <c r="E63" i="264"/>
  <c r="I63" i="264" s="1"/>
  <c r="I38" i="264"/>
  <c r="G63" i="264"/>
  <c r="K63" i="264" s="1"/>
  <c r="K38" i="264"/>
  <c r="E21" i="248"/>
  <c r="D23" i="248"/>
  <c r="B20" i="255"/>
  <c r="H78" i="231"/>
  <c r="H86" i="231" s="1"/>
  <c r="H11" i="231"/>
  <c r="I11" i="231" s="1"/>
  <c r="I68" i="231" s="1"/>
  <c r="I80" i="231"/>
  <c r="I88" i="231" s="1"/>
  <c r="J8" i="231"/>
  <c r="J10" i="231" s="1"/>
  <c r="J57" i="231"/>
  <c r="J65" i="231" s="1"/>
  <c r="J23" i="231"/>
  <c r="J26" i="231" s="1"/>
  <c r="K26" i="231" s="1"/>
  <c r="L26" i="231" s="1"/>
  <c r="M26" i="231" s="1"/>
  <c r="N26" i="231" s="1"/>
  <c r="O26" i="231" s="1"/>
  <c r="P26" i="231" s="1"/>
  <c r="Q26" i="231" s="1"/>
  <c r="R26" i="231" s="1"/>
  <c r="S26" i="231" s="1"/>
  <c r="T26" i="231" s="1"/>
  <c r="U26" i="231" s="1"/>
  <c r="V26" i="231" s="1"/>
  <c r="W26" i="231" s="1"/>
  <c r="X26" i="231" s="1"/>
  <c r="Y26" i="231" s="1"/>
  <c r="Z26" i="231" s="1"/>
  <c r="AA26" i="231" s="1"/>
  <c r="AB26" i="231" s="1"/>
  <c r="AC26" i="231" s="1"/>
  <c r="AC78" i="231" s="1"/>
  <c r="K6" i="231"/>
  <c r="I24" i="231"/>
  <c r="I30" i="231"/>
  <c r="I27" i="231"/>
  <c r="I29" i="231"/>
  <c r="I75" i="231"/>
  <c r="I83" i="231" s="1"/>
  <c r="I91" i="231"/>
  <c r="H552" i="250"/>
  <c r="H222" i="250"/>
  <c r="H562" i="250"/>
  <c r="G9" i="231"/>
  <c r="H9" i="231" s="1"/>
  <c r="I9" i="231" s="1"/>
  <c r="J9" i="231" s="1"/>
  <c r="K388" i="250"/>
  <c r="K389" i="250" s="1"/>
  <c r="K15" i="250"/>
  <c r="K16" i="250" s="1"/>
  <c r="L11" i="250"/>
  <c r="K9" i="250"/>
  <c r="K13" i="250" s="1"/>
  <c r="K14" i="250" s="1"/>
  <c r="F122" i="250"/>
  <c r="G562" i="250"/>
  <c r="I562" i="250"/>
  <c r="I563" i="250"/>
  <c r="K10" i="250"/>
  <c r="I389" i="250"/>
  <c r="I567" i="250" s="1"/>
  <c r="G506" i="250"/>
  <c r="G571" i="250" s="1"/>
  <c r="D506" i="250"/>
  <c r="H389" i="250"/>
  <c r="H567" i="250" s="1"/>
  <c r="G575" i="250"/>
  <c r="I575" i="250"/>
  <c r="I561" i="250"/>
  <c r="I552" i="250"/>
  <c r="I560" i="250"/>
  <c r="D16" i="250"/>
  <c r="G63" i="250"/>
  <c r="L124" i="250"/>
  <c r="K124" i="250"/>
  <c r="G16" i="250"/>
  <c r="F552" i="250"/>
  <c r="L70" i="230"/>
  <c r="M68" i="230"/>
  <c r="G14" i="230"/>
  <c r="F25" i="252" s="1"/>
  <c r="G25" i="252" s="1"/>
  <c r="H25" i="252" s="1"/>
  <c r="I25" i="252" s="1"/>
  <c r="J25" i="252" s="1"/>
  <c r="K25" i="252" s="1"/>
  <c r="L25" i="252" s="1"/>
  <c r="M25" i="252" s="1"/>
  <c r="N25" i="252" s="1"/>
  <c r="O25" i="252" s="1"/>
  <c r="P25" i="252" s="1"/>
  <c r="Q25" i="252" s="1"/>
  <c r="R25" i="252" s="1"/>
  <c r="S25" i="252" s="1"/>
  <c r="T25" i="252" s="1"/>
  <c r="U25" i="252" s="1"/>
  <c r="V25" i="252" s="1"/>
  <c r="F15" i="262"/>
  <c r="AO5" i="237"/>
  <c r="L30" i="230"/>
  <c r="L33" i="230" s="1"/>
  <c r="K30" i="230"/>
  <c r="A73" i="230"/>
  <c r="A11" i="230"/>
  <c r="J25" i="231"/>
  <c r="I77" i="231"/>
  <c r="I85" i="231" s="1"/>
  <c r="I59" i="231"/>
  <c r="I67" i="231" s="1"/>
  <c r="M87" i="230"/>
  <c r="AO5" i="245"/>
  <c r="F19" i="262"/>
  <c r="G19" i="262" s="1"/>
  <c r="H19" i="262" s="1"/>
  <c r="I19" i="262" s="1"/>
  <c r="J19" i="262" s="1"/>
  <c r="K19" i="262" s="1"/>
  <c r="L19" i="262" s="1"/>
  <c r="M19" i="262" s="1"/>
  <c r="N19" i="262" s="1"/>
  <c r="O19" i="262" s="1"/>
  <c r="P19" i="262" s="1"/>
  <c r="Q19" i="262" s="1"/>
  <c r="R19" i="262" s="1"/>
  <c r="S19" i="262" s="1"/>
  <c r="T19" i="262" s="1"/>
  <c r="U19" i="262" s="1"/>
  <c r="F17" i="262"/>
  <c r="G17" i="262" s="1"/>
  <c r="H17" i="262" s="1"/>
  <c r="I17" i="262" s="1"/>
  <c r="J17" i="262" s="1"/>
  <c r="K17" i="262" s="1"/>
  <c r="L17" i="262" s="1"/>
  <c r="M17" i="262" s="1"/>
  <c r="N17" i="262" s="1"/>
  <c r="O17" i="262" s="1"/>
  <c r="P17" i="262" s="1"/>
  <c r="Q17" i="262" s="1"/>
  <c r="R17" i="262" s="1"/>
  <c r="S17" i="262" s="1"/>
  <c r="T17" i="262" s="1"/>
  <c r="U17" i="262" s="1"/>
  <c r="AO5" i="243"/>
  <c r="G13" i="230"/>
  <c r="I30" i="228"/>
  <c r="I44" i="228" s="1"/>
  <c r="F13" i="204"/>
  <c r="H24" i="223"/>
  <c r="H27" i="223" s="1"/>
  <c r="AF22" i="223"/>
  <c r="AE22" i="223"/>
  <c r="AD22" i="223"/>
  <c r="AC22" i="223"/>
  <c r="Y22" i="223"/>
  <c r="AB22" i="223"/>
  <c r="AA22" i="223"/>
  <c r="Z22" i="223"/>
  <c r="F4" i="256"/>
  <c r="E7" i="255"/>
  <c r="G5" i="223"/>
  <c r="F7" i="255" s="1"/>
  <c r="I25" i="223"/>
  <c r="H26" i="198"/>
  <c r="H28" i="223"/>
  <c r="AH20" i="223"/>
  <c r="AJ20" i="223"/>
  <c r="M4" i="223"/>
  <c r="AG20" i="223"/>
  <c r="AI20" i="223"/>
  <c r="L8" i="223"/>
  <c r="E13" i="204"/>
  <c r="H30" i="228"/>
  <c r="H46" i="228" s="1"/>
  <c r="J9" i="223"/>
  <c r="K9" i="223" s="1"/>
  <c r="E65" i="256"/>
  <c r="D29" i="255" s="1"/>
  <c r="D28" i="255" s="1"/>
  <c r="E26" i="198"/>
  <c r="E27" i="198" s="1"/>
  <c r="F27" i="198"/>
  <c r="E66" i="256"/>
  <c r="D36" i="255" s="1"/>
  <c r="G13" i="204"/>
  <c r="J30" i="228"/>
  <c r="J40" i="228" s="1"/>
  <c r="E64" i="256"/>
  <c r="D22" i="255" s="1"/>
  <c r="H67" i="231"/>
  <c r="I26" i="223"/>
  <c r="J26" i="223" s="1"/>
  <c r="K26" i="223" s="1"/>
  <c r="L26" i="223" s="1"/>
  <c r="H5" i="223"/>
  <c r="H68" i="231"/>
  <c r="G389" i="250"/>
  <c r="G567" i="250" s="1"/>
  <c r="G554" i="250"/>
  <c r="G552" i="250" s="1"/>
  <c r="E414" i="250"/>
  <c r="E444" i="250"/>
  <c r="F386" i="250"/>
  <c r="E473" i="250"/>
  <c r="E503" i="250"/>
  <c r="E476" i="250"/>
  <c r="E570" i="250" s="1"/>
  <c r="E557" i="250"/>
  <c r="G12" i="231"/>
  <c r="H12" i="231" s="1"/>
  <c r="I12" i="231" s="1"/>
  <c r="J12" i="231" s="1"/>
  <c r="E447" i="250"/>
  <c r="E569" i="250" s="1"/>
  <c r="E556" i="250"/>
  <c r="D14" i="250"/>
  <c r="F506" i="250"/>
  <c r="F571" i="250" s="1"/>
  <c r="H476" i="250"/>
  <c r="H570" i="250" s="1"/>
  <c r="J62" i="250"/>
  <c r="K134" i="250"/>
  <c r="J169" i="250"/>
  <c r="H506" i="250"/>
  <c r="H571" i="250" s="1"/>
  <c r="H577" i="250" s="1"/>
  <c r="H558" i="250"/>
  <c r="H564" i="250" s="1"/>
  <c r="E389" i="250"/>
  <c r="E567" i="250" s="1"/>
  <c r="E554" i="250"/>
  <c r="L172" i="250"/>
  <c r="G169" i="250"/>
  <c r="F169" i="250"/>
  <c r="J168" i="250"/>
  <c r="K475" i="250"/>
  <c r="K187" i="250"/>
  <c r="N446" i="250"/>
  <c r="O119" i="250"/>
  <c r="N117" i="250"/>
  <c r="I8" i="250"/>
  <c r="H8" i="250"/>
  <c r="G476" i="250"/>
  <c r="G570" i="250" s="1"/>
  <c r="G557" i="250"/>
  <c r="H563" i="250" s="1"/>
  <c r="K81" i="250"/>
  <c r="K60" i="250" s="1"/>
  <c r="G177" i="250"/>
  <c r="D121" i="250"/>
  <c r="E122" i="250" s="1"/>
  <c r="D118" i="250"/>
  <c r="E118" i="250"/>
  <c r="F8" i="250"/>
  <c r="G8" i="250"/>
  <c r="N58" i="250"/>
  <c r="I17" i="231"/>
  <c r="L415" i="250"/>
  <c r="L417" i="250" s="1"/>
  <c r="P179" i="250"/>
  <c r="F417" i="250"/>
  <c r="F568" i="250" s="1"/>
  <c r="H71" i="250"/>
  <c r="I71" i="250"/>
  <c r="J9" i="250"/>
  <c r="E10" i="250"/>
  <c r="E13" i="250"/>
  <c r="AO382" i="250"/>
  <c r="I219" i="250" s="1"/>
  <c r="AO323" i="250"/>
  <c r="L164" i="250"/>
  <c r="G19" i="231"/>
  <c r="K474" i="250"/>
  <c r="F542" i="250"/>
  <c r="F553" i="250" s="1"/>
  <c r="F566" i="250" s="1"/>
  <c r="G2" i="250"/>
  <c r="J71" i="250"/>
  <c r="J70" i="250"/>
  <c r="E71" i="250"/>
  <c r="L71" i="250"/>
  <c r="H68" i="250"/>
  <c r="H65" i="250"/>
  <c r="I65" i="250"/>
  <c r="F13" i="250"/>
  <c r="F10" i="250"/>
  <c r="F543" i="250"/>
  <c r="F389" i="250"/>
  <c r="F567" i="250" s="1"/>
  <c r="L185" i="250"/>
  <c r="L25" i="250"/>
  <c r="L186" i="250"/>
  <c r="L23" i="250"/>
  <c r="L184" i="250"/>
  <c r="M57" i="250"/>
  <c r="L79" i="250"/>
  <c r="L132" i="250"/>
  <c r="L24" i="250"/>
  <c r="L133" i="250"/>
  <c r="L80" i="250"/>
  <c r="L131" i="250"/>
  <c r="L78" i="250"/>
  <c r="G13" i="250"/>
  <c r="G10" i="250"/>
  <c r="D222" i="250"/>
  <c r="E222" i="250"/>
  <c r="D174" i="250"/>
  <c r="D175" i="250" s="1"/>
  <c r="D171" i="250"/>
  <c r="M172" i="250"/>
  <c r="L170" i="250"/>
  <c r="L475" i="250"/>
  <c r="L176" i="250"/>
  <c r="L177" i="250" s="1"/>
  <c r="I546" i="250"/>
  <c r="I476" i="250"/>
  <c r="I570" i="250" s="1"/>
  <c r="L65" i="250"/>
  <c r="L68" i="250"/>
  <c r="L69" i="250" s="1"/>
  <c r="C121" i="250"/>
  <c r="C122" i="250" s="1"/>
  <c r="C118" i="250"/>
  <c r="F65" i="250"/>
  <c r="F68" i="250"/>
  <c r="G417" i="250"/>
  <c r="G568" i="250" s="1"/>
  <c r="G574" i="250" s="1"/>
  <c r="E417" i="250"/>
  <c r="E568" i="250" s="1"/>
  <c r="C16" i="250"/>
  <c r="G222" i="250"/>
  <c r="F222" i="250"/>
  <c r="N111" i="250"/>
  <c r="M123" i="250"/>
  <c r="I18" i="231"/>
  <c r="M445" i="250"/>
  <c r="M447" i="250" s="1"/>
  <c r="M121" i="250"/>
  <c r="J122" i="250"/>
  <c r="M64" i="250"/>
  <c r="N66" i="250"/>
  <c r="M70" i="250"/>
  <c r="M71" i="250" s="1"/>
  <c r="M416" i="250"/>
  <c r="C124" i="250"/>
  <c r="H417" i="250"/>
  <c r="H568" i="250" s="1"/>
  <c r="H574" i="250" s="1"/>
  <c r="D124" i="250"/>
  <c r="D8" i="250"/>
  <c r="C8" i="250"/>
  <c r="K113" i="250"/>
  <c r="D71" i="250"/>
  <c r="I124" i="250"/>
  <c r="H124" i="250"/>
  <c r="H16" i="250"/>
  <c r="I16" i="250"/>
  <c r="J546" i="250"/>
  <c r="J476" i="250"/>
  <c r="H174" i="250"/>
  <c r="H171" i="250"/>
  <c r="G171" i="250"/>
  <c r="G174" i="250"/>
  <c r="K174" i="250"/>
  <c r="K171" i="250"/>
  <c r="J545" i="250"/>
  <c r="J447" i="250"/>
  <c r="E175" i="250"/>
  <c r="J15" i="250"/>
  <c r="E16" i="250"/>
  <c r="F71" i="250"/>
  <c r="J7" i="250"/>
  <c r="C65" i="250"/>
  <c r="C68" i="250"/>
  <c r="C69" i="250" s="1"/>
  <c r="P73" i="250"/>
  <c r="C389" i="250"/>
  <c r="K177" i="250"/>
  <c r="I16" i="231"/>
  <c r="N3" i="250"/>
  <c r="M387" i="250"/>
  <c r="J170" i="250"/>
  <c r="K69" i="250"/>
  <c r="F16" i="250"/>
  <c r="H13" i="250"/>
  <c r="H10" i="250"/>
  <c r="I10" i="250"/>
  <c r="D447" i="250"/>
  <c r="D65" i="250"/>
  <c r="D68" i="250"/>
  <c r="E177" i="250"/>
  <c r="J176" i="250"/>
  <c r="J177" i="250"/>
  <c r="D63" i="250"/>
  <c r="E63" i="250"/>
  <c r="H118" i="250"/>
  <c r="H121" i="250"/>
  <c r="J121" i="250" s="1"/>
  <c r="G122" i="250" s="1"/>
  <c r="I118" i="250"/>
  <c r="J543" i="250"/>
  <c r="J389" i="250"/>
  <c r="I175" i="250"/>
  <c r="I171" i="250"/>
  <c r="J64" i="250"/>
  <c r="J65" i="250"/>
  <c r="E65" i="250"/>
  <c r="E68" i="250"/>
  <c r="J124" i="250"/>
  <c r="J123" i="250"/>
  <c r="E124" i="250"/>
  <c r="F124" i="250"/>
  <c r="K26" i="250"/>
  <c r="K166" i="250"/>
  <c r="T25" i="224"/>
  <c r="G40" i="228"/>
  <c r="M220" i="239"/>
  <c r="M223" i="239" s="1"/>
  <c r="N223" i="239" s="1"/>
  <c r="F9" i="227" s="1"/>
  <c r="G9" i="227" s="1"/>
  <c r="H9" i="227" s="1"/>
  <c r="L220" i="239"/>
  <c r="D39" i="224"/>
  <c r="D117" i="224" s="1"/>
  <c r="D177" i="259"/>
  <c r="M135" i="239"/>
  <c r="L135" i="239"/>
  <c r="M176" i="239"/>
  <c r="L176" i="239"/>
  <c r="M210" i="239"/>
  <c r="N210" i="239" s="1"/>
  <c r="F11" i="227" s="1"/>
  <c r="M177" i="239"/>
  <c r="L177" i="239"/>
  <c r="BJ32" i="204"/>
  <c r="B46" i="248"/>
  <c r="G15" i="248"/>
  <c r="N45" i="239"/>
  <c r="F5" i="227" s="1"/>
  <c r="L134" i="239"/>
  <c r="M168" i="239"/>
  <c r="N168" i="239" s="1"/>
  <c r="C210" i="229"/>
  <c r="C229" i="229" s="1"/>
  <c r="C248" i="229" s="1"/>
  <c r="C270" i="229" s="1"/>
  <c r="C291" i="229" s="1"/>
  <c r="C313" i="229" s="1"/>
  <c r="C335" i="229" s="1"/>
  <c r="B181" i="229"/>
  <c r="BR32" i="204"/>
  <c r="BZ32" i="204"/>
  <c r="M128" i="239"/>
  <c r="N128" i="239" s="1"/>
  <c r="F7" i="227" s="1"/>
  <c r="L94" i="239"/>
  <c r="CH32" i="204"/>
  <c r="K5" i="215"/>
  <c r="E6" i="222"/>
  <c r="D46" i="265" s="1"/>
  <c r="B104" i="229"/>
  <c r="C203" i="229"/>
  <c r="C222" i="229" s="1"/>
  <c r="C241" i="229" s="1"/>
  <c r="C263" i="229" s="1"/>
  <c r="C284" i="229" s="1"/>
  <c r="C306" i="229" s="1"/>
  <c r="C328" i="229" s="1"/>
  <c r="M96" i="239"/>
  <c r="L96" i="239"/>
  <c r="F4" i="221"/>
  <c r="E50" i="222"/>
  <c r="E61" i="222" s="1"/>
  <c r="M58" i="239"/>
  <c r="M87" i="239" s="1"/>
  <c r="L58" i="239"/>
  <c r="E57" i="260"/>
  <c r="D7" i="227"/>
  <c r="N7" i="227" s="1"/>
  <c r="J7" i="222"/>
  <c r="L80" i="239"/>
  <c r="M80" i="239"/>
  <c r="CP32" i="204"/>
  <c r="C204" i="229"/>
  <c r="C223" i="229" s="1"/>
  <c r="C242" i="229" s="1"/>
  <c r="C264" i="229" s="1"/>
  <c r="C285" i="229" s="1"/>
  <c r="C307" i="229" s="1"/>
  <c r="C329" i="229" s="1"/>
  <c r="B115" i="229"/>
  <c r="C206" i="229"/>
  <c r="C225" i="229" s="1"/>
  <c r="C244" i="229" s="1"/>
  <c r="C266" i="229" s="1"/>
  <c r="C287" i="229" s="1"/>
  <c r="C309" i="229" s="1"/>
  <c r="C331" i="229" s="1"/>
  <c r="B137" i="229"/>
  <c r="M19" i="239"/>
  <c r="L19" i="239"/>
  <c r="M16" i="239"/>
  <c r="M44" i="239" s="1"/>
  <c r="L16" i="239"/>
  <c r="M137" i="239"/>
  <c r="L137" i="239"/>
  <c r="BB32" i="204"/>
  <c r="N88" i="239"/>
  <c r="F6" i="227" s="1"/>
  <c r="B126" i="229"/>
  <c r="C205" i="229"/>
  <c r="C224" i="229" s="1"/>
  <c r="C243" i="229" s="1"/>
  <c r="C265" i="229" s="1"/>
  <c r="C286" i="229" s="1"/>
  <c r="C308" i="229" s="1"/>
  <c r="C330" i="229" s="1"/>
  <c r="M77" i="239"/>
  <c r="L77" i="239"/>
  <c r="AL32" i="204"/>
  <c r="B159" i="229"/>
  <c r="C208" i="229"/>
  <c r="C227" i="229" s="1"/>
  <c r="C246" i="229" s="1"/>
  <c r="C268" i="229" s="1"/>
  <c r="C289" i="229" s="1"/>
  <c r="C311" i="229" s="1"/>
  <c r="C333" i="229" s="1"/>
  <c r="M72" i="239"/>
  <c r="L72" i="239"/>
  <c r="M141" i="239"/>
  <c r="L141" i="239"/>
  <c r="E54" i="260"/>
  <c r="D5" i="227"/>
  <c r="J5" i="222"/>
  <c r="B148" i="229"/>
  <c r="C207" i="229"/>
  <c r="C226" i="229" s="1"/>
  <c r="C245" i="229" s="1"/>
  <c r="C267" i="229" s="1"/>
  <c r="C288" i="229" s="1"/>
  <c r="C310" i="229" s="1"/>
  <c r="C332" i="229" s="1"/>
  <c r="B45" i="248"/>
  <c r="G14" i="248"/>
  <c r="M162" i="239"/>
  <c r="L162" i="239"/>
  <c r="AT32" i="204"/>
  <c r="L109" i="239"/>
  <c r="M109" i="239"/>
  <c r="M127" i="239"/>
  <c r="D48" i="265"/>
  <c r="J5" i="217"/>
  <c r="C209" i="229"/>
  <c r="C228" i="229" s="1"/>
  <c r="C247" i="229" s="1"/>
  <c r="C269" i="229" s="1"/>
  <c r="C290" i="229" s="1"/>
  <c r="C312" i="229" s="1"/>
  <c r="C334" i="229" s="1"/>
  <c r="B170" i="229"/>
  <c r="I41" i="228"/>
  <c r="G41" i="228"/>
  <c r="H10" i="227"/>
  <c r="K10" i="227"/>
  <c r="G46" i="228"/>
  <c r="H43" i="228"/>
  <c r="G43" i="228"/>
  <c r="I45" i="228"/>
  <c r="G45" i="228"/>
  <c r="G44" i="228"/>
  <c r="G42" i="228"/>
  <c r="J175" i="250" a="1"/>
  <c r="S5" i="264" l="1"/>
  <c r="K5" i="264"/>
  <c r="F121" i="224"/>
  <c r="E123" i="224"/>
  <c r="J175" i="250"/>
  <c r="V2" i="251"/>
  <c r="H72" i="231"/>
  <c r="E108" i="251"/>
  <c r="E127" i="251"/>
  <c r="E135" i="251" s="1"/>
  <c r="E82" i="251"/>
  <c r="E34" i="257"/>
  <c r="E11" i="257"/>
  <c r="F9" i="257"/>
  <c r="S116" i="224"/>
  <c r="S38" i="259"/>
  <c r="S116" i="259" s="1"/>
  <c r="J116" i="224"/>
  <c r="J38" i="259"/>
  <c r="J116" i="259" s="1"/>
  <c r="Q38" i="259"/>
  <c r="Q116" i="259" s="1"/>
  <c r="Q116" i="224"/>
  <c r="E10" i="257"/>
  <c r="E35" i="257" s="1"/>
  <c r="E41" i="257" s="1"/>
  <c r="D12" i="257"/>
  <c r="L38" i="259"/>
  <c r="L116" i="259" s="1"/>
  <c r="L116" i="224"/>
  <c r="R38" i="259"/>
  <c r="R116" i="259" s="1"/>
  <c r="R116" i="224"/>
  <c r="G116" i="224"/>
  <c r="G38" i="259"/>
  <c r="G116" i="259" s="1"/>
  <c r="J65" i="261"/>
  <c r="J42" i="261"/>
  <c r="K4" i="261"/>
  <c r="P38" i="259"/>
  <c r="P116" i="259" s="1"/>
  <c r="P116" i="224"/>
  <c r="M116" i="224"/>
  <c r="M38" i="259"/>
  <c r="M116" i="259" s="1"/>
  <c r="O38" i="259"/>
  <c r="O116" i="259" s="1"/>
  <c r="O116" i="224"/>
  <c r="I38" i="259"/>
  <c r="I116" i="259" s="1"/>
  <c r="I116" i="224"/>
  <c r="F5" i="263"/>
  <c r="G3" i="263"/>
  <c r="K116" i="224"/>
  <c r="K38" i="259"/>
  <c r="K116" i="259" s="1"/>
  <c r="N116" i="224"/>
  <c r="N38" i="259"/>
  <c r="N116" i="259" s="1"/>
  <c r="I42" i="262"/>
  <c r="J5" i="262"/>
  <c r="G4" i="263"/>
  <c r="G941" i="263"/>
  <c r="G951" i="263" s="1"/>
  <c r="H2" i="263"/>
  <c r="F65" i="261"/>
  <c r="E4" i="261"/>
  <c r="E29" i="261" s="1"/>
  <c r="E30" i="261" s="1"/>
  <c r="F42" i="261"/>
  <c r="H38" i="259"/>
  <c r="H116" i="259" s="1"/>
  <c r="H116" i="224"/>
  <c r="E5" i="251"/>
  <c r="W3" i="251"/>
  <c r="AP3" i="251" s="1"/>
  <c r="E66" i="259"/>
  <c r="D67" i="259"/>
  <c r="H65" i="259"/>
  <c r="I121" i="259"/>
  <c r="F50" i="259"/>
  <c r="F7" i="259"/>
  <c r="F194" i="259"/>
  <c r="F6" i="259"/>
  <c r="F173" i="259" s="1"/>
  <c r="G5" i="259"/>
  <c r="F102" i="259"/>
  <c r="F171" i="259"/>
  <c r="E174" i="259"/>
  <c r="E8" i="259"/>
  <c r="E175" i="259" s="1"/>
  <c r="D123" i="259"/>
  <c r="E122" i="259"/>
  <c r="D41" i="229"/>
  <c r="E41" i="229" s="1"/>
  <c r="D60" i="229"/>
  <c r="D30" i="229"/>
  <c r="E30" i="229" s="1"/>
  <c r="B49" i="229"/>
  <c r="C198" i="229"/>
  <c r="C217" i="229" s="1"/>
  <c r="C236" i="229" s="1"/>
  <c r="C258" i="229" s="1"/>
  <c r="C279" i="229" s="1"/>
  <c r="C301" i="229" s="1"/>
  <c r="C323" i="229" s="1"/>
  <c r="D93" i="229"/>
  <c r="L98" i="229" s="1"/>
  <c r="D38" i="229"/>
  <c r="X43" i="229" s="1"/>
  <c r="D82" i="229"/>
  <c r="X87" i="229" s="1"/>
  <c r="D74" i="229"/>
  <c r="E74" i="229" s="1"/>
  <c r="D71" i="229"/>
  <c r="O76" i="229" s="1"/>
  <c r="D85" i="229"/>
  <c r="E85" i="229" s="1"/>
  <c r="D27" i="229"/>
  <c r="Y32" i="229" s="1"/>
  <c r="D63" i="229"/>
  <c r="E63" i="229" s="1"/>
  <c r="E4" i="251"/>
  <c r="D6" i="251"/>
  <c r="F4" i="244"/>
  <c r="E6" i="244"/>
  <c r="E8" i="244" s="1"/>
  <c r="F5" i="245"/>
  <c r="G3" i="245"/>
  <c r="X3" i="245"/>
  <c r="AQ3" i="245" s="1"/>
  <c r="AQ11" i="245" s="1"/>
  <c r="C15" i="241"/>
  <c r="C34" i="241" s="1"/>
  <c r="C42" i="241" s="1"/>
  <c r="C49" i="241" s="1"/>
  <c r="C57" i="241" s="1"/>
  <c r="C64" i="241" s="1"/>
  <c r="C72" i="241" s="1"/>
  <c r="C79" i="241" s="1"/>
  <c r="C87" i="241" s="1"/>
  <c r="C24" i="241"/>
  <c r="G54" i="253"/>
  <c r="H7" i="253"/>
  <c r="F4" i="245"/>
  <c r="E6" i="245"/>
  <c r="G3" i="243"/>
  <c r="F5" i="243"/>
  <c r="X3" i="243"/>
  <c r="AQ3" i="243" s="1"/>
  <c r="AQ11" i="243" s="1"/>
  <c r="J12" i="263"/>
  <c r="K10" i="263"/>
  <c r="K12" i="263" s="1"/>
  <c r="F5" i="246"/>
  <c r="G3" i="246"/>
  <c r="X3" i="246"/>
  <c r="AQ3" i="246" s="1"/>
  <c r="AQ11" i="246" s="1"/>
  <c r="F4" i="243"/>
  <c r="E6" i="243"/>
  <c r="E8" i="243" s="1"/>
  <c r="J810" i="263"/>
  <c r="K808" i="263"/>
  <c r="K810" i="263" s="1"/>
  <c r="E6" i="246"/>
  <c r="E8" i="246" s="1"/>
  <c r="F4" i="246"/>
  <c r="J145" i="263"/>
  <c r="K143" i="263"/>
  <c r="K145" i="263" s="1"/>
  <c r="H3" i="237"/>
  <c r="G5" i="237"/>
  <c r="Y3" i="237"/>
  <c r="AR3" i="237" s="1"/>
  <c r="AR11" i="237" s="1"/>
  <c r="D6" i="242"/>
  <c r="D8" i="242" s="1"/>
  <c r="E4" i="242"/>
  <c r="C53" i="235"/>
  <c r="C61" i="235" s="1"/>
  <c r="C73" i="235"/>
  <c r="F6" i="237"/>
  <c r="F8" i="237" s="1"/>
  <c r="G4" i="237"/>
  <c r="F3" i="242"/>
  <c r="E5" i="242"/>
  <c r="W3" i="242"/>
  <c r="AP3" i="242" s="1"/>
  <c r="AP11" i="242" s="1"/>
  <c r="D15" i="257"/>
  <c r="F6" i="265"/>
  <c r="G28" i="234"/>
  <c r="F26" i="265" s="1"/>
  <c r="F4" i="253"/>
  <c r="E6" i="253"/>
  <c r="E8" i="253" s="1"/>
  <c r="F5" i="244"/>
  <c r="G3" i="244"/>
  <c r="X3" i="244"/>
  <c r="AQ3" i="244" s="1"/>
  <c r="AQ11" i="244" s="1"/>
  <c r="B14" i="265"/>
  <c r="C26" i="234"/>
  <c r="F5" i="253"/>
  <c r="G3" i="253"/>
  <c r="F53" i="253"/>
  <c r="Z3" i="253"/>
  <c r="AU3" i="253" s="1"/>
  <c r="AU11" i="253" s="1"/>
  <c r="J5" i="252"/>
  <c r="I7" i="252"/>
  <c r="I9" i="252"/>
  <c r="I6" i="252"/>
  <c r="H8" i="252"/>
  <c r="M56" i="252"/>
  <c r="L57" i="252"/>
  <c r="CW8" i="204"/>
  <c r="G12" i="204"/>
  <c r="H11" i="204" s="1"/>
  <c r="H13" i="204" s="1"/>
  <c r="G8" i="204"/>
  <c r="G14" i="204"/>
  <c r="J276" i="263"/>
  <c r="I278" i="263"/>
  <c r="C54" i="235"/>
  <c r="C62" i="235" s="1"/>
  <c r="C74" i="235"/>
  <c r="C16" i="241"/>
  <c r="C35" i="241" s="1"/>
  <c r="C43" i="241" s="1"/>
  <c r="C50" i="241" s="1"/>
  <c r="C58" i="241" s="1"/>
  <c r="C65" i="241" s="1"/>
  <c r="C73" i="241" s="1"/>
  <c r="C80" i="241" s="1"/>
  <c r="C88" i="241" s="1"/>
  <c r="C25" i="241"/>
  <c r="C27" i="234"/>
  <c r="B15" i="265"/>
  <c r="C17" i="241"/>
  <c r="C36" i="241" s="1"/>
  <c r="C44" i="241" s="1"/>
  <c r="C51" i="241" s="1"/>
  <c r="C59" i="241" s="1"/>
  <c r="C66" i="241" s="1"/>
  <c r="C74" i="241" s="1"/>
  <c r="C81" i="241" s="1"/>
  <c r="C89" i="241" s="1"/>
  <c r="C26" i="241"/>
  <c r="C28" i="234"/>
  <c r="B16" i="265"/>
  <c r="C75" i="235"/>
  <c r="C55" i="235"/>
  <c r="C63" i="235" s="1"/>
  <c r="K409" i="263"/>
  <c r="K411" i="263" s="1"/>
  <c r="J411" i="263"/>
  <c r="G7" i="243"/>
  <c r="K14" i="230"/>
  <c r="C29" i="234"/>
  <c r="B17" i="265"/>
  <c r="G542" i="263"/>
  <c r="F544" i="263"/>
  <c r="C56" i="235"/>
  <c r="C64" i="235" s="1"/>
  <c r="C76" i="235"/>
  <c r="C27" i="241"/>
  <c r="C18" i="241"/>
  <c r="C37" i="241" s="1"/>
  <c r="C45" i="241" s="1"/>
  <c r="C52" i="241" s="1"/>
  <c r="C60" i="241" s="1"/>
  <c r="C67" i="241" s="1"/>
  <c r="C75" i="241" s="1"/>
  <c r="C82" i="241" s="1"/>
  <c r="C90" i="241" s="1"/>
  <c r="F7" i="244"/>
  <c r="G11" i="222"/>
  <c r="I9" i="222"/>
  <c r="E8" i="245"/>
  <c r="F7" i="245"/>
  <c r="F677" i="263"/>
  <c r="G675" i="263"/>
  <c r="H14" i="230"/>
  <c r="B31" i="231"/>
  <c r="T33" i="256"/>
  <c r="U24" i="256"/>
  <c r="F108" i="251"/>
  <c r="X3" i="251"/>
  <c r="F82" i="251"/>
  <c r="G3" i="251"/>
  <c r="F5" i="251"/>
  <c r="F127" i="251"/>
  <c r="F135" i="251" s="1"/>
  <c r="F120" i="251"/>
  <c r="I7" i="246"/>
  <c r="I7" i="242"/>
  <c r="H20" i="235"/>
  <c r="H24" i="235" s="1"/>
  <c r="J18" i="235"/>
  <c r="J22" i="235" s="1"/>
  <c r="Z35" i="237"/>
  <c r="AA35" i="237" s="1"/>
  <c r="AB35" i="237" s="1"/>
  <c r="AC35" i="237" s="1"/>
  <c r="AD35" i="237" s="1"/>
  <c r="AE35" i="237" s="1"/>
  <c r="AF35" i="237" s="1"/>
  <c r="AG35" i="237" s="1"/>
  <c r="AH35" i="237" s="1"/>
  <c r="AI35" i="237" s="1"/>
  <c r="AJ35" i="237" s="1"/>
  <c r="AK35" i="237" s="1"/>
  <c r="AL35" i="237" s="1"/>
  <c r="J44" i="241"/>
  <c r="Z25" i="243" s="1"/>
  <c r="AA25" i="243" s="1"/>
  <c r="AB25" i="243" s="1"/>
  <c r="AC25" i="243" s="1"/>
  <c r="AD25" i="243" s="1"/>
  <c r="AE25" i="243" s="1"/>
  <c r="AF25" i="243" s="1"/>
  <c r="AG25" i="243" s="1"/>
  <c r="AH25" i="243" s="1"/>
  <c r="AI25" i="243" s="1"/>
  <c r="AJ25" i="243" s="1"/>
  <c r="AK25" i="243" s="1"/>
  <c r="AL25" i="243" s="1"/>
  <c r="Y25" i="243"/>
  <c r="H7" i="237"/>
  <c r="I93" i="231"/>
  <c r="E22" i="248"/>
  <c r="D24" i="248"/>
  <c r="E23" i="248"/>
  <c r="F21" i="248"/>
  <c r="AC60" i="231"/>
  <c r="AA60" i="231"/>
  <c r="W78" i="231"/>
  <c r="S78" i="231"/>
  <c r="N78" i="231"/>
  <c r="O60" i="231"/>
  <c r="V78" i="231"/>
  <c r="Z60" i="231"/>
  <c r="O78" i="231"/>
  <c r="I86" i="231"/>
  <c r="I94" i="231" s="1"/>
  <c r="P78" i="231"/>
  <c r="AB60" i="231"/>
  <c r="R60" i="231"/>
  <c r="K60" i="231"/>
  <c r="N60" i="231"/>
  <c r="V60" i="231"/>
  <c r="S60" i="231"/>
  <c r="U78" i="231"/>
  <c r="U60" i="231"/>
  <c r="X78" i="231"/>
  <c r="Z78" i="231"/>
  <c r="AB78" i="231"/>
  <c r="T60" i="231"/>
  <c r="T78" i="231"/>
  <c r="Y78" i="231"/>
  <c r="R78" i="231"/>
  <c r="W60" i="231"/>
  <c r="Q60" i="231"/>
  <c r="Y60" i="231"/>
  <c r="AA78" i="231"/>
  <c r="P60" i="231"/>
  <c r="L60" i="231"/>
  <c r="J78" i="231"/>
  <c r="J86" i="231" s="1"/>
  <c r="J60" i="231"/>
  <c r="M78" i="231"/>
  <c r="J11" i="231"/>
  <c r="J75" i="231"/>
  <c r="J83" i="231" s="1"/>
  <c r="J91" i="231"/>
  <c r="X60" i="231"/>
  <c r="J29" i="231"/>
  <c r="I63" i="231"/>
  <c r="I81" i="231"/>
  <c r="I89" i="231" s="1"/>
  <c r="I79" i="231"/>
  <c r="I87" i="231" s="1"/>
  <c r="I61" i="231"/>
  <c r="I69" i="231" s="1"/>
  <c r="J27" i="231"/>
  <c r="K78" i="231"/>
  <c r="Q78" i="231"/>
  <c r="I82" i="231"/>
  <c r="I90" i="231" s="1"/>
  <c r="I64" i="231"/>
  <c r="I72" i="231" s="1"/>
  <c r="J30" i="231"/>
  <c r="M60" i="231"/>
  <c r="J24" i="231"/>
  <c r="I76" i="231"/>
  <c r="I84" i="231" s="1"/>
  <c r="I58" i="231"/>
  <c r="I66" i="231" s="1"/>
  <c r="K8" i="231"/>
  <c r="K10" i="231" s="1"/>
  <c r="K23" i="231"/>
  <c r="K57" i="231"/>
  <c r="K65" i="231" s="1"/>
  <c r="L6" i="231"/>
  <c r="L78" i="231"/>
  <c r="H66" i="231"/>
  <c r="J28" i="231"/>
  <c r="G563" i="250"/>
  <c r="H573" i="250"/>
  <c r="L388" i="250"/>
  <c r="L389" i="250" s="1"/>
  <c r="L9" i="250"/>
  <c r="M11" i="250"/>
  <c r="L15" i="250"/>
  <c r="L16" i="250" s="1"/>
  <c r="K476" i="250"/>
  <c r="I574" i="250"/>
  <c r="G576" i="250"/>
  <c r="I576" i="250"/>
  <c r="H576" i="250"/>
  <c r="G560" i="250"/>
  <c r="G573" i="250"/>
  <c r="I573" i="250"/>
  <c r="H560" i="250"/>
  <c r="F69" i="250"/>
  <c r="A12" i="230"/>
  <c r="A92" i="230"/>
  <c r="AS5" i="253"/>
  <c r="F21" i="262"/>
  <c r="G21" i="262" s="1"/>
  <c r="H21" i="262" s="1"/>
  <c r="I21" i="262" s="1"/>
  <c r="J21" i="262" s="1"/>
  <c r="K21" i="262" s="1"/>
  <c r="L21" i="262" s="1"/>
  <c r="M21" i="262" s="1"/>
  <c r="N21" i="262" s="1"/>
  <c r="O21" i="262" s="1"/>
  <c r="P21" i="262" s="1"/>
  <c r="Q21" i="262" s="1"/>
  <c r="R21" i="262" s="1"/>
  <c r="S21" i="262" s="1"/>
  <c r="T21" i="262" s="1"/>
  <c r="U21" i="262" s="1"/>
  <c r="L32" i="230"/>
  <c r="M30" i="230"/>
  <c r="K25" i="231"/>
  <c r="J59" i="231"/>
  <c r="J67" i="231" s="1"/>
  <c r="J77" i="231"/>
  <c r="J85" i="231" s="1"/>
  <c r="G15" i="262"/>
  <c r="H15" i="262" s="1"/>
  <c r="I15" i="262" s="1"/>
  <c r="J15" i="262" s="1"/>
  <c r="K15" i="262" s="1"/>
  <c r="L15" i="262" s="1"/>
  <c r="M15" i="262" s="1"/>
  <c r="N15" i="262" s="1"/>
  <c r="O15" i="262" s="1"/>
  <c r="P15" i="262" s="1"/>
  <c r="Q15" i="262" s="1"/>
  <c r="R15" i="262" s="1"/>
  <c r="S15" i="262" s="1"/>
  <c r="T15" i="262" s="1"/>
  <c r="U15" i="262" s="1"/>
  <c r="I40" i="228"/>
  <c r="I43" i="228"/>
  <c r="I42" i="228"/>
  <c r="I46" i="228"/>
  <c r="H42" i="228"/>
  <c r="H40" i="228"/>
  <c r="H69" i="231"/>
  <c r="I24" i="223"/>
  <c r="J41" i="228"/>
  <c r="H45" i="228"/>
  <c r="G4" i="256"/>
  <c r="G49" i="256" s="1"/>
  <c r="H44" i="228"/>
  <c r="H41" i="228"/>
  <c r="J42" i="228"/>
  <c r="J45" i="228"/>
  <c r="J46" i="228"/>
  <c r="AH22" i="223"/>
  <c r="AG22" i="223"/>
  <c r="L9" i="223"/>
  <c r="AJ22" i="223"/>
  <c r="AI22" i="223"/>
  <c r="J25" i="223"/>
  <c r="I26" i="198"/>
  <c r="F60" i="256"/>
  <c r="F53" i="256"/>
  <c r="F43" i="256"/>
  <c r="F45" i="256"/>
  <c r="F50" i="256"/>
  <c r="F40" i="256"/>
  <c r="F55" i="256"/>
  <c r="F51" i="256"/>
  <c r="F48" i="256"/>
  <c r="F61" i="256"/>
  <c r="F41" i="256"/>
  <c r="F46" i="256"/>
  <c r="F54" i="256"/>
  <c r="F62" i="256"/>
  <c r="F49" i="256"/>
  <c r="F56" i="256"/>
  <c r="F38" i="256"/>
  <c r="F52" i="256"/>
  <c r="F57" i="256"/>
  <c r="F47" i="256"/>
  <c r="F59" i="256"/>
  <c r="F44" i="256"/>
  <c r="F58" i="256"/>
  <c r="F39" i="256"/>
  <c r="F42" i="256"/>
  <c r="J44" i="228"/>
  <c r="J43" i="228"/>
  <c r="AM20" i="223"/>
  <c r="AL20" i="223"/>
  <c r="N4" i="223"/>
  <c r="AK20" i="223"/>
  <c r="AN20" i="223"/>
  <c r="M8" i="223"/>
  <c r="I70" i="231"/>
  <c r="D18" i="224"/>
  <c r="D18" i="259" s="1"/>
  <c r="D21" i="255"/>
  <c r="D48" i="255"/>
  <c r="K30" i="228"/>
  <c r="J24" i="223"/>
  <c r="G46" i="256"/>
  <c r="G54" i="256"/>
  <c r="G62" i="256"/>
  <c r="G50" i="256"/>
  <c r="G40" i="256"/>
  <c r="G47" i="256"/>
  <c r="G44" i="256"/>
  <c r="G45" i="256"/>
  <c r="G48" i="256"/>
  <c r="G53" i="256"/>
  <c r="H70" i="231"/>
  <c r="F10" i="252"/>
  <c r="D25" i="248"/>
  <c r="V1" i="251"/>
  <c r="H4" i="256"/>
  <c r="E7" i="263"/>
  <c r="D146" i="251"/>
  <c r="I5" i="223"/>
  <c r="G7" i="255"/>
  <c r="L29" i="223"/>
  <c r="M26" i="223"/>
  <c r="N26" i="223" s="1"/>
  <c r="O26" i="223" s="1"/>
  <c r="P26" i="223" s="1"/>
  <c r="G386" i="250"/>
  <c r="F503" i="250"/>
  <c r="F414" i="250"/>
  <c r="F444" i="250"/>
  <c r="F473" i="250"/>
  <c r="L134" i="250"/>
  <c r="L26" i="250"/>
  <c r="N118" i="250"/>
  <c r="P120" i="250"/>
  <c r="O117" i="250"/>
  <c r="P119" i="250"/>
  <c r="O446" i="250"/>
  <c r="M65" i="250"/>
  <c r="M68" i="250"/>
  <c r="M69" i="250" s="1"/>
  <c r="K62" i="250"/>
  <c r="K61" i="250"/>
  <c r="M184" i="250"/>
  <c r="N57" i="250"/>
  <c r="M23" i="250"/>
  <c r="M78" i="250"/>
  <c r="M132" i="250"/>
  <c r="M79" i="250"/>
  <c r="M185" i="250"/>
  <c r="M133" i="250"/>
  <c r="M24" i="250"/>
  <c r="M131" i="250"/>
  <c r="M186" i="250"/>
  <c r="M80" i="250"/>
  <c r="M25" i="250"/>
  <c r="J13" i="250"/>
  <c r="G14" i="250" s="1"/>
  <c r="E14" i="250"/>
  <c r="M124" i="250"/>
  <c r="L81" i="250"/>
  <c r="L187" i="250"/>
  <c r="F14" i="250"/>
  <c r="M164" i="250"/>
  <c r="M176" i="250" s="1"/>
  <c r="M177" i="250" s="1"/>
  <c r="H19" i="231"/>
  <c r="L474" i="250"/>
  <c r="L476" i="250" s="1"/>
  <c r="J69" i="250"/>
  <c r="J68" i="250"/>
  <c r="G69" i="250" s="1"/>
  <c r="E69" i="250"/>
  <c r="O111" i="250"/>
  <c r="J18" i="231"/>
  <c r="N123" i="250"/>
  <c r="N124" i="250" s="1"/>
  <c r="N445" i="250"/>
  <c r="N447" i="250" s="1"/>
  <c r="N121" i="250"/>
  <c r="N122" i="250" s="1"/>
  <c r="G542" i="250"/>
  <c r="G553" i="250" s="1"/>
  <c r="G566" i="250" s="1"/>
  <c r="H2" i="250"/>
  <c r="I217" i="250"/>
  <c r="AO341" i="250"/>
  <c r="AQ341" i="250" s="1"/>
  <c r="K167" i="250"/>
  <c r="H122" i="250"/>
  <c r="I122" i="250"/>
  <c r="H14" i="250"/>
  <c r="I14" i="250"/>
  <c r="H175" i="250"/>
  <c r="K219" i="250"/>
  <c r="I505" i="250"/>
  <c r="I558" i="250" s="1"/>
  <c r="I220" i="250"/>
  <c r="J220" i="250"/>
  <c r="J219" i="250"/>
  <c r="J505" i="250" s="1"/>
  <c r="K5" i="250"/>
  <c r="M122" i="250"/>
  <c r="H69" i="250"/>
  <c r="I69" i="250"/>
  <c r="K168" i="250"/>
  <c r="K115" i="250"/>
  <c r="K114" i="250"/>
  <c r="L113" i="250"/>
  <c r="D69" i="250"/>
  <c r="K175" i="250"/>
  <c r="L174" i="250"/>
  <c r="L175" i="250" s="1"/>
  <c r="L171" i="250"/>
  <c r="O58" i="250"/>
  <c r="J17" i="231"/>
  <c r="M415" i="250"/>
  <c r="M417" i="250" s="1"/>
  <c r="D122" i="250"/>
  <c r="O3" i="250"/>
  <c r="J16" i="231"/>
  <c r="N387" i="250"/>
  <c r="J174" i="250"/>
  <c r="G175" i="250" s="1"/>
  <c r="O66" i="250"/>
  <c r="N70" i="250"/>
  <c r="N71" i="250" s="1"/>
  <c r="N416" i="250"/>
  <c r="N64" i="250"/>
  <c r="M475" i="250"/>
  <c r="M170" i="250"/>
  <c r="N172" i="250"/>
  <c r="T187" i="259"/>
  <c r="K9" i="227"/>
  <c r="D39" i="259"/>
  <c r="D117" i="259" s="1"/>
  <c r="G5" i="227"/>
  <c r="K5" i="227" s="1"/>
  <c r="N44" i="239"/>
  <c r="L43" i="239"/>
  <c r="L86" i="239"/>
  <c r="N82" i="239"/>
  <c r="D137" i="229"/>
  <c r="D140" i="229"/>
  <c r="E140" i="229" s="1"/>
  <c r="BR40" i="204"/>
  <c r="N5" i="227"/>
  <c r="D159" i="229"/>
  <c r="D162" i="229"/>
  <c r="E162" i="229" s="1"/>
  <c r="E58" i="260"/>
  <c r="D8" i="227"/>
  <c r="N8" i="227" s="1"/>
  <c r="CP40" i="204"/>
  <c r="K98" i="229"/>
  <c r="J98" i="229"/>
  <c r="P98" i="229"/>
  <c r="R98" i="229"/>
  <c r="V94" i="229"/>
  <c r="V95" i="229" s="1"/>
  <c r="N98" i="229"/>
  <c r="Q98" i="229"/>
  <c r="T98" i="229"/>
  <c r="M98" i="229"/>
  <c r="S98" i="229"/>
  <c r="O98" i="229"/>
  <c r="S94" i="229"/>
  <c r="AK94" i="229"/>
  <c r="BA94" i="229"/>
  <c r="BI94" i="229"/>
  <c r="BQ94" i="229"/>
  <c r="CG94" i="229"/>
  <c r="CW94" i="229"/>
  <c r="DM94" i="229"/>
  <c r="DU94" i="229"/>
  <c r="EC94" i="229"/>
  <c r="Y94" i="229"/>
  <c r="AG94" i="229"/>
  <c r="AN94" i="229"/>
  <c r="AV94" i="229"/>
  <c r="BD94" i="229"/>
  <c r="BL94" i="229"/>
  <c r="BT94" i="229"/>
  <c r="CB94" i="229"/>
  <c r="CJ94" i="229"/>
  <c r="CR94" i="229"/>
  <c r="CZ94" i="229"/>
  <c r="DH94" i="229"/>
  <c r="DP94" i="229"/>
  <c r="DX94" i="229"/>
  <c r="EF94" i="229"/>
  <c r="L94" i="229"/>
  <c r="Z94" i="229"/>
  <c r="AI94" i="229"/>
  <c r="AT94" i="229"/>
  <c r="BE94" i="229"/>
  <c r="BO94" i="229"/>
  <c r="BZ94" i="229"/>
  <c r="CK94" i="229"/>
  <c r="CU94" i="229"/>
  <c r="DF94" i="229"/>
  <c r="DQ94" i="229"/>
  <c r="EA94" i="229"/>
  <c r="M94" i="229"/>
  <c r="AA94" i="229"/>
  <c r="AJ94" i="229"/>
  <c r="AU94" i="229"/>
  <c r="BF94" i="229"/>
  <c r="BP94" i="229"/>
  <c r="CA94" i="229"/>
  <c r="CL94" i="229"/>
  <c r="CV94" i="229"/>
  <c r="DG94" i="229"/>
  <c r="DR94" i="229"/>
  <c r="EB94" i="229"/>
  <c r="Q94" i="229"/>
  <c r="AE94" i="229"/>
  <c r="AO94" i="229"/>
  <c r="AY94" i="229"/>
  <c r="BJ94" i="229"/>
  <c r="BU94" i="229"/>
  <c r="CE94" i="229"/>
  <c r="CP94" i="229"/>
  <c r="DA94" i="229"/>
  <c r="DK94" i="229"/>
  <c r="DV94" i="229"/>
  <c r="EG94" i="229"/>
  <c r="I94" i="229"/>
  <c r="R94" i="229"/>
  <c r="AF94" i="229"/>
  <c r="AP94" i="229"/>
  <c r="AZ94" i="229"/>
  <c r="BK94" i="229"/>
  <c r="BV94" i="229"/>
  <c r="CF94" i="229"/>
  <c r="CQ94" i="229"/>
  <c r="DB94" i="229"/>
  <c r="DL94" i="229"/>
  <c r="DW94" i="229"/>
  <c r="EH94" i="229"/>
  <c r="U94" i="229"/>
  <c r="AQ94" i="229"/>
  <c r="BM94" i="229"/>
  <c r="CH94" i="229"/>
  <c r="DC94" i="229"/>
  <c r="DY94" i="229"/>
  <c r="W94" i="229"/>
  <c r="AR94" i="229"/>
  <c r="BN94" i="229"/>
  <c r="CI94" i="229"/>
  <c r="DD94" i="229"/>
  <c r="DZ94" i="229"/>
  <c r="AB94" i="229"/>
  <c r="AW94" i="229"/>
  <c r="BR94" i="229"/>
  <c r="CM94" i="229"/>
  <c r="DI94" i="229"/>
  <c r="ED94" i="229"/>
  <c r="AC94" i="229"/>
  <c r="AX94" i="229"/>
  <c r="BS94" i="229"/>
  <c r="CN94" i="229"/>
  <c r="DJ94" i="229"/>
  <c r="EE94" i="229"/>
  <c r="H94" i="229"/>
  <c r="AH94" i="229"/>
  <c r="BB94" i="229"/>
  <c r="BW94" i="229"/>
  <c r="CS94" i="229"/>
  <c r="DN94" i="229"/>
  <c r="J94" i="229"/>
  <c r="T94" i="229"/>
  <c r="BC94" i="229"/>
  <c r="BX94" i="229"/>
  <c r="CT94" i="229"/>
  <c r="DO94" i="229"/>
  <c r="BG94" i="229"/>
  <c r="BH94" i="229"/>
  <c r="CC94" i="229"/>
  <c r="CD94" i="229"/>
  <c r="O94" i="229"/>
  <c r="CX94" i="229"/>
  <c r="AM94" i="229"/>
  <c r="P94" i="229"/>
  <c r="CY94" i="229"/>
  <c r="X94" i="229"/>
  <c r="DT94" i="229"/>
  <c r="AL94" i="229"/>
  <c r="DS94" i="229"/>
  <c r="E56" i="260"/>
  <c r="D6" i="227"/>
  <c r="N6" i="227" s="1"/>
  <c r="J6" i="222"/>
  <c r="E236" i="239"/>
  <c r="L126" i="239"/>
  <c r="N127" i="239"/>
  <c r="AL40" i="204"/>
  <c r="X32" i="229"/>
  <c r="E27" i="229"/>
  <c r="S32" i="229"/>
  <c r="H32" i="229"/>
  <c r="P32" i="229"/>
  <c r="AD28" i="229"/>
  <c r="BJ28" i="229"/>
  <c r="CP28" i="229"/>
  <c r="DV28" i="229"/>
  <c r="AH28" i="229"/>
  <c r="BM28" i="229"/>
  <c r="CS28" i="229"/>
  <c r="DY28" i="229"/>
  <c r="AK28" i="229"/>
  <c r="CA28" i="229"/>
  <c r="DR28" i="229"/>
  <c r="AL28" i="229"/>
  <c r="CB28" i="229"/>
  <c r="DS28" i="229"/>
  <c r="AQ28" i="229"/>
  <c r="CF28" i="229"/>
  <c r="DW28" i="229"/>
  <c r="AG28" i="229"/>
  <c r="BW28" i="229"/>
  <c r="DM28" i="229"/>
  <c r="BN28" i="229"/>
  <c r="X28" i="229"/>
  <c r="CJ28" i="229"/>
  <c r="AX28" i="229"/>
  <c r="EE28" i="229"/>
  <c r="CO28" i="229"/>
  <c r="AI28" i="229"/>
  <c r="DO28" i="229"/>
  <c r="BY28" i="229"/>
  <c r="O28" i="229"/>
  <c r="AN28" i="229"/>
  <c r="BH28" i="229"/>
  <c r="M209" i="239"/>
  <c r="L208" i="239" s="1"/>
  <c r="BB40" i="204"/>
  <c r="D148" i="229"/>
  <c r="D151" i="229"/>
  <c r="E151" i="229" s="1"/>
  <c r="G7" i="227"/>
  <c r="D181" i="229"/>
  <c r="D184" i="229"/>
  <c r="E184" i="229" s="1"/>
  <c r="BJ40" i="204"/>
  <c r="U87" i="229"/>
  <c r="BJ83" i="229"/>
  <c r="L83" i="229"/>
  <c r="CI83" i="229"/>
  <c r="AI83" i="229"/>
  <c r="DR83" i="229"/>
  <c r="BG83" i="229"/>
  <c r="AC83" i="229"/>
  <c r="BI83" i="229"/>
  <c r="BL83" i="229"/>
  <c r="BM83" i="229"/>
  <c r="BP83" i="229"/>
  <c r="BQ83" i="229"/>
  <c r="AN83" i="229"/>
  <c r="M83" i="229"/>
  <c r="D170" i="229"/>
  <c r="D173" i="229"/>
  <c r="E173" i="229" s="1"/>
  <c r="AT40" i="204"/>
  <c r="D115" i="229"/>
  <c r="D118" i="229"/>
  <c r="E118" i="229" s="1"/>
  <c r="T76" i="229"/>
  <c r="K76" i="229"/>
  <c r="BH72" i="229"/>
  <c r="BP72" i="229"/>
  <c r="DT72" i="229"/>
  <c r="EB72" i="229"/>
  <c r="BA72" i="229"/>
  <c r="BI72" i="229"/>
  <c r="DM72" i="229"/>
  <c r="DU72" i="229"/>
  <c r="AM72" i="229"/>
  <c r="AU72" i="229"/>
  <c r="CY72" i="229"/>
  <c r="DG72" i="229"/>
  <c r="Y72" i="229"/>
  <c r="AG72" i="229"/>
  <c r="CJ72" i="229"/>
  <c r="CR72" i="229"/>
  <c r="N76" i="229"/>
  <c r="R72" i="229"/>
  <c r="BV72" i="229"/>
  <c r="CD72" i="229"/>
  <c r="EH72" i="229"/>
  <c r="P76" i="229"/>
  <c r="AL72" i="229"/>
  <c r="BG72" i="229"/>
  <c r="BJ72" i="229"/>
  <c r="CE72" i="229"/>
  <c r="CK72" i="229"/>
  <c r="DF72" i="229"/>
  <c r="BB72" i="229"/>
  <c r="CS72" i="229"/>
  <c r="AE72" i="229"/>
  <c r="BU72" i="229"/>
  <c r="X72" i="229"/>
  <c r="L72" i="229"/>
  <c r="E11" i="222"/>
  <c r="D126" i="229"/>
  <c r="D129" i="229"/>
  <c r="E129" i="229" s="1"/>
  <c r="E13" i="222"/>
  <c r="D56" i="265" s="1"/>
  <c r="D63" i="265" s="1"/>
  <c r="F28" i="221"/>
  <c r="F29" i="221" s="1"/>
  <c r="E23" i="198" s="1"/>
  <c r="G4" i="221"/>
  <c r="D104" i="229"/>
  <c r="D107" i="229"/>
  <c r="E107" i="229" s="1"/>
  <c r="H62" i="229"/>
  <c r="E60" i="229"/>
  <c r="J61" i="229"/>
  <c r="N61" i="229"/>
  <c r="AA61" i="229"/>
  <c r="AI61" i="229"/>
  <c r="AP61" i="229"/>
  <c r="AX61" i="229"/>
  <c r="BF61" i="229"/>
  <c r="BN61" i="229"/>
  <c r="BV61" i="229"/>
  <c r="CD61" i="229"/>
  <c r="CL61" i="229"/>
  <c r="CT61" i="229"/>
  <c r="DB61" i="229"/>
  <c r="DJ61" i="229"/>
  <c r="DR61" i="229"/>
  <c r="DZ61" i="229"/>
  <c r="EH61" i="229"/>
  <c r="K61" i="229"/>
  <c r="O61" i="229"/>
  <c r="AD61" i="229"/>
  <c r="AK61" i="229"/>
  <c r="AS61" i="229"/>
  <c r="BA61" i="229"/>
  <c r="BI61" i="229"/>
  <c r="BQ61" i="229"/>
  <c r="BY61" i="229"/>
  <c r="CG61" i="229"/>
  <c r="CO61" i="229"/>
  <c r="CW61" i="229"/>
  <c r="DE61" i="229"/>
  <c r="DM61" i="229"/>
  <c r="DU61" i="229"/>
  <c r="EC61" i="229"/>
  <c r="I61" i="229"/>
  <c r="R61" i="229"/>
  <c r="AE61" i="229"/>
  <c r="AN61" i="229"/>
  <c r="AY61" i="229"/>
  <c r="BJ61" i="229"/>
  <c r="BT61" i="229"/>
  <c r="CE61" i="229"/>
  <c r="CP61" i="229"/>
  <c r="CZ61" i="229"/>
  <c r="DK61" i="229"/>
  <c r="DV61" i="229"/>
  <c r="EF61" i="229"/>
  <c r="M61" i="229"/>
  <c r="S61" i="229"/>
  <c r="AF61" i="229"/>
  <c r="AO61" i="229"/>
  <c r="AZ61" i="229"/>
  <c r="BK61" i="229"/>
  <c r="BU61" i="229"/>
  <c r="CF61" i="229"/>
  <c r="CQ61" i="229"/>
  <c r="DA61" i="229"/>
  <c r="DL61" i="229"/>
  <c r="DW61" i="229"/>
  <c r="EG61" i="229"/>
  <c r="H61" i="229"/>
  <c r="Y61" i="229"/>
  <c r="AJ61" i="229"/>
  <c r="AT61" i="229"/>
  <c r="BD61" i="229"/>
  <c r="BO61" i="229"/>
  <c r="BZ61" i="229"/>
  <c r="CJ61" i="229"/>
  <c r="CU61" i="229"/>
  <c r="DF61" i="229"/>
  <c r="DP61" i="229"/>
  <c r="EA61" i="229"/>
  <c r="P61" i="229"/>
  <c r="Z61" i="229"/>
  <c r="T61" i="229"/>
  <c r="AU61" i="229"/>
  <c r="BE61" i="229"/>
  <c r="BP61" i="229"/>
  <c r="CA61" i="229"/>
  <c r="CK61" i="229"/>
  <c r="CV61" i="229"/>
  <c r="DG61" i="229"/>
  <c r="DQ61" i="229"/>
  <c r="EB61" i="229"/>
  <c r="Q61" i="229"/>
  <c r="AL61" i="229"/>
  <c r="BG61" i="229"/>
  <c r="CB61" i="229"/>
  <c r="CX61" i="229"/>
  <c r="DS61" i="229"/>
  <c r="AM61" i="229"/>
  <c r="BH61" i="229"/>
  <c r="CC61" i="229"/>
  <c r="CY61" i="229"/>
  <c r="DT61" i="229"/>
  <c r="X61" i="229"/>
  <c r="U61" i="229"/>
  <c r="AQ61" i="229"/>
  <c r="BL61" i="229"/>
  <c r="CH61" i="229"/>
  <c r="DC61" i="229"/>
  <c r="DX61" i="229"/>
  <c r="W61" i="229"/>
  <c r="AR61" i="229"/>
  <c r="BM61" i="229"/>
  <c r="CI61" i="229"/>
  <c r="DD61" i="229"/>
  <c r="DY61" i="229"/>
  <c r="AB61" i="229"/>
  <c r="AV61" i="229"/>
  <c r="BR61" i="229"/>
  <c r="CM61" i="229"/>
  <c r="DH61" i="229"/>
  <c r="ED61" i="229"/>
  <c r="L61" i="229"/>
  <c r="AC61" i="229"/>
  <c r="AW61" i="229"/>
  <c r="BS61" i="229"/>
  <c r="CN61" i="229"/>
  <c r="DI61" i="229"/>
  <c r="EE61" i="229"/>
  <c r="AG61" i="229"/>
  <c r="DN61" i="229"/>
  <c r="AH61" i="229"/>
  <c r="DO61" i="229"/>
  <c r="BB61" i="229"/>
  <c r="BC61" i="229"/>
  <c r="BW61" i="229"/>
  <c r="BX61" i="229"/>
  <c r="CS61" i="229"/>
  <c r="CR61" i="229"/>
  <c r="CH40" i="204"/>
  <c r="BZ40" i="204"/>
  <c r="M167" i="239"/>
  <c r="L166" i="239" s="1"/>
  <c r="D15" i="228"/>
  <c r="L9" i="227"/>
  <c r="M9" i="227"/>
  <c r="D16" i="228"/>
  <c r="M10" i="227"/>
  <c r="L10" i="227"/>
  <c r="F123" i="224" l="1"/>
  <c r="G121" i="224"/>
  <c r="BA83" i="229"/>
  <c r="AW83" i="229"/>
  <c r="EA83" i="229"/>
  <c r="CA83" i="229"/>
  <c r="T87" i="229"/>
  <c r="BU83" i="229"/>
  <c r="CJ83" i="229"/>
  <c r="AK83" i="229"/>
  <c r="AJ83" i="229"/>
  <c r="AH83" i="229"/>
  <c r="AG83" i="229"/>
  <c r="AD83" i="229"/>
  <c r="DS83" i="229"/>
  <c r="AQ83" i="229"/>
  <c r="CT83" i="229"/>
  <c r="N83" i="229"/>
  <c r="BS83" i="229"/>
  <c r="DV83" i="229"/>
  <c r="AL83" i="229"/>
  <c r="Y87" i="229"/>
  <c r="DZ39" i="229"/>
  <c r="DQ83" i="229"/>
  <c r="AZ83" i="229"/>
  <c r="AV83" i="229"/>
  <c r="DJ83" i="229"/>
  <c r="AT83" i="229"/>
  <c r="DP83" i="229"/>
  <c r="W83" i="229"/>
  <c r="S83" i="229"/>
  <c r="S87" i="229"/>
  <c r="Q83" i="229"/>
  <c r="Q87" i="229"/>
  <c r="DT83" i="229"/>
  <c r="DK83" i="229"/>
  <c r="T83" i="229"/>
  <c r="CD83" i="229"/>
  <c r="I87" i="229"/>
  <c r="BK83" i="229"/>
  <c r="DF83" i="229"/>
  <c r="AE83" i="229"/>
  <c r="E82" i="229"/>
  <c r="BU39" i="229"/>
  <c r="EF83" i="229"/>
  <c r="BD83" i="229"/>
  <c r="X83" i="229"/>
  <c r="K83" i="229"/>
  <c r="K87" i="229"/>
  <c r="I83" i="229"/>
  <c r="DU83" i="229"/>
  <c r="DD83" i="229"/>
  <c r="DC83" i="229"/>
  <c r="R87" i="229"/>
  <c r="BV83" i="229"/>
  <c r="EE83" i="229"/>
  <c r="AU83" i="229"/>
  <c r="CX83" i="229"/>
  <c r="U83" i="229"/>
  <c r="H84" i="229"/>
  <c r="H85" i="229" s="1"/>
  <c r="H201" i="229" s="1"/>
  <c r="V39" i="229"/>
  <c r="BT83" i="229"/>
  <c r="DA83" i="229"/>
  <c r="EC83" i="229"/>
  <c r="EB83" i="229"/>
  <c r="DY83" i="229"/>
  <c r="DH83" i="229"/>
  <c r="DE83" i="229"/>
  <c r="CN83" i="229"/>
  <c r="CU83" i="229"/>
  <c r="H87" i="229"/>
  <c r="BN83" i="229"/>
  <c r="DW83" i="229"/>
  <c r="AF83" i="229"/>
  <c r="CP83" i="229"/>
  <c r="P87" i="229"/>
  <c r="AB39" i="229"/>
  <c r="M87" i="229"/>
  <c r="AO83" i="229"/>
  <c r="DM83" i="229"/>
  <c r="DL83" i="229"/>
  <c r="CS83" i="229"/>
  <c r="CR83" i="229"/>
  <c r="CO83" i="229"/>
  <c r="BX83" i="229"/>
  <c r="CE83" i="229"/>
  <c r="EH83" i="229"/>
  <c r="BF83" i="229"/>
  <c r="DG83" i="229"/>
  <c r="V83" i="229"/>
  <c r="CH83" i="229"/>
  <c r="J83" i="229"/>
  <c r="DT39" i="229"/>
  <c r="Y83" i="229"/>
  <c r="AS83" i="229"/>
  <c r="AY83" i="229"/>
  <c r="R83" i="229"/>
  <c r="J87" i="229"/>
  <c r="EG83" i="229"/>
  <c r="CZ83" i="229"/>
  <c r="CW83" i="229"/>
  <c r="CF83" i="229"/>
  <c r="CC83" i="229"/>
  <c r="CB83" i="229"/>
  <c r="BY83" i="229"/>
  <c r="BH83" i="229"/>
  <c r="BO83" i="229"/>
  <c r="DZ83" i="229"/>
  <c r="AX83" i="229"/>
  <c r="CQ83" i="229"/>
  <c r="P83" i="229"/>
  <c r="BZ83" i="229"/>
  <c r="V87" i="229"/>
  <c r="H43" i="229"/>
  <c r="W2" i="251"/>
  <c r="DU28" i="229"/>
  <c r="AF28" i="229"/>
  <c r="CT28" i="229"/>
  <c r="BT28" i="229"/>
  <c r="AB28" i="229"/>
  <c r="DZ28" i="229"/>
  <c r="DC28" i="229"/>
  <c r="R28" i="229"/>
  <c r="BV28" i="229"/>
  <c r="DH28" i="229"/>
  <c r="AA28" i="229"/>
  <c r="BP28" i="229"/>
  <c r="DQ28" i="229"/>
  <c r="BE28" i="229"/>
  <c r="DN28" i="229"/>
  <c r="BB28" i="229"/>
  <c r="N32" i="229"/>
  <c r="O32" i="229"/>
  <c r="U32" i="229"/>
  <c r="AO28" i="229"/>
  <c r="DP28" i="229"/>
  <c r="BX28" i="229"/>
  <c r="AY28" i="229"/>
  <c r="EA28" i="229"/>
  <c r="DD28" i="229"/>
  <c r="CR28" i="229"/>
  <c r="H28" i="229"/>
  <c r="BK28" i="229"/>
  <c r="CW28" i="229"/>
  <c r="M28" i="229"/>
  <c r="BF28" i="229"/>
  <c r="DI28" i="229"/>
  <c r="AW28" i="229"/>
  <c r="DF28" i="229"/>
  <c r="AT28" i="229"/>
  <c r="L32" i="229"/>
  <c r="K32" i="229"/>
  <c r="T32" i="229"/>
  <c r="AR83" i="229"/>
  <c r="CM83" i="229"/>
  <c r="AB83" i="229"/>
  <c r="DB83" i="229"/>
  <c r="AP83" i="229"/>
  <c r="DO83" i="229"/>
  <c r="BC83" i="229"/>
  <c r="ED83" i="229"/>
  <c r="BR83" i="229"/>
  <c r="L87" i="229"/>
  <c r="W87" i="229"/>
  <c r="DT28" i="229"/>
  <c r="CU28" i="229"/>
  <c r="BC28" i="229"/>
  <c r="AC28" i="229"/>
  <c r="DE28" i="229"/>
  <c r="CI28" i="229"/>
  <c r="CG28" i="229"/>
  <c r="EH28" i="229"/>
  <c r="AZ28" i="229"/>
  <c r="CM28" i="229"/>
  <c r="EB28" i="229"/>
  <c r="AU28" i="229"/>
  <c r="DA28" i="229"/>
  <c r="AP28" i="229"/>
  <c r="CX28" i="229"/>
  <c r="AM28" i="229"/>
  <c r="J32" i="229"/>
  <c r="H29" i="229"/>
  <c r="BE83" i="229"/>
  <c r="CK83" i="229"/>
  <c r="CG83" i="229"/>
  <c r="CV83" i="229"/>
  <c r="DI83" i="229"/>
  <c r="DX83" i="229"/>
  <c r="H83" i="229"/>
  <c r="O83" i="229"/>
  <c r="O87" i="229"/>
  <c r="BW83" i="229"/>
  <c r="N87" i="229"/>
  <c r="CL83" i="229"/>
  <c r="AA83" i="229"/>
  <c r="CY83" i="229"/>
  <c r="AM83" i="229"/>
  <c r="DN83" i="229"/>
  <c r="BB83" i="229"/>
  <c r="CD28" i="229"/>
  <c r="CZ28" i="229"/>
  <c r="BD28" i="229"/>
  <c r="I28" i="229"/>
  <c r="DJ28" i="229"/>
  <c r="BO28" i="229"/>
  <c r="AR28" i="229"/>
  <c r="BL28" i="229"/>
  <c r="DL28" i="229"/>
  <c r="AE28" i="229"/>
  <c r="BQ28" i="229"/>
  <c r="DG28" i="229"/>
  <c r="Y28" i="229"/>
  <c r="CK28" i="229"/>
  <c r="W28" i="229"/>
  <c r="CH28" i="229"/>
  <c r="S28" i="229"/>
  <c r="M32" i="229"/>
  <c r="W32" i="229"/>
  <c r="BI28" i="229"/>
  <c r="P28" i="229"/>
  <c r="AJ28" i="229"/>
  <c r="EF28" i="229"/>
  <c r="CN28" i="229"/>
  <c r="AS28" i="229"/>
  <c r="U28" i="229"/>
  <c r="BA28" i="229"/>
  <c r="DB28" i="229"/>
  <c r="Q28" i="229"/>
  <c r="BG28" i="229"/>
  <c r="CV28" i="229"/>
  <c r="L28" i="229"/>
  <c r="CC28" i="229"/>
  <c r="N28" i="229"/>
  <c r="BZ28" i="229"/>
  <c r="K28" i="229"/>
  <c r="Q32" i="229"/>
  <c r="V32" i="229"/>
  <c r="CE28" i="229"/>
  <c r="CY28" i="229"/>
  <c r="J28" i="229"/>
  <c r="DK28" i="229"/>
  <c r="BS28" i="229"/>
  <c r="V28" i="229"/>
  <c r="DX28" i="229"/>
  <c r="T28" i="229"/>
  <c r="CQ28" i="229"/>
  <c r="EC28" i="229"/>
  <c r="AV28" i="229"/>
  <c r="CL28" i="229"/>
  <c r="EG28" i="229"/>
  <c r="BU28" i="229"/>
  <c r="ED28" i="229"/>
  <c r="BR28" i="229"/>
  <c r="R32" i="229"/>
  <c r="I32" i="229"/>
  <c r="E6" i="251"/>
  <c r="V86" i="231"/>
  <c r="CO94" i="229"/>
  <c r="AD94" i="229"/>
  <c r="I98" i="229"/>
  <c r="H95" i="229"/>
  <c r="CE39" i="229"/>
  <c r="H4" i="263"/>
  <c r="H941" i="263"/>
  <c r="H951" i="263" s="1"/>
  <c r="I2" i="263"/>
  <c r="N94" i="229"/>
  <c r="BY94" i="229"/>
  <c r="K94" i="229"/>
  <c r="E93" i="229"/>
  <c r="H98" i="229"/>
  <c r="BD39" i="229"/>
  <c r="H3" i="263"/>
  <c r="G5" i="263"/>
  <c r="K5" i="262"/>
  <c r="J42" i="262"/>
  <c r="K42" i="261"/>
  <c r="L4" i="261"/>
  <c r="K65" i="261"/>
  <c r="F11" i="257"/>
  <c r="G9" i="257"/>
  <c r="F34" i="257"/>
  <c r="DE94" i="229"/>
  <c r="AS94" i="229"/>
  <c r="U98" i="229"/>
  <c r="AE39" i="229"/>
  <c r="E12" i="257"/>
  <c r="E15" i="257" s="1"/>
  <c r="F10" i="257"/>
  <c r="F35" i="257" s="1"/>
  <c r="F41" i="257" s="1"/>
  <c r="F4" i="251"/>
  <c r="F6" i="251" s="1"/>
  <c r="G8" i="227"/>
  <c r="K8" i="227" s="1"/>
  <c r="P86" i="231"/>
  <c r="S86" i="231"/>
  <c r="F8" i="259"/>
  <c r="F175" i="259" s="1"/>
  <c r="F174" i="259"/>
  <c r="J121" i="259"/>
  <c r="I65" i="259"/>
  <c r="G171" i="259"/>
  <c r="H5" i="259"/>
  <c r="G102" i="259"/>
  <c r="G7" i="259"/>
  <c r="G194" i="259"/>
  <c r="G50" i="259"/>
  <c r="G6" i="259"/>
  <c r="G173" i="259" s="1"/>
  <c r="F122" i="259"/>
  <c r="E123" i="259"/>
  <c r="F66" i="259"/>
  <c r="E67" i="259"/>
  <c r="CL39" i="229"/>
  <c r="CJ39" i="229"/>
  <c r="BA39" i="229"/>
  <c r="I43" i="229"/>
  <c r="W43" i="229"/>
  <c r="AU39" i="229"/>
  <c r="EE39" i="229"/>
  <c r="DE39" i="229"/>
  <c r="AS39" i="229"/>
  <c r="EG39" i="229"/>
  <c r="CY39" i="229"/>
  <c r="BY39" i="229"/>
  <c r="O43" i="229"/>
  <c r="BO39" i="229"/>
  <c r="DA39" i="229"/>
  <c r="BS39" i="229"/>
  <c r="T39" i="229"/>
  <c r="AI39" i="229"/>
  <c r="EH39" i="229"/>
  <c r="AC39" i="229"/>
  <c r="DN39" i="229"/>
  <c r="CN39" i="229"/>
  <c r="W39" i="229"/>
  <c r="BG39" i="229"/>
  <c r="DP39" i="229"/>
  <c r="CH39" i="229"/>
  <c r="BH39" i="229"/>
  <c r="T43" i="229"/>
  <c r="P43" i="229"/>
  <c r="BV39" i="229"/>
  <c r="BF39" i="229"/>
  <c r="DC39" i="229"/>
  <c r="CS39" i="229"/>
  <c r="N39" i="229"/>
  <c r="CB39" i="229"/>
  <c r="DW39" i="229"/>
  <c r="BK39" i="229"/>
  <c r="DF39" i="229"/>
  <c r="AM39" i="229"/>
  <c r="CW39" i="229"/>
  <c r="R43" i="229"/>
  <c r="CF39" i="229"/>
  <c r="BB39" i="229"/>
  <c r="AK39" i="229"/>
  <c r="Y39" i="229"/>
  <c r="Q43" i="229"/>
  <c r="V43" i="229"/>
  <c r="DB39" i="229"/>
  <c r="DS39" i="229"/>
  <c r="J39" i="229"/>
  <c r="BW39" i="229"/>
  <c r="CK39" i="229"/>
  <c r="EF39" i="229"/>
  <c r="BT39" i="229"/>
  <c r="DO39" i="229"/>
  <c r="BC39" i="229"/>
  <c r="CX39" i="229"/>
  <c r="U39" i="229"/>
  <c r="CO39" i="229"/>
  <c r="H39" i="229"/>
  <c r="BX39" i="229"/>
  <c r="AT39" i="229"/>
  <c r="AD39" i="229"/>
  <c r="Q39" i="229"/>
  <c r="M39" i="229"/>
  <c r="U43" i="229"/>
  <c r="U45" i="229" s="1"/>
  <c r="U235" i="229" s="1"/>
  <c r="AF39" i="229"/>
  <c r="CM39" i="229"/>
  <c r="DK39" i="229"/>
  <c r="AG39" i="229"/>
  <c r="CC39" i="229"/>
  <c r="DX39" i="229"/>
  <c r="BL39" i="229"/>
  <c r="DG39" i="229"/>
  <c r="AN39" i="229"/>
  <c r="CP39" i="229"/>
  <c r="L43" i="229"/>
  <c r="CG39" i="229"/>
  <c r="EB39" i="229"/>
  <c r="BP39" i="229"/>
  <c r="AL39" i="229"/>
  <c r="S43" i="229"/>
  <c r="M43" i="229"/>
  <c r="J43" i="229"/>
  <c r="H40" i="229"/>
  <c r="H41" i="229" s="1"/>
  <c r="H197" i="229" s="1"/>
  <c r="CT39" i="229"/>
  <c r="I39" i="229"/>
  <c r="AV39" i="229"/>
  <c r="DY39" i="229"/>
  <c r="BM39" i="229"/>
  <c r="DH39" i="229"/>
  <c r="AQ39" i="229"/>
  <c r="CQ39" i="229"/>
  <c r="L39" i="229"/>
  <c r="BZ39" i="229"/>
  <c r="EC39" i="229"/>
  <c r="BQ39" i="229"/>
  <c r="DL39" i="229"/>
  <c r="AY39" i="229"/>
  <c r="S39" i="229"/>
  <c r="K39" i="229"/>
  <c r="AW39" i="229"/>
  <c r="Y43" i="229"/>
  <c r="EA39" i="229"/>
  <c r="BN39" i="229"/>
  <c r="X39" i="229"/>
  <c r="DJ39" i="229"/>
  <c r="DQ39" i="229"/>
  <c r="BE39" i="229"/>
  <c r="CZ39" i="229"/>
  <c r="AA39" i="229"/>
  <c r="CI39" i="229"/>
  <c r="ED39" i="229"/>
  <c r="BR39" i="229"/>
  <c r="DU39" i="229"/>
  <c r="BI39" i="229"/>
  <c r="DD39" i="229"/>
  <c r="AJ39" i="229"/>
  <c r="O39" i="229"/>
  <c r="AX39" i="229"/>
  <c r="AO39" i="229"/>
  <c r="E38" i="229"/>
  <c r="CU39" i="229"/>
  <c r="P39" i="229"/>
  <c r="DR39" i="229"/>
  <c r="CD39" i="229"/>
  <c r="DI39" i="229"/>
  <c r="AR39" i="229"/>
  <c r="CR39" i="229"/>
  <c r="N43" i="229"/>
  <c r="CA39" i="229"/>
  <c r="DV39" i="229"/>
  <c r="BJ39" i="229"/>
  <c r="DM39" i="229"/>
  <c r="AZ39" i="229"/>
  <c r="CV39" i="229"/>
  <c r="R39" i="229"/>
  <c r="K43" i="229"/>
  <c r="AP39" i="229"/>
  <c r="AH39" i="229"/>
  <c r="I76" i="229"/>
  <c r="DI72" i="229"/>
  <c r="N72" i="229"/>
  <c r="BO72" i="229"/>
  <c r="AO72" i="229"/>
  <c r="Q72" i="229"/>
  <c r="DZ72" i="229"/>
  <c r="BN72" i="229"/>
  <c r="H72" i="229"/>
  <c r="CB72" i="229"/>
  <c r="Q76" i="229"/>
  <c r="CQ72" i="229"/>
  <c r="AF72" i="229"/>
  <c r="DE72" i="229"/>
  <c r="AS72" i="229"/>
  <c r="DL72" i="229"/>
  <c r="AZ72" i="229"/>
  <c r="H73" i="229"/>
  <c r="H74" i="229" s="1"/>
  <c r="H200" i="229" s="1"/>
  <c r="DY72" i="229"/>
  <c r="ED72" i="229"/>
  <c r="BR72" i="229"/>
  <c r="EG72" i="229"/>
  <c r="AT72" i="229"/>
  <c r="R76" i="229"/>
  <c r="DQ72" i="229"/>
  <c r="DR72" i="229"/>
  <c r="BF72" i="229"/>
  <c r="EF72" i="229"/>
  <c r="BT72" i="229"/>
  <c r="M72" i="229"/>
  <c r="CI72" i="229"/>
  <c r="W72" i="229"/>
  <c r="CW72" i="229"/>
  <c r="AK72" i="229"/>
  <c r="DD72" i="229"/>
  <c r="AR72" i="229"/>
  <c r="E71" i="229"/>
  <c r="CM72" i="229"/>
  <c r="DN72" i="229"/>
  <c r="AB72" i="229"/>
  <c r="CP72" i="229"/>
  <c r="Z72" i="229"/>
  <c r="J72" i="229"/>
  <c r="CU72" i="229"/>
  <c r="DJ72" i="229"/>
  <c r="AX72" i="229"/>
  <c r="DX72" i="229"/>
  <c r="BL72" i="229"/>
  <c r="H76" i="229"/>
  <c r="CA72" i="229"/>
  <c r="P72" i="229"/>
  <c r="CO72" i="229"/>
  <c r="AD72" i="229"/>
  <c r="CV72" i="229"/>
  <c r="AJ72" i="229"/>
  <c r="U76" i="229"/>
  <c r="CH72" i="229"/>
  <c r="BW72" i="229"/>
  <c r="DC72" i="229"/>
  <c r="AY72" i="229"/>
  <c r="I72" i="229"/>
  <c r="DS72" i="229"/>
  <c r="BZ72" i="229"/>
  <c r="DB72" i="229"/>
  <c r="AP72" i="229"/>
  <c r="DP72" i="229"/>
  <c r="BD72" i="229"/>
  <c r="EE72" i="229"/>
  <c r="BS72" i="229"/>
  <c r="L76" i="229"/>
  <c r="CG72" i="229"/>
  <c r="S72" i="229"/>
  <c r="CN72" i="229"/>
  <c r="AC72" i="229"/>
  <c r="AW72" i="229"/>
  <c r="AH72" i="229"/>
  <c r="BM72" i="229"/>
  <c r="M76" i="229"/>
  <c r="DV72" i="229"/>
  <c r="CX72" i="229"/>
  <c r="BE72" i="229"/>
  <c r="CT72" i="229"/>
  <c r="AI72" i="229"/>
  <c r="DH72" i="229"/>
  <c r="AV72" i="229"/>
  <c r="DW72" i="229"/>
  <c r="BK72" i="229"/>
  <c r="J76" i="229"/>
  <c r="BY72" i="229"/>
  <c r="O72" i="229"/>
  <c r="CF72" i="229"/>
  <c r="S76" i="229"/>
  <c r="AQ72" i="229"/>
  <c r="DK72" i="229"/>
  <c r="U72" i="229"/>
  <c r="EA72" i="229"/>
  <c r="DA72" i="229"/>
  <c r="CC72" i="229"/>
  <c r="T72" i="229"/>
  <c r="CL72" i="229"/>
  <c r="AA72" i="229"/>
  <c r="CZ72" i="229"/>
  <c r="AN72" i="229"/>
  <c r="DO72" i="229"/>
  <c r="BC72" i="229"/>
  <c r="EC72" i="229"/>
  <c r="BQ72" i="229"/>
  <c r="K72" i="229"/>
  <c r="BX72" i="229"/>
  <c r="D49" i="229"/>
  <c r="D52" i="229"/>
  <c r="E52" i="229" s="1"/>
  <c r="H3" i="244"/>
  <c r="G5" i="244"/>
  <c r="Y3" i="244"/>
  <c r="AR3" i="244" s="1"/>
  <c r="AR11" i="244" s="1"/>
  <c r="H54" i="253"/>
  <c r="I7" i="253"/>
  <c r="G5" i="245"/>
  <c r="H3" i="245"/>
  <c r="Y3" i="245"/>
  <c r="AR3" i="245" s="1"/>
  <c r="AR11" i="245" s="1"/>
  <c r="F6" i="244"/>
  <c r="G4" i="244"/>
  <c r="F6" i="245"/>
  <c r="G4" i="245"/>
  <c r="H3" i="253"/>
  <c r="G5" i="253"/>
  <c r="G53" i="253"/>
  <c r="AA3" i="253"/>
  <c r="AV3" i="253" s="1"/>
  <c r="AV11" i="253" s="1"/>
  <c r="AA86" i="231"/>
  <c r="F6" i="253"/>
  <c r="F8" i="253" s="1"/>
  <c r="G4" i="253"/>
  <c r="C36" i="234"/>
  <c r="B34" i="265" s="1"/>
  <c r="B24" i="265"/>
  <c r="G6" i="237"/>
  <c r="G8" i="237" s="1"/>
  <c r="H4" i="237"/>
  <c r="F6" i="243"/>
  <c r="F8" i="243" s="1"/>
  <c r="G4" i="243"/>
  <c r="I3" i="237"/>
  <c r="H5" i="237"/>
  <c r="Z3" i="237"/>
  <c r="AS3" i="237" s="1"/>
  <c r="AS11" i="237" s="1"/>
  <c r="H3" i="246"/>
  <c r="G5" i="246"/>
  <c r="Y3" i="246"/>
  <c r="AR3" i="246" s="1"/>
  <c r="AR11" i="246" s="1"/>
  <c r="G5" i="243"/>
  <c r="H3" i="243"/>
  <c r="Y3" i="243"/>
  <c r="AR3" i="243" s="1"/>
  <c r="AR11" i="243" s="1"/>
  <c r="N86" i="231"/>
  <c r="E6" i="242"/>
  <c r="E8" i="242" s="1"/>
  <c r="F4" i="242"/>
  <c r="F6" i="246"/>
  <c r="F8" i="246" s="1"/>
  <c r="G4" i="246"/>
  <c r="G3" i="242"/>
  <c r="F5" i="242"/>
  <c r="X3" i="242"/>
  <c r="AQ3" i="242" s="1"/>
  <c r="AQ11" i="242" s="1"/>
  <c r="N56" i="252"/>
  <c r="M57" i="252"/>
  <c r="I8" i="252"/>
  <c r="J6" i="252"/>
  <c r="J7" i="252"/>
  <c r="K5" i="252"/>
  <c r="J9" i="252"/>
  <c r="H12" i="204"/>
  <c r="I11" i="204" s="1"/>
  <c r="H8" i="204"/>
  <c r="H14" i="204"/>
  <c r="CX8" i="204"/>
  <c r="C37" i="234"/>
  <c r="B35" i="265" s="1"/>
  <c r="B25" i="265"/>
  <c r="K276" i="263"/>
  <c r="K278" i="263" s="1"/>
  <c r="J278" i="263"/>
  <c r="C38" i="234"/>
  <c r="B36" i="265" s="1"/>
  <c r="B26" i="265"/>
  <c r="H7" i="243"/>
  <c r="H542" i="263"/>
  <c r="G544" i="263"/>
  <c r="G7" i="244"/>
  <c r="F8" i="244"/>
  <c r="C39" i="234"/>
  <c r="B37" i="265" s="1"/>
  <c r="B27" i="265"/>
  <c r="G677" i="263"/>
  <c r="H675" i="263"/>
  <c r="F8" i="245"/>
  <c r="G7" i="245"/>
  <c r="I11" i="222"/>
  <c r="G14" i="222"/>
  <c r="I14" i="222" s="1"/>
  <c r="V24" i="256"/>
  <c r="U33" i="256"/>
  <c r="G4" i="251"/>
  <c r="H3" i="251"/>
  <c r="G108" i="251"/>
  <c r="G120" i="251"/>
  <c r="G82" i="251"/>
  <c r="Y3" i="251"/>
  <c r="G127" i="251"/>
  <c r="G135" i="251" s="1"/>
  <c r="G5" i="251"/>
  <c r="AQ3" i="251"/>
  <c r="X2" i="251"/>
  <c r="J7" i="246"/>
  <c r="J7" i="242"/>
  <c r="I7" i="237"/>
  <c r="X86" i="231"/>
  <c r="K86" i="231"/>
  <c r="Q86" i="231"/>
  <c r="W86" i="231"/>
  <c r="Y86" i="231"/>
  <c r="T86" i="231"/>
  <c r="Z86" i="231"/>
  <c r="G21" i="248"/>
  <c r="F23" i="248"/>
  <c r="F22" i="248"/>
  <c r="E24" i="248"/>
  <c r="R86" i="231"/>
  <c r="U86" i="231"/>
  <c r="AB86" i="231"/>
  <c r="O86" i="231"/>
  <c r="AC86" i="231"/>
  <c r="J93" i="231"/>
  <c r="I92" i="231"/>
  <c r="M86" i="231"/>
  <c r="L86" i="231"/>
  <c r="I98" i="231"/>
  <c r="K27" i="231"/>
  <c r="J79" i="231"/>
  <c r="J87" i="231" s="1"/>
  <c r="J61" i="231"/>
  <c r="J69" i="231" s="1"/>
  <c r="M6" i="231"/>
  <c r="L23" i="231"/>
  <c r="L57" i="231"/>
  <c r="L65" i="231" s="1"/>
  <c r="L8" i="231"/>
  <c r="L10" i="231" s="1"/>
  <c r="J58" i="231"/>
  <c r="J66" i="231" s="1"/>
  <c r="J76" i="231"/>
  <c r="J84" i="231" s="1"/>
  <c r="K24" i="231"/>
  <c r="K75" i="231"/>
  <c r="K83" i="231" s="1"/>
  <c r="K91" i="231"/>
  <c r="K30" i="231"/>
  <c r="J64" i="231"/>
  <c r="J72" i="231" s="1"/>
  <c r="J82" i="231"/>
  <c r="J90" i="231" s="1"/>
  <c r="K11" i="231"/>
  <c r="J68" i="231"/>
  <c r="K12" i="231"/>
  <c r="K28" i="231"/>
  <c r="J80" i="231"/>
  <c r="J88" i="231" s="1"/>
  <c r="J62" i="231"/>
  <c r="J70" i="231" s="1"/>
  <c r="K9" i="231"/>
  <c r="J81" i="231"/>
  <c r="J89" i="231" s="1"/>
  <c r="K29" i="231"/>
  <c r="J63" i="231"/>
  <c r="M134" i="250"/>
  <c r="N11" i="250"/>
  <c r="M388" i="250"/>
  <c r="M389" i="250" s="1"/>
  <c r="M15" i="250"/>
  <c r="M16" i="250" s="1"/>
  <c r="M9" i="250"/>
  <c r="L10" i="250"/>
  <c r="L13" i="250"/>
  <c r="L14" i="250" s="1"/>
  <c r="G564" i="250"/>
  <c r="I564" i="250"/>
  <c r="J94" i="231"/>
  <c r="L25" i="231"/>
  <c r="K77" i="231"/>
  <c r="K85" i="231" s="1"/>
  <c r="K59" i="231"/>
  <c r="K67" i="231" s="1"/>
  <c r="A111" i="230"/>
  <c r="A13" i="230"/>
  <c r="A131" i="230" s="1"/>
  <c r="G43" i="256"/>
  <c r="G51" i="256"/>
  <c r="G42" i="256"/>
  <c r="G60" i="256"/>
  <c r="F66" i="256"/>
  <c r="E36" i="255" s="1"/>
  <c r="G41" i="256"/>
  <c r="G66" i="256"/>
  <c r="F36" i="255" s="1"/>
  <c r="G56" i="256"/>
  <c r="G57" i="256"/>
  <c r="G59" i="256"/>
  <c r="G38" i="256"/>
  <c r="G58" i="256"/>
  <c r="G61" i="256"/>
  <c r="G39" i="256"/>
  <c r="G64" i="256" s="1"/>
  <c r="F22" i="255" s="1"/>
  <c r="G55" i="256"/>
  <c r="G52" i="256"/>
  <c r="AK22" i="223"/>
  <c r="AN22" i="223"/>
  <c r="AM22" i="223"/>
  <c r="AL22" i="223"/>
  <c r="F65" i="256"/>
  <c r="E29" i="255" s="1"/>
  <c r="E28" i="255" s="1"/>
  <c r="M9" i="223"/>
  <c r="AR20" i="223"/>
  <c r="AO20" i="223"/>
  <c r="AQ20" i="223"/>
  <c r="O4" i="223"/>
  <c r="N8" i="223"/>
  <c r="AP20" i="223"/>
  <c r="F64" i="256"/>
  <c r="E22" i="255" s="1"/>
  <c r="K25" i="223"/>
  <c r="J26" i="198"/>
  <c r="D28" i="248"/>
  <c r="D33" i="248"/>
  <c r="D27" i="248"/>
  <c r="D29" i="248"/>
  <c r="D30" i="248"/>
  <c r="D34" i="248"/>
  <c r="D35" i="248"/>
  <c r="D32" i="248"/>
  <c r="F41" i="252"/>
  <c r="F50" i="252"/>
  <c r="F58" i="252"/>
  <c r="F60" i="252" s="1"/>
  <c r="F32" i="252"/>
  <c r="P29" i="223"/>
  <c r="Q26" i="223"/>
  <c r="R26" i="223" s="1"/>
  <c r="S26" i="223" s="1"/>
  <c r="T26" i="223" s="1"/>
  <c r="D17" i="224"/>
  <c r="D17" i="259" s="1"/>
  <c r="E25" i="248"/>
  <c r="G10" i="252"/>
  <c r="W1" i="251"/>
  <c r="I4" i="256"/>
  <c r="H7" i="255"/>
  <c r="F7" i="263"/>
  <c r="J5" i="223"/>
  <c r="E146" i="251"/>
  <c r="E93" i="253"/>
  <c r="G65" i="256"/>
  <c r="F29" i="255" s="1"/>
  <c r="F28" i="255" s="1"/>
  <c r="K41" i="228"/>
  <c r="K43" i="228"/>
  <c r="K46" i="228"/>
  <c r="K42" i="228"/>
  <c r="K40" i="228"/>
  <c r="K45" i="228"/>
  <c r="K44" i="228"/>
  <c r="D54" i="251"/>
  <c r="D96" i="251" s="1"/>
  <c r="D86" i="251"/>
  <c r="D51" i="251"/>
  <c r="D92" i="251" s="1"/>
  <c r="D88" i="251"/>
  <c r="H41" i="256"/>
  <c r="H49" i="256"/>
  <c r="H57" i="256"/>
  <c r="H42" i="256"/>
  <c r="H50" i="256"/>
  <c r="H58" i="256"/>
  <c r="H39" i="256"/>
  <c r="H47" i="256"/>
  <c r="H55" i="256"/>
  <c r="H51" i="256"/>
  <c r="H62" i="256"/>
  <c r="H38" i="256"/>
  <c r="H52" i="256"/>
  <c r="H40" i="256"/>
  <c r="H53" i="256"/>
  <c r="H43" i="256"/>
  <c r="H54" i="256"/>
  <c r="H66" i="256" s="1"/>
  <c r="G36" i="255" s="1"/>
  <c r="H44" i="256"/>
  <c r="H56" i="256"/>
  <c r="H46" i="256"/>
  <c r="H60" i="256"/>
  <c r="H59" i="256"/>
  <c r="H61" i="256"/>
  <c r="H45" i="256"/>
  <c r="H48" i="256"/>
  <c r="L30" i="228"/>
  <c r="L37" i="228" s="1"/>
  <c r="I13" i="204"/>
  <c r="K24" i="223"/>
  <c r="M26" i="250"/>
  <c r="O118" i="250"/>
  <c r="P118" i="250"/>
  <c r="H386" i="250"/>
  <c r="G503" i="250"/>
  <c r="G473" i="250"/>
  <c r="G414" i="250"/>
  <c r="G444" i="250"/>
  <c r="P117" i="250"/>
  <c r="K116" i="250"/>
  <c r="N65" i="250"/>
  <c r="N68" i="250"/>
  <c r="K217" i="250"/>
  <c r="I218" i="250"/>
  <c r="I504" i="250"/>
  <c r="J217" i="250"/>
  <c r="J504" i="250" s="1"/>
  <c r="J218" i="250"/>
  <c r="K16" i="231"/>
  <c r="O387" i="250"/>
  <c r="I19" i="231"/>
  <c r="N164" i="250"/>
  <c r="M474" i="250"/>
  <c r="M476" i="250" s="1"/>
  <c r="H542" i="250"/>
  <c r="H553" i="250" s="1"/>
  <c r="H566" i="250" s="1"/>
  <c r="I2" i="250"/>
  <c r="J16" i="250" s="1"/>
  <c r="K18" i="231"/>
  <c r="P112" i="250"/>
  <c r="O123" i="250"/>
  <c r="O445" i="250"/>
  <c r="O447" i="250" s="1"/>
  <c r="O121" i="250"/>
  <c r="P111" i="250"/>
  <c r="M81" i="250"/>
  <c r="O70" i="250"/>
  <c r="O416" i="250"/>
  <c r="O64" i="250"/>
  <c r="O172" i="250"/>
  <c r="N170" i="250"/>
  <c r="N176" i="250"/>
  <c r="N177" i="250" s="1"/>
  <c r="N475" i="250"/>
  <c r="L114" i="250"/>
  <c r="M113" i="250"/>
  <c r="L115" i="250"/>
  <c r="L116" i="250" s="1"/>
  <c r="L166" i="250"/>
  <c r="O57" i="250"/>
  <c r="N131" i="250"/>
  <c r="N78" i="250"/>
  <c r="N132" i="250"/>
  <c r="N25" i="250"/>
  <c r="N184" i="250"/>
  <c r="N79" i="250"/>
  <c r="N185" i="250"/>
  <c r="N24" i="250"/>
  <c r="N186" i="250"/>
  <c r="N80" i="250"/>
  <c r="N23" i="250"/>
  <c r="N133" i="250"/>
  <c r="M171" i="250"/>
  <c r="M174" i="250"/>
  <c r="I221" i="250"/>
  <c r="P123" i="250"/>
  <c r="M187" i="250"/>
  <c r="P66" i="250"/>
  <c r="K63" i="250"/>
  <c r="P3" i="250"/>
  <c r="K17" i="231"/>
  <c r="N415" i="250"/>
  <c r="N417" i="250" s="1"/>
  <c r="P59" i="250"/>
  <c r="P58" i="250"/>
  <c r="O415" i="250" s="1"/>
  <c r="K169" i="250"/>
  <c r="K6" i="250"/>
  <c r="L5" i="250"/>
  <c r="K7" i="250"/>
  <c r="G13" i="231"/>
  <c r="H13" i="231" s="1"/>
  <c r="K505" i="250"/>
  <c r="K221" i="250"/>
  <c r="L219" i="250"/>
  <c r="L60" i="250"/>
  <c r="H5" i="227"/>
  <c r="D11" i="228" s="1"/>
  <c r="V96" i="229"/>
  <c r="V202" i="229" s="1"/>
  <c r="H99" i="229"/>
  <c r="H100" i="229" s="1"/>
  <c r="H240" i="229" s="1"/>
  <c r="J99" i="229"/>
  <c r="J100" i="229" s="1"/>
  <c r="J240" i="229" s="1"/>
  <c r="I99" i="229"/>
  <c r="I100" i="229" s="1"/>
  <c r="I240" i="229" s="1"/>
  <c r="O99" i="229"/>
  <c r="O100" i="229" s="1"/>
  <c r="O240" i="229" s="1"/>
  <c r="T99" i="229"/>
  <c r="T100" i="229" s="1"/>
  <c r="T240" i="229" s="1"/>
  <c r="V99" i="229"/>
  <c r="K99" i="229"/>
  <c r="K100" i="229" s="1"/>
  <c r="K240" i="229" s="1"/>
  <c r="N99" i="229"/>
  <c r="N100" i="229" s="1"/>
  <c r="N240" i="229" s="1"/>
  <c r="W99" i="229"/>
  <c r="Q99" i="229"/>
  <c r="Q100" i="229" s="1"/>
  <c r="Q240" i="229" s="1"/>
  <c r="U99" i="229"/>
  <c r="U100" i="229" s="1"/>
  <c r="U240" i="229" s="1"/>
  <c r="M99" i="229"/>
  <c r="M100" i="229" s="1"/>
  <c r="M240" i="229" s="1"/>
  <c r="S99" i="229"/>
  <c r="S100" i="229" s="1"/>
  <c r="S240" i="229" s="1"/>
  <c r="X99" i="229"/>
  <c r="AA99" i="229"/>
  <c r="Z99" i="229"/>
  <c r="L99" i="229"/>
  <c r="L100" i="229" s="1"/>
  <c r="L240" i="229" s="1"/>
  <c r="AD99" i="229"/>
  <c r="AE99" i="229"/>
  <c r="AF99" i="229"/>
  <c r="AG99" i="229"/>
  <c r="AH99" i="229"/>
  <c r="AI99" i="229"/>
  <c r="R99" i="229"/>
  <c r="R100" i="229" s="1"/>
  <c r="R240" i="229" s="1"/>
  <c r="AC99" i="229"/>
  <c r="Y99" i="229"/>
  <c r="AB99" i="229"/>
  <c r="AN99" i="229"/>
  <c r="AO99" i="229"/>
  <c r="AP99" i="229"/>
  <c r="AQ99" i="229"/>
  <c r="AZ99" i="229"/>
  <c r="BA99" i="229"/>
  <c r="BB99" i="229"/>
  <c r="BC99" i="229"/>
  <c r="BD99" i="229"/>
  <c r="BE99" i="229"/>
  <c r="BF99" i="229"/>
  <c r="BG99" i="229"/>
  <c r="AJ99" i="229"/>
  <c r="AU99" i="229"/>
  <c r="AM99" i="229"/>
  <c r="AT99" i="229"/>
  <c r="P99" i="229"/>
  <c r="P100" i="229" s="1"/>
  <c r="P240" i="229" s="1"/>
  <c r="AK99" i="229"/>
  <c r="AR99" i="229"/>
  <c r="AW99" i="229"/>
  <c r="AY99" i="229"/>
  <c r="BH99" i="229"/>
  <c r="AL99" i="229"/>
  <c r="BK99" i="229"/>
  <c r="AS99" i="229"/>
  <c r="AV99" i="229"/>
  <c r="AX99" i="229"/>
  <c r="BJ99" i="229"/>
  <c r="BP99" i="229"/>
  <c r="BQ99" i="229"/>
  <c r="BR99" i="229"/>
  <c r="BS99" i="229"/>
  <c r="BI99" i="229"/>
  <c r="BL99" i="229"/>
  <c r="BM99" i="229"/>
  <c r="BN99" i="229"/>
  <c r="BO99" i="229"/>
  <c r="BT99" i="229"/>
  <c r="BU99" i="229"/>
  <c r="BV99" i="229"/>
  <c r="BW99" i="229"/>
  <c r="CB99" i="229"/>
  <c r="CJ99" i="229"/>
  <c r="CR99" i="229"/>
  <c r="CZ99" i="229"/>
  <c r="DH99" i="229"/>
  <c r="DP99" i="229"/>
  <c r="DX99" i="229"/>
  <c r="EF99" i="229"/>
  <c r="EM99" i="229"/>
  <c r="CC99" i="229"/>
  <c r="CK99" i="229"/>
  <c r="CS99" i="229"/>
  <c r="DA99" i="229"/>
  <c r="DI99" i="229"/>
  <c r="DQ99" i="229"/>
  <c r="DY99" i="229"/>
  <c r="EI94" i="229"/>
  <c r="EN99" i="229"/>
  <c r="CD99" i="229"/>
  <c r="CL99" i="229"/>
  <c r="CT99" i="229"/>
  <c r="DB99" i="229"/>
  <c r="DJ99" i="229"/>
  <c r="DR99" i="229"/>
  <c r="DZ99" i="229"/>
  <c r="EG99" i="229"/>
  <c r="CE99" i="229"/>
  <c r="CM99" i="229"/>
  <c r="CU99" i="229"/>
  <c r="DC99" i="229"/>
  <c r="DK99" i="229"/>
  <c r="DS99" i="229"/>
  <c r="EA99" i="229"/>
  <c r="EH99" i="229"/>
  <c r="BX99" i="229"/>
  <c r="CF99" i="229"/>
  <c r="CN99" i="229"/>
  <c r="CV99" i="229"/>
  <c r="DD99" i="229"/>
  <c r="DL99" i="229"/>
  <c r="DT99" i="229"/>
  <c r="EB99" i="229"/>
  <c r="EI99" i="229"/>
  <c r="BY99" i="229"/>
  <c r="CG99" i="229"/>
  <c r="CO99" i="229"/>
  <c r="CW99" i="229"/>
  <c r="DE99" i="229"/>
  <c r="DM99" i="229"/>
  <c r="DU99" i="229"/>
  <c r="EC99" i="229"/>
  <c r="EJ99" i="229"/>
  <c r="CI99" i="229"/>
  <c r="DO99" i="229"/>
  <c r="CP99" i="229"/>
  <c r="DV99" i="229"/>
  <c r="CQ99" i="229"/>
  <c r="DW99" i="229"/>
  <c r="CX99" i="229"/>
  <c r="ED99" i="229"/>
  <c r="CY99" i="229"/>
  <c r="EE99" i="229"/>
  <c r="CH99" i="229"/>
  <c r="BZ99" i="229"/>
  <c r="DF99" i="229"/>
  <c r="EK99" i="229"/>
  <c r="DN99" i="229"/>
  <c r="CA99" i="229"/>
  <c r="DG99" i="229"/>
  <c r="EL99" i="229"/>
  <c r="L142" i="229"/>
  <c r="Q142" i="229"/>
  <c r="I142" i="229"/>
  <c r="R142" i="229"/>
  <c r="J142" i="229"/>
  <c r="M142" i="229"/>
  <c r="T142" i="229"/>
  <c r="N142" i="229"/>
  <c r="S142" i="229"/>
  <c r="U142" i="229"/>
  <c r="K142" i="229"/>
  <c r="P142" i="229"/>
  <c r="O142" i="229"/>
  <c r="H139" i="229"/>
  <c r="E137" i="229"/>
  <c r="H142" i="229"/>
  <c r="J138" i="229"/>
  <c r="S138" i="229"/>
  <c r="AD138" i="229"/>
  <c r="AK138" i="229"/>
  <c r="AS138" i="229"/>
  <c r="BA138" i="229"/>
  <c r="BI138" i="229"/>
  <c r="BQ138" i="229"/>
  <c r="BY138" i="229"/>
  <c r="CG138" i="229"/>
  <c r="CO138" i="229"/>
  <c r="CW138" i="229"/>
  <c r="DE138" i="229"/>
  <c r="DM138" i="229"/>
  <c r="DU138" i="229"/>
  <c r="EC138" i="229"/>
  <c r="I138" i="229"/>
  <c r="U138" i="229"/>
  <c r="AE138" i="229"/>
  <c r="AL138" i="229"/>
  <c r="AT138" i="229"/>
  <c r="BB138" i="229"/>
  <c r="BJ138" i="229"/>
  <c r="BR138" i="229"/>
  <c r="BZ138" i="229"/>
  <c r="CH138" i="229"/>
  <c r="CP138" i="229"/>
  <c r="CX138" i="229"/>
  <c r="DF138" i="229"/>
  <c r="DN138" i="229"/>
  <c r="DV138" i="229"/>
  <c r="N138" i="229"/>
  <c r="Y138" i="229"/>
  <c r="AG138" i="229"/>
  <c r="AN138" i="229"/>
  <c r="AV138" i="229"/>
  <c r="BD138" i="229"/>
  <c r="BL138" i="229"/>
  <c r="BT138" i="229"/>
  <c r="CB138" i="229"/>
  <c r="CJ138" i="229"/>
  <c r="CR138" i="229"/>
  <c r="CZ138" i="229"/>
  <c r="DH138" i="229"/>
  <c r="DP138" i="229"/>
  <c r="DX138" i="229"/>
  <c r="EF138" i="229"/>
  <c r="O138" i="229"/>
  <c r="Z138" i="229"/>
  <c r="T138" i="229"/>
  <c r="AO138" i="229"/>
  <c r="AW138" i="229"/>
  <c r="BE138" i="229"/>
  <c r="BM138" i="229"/>
  <c r="BU138" i="229"/>
  <c r="CC138" i="229"/>
  <c r="CK138" i="229"/>
  <c r="CS138" i="229"/>
  <c r="DA138" i="229"/>
  <c r="DI138" i="229"/>
  <c r="DQ138" i="229"/>
  <c r="DY138" i="229"/>
  <c r="EG138" i="229"/>
  <c r="H138" i="229"/>
  <c r="Q138" i="229"/>
  <c r="AB138" i="229"/>
  <c r="AI138" i="229"/>
  <c r="AQ138" i="229"/>
  <c r="AY138" i="229"/>
  <c r="BG138" i="229"/>
  <c r="BO138" i="229"/>
  <c r="BW138" i="229"/>
  <c r="CE138" i="229"/>
  <c r="CM138" i="229"/>
  <c r="CU138" i="229"/>
  <c r="DC138" i="229"/>
  <c r="DK138" i="229"/>
  <c r="DS138" i="229"/>
  <c r="EA138" i="229"/>
  <c r="P138" i="229"/>
  <c r="AM138" i="229"/>
  <c r="BH138" i="229"/>
  <c r="CD138" i="229"/>
  <c r="CY138" i="229"/>
  <c r="DT138" i="229"/>
  <c r="R138" i="229"/>
  <c r="AP138" i="229"/>
  <c r="BK138" i="229"/>
  <c r="CF138" i="229"/>
  <c r="DB138" i="229"/>
  <c r="DW138" i="229"/>
  <c r="W138" i="229"/>
  <c r="AR138" i="229"/>
  <c r="BN138" i="229"/>
  <c r="CI138" i="229"/>
  <c r="DD138" i="229"/>
  <c r="DZ138" i="229"/>
  <c r="AC138" i="229"/>
  <c r="AX138" i="229"/>
  <c r="BS138" i="229"/>
  <c r="CN138" i="229"/>
  <c r="DJ138" i="229"/>
  <c r="ED138" i="229"/>
  <c r="L138" i="229"/>
  <c r="BC138" i="229"/>
  <c r="CT138" i="229"/>
  <c r="EH138" i="229"/>
  <c r="M138" i="229"/>
  <c r="BF138" i="229"/>
  <c r="CV138" i="229"/>
  <c r="AA138" i="229"/>
  <c r="BP138" i="229"/>
  <c r="DG138" i="229"/>
  <c r="AF138" i="229"/>
  <c r="BV138" i="229"/>
  <c r="DL138" i="229"/>
  <c r="AH138" i="229"/>
  <c r="BX138" i="229"/>
  <c r="DO138" i="229"/>
  <c r="AJ138" i="229"/>
  <c r="CA138" i="229"/>
  <c r="DR138" i="229"/>
  <c r="AU138" i="229"/>
  <c r="AZ138" i="229"/>
  <c r="CL138" i="229"/>
  <c r="X138" i="229"/>
  <c r="CQ138" i="229"/>
  <c r="EB138" i="229"/>
  <c r="EE138" i="229"/>
  <c r="K138" i="229"/>
  <c r="T33" i="229"/>
  <c r="AC33" i="229"/>
  <c r="U33" i="229"/>
  <c r="AA33" i="229"/>
  <c r="V33" i="229"/>
  <c r="X33" i="229"/>
  <c r="X34" i="229" s="1"/>
  <c r="X234" i="229" s="1"/>
  <c r="W33" i="229"/>
  <c r="Z33" i="229"/>
  <c r="AF33" i="229"/>
  <c r="AN33" i="229"/>
  <c r="AT33" i="229"/>
  <c r="AG33" i="229"/>
  <c r="AO33" i="229"/>
  <c r="AM33" i="229"/>
  <c r="AD33" i="229"/>
  <c r="AH33" i="229"/>
  <c r="AP33" i="229"/>
  <c r="AJ33" i="229"/>
  <c r="AV33" i="229"/>
  <c r="Y33" i="229"/>
  <c r="Y34" i="229" s="1"/>
  <c r="Y234" i="229" s="1"/>
  <c r="AE33" i="229"/>
  <c r="AI33" i="229"/>
  <c r="AQ33" i="229"/>
  <c r="AR33" i="229"/>
  <c r="BC33" i="229"/>
  <c r="AW33" i="229"/>
  <c r="AX33" i="229"/>
  <c r="BM33" i="229"/>
  <c r="AB33" i="229"/>
  <c r="AK33" i="229"/>
  <c r="BA33" i="229"/>
  <c r="BE33" i="229"/>
  <c r="BI33" i="229"/>
  <c r="AL33" i="229"/>
  <c r="BG33" i="229"/>
  <c r="BH33" i="229"/>
  <c r="BP33" i="229"/>
  <c r="BV33" i="229"/>
  <c r="AU33" i="229"/>
  <c r="AZ33" i="229"/>
  <c r="BL33" i="229"/>
  <c r="BQ33" i="229"/>
  <c r="BW33" i="229"/>
  <c r="BD33" i="229"/>
  <c r="BJ33" i="229"/>
  <c r="BR33" i="229"/>
  <c r="BT33" i="229"/>
  <c r="AY33" i="229"/>
  <c r="BB33" i="229"/>
  <c r="BK33" i="229"/>
  <c r="BN33" i="229"/>
  <c r="BF33" i="229"/>
  <c r="BS33" i="229"/>
  <c r="BU33" i="229"/>
  <c r="I33" i="229"/>
  <c r="Q33" i="229"/>
  <c r="BZ33" i="229"/>
  <c r="CD33" i="229"/>
  <c r="CH33" i="229"/>
  <c r="CL33" i="229"/>
  <c r="CP33" i="229"/>
  <c r="CT33" i="229"/>
  <c r="CX33" i="229"/>
  <c r="DB33" i="229"/>
  <c r="DF33" i="229"/>
  <c r="DJ33" i="229"/>
  <c r="DN33" i="229"/>
  <c r="DR33" i="229"/>
  <c r="DV33" i="229"/>
  <c r="DZ33" i="229"/>
  <c r="ED33" i="229"/>
  <c r="EH33" i="229"/>
  <c r="EL33" i="229"/>
  <c r="M33" i="229"/>
  <c r="BO33" i="229"/>
  <c r="CA33" i="229"/>
  <c r="CE33" i="229"/>
  <c r="CI33" i="229"/>
  <c r="CM33" i="229"/>
  <c r="CQ33" i="229"/>
  <c r="CU33" i="229"/>
  <c r="CY33" i="229"/>
  <c r="DC33" i="229"/>
  <c r="DG33" i="229"/>
  <c r="DK33" i="229"/>
  <c r="DO33" i="229"/>
  <c r="DS33" i="229"/>
  <c r="DW33" i="229"/>
  <c r="EA33" i="229"/>
  <c r="EE33" i="229"/>
  <c r="EI33" i="229"/>
  <c r="EM33" i="229"/>
  <c r="H33" i="229"/>
  <c r="H34" i="229" s="1"/>
  <c r="H234" i="229" s="1"/>
  <c r="J33" i="229"/>
  <c r="L33" i="229"/>
  <c r="N33" i="229"/>
  <c r="P33" i="229"/>
  <c r="P34" i="229" s="1"/>
  <c r="P234" i="229" s="1"/>
  <c r="R33" i="229"/>
  <c r="R34" i="229" s="1"/>
  <c r="R234" i="229" s="1"/>
  <c r="BX33" i="229"/>
  <c r="CB33" i="229"/>
  <c r="CF33" i="229"/>
  <c r="CJ33" i="229"/>
  <c r="CN33" i="229"/>
  <c r="CR33" i="229"/>
  <c r="CV33" i="229"/>
  <c r="CZ33" i="229"/>
  <c r="DD33" i="229"/>
  <c r="DH33" i="229"/>
  <c r="DL33" i="229"/>
  <c r="DP33" i="229"/>
  <c r="DT33" i="229"/>
  <c r="DX33" i="229"/>
  <c r="EB33" i="229"/>
  <c r="EF33" i="229"/>
  <c r="EJ33" i="229"/>
  <c r="EN33" i="229"/>
  <c r="AS33" i="229"/>
  <c r="BY33" i="229"/>
  <c r="CC33" i="229"/>
  <c r="CG33" i="229"/>
  <c r="CK33" i="229"/>
  <c r="CO33" i="229"/>
  <c r="CS33" i="229"/>
  <c r="CW33" i="229"/>
  <c r="DA33" i="229"/>
  <c r="DE33" i="229"/>
  <c r="DI33" i="229"/>
  <c r="DM33" i="229"/>
  <c r="DQ33" i="229"/>
  <c r="DU33" i="229"/>
  <c r="DY33" i="229"/>
  <c r="EC33" i="229"/>
  <c r="EG33" i="229"/>
  <c r="EK33" i="229"/>
  <c r="O33" i="229"/>
  <c r="K33" i="229"/>
  <c r="S33" i="229"/>
  <c r="S34" i="229" s="1"/>
  <c r="S234" i="229" s="1"/>
  <c r="EI28" i="229"/>
  <c r="T66" i="229"/>
  <c r="AC66" i="229"/>
  <c r="U66" i="229"/>
  <c r="AA66" i="229"/>
  <c r="V66" i="229"/>
  <c r="X66" i="229"/>
  <c r="W66" i="229"/>
  <c r="Y66" i="229"/>
  <c r="AF66" i="229"/>
  <c r="AN66" i="229"/>
  <c r="AT66" i="229"/>
  <c r="Z66" i="229"/>
  <c r="AG66" i="229"/>
  <c r="AE66" i="229"/>
  <c r="AM66" i="229"/>
  <c r="AH66" i="229"/>
  <c r="AP66" i="229"/>
  <c r="AJ66" i="229"/>
  <c r="AV66" i="229"/>
  <c r="AB66" i="229"/>
  <c r="AI66" i="229"/>
  <c r="AQ66" i="229"/>
  <c r="AO66" i="229"/>
  <c r="AS66" i="229"/>
  <c r="AL66" i="229"/>
  <c r="AX66" i="229"/>
  <c r="BC66" i="229"/>
  <c r="BM66" i="229"/>
  <c r="AD66" i="229"/>
  <c r="BA66" i="229"/>
  <c r="BE66" i="229"/>
  <c r="BI66" i="229"/>
  <c r="BD66" i="229"/>
  <c r="BJ66" i="229"/>
  <c r="BP66" i="229"/>
  <c r="BV66" i="229"/>
  <c r="AU66" i="229"/>
  <c r="AW66" i="229"/>
  <c r="BK66" i="229"/>
  <c r="BN66" i="229"/>
  <c r="BQ66" i="229"/>
  <c r="BW66" i="229"/>
  <c r="BF66" i="229"/>
  <c r="AY66" i="229"/>
  <c r="AZ66" i="229"/>
  <c r="BO66" i="229"/>
  <c r="BR66" i="229"/>
  <c r="BT66" i="229"/>
  <c r="AR66" i="229"/>
  <c r="BG66" i="229"/>
  <c r="BH66" i="229"/>
  <c r="AK66" i="229"/>
  <c r="BS66" i="229"/>
  <c r="BU66" i="229"/>
  <c r="BB66" i="229"/>
  <c r="BZ66" i="229"/>
  <c r="CC66" i="229"/>
  <c r="CI66" i="229"/>
  <c r="CA66" i="229"/>
  <c r="CD66" i="229"/>
  <c r="CF66" i="229"/>
  <c r="BX66" i="229"/>
  <c r="BL66" i="229"/>
  <c r="CE66" i="229"/>
  <c r="CG66" i="229"/>
  <c r="BY66" i="229"/>
  <c r="CH66" i="229"/>
  <c r="CB66" i="229"/>
  <c r="CJ66" i="229"/>
  <c r="CR66" i="229"/>
  <c r="CZ66" i="229"/>
  <c r="DH66" i="229"/>
  <c r="DP66" i="229"/>
  <c r="DX66" i="229"/>
  <c r="EF66" i="229"/>
  <c r="EM66" i="229"/>
  <c r="N66" i="229"/>
  <c r="Q66" i="229"/>
  <c r="CK66" i="229"/>
  <c r="CS66" i="229"/>
  <c r="DA66" i="229"/>
  <c r="DI66" i="229"/>
  <c r="DQ66" i="229"/>
  <c r="DY66" i="229"/>
  <c r="EG66" i="229"/>
  <c r="EN66" i="229"/>
  <c r="H66" i="229"/>
  <c r="K66" i="229"/>
  <c r="CL66" i="229"/>
  <c r="CT66" i="229"/>
  <c r="DB66" i="229"/>
  <c r="DJ66" i="229"/>
  <c r="DR66" i="229"/>
  <c r="DZ66" i="229"/>
  <c r="EI61" i="229"/>
  <c r="R66" i="229"/>
  <c r="CM66" i="229"/>
  <c r="CU66" i="229"/>
  <c r="DC66" i="229"/>
  <c r="DK66" i="229"/>
  <c r="DS66" i="229"/>
  <c r="EA66" i="229"/>
  <c r="EH66" i="229"/>
  <c r="L66" i="229"/>
  <c r="O66" i="229"/>
  <c r="CN66" i="229"/>
  <c r="CV66" i="229"/>
  <c r="DD66" i="229"/>
  <c r="DL66" i="229"/>
  <c r="DT66" i="229"/>
  <c r="EB66" i="229"/>
  <c r="EI66" i="229"/>
  <c r="I66" i="229"/>
  <c r="CO66" i="229"/>
  <c r="CW66" i="229"/>
  <c r="DE66" i="229"/>
  <c r="DM66" i="229"/>
  <c r="DU66" i="229"/>
  <c r="EC66" i="229"/>
  <c r="EJ66" i="229"/>
  <c r="J66" i="229"/>
  <c r="CQ66" i="229"/>
  <c r="DW66" i="229"/>
  <c r="CX66" i="229"/>
  <c r="ED66" i="229"/>
  <c r="M66" i="229"/>
  <c r="CY66" i="229"/>
  <c r="EE66" i="229"/>
  <c r="P66" i="229"/>
  <c r="DF66" i="229"/>
  <c r="EK66" i="229"/>
  <c r="DG66" i="229"/>
  <c r="EL66" i="229"/>
  <c r="CP66" i="229"/>
  <c r="S66" i="229"/>
  <c r="DN66" i="229"/>
  <c r="DV66" i="229"/>
  <c r="DO66" i="229"/>
  <c r="K175" i="229"/>
  <c r="L175" i="229"/>
  <c r="S175" i="229"/>
  <c r="H175" i="229"/>
  <c r="P175" i="229"/>
  <c r="U175" i="229"/>
  <c r="M175" i="229"/>
  <c r="I175" i="229"/>
  <c r="N175" i="229"/>
  <c r="Q175" i="229"/>
  <c r="O175" i="229"/>
  <c r="R175" i="229"/>
  <c r="J175" i="229"/>
  <c r="H172" i="229"/>
  <c r="T175" i="229"/>
  <c r="E170" i="229"/>
  <c r="M171" i="229"/>
  <c r="W171" i="229"/>
  <c r="AE171" i="229"/>
  <c r="AM171" i="229"/>
  <c r="AU171" i="229"/>
  <c r="BC171" i="229"/>
  <c r="BK171" i="229"/>
  <c r="BS171" i="229"/>
  <c r="CA171" i="229"/>
  <c r="CI171" i="229"/>
  <c r="CQ171" i="229"/>
  <c r="CY171" i="229"/>
  <c r="DG171" i="229"/>
  <c r="DO171" i="229"/>
  <c r="DW171" i="229"/>
  <c r="EE171" i="229"/>
  <c r="N171" i="229"/>
  <c r="Y171" i="229"/>
  <c r="AF171" i="229"/>
  <c r="AN171" i="229"/>
  <c r="AV171" i="229"/>
  <c r="BD171" i="229"/>
  <c r="BL171" i="229"/>
  <c r="BT171" i="229"/>
  <c r="CB171" i="229"/>
  <c r="CJ171" i="229"/>
  <c r="CR171" i="229"/>
  <c r="CZ171" i="229"/>
  <c r="DH171" i="229"/>
  <c r="DP171" i="229"/>
  <c r="DX171" i="229"/>
  <c r="EF171" i="229"/>
  <c r="I171" i="229"/>
  <c r="P171" i="229"/>
  <c r="AA171" i="229"/>
  <c r="AH171" i="229"/>
  <c r="AP171" i="229"/>
  <c r="AX171" i="229"/>
  <c r="BF171" i="229"/>
  <c r="BN171" i="229"/>
  <c r="BV171" i="229"/>
  <c r="CD171" i="229"/>
  <c r="CL171" i="229"/>
  <c r="CT171" i="229"/>
  <c r="DB171" i="229"/>
  <c r="DJ171" i="229"/>
  <c r="DR171" i="229"/>
  <c r="DZ171" i="229"/>
  <c r="EH171" i="229"/>
  <c r="H171" i="229"/>
  <c r="Q171" i="229"/>
  <c r="T171" i="229"/>
  <c r="AI171" i="229"/>
  <c r="AQ171" i="229"/>
  <c r="AY171" i="229"/>
  <c r="BG171" i="229"/>
  <c r="BO171" i="229"/>
  <c r="BW171" i="229"/>
  <c r="CE171" i="229"/>
  <c r="CM171" i="229"/>
  <c r="CU171" i="229"/>
  <c r="DC171" i="229"/>
  <c r="DK171" i="229"/>
  <c r="DS171" i="229"/>
  <c r="EA171" i="229"/>
  <c r="J171" i="229"/>
  <c r="R171" i="229"/>
  <c r="AB171" i="229"/>
  <c r="AJ171" i="229"/>
  <c r="AR171" i="229"/>
  <c r="AZ171" i="229"/>
  <c r="BH171" i="229"/>
  <c r="BP171" i="229"/>
  <c r="BX171" i="229"/>
  <c r="CF171" i="229"/>
  <c r="CN171" i="229"/>
  <c r="CV171" i="229"/>
  <c r="DD171" i="229"/>
  <c r="DL171" i="229"/>
  <c r="DT171" i="229"/>
  <c r="EB171" i="229"/>
  <c r="K171" i="229"/>
  <c r="S171" i="229"/>
  <c r="AC171" i="229"/>
  <c r="AK171" i="229"/>
  <c r="AS171" i="229"/>
  <c r="BA171" i="229"/>
  <c r="BI171" i="229"/>
  <c r="BQ171" i="229"/>
  <c r="BY171" i="229"/>
  <c r="CG171" i="229"/>
  <c r="CO171" i="229"/>
  <c r="CW171" i="229"/>
  <c r="DE171" i="229"/>
  <c r="DM171" i="229"/>
  <c r="DU171" i="229"/>
  <c r="EC171" i="229"/>
  <c r="AL171" i="229"/>
  <c r="BR171" i="229"/>
  <c r="CX171" i="229"/>
  <c r="ED171" i="229"/>
  <c r="AO171" i="229"/>
  <c r="BU171" i="229"/>
  <c r="DA171" i="229"/>
  <c r="EG171" i="229"/>
  <c r="L171" i="229"/>
  <c r="AT171" i="229"/>
  <c r="BZ171" i="229"/>
  <c r="DF171" i="229"/>
  <c r="U171" i="229"/>
  <c r="BB171" i="229"/>
  <c r="CH171" i="229"/>
  <c r="DN171" i="229"/>
  <c r="O171" i="229"/>
  <c r="CC171" i="229"/>
  <c r="Z171" i="229"/>
  <c r="CK171" i="229"/>
  <c r="AD171" i="229"/>
  <c r="CP171" i="229"/>
  <c r="AG171" i="229"/>
  <c r="CS171" i="229"/>
  <c r="AW171" i="229"/>
  <c r="DI171" i="229"/>
  <c r="BE171" i="229"/>
  <c r="DQ171" i="229"/>
  <c r="BJ171" i="229"/>
  <c r="BM171" i="229"/>
  <c r="DV171" i="229"/>
  <c r="DY171" i="229"/>
  <c r="X171" i="229"/>
  <c r="L164" i="229"/>
  <c r="M164" i="229"/>
  <c r="Q164" i="229"/>
  <c r="H164" i="229"/>
  <c r="I164" i="229"/>
  <c r="R164" i="229"/>
  <c r="N164" i="229"/>
  <c r="T164" i="229"/>
  <c r="J164" i="229"/>
  <c r="H161" i="229"/>
  <c r="U164" i="229"/>
  <c r="S164" i="229"/>
  <c r="K164" i="229"/>
  <c r="P164" i="229"/>
  <c r="O164" i="229"/>
  <c r="E159" i="229"/>
  <c r="O160" i="229"/>
  <c r="Z160" i="229"/>
  <c r="AG160" i="229"/>
  <c r="AO160" i="229"/>
  <c r="AW160" i="229"/>
  <c r="BE160" i="229"/>
  <c r="BM160" i="229"/>
  <c r="BU160" i="229"/>
  <c r="CC160" i="229"/>
  <c r="CK160" i="229"/>
  <c r="CS160" i="229"/>
  <c r="DA160" i="229"/>
  <c r="DI160" i="229"/>
  <c r="DQ160" i="229"/>
  <c r="DY160" i="229"/>
  <c r="EG160" i="229"/>
  <c r="J160" i="229"/>
  <c r="P160" i="229"/>
  <c r="AA160" i="229"/>
  <c r="AH160" i="229"/>
  <c r="AP160" i="229"/>
  <c r="AX160" i="229"/>
  <c r="BF160" i="229"/>
  <c r="BN160" i="229"/>
  <c r="BV160" i="229"/>
  <c r="CD160" i="229"/>
  <c r="CL160" i="229"/>
  <c r="CT160" i="229"/>
  <c r="DB160" i="229"/>
  <c r="DJ160" i="229"/>
  <c r="DR160" i="229"/>
  <c r="DZ160" i="229"/>
  <c r="EH160" i="229"/>
  <c r="I160" i="229"/>
  <c r="R160" i="229"/>
  <c r="AC160" i="229"/>
  <c r="AJ160" i="229"/>
  <c r="AR160" i="229"/>
  <c r="AZ160" i="229"/>
  <c r="BH160" i="229"/>
  <c r="BP160" i="229"/>
  <c r="BX160" i="229"/>
  <c r="CF160" i="229"/>
  <c r="CN160" i="229"/>
  <c r="CV160" i="229"/>
  <c r="DD160" i="229"/>
  <c r="DL160" i="229"/>
  <c r="DT160" i="229"/>
  <c r="EB160" i="229"/>
  <c r="K160" i="229"/>
  <c r="S160" i="229"/>
  <c r="T160" i="229"/>
  <c r="AK160" i="229"/>
  <c r="AS160" i="229"/>
  <c r="BA160" i="229"/>
  <c r="BI160" i="229"/>
  <c r="BQ160" i="229"/>
  <c r="BY160" i="229"/>
  <c r="CG160" i="229"/>
  <c r="CO160" i="229"/>
  <c r="CW160" i="229"/>
  <c r="DE160" i="229"/>
  <c r="DM160" i="229"/>
  <c r="DU160" i="229"/>
  <c r="EC160" i="229"/>
  <c r="M160" i="229"/>
  <c r="W160" i="229"/>
  <c r="AE160" i="229"/>
  <c r="AM160" i="229"/>
  <c r="AU160" i="229"/>
  <c r="BC160" i="229"/>
  <c r="BK160" i="229"/>
  <c r="BS160" i="229"/>
  <c r="CA160" i="229"/>
  <c r="CI160" i="229"/>
  <c r="CQ160" i="229"/>
  <c r="CY160" i="229"/>
  <c r="DG160" i="229"/>
  <c r="DO160" i="229"/>
  <c r="DW160" i="229"/>
  <c r="EE160" i="229"/>
  <c r="AB160" i="229"/>
  <c r="AV160" i="229"/>
  <c r="BR160" i="229"/>
  <c r="CM160" i="229"/>
  <c r="DH160" i="229"/>
  <c r="ED160" i="229"/>
  <c r="AD160" i="229"/>
  <c r="AY160" i="229"/>
  <c r="BT160" i="229"/>
  <c r="CP160" i="229"/>
  <c r="DK160" i="229"/>
  <c r="EF160" i="229"/>
  <c r="H160" i="229"/>
  <c r="AF160" i="229"/>
  <c r="BB160" i="229"/>
  <c r="BW160" i="229"/>
  <c r="CR160" i="229"/>
  <c r="DN160" i="229"/>
  <c r="N160" i="229"/>
  <c r="AL160" i="229"/>
  <c r="BG160" i="229"/>
  <c r="CB160" i="229"/>
  <c r="CX160" i="229"/>
  <c r="DS160" i="229"/>
  <c r="U160" i="229"/>
  <c r="BL160" i="229"/>
  <c r="DC160" i="229"/>
  <c r="Y160" i="229"/>
  <c r="BO160" i="229"/>
  <c r="DF160" i="229"/>
  <c r="AI160" i="229"/>
  <c r="BZ160" i="229"/>
  <c r="DP160" i="229"/>
  <c r="AN160" i="229"/>
  <c r="CE160" i="229"/>
  <c r="DV160" i="229"/>
  <c r="AQ160" i="229"/>
  <c r="CH160" i="229"/>
  <c r="DX160" i="229"/>
  <c r="AT160" i="229"/>
  <c r="CJ160" i="229"/>
  <c r="EA160" i="229"/>
  <c r="CZ160" i="229"/>
  <c r="X160" i="229"/>
  <c r="L160" i="229"/>
  <c r="Q160" i="229"/>
  <c r="BD160" i="229"/>
  <c r="CU160" i="229"/>
  <c r="BJ160" i="229"/>
  <c r="E64" i="260"/>
  <c r="E76" i="260" s="1"/>
  <c r="D11" i="227"/>
  <c r="E14" i="222"/>
  <c r="J14" i="222" s="1"/>
  <c r="J13" i="222"/>
  <c r="K153" i="229"/>
  <c r="Q153" i="229"/>
  <c r="T153" i="229"/>
  <c r="H153" i="229"/>
  <c r="R153" i="229"/>
  <c r="H150" i="229"/>
  <c r="L153" i="229"/>
  <c r="U153" i="229"/>
  <c r="M153" i="229"/>
  <c r="I153" i="229"/>
  <c r="S153" i="229"/>
  <c r="N153" i="229"/>
  <c r="J153" i="229"/>
  <c r="O153" i="229"/>
  <c r="P153" i="229"/>
  <c r="E148" i="229"/>
  <c r="I149" i="229"/>
  <c r="P149" i="229"/>
  <c r="AA149" i="229"/>
  <c r="AH149" i="229"/>
  <c r="AP149" i="229"/>
  <c r="AX149" i="229"/>
  <c r="BF149" i="229"/>
  <c r="BN149" i="229"/>
  <c r="BV149" i="229"/>
  <c r="CD149" i="229"/>
  <c r="CL149" i="229"/>
  <c r="CT149" i="229"/>
  <c r="DB149" i="229"/>
  <c r="DJ149" i="229"/>
  <c r="DR149" i="229"/>
  <c r="DZ149" i="229"/>
  <c r="EH149" i="229"/>
  <c r="K149" i="229"/>
  <c r="S149" i="229"/>
  <c r="T149" i="229"/>
  <c r="AK149" i="229"/>
  <c r="AS149" i="229"/>
  <c r="BA149" i="229"/>
  <c r="BI149" i="229"/>
  <c r="BQ149" i="229"/>
  <c r="BY149" i="229"/>
  <c r="CG149" i="229"/>
  <c r="CO149" i="229"/>
  <c r="CW149" i="229"/>
  <c r="DE149" i="229"/>
  <c r="DM149" i="229"/>
  <c r="DU149" i="229"/>
  <c r="EC149" i="229"/>
  <c r="L149" i="229"/>
  <c r="U149" i="229"/>
  <c r="AD149" i="229"/>
  <c r="AL149" i="229"/>
  <c r="AT149" i="229"/>
  <c r="BB149" i="229"/>
  <c r="BJ149" i="229"/>
  <c r="BR149" i="229"/>
  <c r="BZ149" i="229"/>
  <c r="CH149" i="229"/>
  <c r="CP149" i="229"/>
  <c r="CX149" i="229"/>
  <c r="DF149" i="229"/>
  <c r="DN149" i="229"/>
  <c r="DV149" i="229"/>
  <c r="ED149" i="229"/>
  <c r="N149" i="229"/>
  <c r="Y149" i="229"/>
  <c r="AF149" i="229"/>
  <c r="AN149" i="229"/>
  <c r="AV149" i="229"/>
  <c r="BD149" i="229"/>
  <c r="BL149" i="229"/>
  <c r="BT149" i="229"/>
  <c r="CB149" i="229"/>
  <c r="CJ149" i="229"/>
  <c r="CR149" i="229"/>
  <c r="CZ149" i="229"/>
  <c r="DH149" i="229"/>
  <c r="DP149" i="229"/>
  <c r="DX149" i="229"/>
  <c r="EF149" i="229"/>
  <c r="Z149" i="229"/>
  <c r="AO149" i="229"/>
  <c r="BE149" i="229"/>
  <c r="BU149" i="229"/>
  <c r="CK149" i="229"/>
  <c r="DA149" i="229"/>
  <c r="DQ149" i="229"/>
  <c r="EG149" i="229"/>
  <c r="J149" i="229"/>
  <c r="AB149" i="229"/>
  <c r="AQ149" i="229"/>
  <c r="BG149" i="229"/>
  <c r="BW149" i="229"/>
  <c r="CM149" i="229"/>
  <c r="DC149" i="229"/>
  <c r="DS149" i="229"/>
  <c r="O149" i="229"/>
  <c r="AG149" i="229"/>
  <c r="AW149" i="229"/>
  <c r="BM149" i="229"/>
  <c r="CC149" i="229"/>
  <c r="CS149" i="229"/>
  <c r="DI149" i="229"/>
  <c r="DY149" i="229"/>
  <c r="Q149" i="229"/>
  <c r="AR149" i="229"/>
  <c r="BP149" i="229"/>
  <c r="CQ149" i="229"/>
  <c r="DO149" i="229"/>
  <c r="R149" i="229"/>
  <c r="AU149" i="229"/>
  <c r="BS149" i="229"/>
  <c r="CU149" i="229"/>
  <c r="DT149" i="229"/>
  <c r="W149" i="229"/>
  <c r="AY149" i="229"/>
  <c r="BX149" i="229"/>
  <c r="CV149" i="229"/>
  <c r="DW149" i="229"/>
  <c r="AC149" i="229"/>
  <c r="AZ149" i="229"/>
  <c r="CA149" i="229"/>
  <c r="CY149" i="229"/>
  <c r="EA149" i="229"/>
  <c r="AE149" i="229"/>
  <c r="BC149" i="229"/>
  <c r="CE149" i="229"/>
  <c r="DD149" i="229"/>
  <c r="EB149" i="229"/>
  <c r="AI149" i="229"/>
  <c r="BH149" i="229"/>
  <c r="CF149" i="229"/>
  <c r="DG149" i="229"/>
  <c r="EE149" i="229"/>
  <c r="M149" i="229"/>
  <c r="DL149" i="229"/>
  <c r="AJ149" i="229"/>
  <c r="AM149" i="229"/>
  <c r="X149" i="229"/>
  <c r="BK149" i="229"/>
  <c r="BO149" i="229"/>
  <c r="CI149" i="229"/>
  <c r="H149" i="229"/>
  <c r="DK149" i="229"/>
  <c r="CN149" i="229"/>
  <c r="V34" i="229"/>
  <c r="V234" i="229" s="1"/>
  <c r="T44" i="229"/>
  <c r="T45" i="229" s="1"/>
  <c r="T235" i="229" s="1"/>
  <c r="AC44" i="229"/>
  <c r="U44" i="229"/>
  <c r="AA44" i="229"/>
  <c r="V44" i="229"/>
  <c r="X44" i="229"/>
  <c r="X45" i="229" s="1"/>
  <c r="X235" i="229" s="1"/>
  <c r="W44" i="229"/>
  <c r="AB44" i="229"/>
  <c r="AF44" i="229"/>
  <c r="AN44" i="229"/>
  <c r="AT44" i="229"/>
  <c r="AG44" i="229"/>
  <c r="AO44" i="229"/>
  <c r="AD44" i="229"/>
  <c r="AM44" i="229"/>
  <c r="Y44" i="229"/>
  <c r="AH44" i="229"/>
  <c r="AP44" i="229"/>
  <c r="AE44" i="229"/>
  <c r="AJ44" i="229"/>
  <c r="AV44" i="229"/>
  <c r="Z44" i="229"/>
  <c r="AI44" i="229"/>
  <c r="AQ44" i="229"/>
  <c r="AR44" i="229"/>
  <c r="AW44" i="229"/>
  <c r="BC44" i="229"/>
  <c r="AS44" i="229"/>
  <c r="BM44" i="229"/>
  <c r="AL44" i="229"/>
  <c r="AU44" i="229"/>
  <c r="AY44" i="229"/>
  <c r="BA44" i="229"/>
  <c r="BE44" i="229"/>
  <c r="BI44" i="229"/>
  <c r="AZ44" i="229"/>
  <c r="BP44" i="229"/>
  <c r="BV44" i="229"/>
  <c r="AX44" i="229"/>
  <c r="BD44" i="229"/>
  <c r="BJ44" i="229"/>
  <c r="BQ44" i="229"/>
  <c r="BW44" i="229"/>
  <c r="BB44" i="229"/>
  <c r="AK44" i="229"/>
  <c r="BK44" i="229"/>
  <c r="BN44" i="229"/>
  <c r="BR44" i="229"/>
  <c r="BT44" i="229"/>
  <c r="BF44" i="229"/>
  <c r="BO44" i="229"/>
  <c r="BS44" i="229"/>
  <c r="BU44" i="229"/>
  <c r="BZ44" i="229"/>
  <c r="BH44" i="229"/>
  <c r="CC44" i="229"/>
  <c r="CI44" i="229"/>
  <c r="BG44" i="229"/>
  <c r="CA44" i="229"/>
  <c r="CD44" i="229"/>
  <c r="CF44" i="229"/>
  <c r="BL44" i="229"/>
  <c r="BX44" i="229"/>
  <c r="CE44" i="229"/>
  <c r="CG44" i="229"/>
  <c r="BY44" i="229"/>
  <c r="CH44" i="229"/>
  <c r="CB44" i="229"/>
  <c r="J44" i="229"/>
  <c r="J45" i="229" s="1"/>
  <c r="J235" i="229" s="1"/>
  <c r="R44" i="229"/>
  <c r="CO44" i="229"/>
  <c r="CW44" i="229"/>
  <c r="DE44" i="229"/>
  <c r="DM44" i="229"/>
  <c r="DU44" i="229"/>
  <c r="EC44" i="229"/>
  <c r="EJ44" i="229"/>
  <c r="CP44" i="229"/>
  <c r="CX44" i="229"/>
  <c r="DF44" i="229"/>
  <c r="DN44" i="229"/>
  <c r="DV44" i="229"/>
  <c r="ED44" i="229"/>
  <c r="EK44" i="229"/>
  <c r="K44" i="229"/>
  <c r="N44" i="229"/>
  <c r="S44" i="229"/>
  <c r="CQ44" i="229"/>
  <c r="CY44" i="229"/>
  <c r="DG44" i="229"/>
  <c r="DO44" i="229"/>
  <c r="DW44" i="229"/>
  <c r="EE44" i="229"/>
  <c r="EL44" i="229"/>
  <c r="CJ44" i="229"/>
  <c r="CR44" i="229"/>
  <c r="CZ44" i="229"/>
  <c r="DH44" i="229"/>
  <c r="DP44" i="229"/>
  <c r="DX44" i="229"/>
  <c r="EF44" i="229"/>
  <c r="EM44" i="229"/>
  <c r="O44" i="229"/>
  <c r="CK44" i="229"/>
  <c r="CS44" i="229"/>
  <c r="DA44" i="229"/>
  <c r="DI44" i="229"/>
  <c r="DQ44" i="229"/>
  <c r="DY44" i="229"/>
  <c r="EG44" i="229"/>
  <c r="EN44" i="229"/>
  <c r="H44" i="229"/>
  <c r="L44" i="229"/>
  <c r="P44" i="229"/>
  <c r="CL44" i="229"/>
  <c r="CT44" i="229"/>
  <c r="DB44" i="229"/>
  <c r="DJ44" i="229"/>
  <c r="DR44" i="229"/>
  <c r="DZ44" i="229"/>
  <c r="EI39" i="229"/>
  <c r="M44" i="229"/>
  <c r="M45" i="229" s="1"/>
  <c r="M235" i="229" s="1"/>
  <c r="DD44" i="229"/>
  <c r="EI44" i="229"/>
  <c r="DK44" i="229"/>
  <c r="Q44" i="229"/>
  <c r="DL44" i="229"/>
  <c r="CM44" i="229"/>
  <c r="DS44" i="229"/>
  <c r="CN44" i="229"/>
  <c r="DT44" i="229"/>
  <c r="EH44" i="229"/>
  <c r="CU44" i="229"/>
  <c r="EA44" i="229"/>
  <c r="DC44" i="229"/>
  <c r="I44" i="229"/>
  <c r="CV44" i="229"/>
  <c r="EB44" i="229"/>
  <c r="D20" i="227"/>
  <c r="H63" i="229"/>
  <c r="H199" i="229" s="1"/>
  <c r="I131" i="229"/>
  <c r="Q131" i="229"/>
  <c r="M131" i="229"/>
  <c r="U131" i="229"/>
  <c r="J131" i="229"/>
  <c r="R131" i="229"/>
  <c r="N131" i="229"/>
  <c r="S131" i="229"/>
  <c r="K131" i="229"/>
  <c r="H128" i="229"/>
  <c r="O131" i="229"/>
  <c r="P131" i="229"/>
  <c r="T131" i="229"/>
  <c r="L131" i="229"/>
  <c r="E126" i="229"/>
  <c r="H131" i="229"/>
  <c r="I127" i="229"/>
  <c r="Q127" i="229"/>
  <c r="AB127" i="229"/>
  <c r="AI127" i="229"/>
  <c r="AQ127" i="229"/>
  <c r="AY127" i="229"/>
  <c r="BG127" i="229"/>
  <c r="BO127" i="229"/>
  <c r="BW127" i="229"/>
  <c r="CE127" i="229"/>
  <c r="CM127" i="229"/>
  <c r="CU127" i="229"/>
  <c r="DC127" i="229"/>
  <c r="DK127" i="229"/>
  <c r="DS127" i="229"/>
  <c r="EA127" i="229"/>
  <c r="L127" i="229"/>
  <c r="U127" i="229"/>
  <c r="AD127" i="229"/>
  <c r="AL127" i="229"/>
  <c r="AT127" i="229"/>
  <c r="BB127" i="229"/>
  <c r="BJ127" i="229"/>
  <c r="BR127" i="229"/>
  <c r="BZ127" i="229"/>
  <c r="CH127" i="229"/>
  <c r="CP127" i="229"/>
  <c r="CX127" i="229"/>
  <c r="DF127" i="229"/>
  <c r="DN127" i="229"/>
  <c r="DV127" i="229"/>
  <c r="ED127" i="229"/>
  <c r="M127" i="229"/>
  <c r="W127" i="229"/>
  <c r="AE127" i="229"/>
  <c r="AM127" i="229"/>
  <c r="AU127" i="229"/>
  <c r="BC127" i="229"/>
  <c r="BK127" i="229"/>
  <c r="BS127" i="229"/>
  <c r="CA127" i="229"/>
  <c r="CI127" i="229"/>
  <c r="CQ127" i="229"/>
  <c r="CY127" i="229"/>
  <c r="DG127" i="229"/>
  <c r="DO127" i="229"/>
  <c r="DW127" i="229"/>
  <c r="EE127" i="229"/>
  <c r="O127" i="229"/>
  <c r="Z127" i="229"/>
  <c r="AG127" i="229"/>
  <c r="AO127" i="229"/>
  <c r="AW127" i="229"/>
  <c r="BE127" i="229"/>
  <c r="BM127" i="229"/>
  <c r="BU127" i="229"/>
  <c r="CC127" i="229"/>
  <c r="CK127" i="229"/>
  <c r="CS127" i="229"/>
  <c r="DA127" i="229"/>
  <c r="DI127" i="229"/>
  <c r="DQ127" i="229"/>
  <c r="DY127" i="229"/>
  <c r="EG127" i="229"/>
  <c r="H127" i="229"/>
  <c r="AA127" i="229"/>
  <c r="AP127" i="229"/>
  <c r="BF127" i="229"/>
  <c r="BV127" i="229"/>
  <c r="CL127" i="229"/>
  <c r="DB127" i="229"/>
  <c r="DR127" i="229"/>
  <c r="EH127" i="229"/>
  <c r="K127" i="229"/>
  <c r="AC127" i="229"/>
  <c r="AR127" i="229"/>
  <c r="BH127" i="229"/>
  <c r="BX127" i="229"/>
  <c r="CN127" i="229"/>
  <c r="DD127" i="229"/>
  <c r="DT127" i="229"/>
  <c r="J127" i="229"/>
  <c r="T127" i="229"/>
  <c r="AS127" i="229"/>
  <c r="BI127" i="229"/>
  <c r="P127" i="229"/>
  <c r="AH127" i="229"/>
  <c r="AX127" i="229"/>
  <c r="BN127" i="229"/>
  <c r="CD127" i="229"/>
  <c r="CT127" i="229"/>
  <c r="DJ127" i="229"/>
  <c r="DZ127" i="229"/>
  <c r="AK127" i="229"/>
  <c r="BQ127" i="229"/>
  <c r="CR127" i="229"/>
  <c r="DP127" i="229"/>
  <c r="AN127" i="229"/>
  <c r="BT127" i="229"/>
  <c r="CV127" i="229"/>
  <c r="DU127" i="229"/>
  <c r="N127" i="229"/>
  <c r="AV127" i="229"/>
  <c r="BY127" i="229"/>
  <c r="CW127" i="229"/>
  <c r="DX127" i="229"/>
  <c r="R127" i="229"/>
  <c r="AZ127" i="229"/>
  <c r="CB127" i="229"/>
  <c r="CZ127" i="229"/>
  <c r="EB127" i="229"/>
  <c r="S127" i="229"/>
  <c r="BA127" i="229"/>
  <c r="CF127" i="229"/>
  <c r="DE127" i="229"/>
  <c r="EC127" i="229"/>
  <c r="Y127" i="229"/>
  <c r="BD127" i="229"/>
  <c r="CG127" i="229"/>
  <c r="DH127" i="229"/>
  <c r="EF127" i="229"/>
  <c r="AJ127" i="229"/>
  <c r="X127" i="229"/>
  <c r="BL127" i="229"/>
  <c r="BP127" i="229"/>
  <c r="CJ127" i="229"/>
  <c r="CO127" i="229"/>
  <c r="DL127" i="229"/>
  <c r="AF127" i="229"/>
  <c r="DM127" i="229"/>
  <c r="M186" i="229"/>
  <c r="H183" i="229"/>
  <c r="H184" i="229" s="1"/>
  <c r="H186" i="229"/>
  <c r="I186" i="229"/>
  <c r="N186" i="229"/>
  <c r="P186" i="229"/>
  <c r="J186" i="229"/>
  <c r="Q186" i="229"/>
  <c r="T186" i="229"/>
  <c r="O186" i="229"/>
  <c r="R186" i="229"/>
  <c r="K186" i="229"/>
  <c r="L186" i="229"/>
  <c r="U186" i="229"/>
  <c r="E181" i="229"/>
  <c r="S186" i="229"/>
  <c r="K182" i="229"/>
  <c r="S182" i="229"/>
  <c r="T182" i="229"/>
  <c r="AK182" i="229"/>
  <c r="AS182" i="229"/>
  <c r="BA182" i="229"/>
  <c r="BI182" i="229"/>
  <c r="BQ182" i="229"/>
  <c r="BY182" i="229"/>
  <c r="CG182" i="229"/>
  <c r="CO182" i="229"/>
  <c r="CW182" i="229"/>
  <c r="DE182" i="229"/>
  <c r="DM182" i="229"/>
  <c r="DU182" i="229"/>
  <c r="EC182" i="229"/>
  <c r="N182" i="229"/>
  <c r="Y182" i="229"/>
  <c r="AF182" i="229"/>
  <c r="AN182" i="229"/>
  <c r="AV182" i="229"/>
  <c r="BD182" i="229"/>
  <c r="BL182" i="229"/>
  <c r="BT182" i="229"/>
  <c r="CB182" i="229"/>
  <c r="CJ182" i="229"/>
  <c r="CR182" i="229"/>
  <c r="CZ182" i="229"/>
  <c r="DH182" i="229"/>
  <c r="DP182" i="229"/>
  <c r="DX182" i="229"/>
  <c r="EF182" i="229"/>
  <c r="O182" i="229"/>
  <c r="Z182" i="229"/>
  <c r="AG182" i="229"/>
  <c r="AO182" i="229"/>
  <c r="AW182" i="229"/>
  <c r="BE182" i="229"/>
  <c r="BM182" i="229"/>
  <c r="BU182" i="229"/>
  <c r="CC182" i="229"/>
  <c r="CK182" i="229"/>
  <c r="CS182" i="229"/>
  <c r="DA182" i="229"/>
  <c r="DI182" i="229"/>
  <c r="DQ182" i="229"/>
  <c r="DY182" i="229"/>
  <c r="EG182" i="229"/>
  <c r="I182" i="229"/>
  <c r="Q182" i="229"/>
  <c r="AB182" i="229"/>
  <c r="AI182" i="229"/>
  <c r="AQ182" i="229"/>
  <c r="AY182" i="229"/>
  <c r="BG182" i="229"/>
  <c r="BO182" i="229"/>
  <c r="BW182" i="229"/>
  <c r="CE182" i="229"/>
  <c r="CM182" i="229"/>
  <c r="CU182" i="229"/>
  <c r="DC182" i="229"/>
  <c r="DK182" i="229"/>
  <c r="DS182" i="229"/>
  <c r="EA182" i="229"/>
  <c r="P182" i="229"/>
  <c r="AH182" i="229"/>
  <c r="AX182" i="229"/>
  <c r="BN182" i="229"/>
  <c r="CD182" i="229"/>
  <c r="CT182" i="229"/>
  <c r="DJ182" i="229"/>
  <c r="DZ182" i="229"/>
  <c r="W182" i="229"/>
  <c r="AM182" i="229"/>
  <c r="BC182" i="229"/>
  <c r="BS182" i="229"/>
  <c r="CI182" i="229"/>
  <c r="CY182" i="229"/>
  <c r="DO182" i="229"/>
  <c r="EE182" i="229"/>
  <c r="AA182" i="229"/>
  <c r="AT182" i="229"/>
  <c r="BP182" i="229"/>
  <c r="CL182" i="229"/>
  <c r="DF182" i="229"/>
  <c r="EB182" i="229"/>
  <c r="AC182" i="229"/>
  <c r="AU182" i="229"/>
  <c r="BR182" i="229"/>
  <c r="CN182" i="229"/>
  <c r="DG182" i="229"/>
  <c r="ED182" i="229"/>
  <c r="H182" i="229"/>
  <c r="AD182" i="229"/>
  <c r="AZ182" i="229"/>
  <c r="BV182" i="229"/>
  <c r="CP182" i="229"/>
  <c r="DL182" i="229"/>
  <c r="EH182" i="229"/>
  <c r="J182" i="229"/>
  <c r="L182" i="229"/>
  <c r="AJ182" i="229"/>
  <c r="BF182" i="229"/>
  <c r="BZ182" i="229"/>
  <c r="CV182" i="229"/>
  <c r="DR182" i="229"/>
  <c r="M182" i="229"/>
  <c r="AL182" i="229"/>
  <c r="BH182" i="229"/>
  <c r="CA182" i="229"/>
  <c r="CX182" i="229"/>
  <c r="DT182" i="229"/>
  <c r="AP182" i="229"/>
  <c r="CQ182" i="229"/>
  <c r="AR182" i="229"/>
  <c r="DB182" i="229"/>
  <c r="BB182" i="229"/>
  <c r="DD182" i="229"/>
  <c r="BJ182" i="229"/>
  <c r="DN182" i="229"/>
  <c r="BK182" i="229"/>
  <c r="DV182" i="229"/>
  <c r="R182" i="229"/>
  <c r="BX182" i="229"/>
  <c r="DW182" i="229"/>
  <c r="X182" i="229"/>
  <c r="U182" i="229"/>
  <c r="CH182" i="229"/>
  <c r="AE182" i="229"/>
  <c r="CF182" i="229"/>
  <c r="D23" i="260"/>
  <c r="D24" i="260"/>
  <c r="J11" i="222"/>
  <c r="D21" i="260"/>
  <c r="D19" i="260"/>
  <c r="I120" i="229"/>
  <c r="M120" i="229"/>
  <c r="Q120" i="229"/>
  <c r="N120" i="229"/>
  <c r="R120" i="229"/>
  <c r="J120" i="229"/>
  <c r="S120" i="229"/>
  <c r="T120" i="229"/>
  <c r="H117" i="229"/>
  <c r="U120" i="229"/>
  <c r="H120" i="229"/>
  <c r="K120" i="229"/>
  <c r="L120" i="229"/>
  <c r="O120" i="229"/>
  <c r="P120" i="229"/>
  <c r="E115" i="229"/>
  <c r="H116" i="229"/>
  <c r="R116" i="229"/>
  <c r="AC116" i="229"/>
  <c r="AJ116" i="229"/>
  <c r="AR116" i="229"/>
  <c r="AZ116" i="229"/>
  <c r="BH116" i="229"/>
  <c r="BP116" i="229"/>
  <c r="BX116" i="229"/>
  <c r="CF116" i="229"/>
  <c r="CN116" i="229"/>
  <c r="CV116" i="229"/>
  <c r="DD116" i="229"/>
  <c r="DL116" i="229"/>
  <c r="DT116" i="229"/>
  <c r="EB116" i="229"/>
  <c r="K116" i="229"/>
  <c r="S116" i="229"/>
  <c r="AD116" i="229"/>
  <c r="AK116" i="229"/>
  <c r="AS116" i="229"/>
  <c r="BA116" i="229"/>
  <c r="BI116" i="229"/>
  <c r="BQ116" i="229"/>
  <c r="BY116" i="229"/>
  <c r="CG116" i="229"/>
  <c r="CO116" i="229"/>
  <c r="CW116" i="229"/>
  <c r="DE116" i="229"/>
  <c r="DM116" i="229"/>
  <c r="DU116" i="229"/>
  <c r="EC116" i="229"/>
  <c r="M116" i="229"/>
  <c r="W116" i="229"/>
  <c r="AF116" i="229"/>
  <c r="AM116" i="229"/>
  <c r="AU116" i="229"/>
  <c r="BC116" i="229"/>
  <c r="BK116" i="229"/>
  <c r="BS116" i="229"/>
  <c r="CA116" i="229"/>
  <c r="CI116" i="229"/>
  <c r="CQ116" i="229"/>
  <c r="CY116" i="229"/>
  <c r="DG116" i="229"/>
  <c r="DO116" i="229"/>
  <c r="DW116" i="229"/>
  <c r="EE116" i="229"/>
  <c r="N116" i="229"/>
  <c r="Y116" i="229"/>
  <c r="AG116" i="229"/>
  <c r="AN116" i="229"/>
  <c r="AV116" i="229"/>
  <c r="BD116" i="229"/>
  <c r="BL116" i="229"/>
  <c r="BT116" i="229"/>
  <c r="CB116" i="229"/>
  <c r="CJ116" i="229"/>
  <c r="CR116" i="229"/>
  <c r="CZ116" i="229"/>
  <c r="DH116" i="229"/>
  <c r="DP116" i="229"/>
  <c r="DX116" i="229"/>
  <c r="EF116" i="229"/>
  <c r="I116" i="229"/>
  <c r="P116" i="229"/>
  <c r="AA116" i="229"/>
  <c r="T116" i="229"/>
  <c r="AP116" i="229"/>
  <c r="AX116" i="229"/>
  <c r="BF116" i="229"/>
  <c r="BN116" i="229"/>
  <c r="BV116" i="229"/>
  <c r="CD116" i="229"/>
  <c r="CL116" i="229"/>
  <c r="CT116" i="229"/>
  <c r="DB116" i="229"/>
  <c r="DJ116" i="229"/>
  <c r="DR116" i="229"/>
  <c r="DZ116" i="229"/>
  <c r="EH116" i="229"/>
  <c r="J116" i="229"/>
  <c r="AH116" i="229"/>
  <c r="BB116" i="229"/>
  <c r="BW116" i="229"/>
  <c r="CS116" i="229"/>
  <c r="DN116" i="229"/>
  <c r="L116" i="229"/>
  <c r="AI116" i="229"/>
  <c r="BE116" i="229"/>
  <c r="BZ116" i="229"/>
  <c r="CU116" i="229"/>
  <c r="DQ116" i="229"/>
  <c r="O116" i="229"/>
  <c r="AL116" i="229"/>
  <c r="BG116" i="229"/>
  <c r="CC116" i="229"/>
  <c r="CX116" i="229"/>
  <c r="DS116" i="229"/>
  <c r="U116" i="229"/>
  <c r="AQ116" i="229"/>
  <c r="BM116" i="229"/>
  <c r="CH116" i="229"/>
  <c r="DC116" i="229"/>
  <c r="DY116" i="229"/>
  <c r="AO116" i="229"/>
  <c r="CE116" i="229"/>
  <c r="DV116" i="229"/>
  <c r="AT116" i="229"/>
  <c r="CK116" i="229"/>
  <c r="EA116" i="229"/>
  <c r="AW116" i="229"/>
  <c r="CM116" i="229"/>
  <c r="ED116" i="229"/>
  <c r="AY116" i="229"/>
  <c r="CP116" i="229"/>
  <c r="EG116" i="229"/>
  <c r="Q116" i="229"/>
  <c r="BJ116" i="229"/>
  <c r="DA116" i="229"/>
  <c r="Z116" i="229"/>
  <c r="BO116" i="229"/>
  <c r="DF116" i="229"/>
  <c r="DK116" i="229"/>
  <c r="AB116" i="229"/>
  <c r="AE116" i="229"/>
  <c r="X116" i="229"/>
  <c r="BR116" i="229"/>
  <c r="BU116" i="229"/>
  <c r="DI116" i="229"/>
  <c r="H7" i="227"/>
  <c r="K7" i="227"/>
  <c r="G6" i="227"/>
  <c r="H30" i="229"/>
  <c r="H196" i="229" s="1"/>
  <c r="Q109" i="229"/>
  <c r="T109" i="229"/>
  <c r="I109" i="229"/>
  <c r="H106" i="229"/>
  <c r="N109" i="229"/>
  <c r="J109" i="229"/>
  <c r="R109" i="229"/>
  <c r="O109" i="229"/>
  <c r="U109" i="229"/>
  <c r="K109" i="229"/>
  <c r="E104" i="229"/>
  <c r="L109" i="229"/>
  <c r="S109" i="229"/>
  <c r="M109" i="229"/>
  <c r="H109" i="229"/>
  <c r="P109" i="229"/>
  <c r="I105" i="229"/>
  <c r="Q105" i="229"/>
  <c r="AB105" i="229"/>
  <c r="AI105" i="229"/>
  <c r="AQ105" i="229"/>
  <c r="AY105" i="229"/>
  <c r="BG105" i="229"/>
  <c r="BO105" i="229"/>
  <c r="BW105" i="229"/>
  <c r="CE105" i="229"/>
  <c r="CM105" i="229"/>
  <c r="CU105" i="229"/>
  <c r="DC105" i="229"/>
  <c r="DK105" i="229"/>
  <c r="DS105" i="229"/>
  <c r="EA105" i="229"/>
  <c r="H105" i="229"/>
  <c r="R105" i="229"/>
  <c r="AC105" i="229"/>
  <c r="AJ105" i="229"/>
  <c r="AR105" i="229"/>
  <c r="AZ105" i="229"/>
  <c r="BH105" i="229"/>
  <c r="BP105" i="229"/>
  <c r="BX105" i="229"/>
  <c r="CF105" i="229"/>
  <c r="CN105" i="229"/>
  <c r="CV105" i="229"/>
  <c r="DD105" i="229"/>
  <c r="DL105" i="229"/>
  <c r="DT105" i="229"/>
  <c r="EB105" i="229"/>
  <c r="L105" i="229"/>
  <c r="U105" i="229"/>
  <c r="AE105" i="229"/>
  <c r="AL105" i="229"/>
  <c r="AT105" i="229"/>
  <c r="BB105" i="229"/>
  <c r="BJ105" i="229"/>
  <c r="BR105" i="229"/>
  <c r="BZ105" i="229"/>
  <c r="CH105" i="229"/>
  <c r="CP105" i="229"/>
  <c r="CX105" i="229"/>
  <c r="DF105" i="229"/>
  <c r="DN105" i="229"/>
  <c r="DV105" i="229"/>
  <c r="ED105" i="229"/>
  <c r="M105" i="229"/>
  <c r="W105" i="229"/>
  <c r="AF105" i="229"/>
  <c r="AM105" i="229"/>
  <c r="AU105" i="229"/>
  <c r="BC105" i="229"/>
  <c r="BK105" i="229"/>
  <c r="BS105" i="229"/>
  <c r="CA105" i="229"/>
  <c r="CI105" i="229"/>
  <c r="CQ105" i="229"/>
  <c r="CY105" i="229"/>
  <c r="DG105" i="229"/>
  <c r="DO105" i="229"/>
  <c r="DW105" i="229"/>
  <c r="EE105" i="229"/>
  <c r="N105" i="229"/>
  <c r="Y105" i="229"/>
  <c r="AG105" i="229"/>
  <c r="AN105" i="229"/>
  <c r="AV105" i="229"/>
  <c r="BD105" i="229"/>
  <c r="BL105" i="229"/>
  <c r="BT105" i="229"/>
  <c r="CB105" i="229"/>
  <c r="CJ105" i="229"/>
  <c r="CR105" i="229"/>
  <c r="CZ105" i="229"/>
  <c r="O105" i="229"/>
  <c r="Z105" i="229"/>
  <c r="AH105" i="229"/>
  <c r="AO105" i="229"/>
  <c r="AW105" i="229"/>
  <c r="BE105" i="229"/>
  <c r="BM105" i="229"/>
  <c r="BU105" i="229"/>
  <c r="CC105" i="229"/>
  <c r="CK105" i="229"/>
  <c r="CS105" i="229"/>
  <c r="DA105" i="229"/>
  <c r="DI105" i="229"/>
  <c r="DQ105" i="229"/>
  <c r="DY105" i="229"/>
  <c r="EG105" i="229"/>
  <c r="S105" i="229"/>
  <c r="BA105" i="229"/>
  <c r="CG105" i="229"/>
  <c r="DJ105" i="229"/>
  <c r="EF105" i="229"/>
  <c r="AA105" i="229"/>
  <c r="BF105" i="229"/>
  <c r="CL105" i="229"/>
  <c r="DM105" i="229"/>
  <c r="EH105" i="229"/>
  <c r="AD105" i="229"/>
  <c r="BI105" i="229"/>
  <c r="CO105" i="229"/>
  <c r="DP105" i="229"/>
  <c r="AK105" i="229"/>
  <c r="BQ105" i="229"/>
  <c r="CW105" i="229"/>
  <c r="DU105" i="229"/>
  <c r="AS105" i="229"/>
  <c r="DE105" i="229"/>
  <c r="AX105" i="229"/>
  <c r="DH105" i="229"/>
  <c r="BN105" i="229"/>
  <c r="DR105" i="229"/>
  <c r="J105" i="229"/>
  <c r="BV105" i="229"/>
  <c r="DX105" i="229"/>
  <c r="K105" i="229"/>
  <c r="BY105" i="229"/>
  <c r="DZ105" i="229"/>
  <c r="P105" i="229"/>
  <c r="CD105" i="229"/>
  <c r="EC105" i="229"/>
  <c r="T105" i="229"/>
  <c r="AP105" i="229"/>
  <c r="CT105" i="229"/>
  <c r="DB105" i="229"/>
  <c r="X105" i="229"/>
  <c r="T77" i="229"/>
  <c r="T78" i="229" s="1"/>
  <c r="T238" i="229" s="1"/>
  <c r="AC77" i="229"/>
  <c r="U77" i="229"/>
  <c r="AA77" i="229"/>
  <c r="V77" i="229"/>
  <c r="X77" i="229"/>
  <c r="W77" i="229"/>
  <c r="Z77" i="229"/>
  <c r="AD77" i="229"/>
  <c r="AF77" i="229"/>
  <c r="AN77" i="229"/>
  <c r="AT77" i="229"/>
  <c r="AE77" i="229"/>
  <c r="AG77" i="229"/>
  <c r="AM77" i="229"/>
  <c r="AH77" i="229"/>
  <c r="AP77" i="229"/>
  <c r="AB77" i="229"/>
  <c r="AJ77" i="229"/>
  <c r="AV77" i="229"/>
  <c r="Y77" i="229"/>
  <c r="AI77" i="229"/>
  <c r="AQ77" i="229"/>
  <c r="AX77" i="229"/>
  <c r="BC77" i="229"/>
  <c r="AU77" i="229"/>
  <c r="AY77" i="229"/>
  <c r="BM77" i="229"/>
  <c r="AK77" i="229"/>
  <c r="AO77" i="229"/>
  <c r="AR77" i="229"/>
  <c r="BA77" i="229"/>
  <c r="BE77" i="229"/>
  <c r="BI77" i="229"/>
  <c r="BP77" i="229"/>
  <c r="BV77" i="229"/>
  <c r="AZ77" i="229"/>
  <c r="BF77" i="229"/>
  <c r="BQ77" i="229"/>
  <c r="BW77" i="229"/>
  <c r="BO77" i="229"/>
  <c r="AL77" i="229"/>
  <c r="AS77" i="229"/>
  <c r="BG77" i="229"/>
  <c r="BH77" i="229"/>
  <c r="BR77" i="229"/>
  <c r="BT77" i="229"/>
  <c r="BB77" i="229"/>
  <c r="BL77" i="229"/>
  <c r="BS77" i="229"/>
  <c r="BU77" i="229"/>
  <c r="BZ77" i="229"/>
  <c r="BJ77" i="229"/>
  <c r="CC77" i="229"/>
  <c r="CI77" i="229"/>
  <c r="CA77" i="229"/>
  <c r="BK77" i="229"/>
  <c r="CD77" i="229"/>
  <c r="CF77" i="229"/>
  <c r="AW77" i="229"/>
  <c r="BN77" i="229"/>
  <c r="BX77" i="229"/>
  <c r="BD77" i="229"/>
  <c r="CE77" i="229"/>
  <c r="CG77" i="229"/>
  <c r="BY77" i="229"/>
  <c r="CB77" i="229"/>
  <c r="S77" i="229"/>
  <c r="CO77" i="229"/>
  <c r="CW77" i="229"/>
  <c r="DE77" i="229"/>
  <c r="DM77" i="229"/>
  <c r="DU77" i="229"/>
  <c r="EC77" i="229"/>
  <c r="EJ77" i="229"/>
  <c r="Q77" i="229"/>
  <c r="CJ77" i="229"/>
  <c r="CR77" i="229"/>
  <c r="CZ77" i="229"/>
  <c r="DH77" i="229"/>
  <c r="DP77" i="229"/>
  <c r="DX77" i="229"/>
  <c r="EF77" i="229"/>
  <c r="EM77" i="229"/>
  <c r="K77" i="229"/>
  <c r="K78" i="229" s="1"/>
  <c r="K238" i="229" s="1"/>
  <c r="O77" i="229"/>
  <c r="O78" i="229" s="1"/>
  <c r="O238" i="229" s="1"/>
  <c r="CS77" i="229"/>
  <c r="DC77" i="229"/>
  <c r="DN77" i="229"/>
  <c r="DY77" i="229"/>
  <c r="EH77" i="229"/>
  <c r="CT77" i="229"/>
  <c r="DD77" i="229"/>
  <c r="DO77" i="229"/>
  <c r="DZ77" i="229"/>
  <c r="EI77" i="229"/>
  <c r="M77" i="229"/>
  <c r="CM77" i="229"/>
  <c r="CX77" i="229"/>
  <c r="DI77" i="229"/>
  <c r="DS77" i="229"/>
  <c r="ED77" i="229"/>
  <c r="EN77" i="229"/>
  <c r="CH77" i="229"/>
  <c r="I77" i="229"/>
  <c r="I78" i="229" s="1"/>
  <c r="I238" i="229" s="1"/>
  <c r="CN77" i="229"/>
  <c r="CY77" i="229"/>
  <c r="DJ77" i="229"/>
  <c r="DT77" i="229"/>
  <c r="EE77" i="229"/>
  <c r="N77" i="229"/>
  <c r="N78" i="229" s="1"/>
  <c r="N238" i="229" s="1"/>
  <c r="CP77" i="229"/>
  <c r="DK77" i="229"/>
  <c r="EG77" i="229"/>
  <c r="CQ77" i="229"/>
  <c r="DL77" i="229"/>
  <c r="EI72" i="229"/>
  <c r="P77" i="229"/>
  <c r="P78" i="229" s="1"/>
  <c r="P238" i="229" s="1"/>
  <c r="CU77" i="229"/>
  <c r="DQ77" i="229"/>
  <c r="EK77" i="229"/>
  <c r="H77" i="229"/>
  <c r="CV77" i="229"/>
  <c r="DR77" i="229"/>
  <c r="EL77" i="229"/>
  <c r="R77" i="229"/>
  <c r="DA77" i="229"/>
  <c r="DV77" i="229"/>
  <c r="J77" i="229"/>
  <c r="DB77" i="229"/>
  <c r="DW77" i="229"/>
  <c r="L77" i="229"/>
  <c r="CK77" i="229"/>
  <c r="CL77" i="229"/>
  <c r="DF77" i="229"/>
  <c r="DG77" i="229"/>
  <c r="EB77" i="229"/>
  <c r="EA77" i="229"/>
  <c r="T88" i="229"/>
  <c r="AC88" i="229"/>
  <c r="U88" i="229"/>
  <c r="U89" i="229" s="1"/>
  <c r="U239" i="229" s="1"/>
  <c r="AA88" i="229"/>
  <c r="V88" i="229"/>
  <c r="X88" i="229"/>
  <c r="X89" i="229" s="1"/>
  <c r="X239" i="229" s="1"/>
  <c r="W88" i="229"/>
  <c r="AF88" i="229"/>
  <c r="AN88" i="229"/>
  <c r="AT88" i="229"/>
  <c r="AG88" i="229"/>
  <c r="AM88" i="229"/>
  <c r="Y88" i="229"/>
  <c r="AB88" i="229"/>
  <c r="AH88" i="229"/>
  <c r="AP88" i="229"/>
  <c r="AJ88" i="229"/>
  <c r="AV88" i="229"/>
  <c r="Z88" i="229"/>
  <c r="AI88" i="229"/>
  <c r="AQ88" i="229"/>
  <c r="AE88" i="229"/>
  <c r="AU88" i="229"/>
  <c r="AY88" i="229"/>
  <c r="BC88" i="229"/>
  <c r="AO88" i="229"/>
  <c r="AR88" i="229"/>
  <c r="BM88" i="229"/>
  <c r="AL88" i="229"/>
  <c r="AW88" i="229"/>
  <c r="BA88" i="229"/>
  <c r="BE88" i="229"/>
  <c r="BI88" i="229"/>
  <c r="AK88" i="229"/>
  <c r="AZ88" i="229"/>
  <c r="BK88" i="229"/>
  <c r="BN88" i="229"/>
  <c r="BP88" i="229"/>
  <c r="BV88" i="229"/>
  <c r="AS88" i="229"/>
  <c r="BO88" i="229"/>
  <c r="BQ88" i="229"/>
  <c r="BW88" i="229"/>
  <c r="BB88" i="229"/>
  <c r="BG88" i="229"/>
  <c r="BH88" i="229"/>
  <c r="AD88" i="229"/>
  <c r="BR88" i="229"/>
  <c r="BT88" i="229"/>
  <c r="AX88" i="229"/>
  <c r="BL88" i="229"/>
  <c r="BD88" i="229"/>
  <c r="BJ88" i="229"/>
  <c r="BS88" i="229"/>
  <c r="BU88" i="229"/>
  <c r="BZ88" i="229"/>
  <c r="CC88" i="229"/>
  <c r="CI88" i="229"/>
  <c r="CA88" i="229"/>
  <c r="CD88" i="229"/>
  <c r="CF88" i="229"/>
  <c r="BF88" i="229"/>
  <c r="BX88" i="229"/>
  <c r="CE88" i="229"/>
  <c r="CG88" i="229"/>
  <c r="BY88" i="229"/>
  <c r="CH88" i="229"/>
  <c r="CB88" i="229"/>
  <c r="I88" i="229"/>
  <c r="M88" i="229"/>
  <c r="M89" i="229" s="1"/>
  <c r="M239" i="229" s="1"/>
  <c r="Q88" i="229"/>
  <c r="CK88" i="229"/>
  <c r="CS88" i="229"/>
  <c r="DA88" i="229"/>
  <c r="DI88" i="229"/>
  <c r="DQ88" i="229"/>
  <c r="DY88" i="229"/>
  <c r="EI83" i="229"/>
  <c r="EN88" i="229"/>
  <c r="CL88" i="229"/>
  <c r="CT88" i="229"/>
  <c r="DB88" i="229"/>
  <c r="DJ88" i="229"/>
  <c r="DR88" i="229"/>
  <c r="DZ88" i="229"/>
  <c r="EG88" i="229"/>
  <c r="J88" i="229"/>
  <c r="N88" i="229"/>
  <c r="R88" i="229"/>
  <c r="CM88" i="229"/>
  <c r="CU88" i="229"/>
  <c r="DC88" i="229"/>
  <c r="DK88" i="229"/>
  <c r="DS88" i="229"/>
  <c r="EA88" i="229"/>
  <c r="EH88" i="229"/>
  <c r="CN88" i="229"/>
  <c r="CV88" i="229"/>
  <c r="DD88" i="229"/>
  <c r="DL88" i="229"/>
  <c r="DT88" i="229"/>
  <c r="EB88" i="229"/>
  <c r="EI88" i="229"/>
  <c r="CO88" i="229"/>
  <c r="CW88" i="229"/>
  <c r="DE88" i="229"/>
  <c r="DM88" i="229"/>
  <c r="DU88" i="229"/>
  <c r="EC88" i="229"/>
  <c r="EJ88" i="229"/>
  <c r="H88" i="229"/>
  <c r="H89" i="229" s="1"/>
  <c r="H239" i="229" s="1"/>
  <c r="K88" i="229"/>
  <c r="O88" i="229"/>
  <c r="S88" i="229"/>
  <c r="CP88" i="229"/>
  <c r="CX88" i="229"/>
  <c r="DF88" i="229"/>
  <c r="DN88" i="229"/>
  <c r="DV88" i="229"/>
  <c r="ED88" i="229"/>
  <c r="EK88" i="229"/>
  <c r="CJ88" i="229"/>
  <c r="DP88" i="229"/>
  <c r="CQ88" i="229"/>
  <c r="DW88" i="229"/>
  <c r="CR88" i="229"/>
  <c r="DX88" i="229"/>
  <c r="CY88" i="229"/>
  <c r="EE88" i="229"/>
  <c r="L88" i="229"/>
  <c r="CZ88" i="229"/>
  <c r="EF88" i="229"/>
  <c r="DO88" i="229"/>
  <c r="DG88" i="229"/>
  <c r="EL88" i="229"/>
  <c r="P88" i="229"/>
  <c r="DH88" i="229"/>
  <c r="EM88" i="229"/>
  <c r="D20" i="260"/>
  <c r="H96" i="229"/>
  <c r="H97" i="229" s="1"/>
  <c r="D22" i="260"/>
  <c r="D236" i="239"/>
  <c r="G37" i="228"/>
  <c r="K37" i="228"/>
  <c r="H37" i="228"/>
  <c r="I37" i="228"/>
  <c r="J37" i="228"/>
  <c r="G38" i="228"/>
  <c r="H38" i="228"/>
  <c r="I38" i="228"/>
  <c r="J38" i="228"/>
  <c r="K38" i="228"/>
  <c r="R89" i="229" l="1"/>
  <c r="R239" i="229" s="1"/>
  <c r="Y89" i="229"/>
  <c r="Y239" i="229" s="1"/>
  <c r="I45" i="229"/>
  <c r="I235" i="229" s="1"/>
  <c r="H45" i="229"/>
  <c r="H235" i="229" s="1"/>
  <c r="W34" i="229"/>
  <c r="W234" i="229" s="1"/>
  <c r="U34" i="229"/>
  <c r="U234" i="229" s="1"/>
  <c r="L89" i="229"/>
  <c r="L239" i="229" s="1"/>
  <c r="I89" i="229"/>
  <c r="I239" i="229" s="1"/>
  <c r="T89" i="229"/>
  <c r="T239" i="229" s="1"/>
  <c r="L34" i="229"/>
  <c r="L234" i="229" s="1"/>
  <c r="O89" i="229"/>
  <c r="O239" i="229" s="1"/>
  <c r="W89" i="229"/>
  <c r="W239" i="229" s="1"/>
  <c r="M78" i="229"/>
  <c r="M238" i="229" s="1"/>
  <c r="S89" i="229"/>
  <c r="S239" i="229" s="1"/>
  <c r="L78" i="229"/>
  <c r="L238" i="229" s="1"/>
  <c r="K45" i="229"/>
  <c r="K235" i="229" s="1"/>
  <c r="K34" i="229"/>
  <c r="K234" i="229" s="1"/>
  <c r="N34" i="229"/>
  <c r="N234" i="229" s="1"/>
  <c r="Q34" i="229"/>
  <c r="Q234" i="229" s="1"/>
  <c r="J299" i="229" s="1"/>
  <c r="P89" i="229"/>
  <c r="P239" i="229" s="1"/>
  <c r="S45" i="229"/>
  <c r="S235" i="229" s="1"/>
  <c r="G123" i="224"/>
  <c r="H121" i="224"/>
  <c r="I34" i="229"/>
  <c r="I234" i="229" s="1"/>
  <c r="R45" i="229"/>
  <c r="R235" i="229" s="1"/>
  <c r="V89" i="229"/>
  <c r="V239" i="229" s="1"/>
  <c r="H8" i="227"/>
  <c r="D14" i="228" s="1"/>
  <c r="M34" i="229"/>
  <c r="M234" i="229" s="1"/>
  <c r="T34" i="229"/>
  <c r="T234" i="229" s="1"/>
  <c r="K89" i="229"/>
  <c r="K239" i="229" s="1"/>
  <c r="N89" i="229"/>
  <c r="N239" i="229" s="1"/>
  <c r="J89" i="229"/>
  <c r="J239" i="229" s="1"/>
  <c r="Q89" i="229"/>
  <c r="Q239" i="229" s="1"/>
  <c r="O34" i="229"/>
  <c r="O234" i="229" s="1"/>
  <c r="J34" i="229"/>
  <c r="J234" i="229" s="1"/>
  <c r="H78" i="229"/>
  <c r="H238" i="229" s="1"/>
  <c r="P45" i="229"/>
  <c r="P235" i="229" s="1"/>
  <c r="L45" i="229"/>
  <c r="L235" i="229" s="1"/>
  <c r="O45" i="229"/>
  <c r="O235" i="229" s="1"/>
  <c r="W45" i="229"/>
  <c r="W235" i="229" s="1"/>
  <c r="N45" i="229"/>
  <c r="N235" i="229" s="1"/>
  <c r="I941" i="263"/>
  <c r="I951" i="263" s="1"/>
  <c r="J2" i="263"/>
  <c r="I4" i="263"/>
  <c r="G11" i="257"/>
  <c r="G34" i="257"/>
  <c r="H9" i="257"/>
  <c r="G10" i="257"/>
  <c r="G35" i="257" s="1"/>
  <c r="G41" i="257" s="1"/>
  <c r="F12" i="257"/>
  <c r="F15" i="257" s="1"/>
  <c r="H5" i="263"/>
  <c r="I3" i="263"/>
  <c r="L65" i="261"/>
  <c r="M4" i="261"/>
  <c r="L42" i="261"/>
  <c r="K42" i="262"/>
  <c r="L5" i="262"/>
  <c r="H75" i="229"/>
  <c r="I73" i="229" s="1"/>
  <c r="Q45" i="229"/>
  <c r="Q235" i="229" s="1"/>
  <c r="H6" i="259"/>
  <c r="H173" i="259" s="1"/>
  <c r="H7" i="259"/>
  <c r="H50" i="259"/>
  <c r="H102" i="259"/>
  <c r="I5" i="259"/>
  <c r="H171" i="259"/>
  <c r="H194" i="259"/>
  <c r="G66" i="259"/>
  <c r="F67" i="259"/>
  <c r="G122" i="259"/>
  <c r="F123" i="259"/>
  <c r="J65" i="259"/>
  <c r="K121" i="259"/>
  <c r="G174" i="259"/>
  <c r="G8" i="259"/>
  <c r="G175" i="259" s="1"/>
  <c r="V45" i="229"/>
  <c r="V235" i="229" s="1"/>
  <c r="Q78" i="229"/>
  <c r="Q238" i="229" s="1"/>
  <c r="Y45" i="229"/>
  <c r="Y235" i="229" s="1"/>
  <c r="S78" i="229"/>
  <c r="S238" i="229" s="1"/>
  <c r="R78" i="229"/>
  <c r="R238" i="229" s="1"/>
  <c r="P54" i="229"/>
  <c r="Q54" i="229"/>
  <c r="AA50" i="229"/>
  <c r="AM50" i="229"/>
  <c r="DF50" i="229"/>
  <c r="BD50" i="229"/>
  <c r="DQ50" i="229"/>
  <c r="CA50" i="229"/>
  <c r="AQ50" i="229"/>
  <c r="EC50" i="229"/>
  <c r="DB50" i="229"/>
  <c r="BL50" i="229"/>
  <c r="AK50" i="229"/>
  <c r="CJ50" i="229"/>
  <c r="EE50" i="229"/>
  <c r="S54" i="229"/>
  <c r="CU50" i="229"/>
  <c r="BH50" i="229"/>
  <c r="J50" i="229"/>
  <c r="CP50" i="229"/>
  <c r="DA50" i="229"/>
  <c r="DH50" i="229"/>
  <c r="CN50" i="229"/>
  <c r="BC50" i="229"/>
  <c r="AB50" i="229"/>
  <c r="AY50" i="229"/>
  <c r="DU50" i="229"/>
  <c r="U50" i="229"/>
  <c r="Z50" i="229"/>
  <c r="AI50" i="229"/>
  <c r="AZ50" i="229"/>
  <c r="DN50" i="229"/>
  <c r="BM50" i="229"/>
  <c r="DY50" i="229"/>
  <c r="CL50" i="229"/>
  <c r="BG50" i="229"/>
  <c r="P50" i="229"/>
  <c r="DL50" i="229"/>
  <c r="BW50" i="229"/>
  <c r="BN50" i="229"/>
  <c r="DE50" i="229"/>
  <c r="O54" i="229"/>
  <c r="BA50" i="229"/>
  <c r="DP50" i="229"/>
  <c r="BI50" i="229"/>
  <c r="H50" i="229"/>
  <c r="M54" i="229"/>
  <c r="AD50" i="229"/>
  <c r="BP50" i="229"/>
  <c r="BO50" i="229"/>
  <c r="U54" i="229"/>
  <c r="AE50" i="229"/>
  <c r="AH50" i="229"/>
  <c r="AP50" i="229"/>
  <c r="BJ50" i="229"/>
  <c r="DV50" i="229"/>
  <c r="BU50" i="229"/>
  <c r="EG50" i="229"/>
  <c r="CV50" i="229"/>
  <c r="BQ50" i="229"/>
  <c r="AG50" i="229"/>
  <c r="DW50" i="229"/>
  <c r="CG50" i="229"/>
  <c r="CI50" i="229"/>
  <c r="EA50" i="229"/>
  <c r="AU50" i="229"/>
  <c r="BX50" i="229"/>
  <c r="CY50" i="229"/>
  <c r="CE50" i="229"/>
  <c r="N50" i="229"/>
  <c r="AF50" i="229"/>
  <c r="BE50" i="229"/>
  <c r="DX50" i="229"/>
  <c r="EF50" i="229"/>
  <c r="CX50" i="229"/>
  <c r="J54" i="229"/>
  <c r="H51" i="229"/>
  <c r="H52" i="229" s="1"/>
  <c r="H198" i="229" s="1"/>
  <c r="T50" i="229"/>
  <c r="AO50" i="229"/>
  <c r="AX50" i="229"/>
  <c r="BR50" i="229"/>
  <c r="ED50" i="229"/>
  <c r="CC50" i="229"/>
  <c r="L54" i="229"/>
  <c r="DG50" i="229"/>
  <c r="CB50" i="229"/>
  <c r="AV50" i="229"/>
  <c r="EH50" i="229"/>
  <c r="CR50" i="229"/>
  <c r="DD50" i="229"/>
  <c r="N54" i="229"/>
  <c r="BT50" i="229"/>
  <c r="CT50" i="229"/>
  <c r="CZ50" i="229"/>
  <c r="CD50" i="229"/>
  <c r="AJ50" i="229"/>
  <c r="R50" i="229"/>
  <c r="Y50" i="229"/>
  <c r="BY50" i="229"/>
  <c r="E49" i="229"/>
  <c r="AT50" i="229"/>
  <c r="AW50" i="229"/>
  <c r="BF50" i="229"/>
  <c r="BZ50" i="229"/>
  <c r="K50" i="229"/>
  <c r="CK50" i="229"/>
  <c r="W50" i="229"/>
  <c r="DR50" i="229"/>
  <c r="CM50" i="229"/>
  <c r="BK50" i="229"/>
  <c r="I50" i="229"/>
  <c r="DC50" i="229"/>
  <c r="DZ50" i="229"/>
  <c r="AS50" i="229"/>
  <c r="CO50" i="229"/>
  <c r="DO50" i="229"/>
  <c r="AC50" i="229"/>
  <c r="O50" i="229"/>
  <c r="AL50" i="229"/>
  <c r="M50" i="229"/>
  <c r="DI50" i="229"/>
  <c r="CQ50" i="229"/>
  <c r="DJ50" i="229"/>
  <c r="T54" i="229"/>
  <c r="BB50" i="229"/>
  <c r="H54" i="229"/>
  <c r="I54" i="229"/>
  <c r="CH50" i="229"/>
  <c r="R54" i="229"/>
  <c r="CS50" i="229"/>
  <c r="AN50" i="229"/>
  <c r="EB50" i="229"/>
  <c r="CW50" i="229"/>
  <c r="BV50" i="229"/>
  <c r="Q50" i="229"/>
  <c r="DM50" i="229"/>
  <c r="K54" i="229"/>
  <c r="BS50" i="229"/>
  <c r="DK50" i="229"/>
  <c r="S50" i="229"/>
  <c r="DT50" i="229"/>
  <c r="CF50" i="229"/>
  <c r="L50" i="229"/>
  <c r="AR50" i="229"/>
  <c r="DS50" i="229"/>
  <c r="X50" i="229"/>
  <c r="U78" i="229"/>
  <c r="U238" i="229" s="1"/>
  <c r="J78" i="229"/>
  <c r="J238" i="229" s="1"/>
  <c r="G5" i="242"/>
  <c r="H3" i="242"/>
  <c r="Y3" i="242"/>
  <c r="AR3" i="242" s="1"/>
  <c r="AR11" i="242" s="1"/>
  <c r="H4" i="243"/>
  <c r="G6" i="243"/>
  <c r="G8" i="243" s="1"/>
  <c r="H53" i="253"/>
  <c r="I3" i="253"/>
  <c r="H5" i="253"/>
  <c r="AB3" i="253"/>
  <c r="AW3" i="253" s="1"/>
  <c r="AW11" i="253" s="1"/>
  <c r="H5" i="245"/>
  <c r="I3" i="245"/>
  <c r="Z3" i="245"/>
  <c r="AS3" i="245" s="1"/>
  <c r="AS11" i="245" s="1"/>
  <c r="I305" i="229"/>
  <c r="H4" i="245"/>
  <c r="G6" i="245"/>
  <c r="G6" i="244"/>
  <c r="H4" i="244"/>
  <c r="J7" i="253"/>
  <c r="I54" i="253"/>
  <c r="I3" i="244"/>
  <c r="H5" i="244"/>
  <c r="Z3" i="244"/>
  <c r="AS3" i="244" s="1"/>
  <c r="AS11" i="244" s="1"/>
  <c r="H6" i="237"/>
  <c r="H8" i="237" s="1"/>
  <c r="I4" i="237"/>
  <c r="G6" i="246"/>
  <c r="G8" i="246" s="1"/>
  <c r="H4" i="246"/>
  <c r="I5" i="237"/>
  <c r="AA3" i="237"/>
  <c r="AT3" i="237" s="1"/>
  <c r="AT11" i="237" s="1"/>
  <c r="J3" i="237"/>
  <c r="H5" i="246"/>
  <c r="I3" i="246"/>
  <c r="Z3" i="246"/>
  <c r="AS3" i="246" s="1"/>
  <c r="AS11" i="246" s="1"/>
  <c r="F6" i="242"/>
  <c r="F8" i="242" s="1"/>
  <c r="G4" i="242"/>
  <c r="I3" i="243"/>
  <c r="H5" i="243"/>
  <c r="Z3" i="243"/>
  <c r="AS3" i="243" s="1"/>
  <c r="AS11" i="243" s="1"/>
  <c r="G6" i="253"/>
  <c r="G8" i="253" s="1"/>
  <c r="H4" i="253"/>
  <c r="L5" i="252"/>
  <c r="K7" i="252"/>
  <c r="K9" i="252"/>
  <c r="J8" i="252"/>
  <c r="K6" i="252"/>
  <c r="N57" i="252"/>
  <c r="O56" i="252"/>
  <c r="CY8" i="204"/>
  <c r="I14" i="204"/>
  <c r="I8" i="204"/>
  <c r="I12" i="204"/>
  <c r="J11" i="204" s="1"/>
  <c r="I7" i="243"/>
  <c r="H7" i="244"/>
  <c r="G8" i="244"/>
  <c r="I542" i="263"/>
  <c r="H544" i="263"/>
  <c r="H7" i="245"/>
  <c r="G8" i="245"/>
  <c r="I675" i="263"/>
  <c r="H677" i="263"/>
  <c r="V33" i="256"/>
  <c r="W24" i="256"/>
  <c r="H127" i="251"/>
  <c r="H135" i="251" s="1"/>
  <c r="Z3" i="251"/>
  <c r="H5" i="251"/>
  <c r="H120" i="251"/>
  <c r="H108" i="251"/>
  <c r="I3" i="251"/>
  <c r="H82" i="251"/>
  <c r="G6" i="251"/>
  <c r="H4" i="251"/>
  <c r="AR3" i="251"/>
  <c r="Y2" i="251"/>
  <c r="K7" i="246"/>
  <c r="K7" i="242"/>
  <c r="J7" i="237"/>
  <c r="J92" i="231"/>
  <c r="F24" i="248"/>
  <c r="G22" i="248"/>
  <c r="G23" i="248"/>
  <c r="H21" i="248"/>
  <c r="L24" i="231"/>
  <c r="K58" i="231"/>
  <c r="K66" i="231" s="1"/>
  <c r="K76" i="231"/>
  <c r="K84" i="231" s="1"/>
  <c r="M57" i="231"/>
  <c r="M65" i="231" s="1"/>
  <c r="N6" i="231"/>
  <c r="M23" i="231"/>
  <c r="M8" i="231"/>
  <c r="M10" i="231" s="1"/>
  <c r="L9" i="231"/>
  <c r="K68" i="231"/>
  <c r="L11" i="231"/>
  <c r="L27" i="231"/>
  <c r="K79" i="231"/>
  <c r="K87" i="231" s="1"/>
  <c r="K61" i="231"/>
  <c r="K69" i="231" s="1"/>
  <c r="L29" i="231"/>
  <c r="K63" i="231"/>
  <c r="K81" i="231"/>
  <c r="L28" i="231"/>
  <c r="K62" i="231"/>
  <c r="K70" i="231" s="1"/>
  <c r="K80" i="231"/>
  <c r="K88" i="231" s="1"/>
  <c r="L30" i="231"/>
  <c r="K64" i="231"/>
  <c r="K72" i="231" s="1"/>
  <c r="K82" i="231"/>
  <c r="K90" i="231" s="1"/>
  <c r="L91" i="231"/>
  <c r="L75" i="231"/>
  <c r="L83" i="231" s="1"/>
  <c r="L12" i="231"/>
  <c r="J98" i="231"/>
  <c r="M10" i="250"/>
  <c r="M13" i="250"/>
  <c r="M14" i="250" s="1"/>
  <c r="J10" i="250"/>
  <c r="N15" i="250"/>
  <c r="N16" i="250" s="1"/>
  <c r="N388" i="250"/>
  <c r="N389" i="250" s="1"/>
  <c r="N9" i="250"/>
  <c r="O11" i="250"/>
  <c r="M25" i="231"/>
  <c r="L77" i="231"/>
  <c r="L85" i="231" s="1"/>
  <c r="L59" i="231"/>
  <c r="L67" i="231" s="1"/>
  <c r="A14" i="230"/>
  <c r="D47" i="248"/>
  <c r="D45" i="248"/>
  <c r="L38" i="228"/>
  <c r="AQ22" i="223"/>
  <c r="AP22" i="223"/>
  <c r="AO22" i="223"/>
  <c r="AR22" i="223"/>
  <c r="O8" i="223"/>
  <c r="AT20" i="223"/>
  <c r="AV20" i="223"/>
  <c r="AS20" i="223"/>
  <c r="P4" i="223"/>
  <c r="AU20" i="223"/>
  <c r="K26" i="198"/>
  <c r="L25" i="223"/>
  <c r="E18" i="224"/>
  <c r="E18" i="259" s="1"/>
  <c r="E21" i="255"/>
  <c r="E48" i="255"/>
  <c r="N9" i="223"/>
  <c r="O9" i="223" s="1"/>
  <c r="L44" i="228"/>
  <c r="L40" i="228"/>
  <c r="L41" i="228"/>
  <c r="L43" i="228"/>
  <c r="L46" i="228"/>
  <c r="L42" i="228"/>
  <c r="L45" i="228"/>
  <c r="H65" i="256"/>
  <c r="G29" i="255" s="1"/>
  <c r="I45" i="256"/>
  <c r="I53" i="256"/>
  <c r="I61" i="256"/>
  <c r="I38" i="256"/>
  <c r="I46" i="256"/>
  <c r="I54" i="256"/>
  <c r="I62" i="256"/>
  <c r="I43" i="256"/>
  <c r="I51" i="256"/>
  <c r="I59" i="256"/>
  <c r="I47" i="256"/>
  <c r="I58" i="256"/>
  <c r="I48" i="256"/>
  <c r="I60" i="256"/>
  <c r="I49" i="256"/>
  <c r="I39" i="256"/>
  <c r="I50" i="256"/>
  <c r="I40" i="256"/>
  <c r="I52" i="256"/>
  <c r="I42" i="256"/>
  <c r="I56" i="256"/>
  <c r="I41" i="256"/>
  <c r="I44" i="256"/>
  <c r="I55" i="256"/>
  <c r="I57" i="256"/>
  <c r="E54" i="251"/>
  <c r="E96" i="251" s="1"/>
  <c r="E88" i="251"/>
  <c r="E86" i="251"/>
  <c r="E51" i="251"/>
  <c r="E92" i="251" s="1"/>
  <c r="T29" i="223"/>
  <c r="U26" i="223"/>
  <c r="V26" i="223" s="1"/>
  <c r="W26" i="223" s="1"/>
  <c r="X26" i="223" s="1"/>
  <c r="F21" i="255"/>
  <c r="F18" i="224"/>
  <c r="F18" i="259" s="1"/>
  <c r="F48" i="255"/>
  <c r="G32" i="252"/>
  <c r="G50" i="252"/>
  <c r="G41" i="252"/>
  <c r="G58" i="252"/>
  <c r="G60" i="252" s="1"/>
  <c r="D46" i="248"/>
  <c r="E29" i="248"/>
  <c r="E30" i="248"/>
  <c r="E33" i="248"/>
  <c r="E27" i="248"/>
  <c r="E32" i="248"/>
  <c r="E28" i="248"/>
  <c r="E34" i="248"/>
  <c r="E35" i="248"/>
  <c r="M30" i="228"/>
  <c r="M33" i="228" s="1"/>
  <c r="J13" i="204"/>
  <c r="L24" i="223"/>
  <c r="H64" i="256"/>
  <c r="G22" i="255" s="1"/>
  <c r="X1" i="251"/>
  <c r="F25" i="248"/>
  <c r="H10" i="252"/>
  <c r="J4" i="256"/>
  <c r="F146" i="251"/>
  <c r="G7" i="263"/>
  <c r="I7" i="255"/>
  <c r="F93" i="253"/>
  <c r="K5" i="223"/>
  <c r="D48" i="248"/>
  <c r="H414" i="250"/>
  <c r="J386" i="250"/>
  <c r="I386" i="250"/>
  <c r="H444" i="250"/>
  <c r="H473" i="250"/>
  <c r="H503" i="250"/>
  <c r="N26" i="250"/>
  <c r="O417" i="250"/>
  <c r="N134" i="250"/>
  <c r="L505" i="250"/>
  <c r="M219" i="250"/>
  <c r="L6" i="250"/>
  <c r="L7" i="250"/>
  <c r="L8" i="250" s="1"/>
  <c r="M5" i="250"/>
  <c r="N69" i="250"/>
  <c r="L17" i="231"/>
  <c r="K93" i="231"/>
  <c r="I222" i="250"/>
  <c r="J222" i="250"/>
  <c r="J221" i="250"/>
  <c r="O185" i="250"/>
  <c r="O133" i="250"/>
  <c r="O78" i="250"/>
  <c r="O131" i="250"/>
  <c r="O25" i="250"/>
  <c r="O132" i="250"/>
  <c r="O79" i="250"/>
  <c r="O23" i="250"/>
  <c r="O184" i="250"/>
  <c r="O80" i="250"/>
  <c r="O24" i="250"/>
  <c r="O186" i="250"/>
  <c r="O71" i="250"/>
  <c r="P71" i="250"/>
  <c r="P70" i="250"/>
  <c r="O124" i="250"/>
  <c r="P124" i="250"/>
  <c r="J547" i="250"/>
  <c r="J506" i="250"/>
  <c r="K222" i="250"/>
  <c r="P67" i="250"/>
  <c r="I547" i="250"/>
  <c r="I506" i="250"/>
  <c r="I571" i="250" s="1"/>
  <c r="N171" i="250"/>
  <c r="N174" i="250"/>
  <c r="N175" i="250" s="1"/>
  <c r="L18" i="231"/>
  <c r="K94" i="231"/>
  <c r="O164" i="250"/>
  <c r="J19" i="231"/>
  <c r="N474" i="250"/>
  <c r="N476" i="250" s="1"/>
  <c r="I13" i="231"/>
  <c r="H71" i="231"/>
  <c r="M175" i="250"/>
  <c r="N187" i="250"/>
  <c r="O170" i="250"/>
  <c r="O176" i="250"/>
  <c r="P176" i="250" s="1"/>
  <c r="P173" i="250"/>
  <c r="O475" i="250"/>
  <c r="P172" i="250"/>
  <c r="J12" i="250"/>
  <c r="I95" i="231"/>
  <c r="I96" i="231"/>
  <c r="L16" i="231"/>
  <c r="L217" i="250"/>
  <c r="L221" i="250" s="1"/>
  <c r="G20" i="231"/>
  <c r="K504" i="250"/>
  <c r="K506" i="250" s="1"/>
  <c r="L62" i="250"/>
  <c r="L61" i="250"/>
  <c r="M60" i="250"/>
  <c r="L167" i="250"/>
  <c r="M166" i="250"/>
  <c r="L168" i="250"/>
  <c r="J8" i="250"/>
  <c r="O122" i="250"/>
  <c r="P122" i="250"/>
  <c r="P121" i="250"/>
  <c r="K8" i="250"/>
  <c r="N81" i="250"/>
  <c r="N113" i="250"/>
  <c r="M114" i="250"/>
  <c r="M115" i="250"/>
  <c r="M116" i="250" s="1"/>
  <c r="O68" i="250"/>
  <c r="P68" i="250" s="1"/>
  <c r="O65" i="250"/>
  <c r="P65" i="250"/>
  <c r="I542" i="250"/>
  <c r="I553" i="250" s="1"/>
  <c r="I566" i="250" s="1"/>
  <c r="K2" i="250"/>
  <c r="J4" i="250"/>
  <c r="J14" i="250"/>
  <c r="P64" i="250"/>
  <c r="L33" i="228"/>
  <c r="K33" i="228"/>
  <c r="J33" i="228"/>
  <c r="I33" i="228"/>
  <c r="H33" i="228"/>
  <c r="G33" i="228"/>
  <c r="M5" i="227"/>
  <c r="Y5" i="227" s="1"/>
  <c r="L5" i="227"/>
  <c r="X5" i="227" s="1"/>
  <c r="H86" i="229"/>
  <c r="I84" i="229" s="1"/>
  <c r="H221" i="229"/>
  <c r="I95" i="229"/>
  <c r="H6" i="227"/>
  <c r="K6" i="227"/>
  <c r="Q88" i="239"/>
  <c r="H132" i="229"/>
  <c r="J132" i="229"/>
  <c r="J133" i="229" s="1"/>
  <c r="J243" i="229" s="1"/>
  <c r="AC132" i="229"/>
  <c r="AE132" i="229"/>
  <c r="I132" i="229"/>
  <c r="I133" i="229" s="1"/>
  <c r="I243" i="229" s="1"/>
  <c r="L132" i="229"/>
  <c r="L133" i="229" s="1"/>
  <c r="L243" i="229" s="1"/>
  <c r="N132" i="229"/>
  <c r="N133" i="229" s="1"/>
  <c r="N243" i="229" s="1"/>
  <c r="X132" i="229"/>
  <c r="Z132" i="229"/>
  <c r="Q132" i="229"/>
  <c r="S132" i="229"/>
  <c r="S133" i="229" s="1"/>
  <c r="S243" i="229" s="1"/>
  <c r="T132" i="229"/>
  <c r="T133" i="229" s="1"/>
  <c r="T243" i="229" s="1"/>
  <c r="V132" i="229"/>
  <c r="M132" i="229"/>
  <c r="M133" i="229" s="1"/>
  <c r="M243" i="229" s="1"/>
  <c r="R132" i="229"/>
  <c r="R133" i="229" s="1"/>
  <c r="R243" i="229" s="1"/>
  <c r="AA132" i="229"/>
  <c r="AN132" i="229"/>
  <c r="AP132" i="229"/>
  <c r="W132" i="229"/>
  <c r="K132" i="229"/>
  <c r="U132" i="229"/>
  <c r="U133" i="229" s="1"/>
  <c r="U243" i="229" s="1"/>
  <c r="AJ132" i="229"/>
  <c r="AL132" i="229"/>
  <c r="AO132" i="229"/>
  <c r="AQ132" i="229"/>
  <c r="AD132" i="229"/>
  <c r="AF132" i="229"/>
  <c r="AH132" i="229"/>
  <c r="AB132" i="229"/>
  <c r="AV132" i="229"/>
  <c r="AX132" i="229"/>
  <c r="AR132" i="229"/>
  <c r="AT132" i="229"/>
  <c r="AZ132" i="229"/>
  <c r="BB132" i="229"/>
  <c r="BD132" i="229"/>
  <c r="BF132" i="229"/>
  <c r="P132" i="229"/>
  <c r="P133" i="229" s="1"/>
  <c r="P243" i="229" s="1"/>
  <c r="O132" i="229"/>
  <c r="O133" i="229" s="1"/>
  <c r="O243" i="229" s="1"/>
  <c r="AM132" i="229"/>
  <c r="AW132" i="229"/>
  <c r="AY132" i="229"/>
  <c r="Y132" i="229"/>
  <c r="AK132" i="229"/>
  <c r="BL132" i="229"/>
  <c r="BN132" i="229"/>
  <c r="BT132" i="229"/>
  <c r="BV132" i="229"/>
  <c r="AI132" i="229"/>
  <c r="BI132" i="229"/>
  <c r="BK132" i="229"/>
  <c r="BQ132" i="229"/>
  <c r="BS132" i="229"/>
  <c r="AG132" i="229"/>
  <c r="AU132" i="229"/>
  <c r="BG132" i="229"/>
  <c r="AS132" i="229"/>
  <c r="BC132" i="229"/>
  <c r="BE132" i="229"/>
  <c r="BM132" i="229"/>
  <c r="BO132" i="229"/>
  <c r="BU132" i="229"/>
  <c r="BW132" i="229"/>
  <c r="BA132" i="229"/>
  <c r="BH132" i="229"/>
  <c r="BJ132" i="229"/>
  <c r="BP132" i="229"/>
  <c r="BR132" i="229"/>
  <c r="BZ132" i="229"/>
  <c r="CH132" i="229"/>
  <c r="CP132" i="229"/>
  <c r="CX132" i="229"/>
  <c r="DF132" i="229"/>
  <c r="DN132" i="229"/>
  <c r="DV132" i="229"/>
  <c r="ED132" i="229"/>
  <c r="EK132" i="229"/>
  <c r="CC132" i="229"/>
  <c r="CK132" i="229"/>
  <c r="CS132" i="229"/>
  <c r="DA132" i="229"/>
  <c r="DI132" i="229"/>
  <c r="DQ132" i="229"/>
  <c r="DY132" i="229"/>
  <c r="EG132" i="229"/>
  <c r="EN132" i="229"/>
  <c r="CA132" i="229"/>
  <c r="CL132" i="229"/>
  <c r="CV132" i="229"/>
  <c r="DG132" i="229"/>
  <c r="DR132" i="229"/>
  <c r="EB132" i="229"/>
  <c r="EL132" i="229"/>
  <c r="CB132" i="229"/>
  <c r="CM132" i="229"/>
  <c r="CW132" i="229"/>
  <c r="DH132" i="229"/>
  <c r="DS132" i="229"/>
  <c r="EC132" i="229"/>
  <c r="EM132" i="229"/>
  <c r="CF132" i="229"/>
  <c r="CQ132" i="229"/>
  <c r="DB132" i="229"/>
  <c r="DL132" i="229"/>
  <c r="DW132" i="229"/>
  <c r="EI127" i="229"/>
  <c r="CG132" i="229"/>
  <c r="CR132" i="229"/>
  <c r="DC132" i="229"/>
  <c r="DM132" i="229"/>
  <c r="DX132" i="229"/>
  <c r="EH132" i="229"/>
  <c r="CI132" i="229"/>
  <c r="DD132" i="229"/>
  <c r="DZ132" i="229"/>
  <c r="CJ132" i="229"/>
  <c r="DE132" i="229"/>
  <c r="EA132" i="229"/>
  <c r="CN132" i="229"/>
  <c r="DJ132" i="229"/>
  <c r="EE132" i="229"/>
  <c r="CO132" i="229"/>
  <c r="DK132" i="229"/>
  <c r="EF132" i="229"/>
  <c r="BX132" i="229"/>
  <c r="CT132" i="229"/>
  <c r="DO132" i="229"/>
  <c r="EI132" i="229"/>
  <c r="BY132" i="229"/>
  <c r="CU132" i="229"/>
  <c r="DP132" i="229"/>
  <c r="EJ132" i="229"/>
  <c r="CD132" i="229"/>
  <c r="CE132" i="229"/>
  <c r="CY132" i="229"/>
  <c r="CZ132" i="229"/>
  <c r="DT132" i="229"/>
  <c r="DU132" i="229"/>
  <c r="H162" i="229"/>
  <c r="H208" i="229" s="1"/>
  <c r="D243" i="239"/>
  <c r="M245" i="239" s="1"/>
  <c r="M247" i="239" s="1"/>
  <c r="H42" i="229"/>
  <c r="J187" i="229"/>
  <c r="J188" i="229" s="1"/>
  <c r="J248" i="229" s="1"/>
  <c r="H187" i="229"/>
  <c r="K187" i="229"/>
  <c r="K188" i="229" s="1"/>
  <c r="K248" i="229" s="1"/>
  <c r="I187" i="229"/>
  <c r="U187" i="229"/>
  <c r="R187" i="229"/>
  <c r="R188" i="229" s="1"/>
  <c r="R248" i="229" s="1"/>
  <c r="V187" i="229"/>
  <c r="N187" i="229"/>
  <c r="N188" i="229" s="1"/>
  <c r="N248" i="229" s="1"/>
  <c r="P187" i="229"/>
  <c r="Z187" i="229"/>
  <c r="S187" i="229"/>
  <c r="S188" i="229" s="1"/>
  <c r="S248" i="229" s="1"/>
  <c r="T187" i="229"/>
  <c r="AD187" i="229"/>
  <c r="L187" i="229"/>
  <c r="L188" i="229" s="1"/>
  <c r="L248" i="229" s="1"/>
  <c r="W187" i="229"/>
  <c r="AF187" i="229"/>
  <c r="AB187" i="229"/>
  <c r="AE187" i="229"/>
  <c r="AG187" i="229"/>
  <c r="M187" i="229"/>
  <c r="M188" i="229" s="1"/>
  <c r="M248" i="229" s="1"/>
  <c r="AL187" i="229"/>
  <c r="AQ187" i="229"/>
  <c r="X187" i="229"/>
  <c r="AA187" i="229"/>
  <c r="AC187" i="229"/>
  <c r="AH187" i="229"/>
  <c r="AJ187" i="229"/>
  <c r="AO187" i="229"/>
  <c r="AI187" i="229"/>
  <c r="BA187" i="229"/>
  <c r="BE187" i="229"/>
  <c r="AR187" i="229"/>
  <c r="AX187" i="229"/>
  <c r="AK187" i="229"/>
  <c r="AU187" i="229"/>
  <c r="O187" i="229"/>
  <c r="O188" i="229" s="1"/>
  <c r="O248" i="229" s="1"/>
  <c r="AS187" i="229"/>
  <c r="AY187" i="229"/>
  <c r="Y187" i="229"/>
  <c r="AZ187" i="229"/>
  <c r="BD187" i="229"/>
  <c r="BH187" i="229"/>
  <c r="BC187" i="229"/>
  <c r="BF187" i="229"/>
  <c r="BI187" i="229"/>
  <c r="Q187" i="229"/>
  <c r="Q188" i="229" s="1"/>
  <c r="Q248" i="229" s="1"/>
  <c r="BS187" i="229"/>
  <c r="AV187" i="229"/>
  <c r="BG187" i="229"/>
  <c r="BJ187" i="229"/>
  <c r="BL187" i="229"/>
  <c r="BT187" i="229"/>
  <c r="AP187" i="229"/>
  <c r="AT187" i="229"/>
  <c r="BO187" i="229"/>
  <c r="BQ187" i="229"/>
  <c r="BW187" i="229"/>
  <c r="AM187" i="229"/>
  <c r="BB187" i="229"/>
  <c r="AW187" i="229"/>
  <c r="BK187" i="229"/>
  <c r="BM187" i="229"/>
  <c r="BU187" i="229"/>
  <c r="BN187" i="229"/>
  <c r="BR187" i="229"/>
  <c r="BP187" i="229"/>
  <c r="AN187" i="229"/>
  <c r="BV187" i="229"/>
  <c r="BZ187" i="229"/>
  <c r="CH187" i="229"/>
  <c r="CP187" i="229"/>
  <c r="CX187" i="229"/>
  <c r="DF187" i="229"/>
  <c r="DN187" i="229"/>
  <c r="DV187" i="229"/>
  <c r="ED187" i="229"/>
  <c r="EK187" i="229"/>
  <c r="CC187" i="229"/>
  <c r="CK187" i="229"/>
  <c r="CS187" i="229"/>
  <c r="DA187" i="229"/>
  <c r="DI187" i="229"/>
  <c r="DQ187" i="229"/>
  <c r="DY187" i="229"/>
  <c r="EG187" i="229"/>
  <c r="EN187" i="229"/>
  <c r="CD187" i="229"/>
  <c r="CN187" i="229"/>
  <c r="CY187" i="229"/>
  <c r="DJ187" i="229"/>
  <c r="DT187" i="229"/>
  <c r="EE187" i="229"/>
  <c r="CE187" i="229"/>
  <c r="CO187" i="229"/>
  <c r="CZ187" i="229"/>
  <c r="DK187" i="229"/>
  <c r="DU187" i="229"/>
  <c r="EF187" i="229"/>
  <c r="BX187" i="229"/>
  <c r="CI187" i="229"/>
  <c r="CT187" i="229"/>
  <c r="DD187" i="229"/>
  <c r="DO187" i="229"/>
  <c r="DZ187" i="229"/>
  <c r="EI187" i="229"/>
  <c r="BY187" i="229"/>
  <c r="CJ187" i="229"/>
  <c r="CU187" i="229"/>
  <c r="DE187" i="229"/>
  <c r="DP187" i="229"/>
  <c r="EA187" i="229"/>
  <c r="EJ187" i="229"/>
  <c r="CA187" i="229"/>
  <c r="CV187" i="229"/>
  <c r="DR187" i="229"/>
  <c r="EL187" i="229"/>
  <c r="CB187" i="229"/>
  <c r="CW187" i="229"/>
  <c r="DS187" i="229"/>
  <c r="EM187" i="229"/>
  <c r="CF187" i="229"/>
  <c r="DB187" i="229"/>
  <c r="DW187" i="229"/>
  <c r="CG187" i="229"/>
  <c r="DC187" i="229"/>
  <c r="DX187" i="229"/>
  <c r="CL187" i="229"/>
  <c r="DG187" i="229"/>
  <c r="EB187" i="229"/>
  <c r="CM187" i="229"/>
  <c r="DH187" i="229"/>
  <c r="EC187" i="229"/>
  <c r="CQ187" i="229"/>
  <c r="CR187" i="229"/>
  <c r="DL187" i="229"/>
  <c r="DM187" i="229"/>
  <c r="EI182" i="229"/>
  <c r="EH187" i="229"/>
  <c r="N11" i="227"/>
  <c r="G11" i="227"/>
  <c r="H173" i="229"/>
  <c r="H209" i="229" s="1"/>
  <c r="V97" i="229"/>
  <c r="I165" i="229"/>
  <c r="I166" i="229" s="1"/>
  <c r="I246" i="229" s="1"/>
  <c r="J165" i="229"/>
  <c r="J166" i="229" s="1"/>
  <c r="J246" i="229" s="1"/>
  <c r="N165" i="229"/>
  <c r="N166" i="229" s="1"/>
  <c r="N246" i="229" s="1"/>
  <c r="P165" i="229"/>
  <c r="P166" i="229" s="1"/>
  <c r="P246" i="229" s="1"/>
  <c r="W165" i="229"/>
  <c r="Z165" i="229"/>
  <c r="L165" i="229"/>
  <c r="L166" i="229" s="1"/>
  <c r="L246" i="229" s="1"/>
  <c r="U165" i="229"/>
  <c r="U166" i="229" s="1"/>
  <c r="U246" i="229" s="1"/>
  <c r="O165" i="229"/>
  <c r="Q165" i="229"/>
  <c r="Q166" i="229" s="1"/>
  <c r="Q246" i="229" s="1"/>
  <c r="AA165" i="229"/>
  <c r="K165" i="229"/>
  <c r="K166" i="229" s="1"/>
  <c r="K246" i="229" s="1"/>
  <c r="M165" i="229"/>
  <c r="M166" i="229" s="1"/>
  <c r="M246" i="229" s="1"/>
  <c r="V165" i="229"/>
  <c r="Y165" i="229"/>
  <c r="H165" i="229"/>
  <c r="H166" i="229" s="1"/>
  <c r="H246" i="229" s="1"/>
  <c r="R165" i="229"/>
  <c r="R166" i="229" s="1"/>
  <c r="R246" i="229" s="1"/>
  <c r="AL165" i="229"/>
  <c r="AQ165" i="229"/>
  <c r="AT165" i="229"/>
  <c r="AE165" i="229"/>
  <c r="AH165" i="229"/>
  <c r="AJ165" i="229"/>
  <c r="AM165" i="229"/>
  <c r="AC165" i="229"/>
  <c r="AF165" i="229"/>
  <c r="AI165" i="229"/>
  <c r="AK165" i="229"/>
  <c r="AP165" i="229"/>
  <c r="AS165" i="229"/>
  <c r="S165" i="229"/>
  <c r="S166" i="229" s="1"/>
  <c r="S246" i="229" s="1"/>
  <c r="T165" i="229"/>
  <c r="T166" i="229" s="1"/>
  <c r="T246" i="229" s="1"/>
  <c r="AN165" i="229"/>
  <c r="AY165" i="229"/>
  <c r="AZ165" i="229"/>
  <c r="AW165" i="229"/>
  <c r="BC165" i="229"/>
  <c r="BG165" i="229"/>
  <c r="AD165" i="229"/>
  <c r="BA165" i="229"/>
  <c r="BE165" i="229"/>
  <c r="BI165" i="229"/>
  <c r="X165" i="229"/>
  <c r="AG165" i="229"/>
  <c r="AX165" i="229"/>
  <c r="AR165" i="229"/>
  <c r="BJ165" i="229"/>
  <c r="BO165" i="229"/>
  <c r="BQ165" i="229"/>
  <c r="BW165" i="229"/>
  <c r="BD165" i="229"/>
  <c r="BM165" i="229"/>
  <c r="BU165" i="229"/>
  <c r="AB165" i="229"/>
  <c r="BH165" i="229"/>
  <c r="BK165" i="229"/>
  <c r="BR165" i="229"/>
  <c r="AO165" i="229"/>
  <c r="BN165" i="229"/>
  <c r="BP165" i="229"/>
  <c r="BV165" i="229"/>
  <c r="AV165" i="229"/>
  <c r="BB165" i="229"/>
  <c r="BS165" i="229"/>
  <c r="AU165" i="229"/>
  <c r="BF165" i="229"/>
  <c r="BL165" i="229"/>
  <c r="BT165" i="229"/>
  <c r="CA165" i="229"/>
  <c r="CI165" i="229"/>
  <c r="CQ165" i="229"/>
  <c r="CY165" i="229"/>
  <c r="DG165" i="229"/>
  <c r="DO165" i="229"/>
  <c r="DW165" i="229"/>
  <c r="EE165" i="229"/>
  <c r="EL165" i="229"/>
  <c r="CB165" i="229"/>
  <c r="CJ165" i="229"/>
  <c r="CR165" i="229"/>
  <c r="CZ165" i="229"/>
  <c r="DH165" i="229"/>
  <c r="DP165" i="229"/>
  <c r="DX165" i="229"/>
  <c r="EF165" i="229"/>
  <c r="EM165" i="229"/>
  <c r="CE165" i="229"/>
  <c r="CM165" i="229"/>
  <c r="CU165" i="229"/>
  <c r="DC165" i="229"/>
  <c r="DK165" i="229"/>
  <c r="DS165" i="229"/>
  <c r="EA165" i="229"/>
  <c r="EH165" i="229"/>
  <c r="BX165" i="229"/>
  <c r="CF165" i="229"/>
  <c r="CN165" i="229"/>
  <c r="CV165" i="229"/>
  <c r="DD165" i="229"/>
  <c r="DL165" i="229"/>
  <c r="DT165" i="229"/>
  <c r="EB165" i="229"/>
  <c r="EI165" i="229"/>
  <c r="BY165" i="229"/>
  <c r="CO165" i="229"/>
  <c r="DE165" i="229"/>
  <c r="DU165" i="229"/>
  <c r="EJ165" i="229"/>
  <c r="BZ165" i="229"/>
  <c r="CP165" i="229"/>
  <c r="DF165" i="229"/>
  <c r="DV165" i="229"/>
  <c r="EK165" i="229"/>
  <c r="CC165" i="229"/>
  <c r="CS165" i="229"/>
  <c r="DI165" i="229"/>
  <c r="DY165" i="229"/>
  <c r="EN165" i="229"/>
  <c r="CD165" i="229"/>
  <c r="CT165" i="229"/>
  <c r="DJ165" i="229"/>
  <c r="DZ165" i="229"/>
  <c r="CG165" i="229"/>
  <c r="CW165" i="229"/>
  <c r="DM165" i="229"/>
  <c r="EC165" i="229"/>
  <c r="CH165" i="229"/>
  <c r="CX165" i="229"/>
  <c r="DN165" i="229"/>
  <c r="ED165" i="229"/>
  <c r="CK165" i="229"/>
  <c r="CL165" i="229"/>
  <c r="DA165" i="229"/>
  <c r="DB165" i="229"/>
  <c r="DQ165" i="229"/>
  <c r="EI160" i="229"/>
  <c r="DR165" i="229"/>
  <c r="EG165" i="229"/>
  <c r="H107" i="229"/>
  <c r="H203" i="229" s="1"/>
  <c r="H31" i="229"/>
  <c r="D13" i="228"/>
  <c r="L7" i="227"/>
  <c r="X7" i="227" s="1"/>
  <c r="M7" i="227"/>
  <c r="Y7" i="227" s="1"/>
  <c r="O166" i="229"/>
  <c r="O246" i="229" s="1"/>
  <c r="J305" i="229"/>
  <c r="P188" i="229"/>
  <c r="P248" i="229" s="1"/>
  <c r="I154" i="229"/>
  <c r="I155" i="229" s="1"/>
  <c r="I245" i="229" s="1"/>
  <c r="J154" i="229"/>
  <c r="J155" i="229" s="1"/>
  <c r="J245" i="229" s="1"/>
  <c r="V154" i="229"/>
  <c r="AE154" i="229"/>
  <c r="H154" i="229"/>
  <c r="H155" i="229" s="1"/>
  <c r="H245" i="229" s="1"/>
  <c r="R154" i="229"/>
  <c r="R155" i="229" s="1"/>
  <c r="R245" i="229" s="1"/>
  <c r="T154" i="229"/>
  <c r="T155" i="229" s="1"/>
  <c r="T245" i="229" s="1"/>
  <c r="W154" i="229"/>
  <c r="N154" i="229"/>
  <c r="N155" i="229" s="1"/>
  <c r="N245" i="229" s="1"/>
  <c r="P154" i="229"/>
  <c r="P155" i="229" s="1"/>
  <c r="P245" i="229" s="1"/>
  <c r="Z154" i="229"/>
  <c r="S154" i="229"/>
  <c r="S155" i="229" s="1"/>
  <c r="S245" i="229" s="1"/>
  <c r="U154" i="229"/>
  <c r="U155" i="229" s="1"/>
  <c r="U245" i="229" s="1"/>
  <c r="AD154" i="229"/>
  <c r="L154" i="229"/>
  <c r="L155" i="229" s="1"/>
  <c r="L245" i="229" s="1"/>
  <c r="K154" i="229"/>
  <c r="K155" i="229" s="1"/>
  <c r="K245" i="229" s="1"/>
  <c r="AF154" i="229"/>
  <c r="AC154" i="229"/>
  <c r="AG154" i="229"/>
  <c r="M154" i="229"/>
  <c r="M155" i="229" s="1"/>
  <c r="M245" i="229" s="1"/>
  <c r="X154" i="229"/>
  <c r="AA154" i="229"/>
  <c r="AL154" i="229"/>
  <c r="AQ154" i="229"/>
  <c r="AH154" i="229"/>
  <c r="AJ154" i="229"/>
  <c r="AO154" i="229"/>
  <c r="AI154" i="229"/>
  <c r="BA154" i="229"/>
  <c r="BE154" i="229"/>
  <c r="Q154" i="229"/>
  <c r="Q155" i="229" s="1"/>
  <c r="Q245" i="229" s="1"/>
  <c r="AT154" i="229"/>
  <c r="AX154" i="229"/>
  <c r="AK154" i="229"/>
  <c r="AU154" i="229"/>
  <c r="AY154" i="229"/>
  <c r="AZ154" i="229"/>
  <c r="BD154" i="229"/>
  <c r="BH154" i="229"/>
  <c r="AN154" i="229"/>
  <c r="BK154" i="229"/>
  <c r="AS154" i="229"/>
  <c r="AB154" i="229"/>
  <c r="BI154" i="229"/>
  <c r="BS154" i="229"/>
  <c r="Y154" i="229"/>
  <c r="BL154" i="229"/>
  <c r="BT154" i="229"/>
  <c r="AV154" i="229"/>
  <c r="BB154" i="229"/>
  <c r="BF154" i="229"/>
  <c r="BO154" i="229"/>
  <c r="BQ154" i="229"/>
  <c r="BW154" i="229"/>
  <c r="AP154" i="229"/>
  <c r="BJ154" i="229"/>
  <c r="O154" i="229"/>
  <c r="O155" i="229" s="1"/>
  <c r="O245" i="229" s="1"/>
  <c r="AR154" i="229"/>
  <c r="BM154" i="229"/>
  <c r="BU154" i="229"/>
  <c r="AM154" i="229"/>
  <c r="BV154" i="229"/>
  <c r="AW154" i="229"/>
  <c r="BG154" i="229"/>
  <c r="BN154" i="229"/>
  <c r="BR154" i="229"/>
  <c r="BC154" i="229"/>
  <c r="BP154" i="229"/>
  <c r="CE154" i="229"/>
  <c r="CM154" i="229"/>
  <c r="CU154" i="229"/>
  <c r="DC154" i="229"/>
  <c r="DK154" i="229"/>
  <c r="DS154" i="229"/>
  <c r="EA154" i="229"/>
  <c r="EH154" i="229"/>
  <c r="BZ154" i="229"/>
  <c r="CH154" i="229"/>
  <c r="CP154" i="229"/>
  <c r="CX154" i="229"/>
  <c r="DF154" i="229"/>
  <c r="DN154" i="229"/>
  <c r="DV154" i="229"/>
  <c r="ED154" i="229"/>
  <c r="EK154" i="229"/>
  <c r="CF154" i="229"/>
  <c r="CQ154" i="229"/>
  <c r="DA154" i="229"/>
  <c r="DL154" i="229"/>
  <c r="DW154" i="229"/>
  <c r="EI149" i="229"/>
  <c r="CG154" i="229"/>
  <c r="CR154" i="229"/>
  <c r="DB154" i="229"/>
  <c r="DM154" i="229"/>
  <c r="DX154" i="229"/>
  <c r="EG154" i="229"/>
  <c r="CA154" i="229"/>
  <c r="CK154" i="229"/>
  <c r="CV154" i="229"/>
  <c r="DG154" i="229"/>
  <c r="DQ154" i="229"/>
  <c r="EB154" i="229"/>
  <c r="EL154" i="229"/>
  <c r="CB154" i="229"/>
  <c r="CL154" i="229"/>
  <c r="CW154" i="229"/>
  <c r="DH154" i="229"/>
  <c r="DR154" i="229"/>
  <c r="EC154" i="229"/>
  <c r="EM154" i="229"/>
  <c r="CC154" i="229"/>
  <c r="CY154" i="229"/>
  <c r="DT154" i="229"/>
  <c r="EN154" i="229"/>
  <c r="CD154" i="229"/>
  <c r="CZ154" i="229"/>
  <c r="DU154" i="229"/>
  <c r="CI154" i="229"/>
  <c r="DD154" i="229"/>
  <c r="DY154" i="229"/>
  <c r="CJ154" i="229"/>
  <c r="DE154" i="229"/>
  <c r="DZ154" i="229"/>
  <c r="CN154" i="229"/>
  <c r="DI154" i="229"/>
  <c r="EE154" i="229"/>
  <c r="CO154" i="229"/>
  <c r="DJ154" i="229"/>
  <c r="EF154" i="229"/>
  <c r="EI154" i="229"/>
  <c r="EJ154" i="229"/>
  <c r="BX154" i="229"/>
  <c r="BY154" i="229"/>
  <c r="CS154" i="229"/>
  <c r="CT154" i="229"/>
  <c r="DP154" i="229"/>
  <c r="DO154" i="229"/>
  <c r="J110" i="229"/>
  <c r="J111" i="229" s="1"/>
  <c r="J241" i="229" s="1"/>
  <c r="M110" i="229"/>
  <c r="M111" i="229" s="1"/>
  <c r="M241" i="229" s="1"/>
  <c r="Q110" i="229"/>
  <c r="Q111" i="229" s="1"/>
  <c r="Q241" i="229" s="1"/>
  <c r="I110" i="229"/>
  <c r="I111" i="229" s="1"/>
  <c r="I241" i="229" s="1"/>
  <c r="L110" i="229"/>
  <c r="L111" i="229" s="1"/>
  <c r="L241" i="229" s="1"/>
  <c r="P110" i="229"/>
  <c r="P111" i="229" s="1"/>
  <c r="P241" i="229" s="1"/>
  <c r="H110" i="229"/>
  <c r="H111" i="229" s="1"/>
  <c r="H241" i="229" s="1"/>
  <c r="O110" i="229"/>
  <c r="O111" i="229" s="1"/>
  <c r="O241" i="229" s="1"/>
  <c r="S110" i="229"/>
  <c r="R110" i="229"/>
  <c r="R111" i="229" s="1"/>
  <c r="R241" i="229" s="1"/>
  <c r="U110" i="229"/>
  <c r="U111" i="229" s="1"/>
  <c r="U241" i="229" s="1"/>
  <c r="Z110" i="229"/>
  <c r="AD110" i="229"/>
  <c r="AH110" i="229"/>
  <c r="AL110" i="229"/>
  <c r="AP110" i="229"/>
  <c r="AT110" i="229"/>
  <c r="AX110" i="229"/>
  <c r="BB110" i="229"/>
  <c r="BF110" i="229"/>
  <c r="BJ110" i="229"/>
  <c r="BN110" i="229"/>
  <c r="BR110" i="229"/>
  <c r="BV110" i="229"/>
  <c r="BZ110" i="229"/>
  <c r="CD110" i="229"/>
  <c r="CH110" i="229"/>
  <c r="CL110" i="229"/>
  <c r="CP110" i="229"/>
  <c r="CT110" i="229"/>
  <c r="CX110" i="229"/>
  <c r="DB110" i="229"/>
  <c r="DF110" i="229"/>
  <c r="DJ110" i="229"/>
  <c r="DN110" i="229"/>
  <c r="DR110" i="229"/>
  <c r="DV110" i="229"/>
  <c r="DZ110" i="229"/>
  <c r="ED110" i="229"/>
  <c r="EH110" i="229"/>
  <c r="EL110" i="229"/>
  <c r="Y110" i="229"/>
  <c r="T110" i="229"/>
  <c r="T111" i="229" s="1"/>
  <c r="T241" i="229" s="1"/>
  <c r="X110" i="229"/>
  <c r="AC110" i="229"/>
  <c r="AG110" i="229"/>
  <c r="AK110" i="229"/>
  <c r="AO110" i="229"/>
  <c r="AS110" i="229"/>
  <c r="AW110" i="229"/>
  <c r="BA110" i="229"/>
  <c r="BE110" i="229"/>
  <c r="BI110" i="229"/>
  <c r="BM110" i="229"/>
  <c r="BQ110" i="229"/>
  <c r="BU110" i="229"/>
  <c r="BY110" i="229"/>
  <c r="CC110" i="229"/>
  <c r="CG110" i="229"/>
  <c r="CK110" i="229"/>
  <c r="CO110" i="229"/>
  <c r="CS110" i="229"/>
  <c r="CW110" i="229"/>
  <c r="DA110" i="229"/>
  <c r="DE110" i="229"/>
  <c r="DI110" i="229"/>
  <c r="DM110" i="229"/>
  <c r="DQ110" i="229"/>
  <c r="DU110" i="229"/>
  <c r="DY110" i="229"/>
  <c r="EC110" i="229"/>
  <c r="EG110" i="229"/>
  <c r="EK110" i="229"/>
  <c r="N110" i="229"/>
  <c r="N111" i="229" s="1"/>
  <c r="N241" i="229" s="1"/>
  <c r="W110" i="229"/>
  <c r="AB110" i="229"/>
  <c r="AF110" i="229"/>
  <c r="AJ110" i="229"/>
  <c r="AN110" i="229"/>
  <c r="AR110" i="229"/>
  <c r="AV110" i="229"/>
  <c r="AZ110" i="229"/>
  <c r="BD110" i="229"/>
  <c r="BH110" i="229"/>
  <c r="BL110" i="229"/>
  <c r="BP110" i="229"/>
  <c r="BT110" i="229"/>
  <c r="BX110" i="229"/>
  <c r="CB110" i="229"/>
  <c r="CF110" i="229"/>
  <c r="CJ110" i="229"/>
  <c r="CN110" i="229"/>
  <c r="CR110" i="229"/>
  <c r="CV110" i="229"/>
  <c r="CZ110" i="229"/>
  <c r="DD110" i="229"/>
  <c r="DH110" i="229"/>
  <c r="DL110" i="229"/>
  <c r="DP110" i="229"/>
  <c r="DT110" i="229"/>
  <c r="DX110" i="229"/>
  <c r="EB110" i="229"/>
  <c r="EF110" i="229"/>
  <c r="EJ110" i="229"/>
  <c r="EN110" i="229"/>
  <c r="K110" i="229"/>
  <c r="AA110" i="229"/>
  <c r="BG110" i="229"/>
  <c r="CM110" i="229"/>
  <c r="DS110" i="229"/>
  <c r="AI110" i="229"/>
  <c r="BO110" i="229"/>
  <c r="CU110" i="229"/>
  <c r="EA110" i="229"/>
  <c r="BC110" i="229"/>
  <c r="CI110" i="229"/>
  <c r="DO110" i="229"/>
  <c r="V110" i="229"/>
  <c r="AQ110" i="229"/>
  <c r="BW110" i="229"/>
  <c r="DC110" i="229"/>
  <c r="EI110" i="229"/>
  <c r="AE110" i="229"/>
  <c r="BK110" i="229"/>
  <c r="CQ110" i="229"/>
  <c r="DW110" i="229"/>
  <c r="AY110" i="229"/>
  <c r="CE110" i="229"/>
  <c r="DK110" i="229"/>
  <c r="AM110" i="229"/>
  <c r="BS110" i="229"/>
  <c r="CY110" i="229"/>
  <c r="EE110" i="229"/>
  <c r="AU110" i="229"/>
  <c r="CA110" i="229"/>
  <c r="DG110" i="229"/>
  <c r="EM110" i="229"/>
  <c r="EI105" i="229"/>
  <c r="H151" i="229"/>
  <c r="H207" i="229" s="1"/>
  <c r="I143" i="229"/>
  <c r="I144" i="229" s="1"/>
  <c r="I244" i="229" s="1"/>
  <c r="J143" i="229"/>
  <c r="J144" i="229" s="1"/>
  <c r="J244" i="229" s="1"/>
  <c r="N143" i="229"/>
  <c r="N144" i="229" s="1"/>
  <c r="N244" i="229" s="1"/>
  <c r="P143" i="229"/>
  <c r="U143" i="229"/>
  <c r="U144" i="229" s="1"/>
  <c r="U244" i="229" s="1"/>
  <c r="Z143" i="229"/>
  <c r="L143" i="229"/>
  <c r="L144" i="229" s="1"/>
  <c r="L244" i="229" s="1"/>
  <c r="O143" i="229"/>
  <c r="O144" i="229" s="1"/>
  <c r="O244" i="229" s="1"/>
  <c r="Q143" i="229"/>
  <c r="Q144" i="229" s="1"/>
  <c r="Q244" i="229" s="1"/>
  <c r="V143" i="229"/>
  <c r="AA143" i="229"/>
  <c r="K143" i="229"/>
  <c r="K144" i="229" s="1"/>
  <c r="K244" i="229" s="1"/>
  <c r="M143" i="229"/>
  <c r="M144" i="229" s="1"/>
  <c r="M244" i="229" s="1"/>
  <c r="T143" i="229"/>
  <c r="T144" i="229" s="1"/>
  <c r="T244" i="229" s="1"/>
  <c r="Y143" i="229"/>
  <c r="H143" i="229"/>
  <c r="H144" i="229" s="1"/>
  <c r="H244" i="229" s="1"/>
  <c r="R143" i="229"/>
  <c r="R144" i="229" s="1"/>
  <c r="R244" i="229" s="1"/>
  <c r="AL143" i="229"/>
  <c r="AQ143" i="229"/>
  <c r="AT143" i="229"/>
  <c r="AH143" i="229"/>
  <c r="AJ143" i="229"/>
  <c r="X143" i="229"/>
  <c r="AB143" i="229"/>
  <c r="AM143" i="229"/>
  <c r="S143" i="229"/>
  <c r="S144" i="229" s="1"/>
  <c r="S244" i="229" s="1"/>
  <c r="W143" i="229"/>
  <c r="AE143" i="229"/>
  <c r="AF143" i="229"/>
  <c r="AI143" i="229"/>
  <c r="AK143" i="229"/>
  <c r="AP143" i="229"/>
  <c r="AS143" i="229"/>
  <c r="AW143" i="229"/>
  <c r="AC143" i="229"/>
  <c r="AU143" i="229"/>
  <c r="AV143" i="229"/>
  <c r="AY143" i="229"/>
  <c r="AD143" i="229"/>
  <c r="AR143" i="229"/>
  <c r="AZ143" i="229"/>
  <c r="BC143" i="229"/>
  <c r="BG143" i="229"/>
  <c r="AN143" i="229"/>
  <c r="BA143" i="229"/>
  <c r="BE143" i="229"/>
  <c r="BI143" i="229"/>
  <c r="AX143" i="229"/>
  <c r="BO143" i="229"/>
  <c r="BQ143" i="229"/>
  <c r="BW143" i="229"/>
  <c r="AO143" i="229"/>
  <c r="BJ143" i="229"/>
  <c r="BM143" i="229"/>
  <c r="BU143" i="229"/>
  <c r="BB143" i="229"/>
  <c r="BF143" i="229"/>
  <c r="BR143" i="229"/>
  <c r="BH143" i="229"/>
  <c r="BK143" i="229"/>
  <c r="BN143" i="229"/>
  <c r="BP143" i="229"/>
  <c r="BV143" i="229"/>
  <c r="BD143" i="229"/>
  <c r="BS143" i="229"/>
  <c r="BT143" i="229"/>
  <c r="AG143" i="229"/>
  <c r="BL143" i="229"/>
  <c r="BY143" i="229"/>
  <c r="CG143" i="229"/>
  <c r="CO143" i="229"/>
  <c r="CW143" i="229"/>
  <c r="DE143" i="229"/>
  <c r="DM143" i="229"/>
  <c r="DU143" i="229"/>
  <c r="EC143" i="229"/>
  <c r="EJ143" i="229"/>
  <c r="CB143" i="229"/>
  <c r="CJ143" i="229"/>
  <c r="CR143" i="229"/>
  <c r="CZ143" i="229"/>
  <c r="DH143" i="229"/>
  <c r="DP143" i="229"/>
  <c r="DX143" i="229"/>
  <c r="EF143" i="229"/>
  <c r="EM143" i="229"/>
  <c r="BZ143" i="229"/>
  <c r="CK143" i="229"/>
  <c r="CU143" i="229"/>
  <c r="DF143" i="229"/>
  <c r="DQ143" i="229"/>
  <c r="EA143" i="229"/>
  <c r="EK143" i="229"/>
  <c r="CA143" i="229"/>
  <c r="CL143" i="229"/>
  <c r="CV143" i="229"/>
  <c r="DG143" i="229"/>
  <c r="DR143" i="229"/>
  <c r="EB143" i="229"/>
  <c r="EL143" i="229"/>
  <c r="CE143" i="229"/>
  <c r="CP143" i="229"/>
  <c r="DA143" i="229"/>
  <c r="DK143" i="229"/>
  <c r="DV143" i="229"/>
  <c r="EG143" i="229"/>
  <c r="CF143" i="229"/>
  <c r="CQ143" i="229"/>
  <c r="DB143" i="229"/>
  <c r="DL143" i="229"/>
  <c r="DW143" i="229"/>
  <c r="EI138" i="229"/>
  <c r="CS143" i="229"/>
  <c r="DN143" i="229"/>
  <c r="EH143" i="229"/>
  <c r="BX143" i="229"/>
  <c r="CT143" i="229"/>
  <c r="DO143" i="229"/>
  <c r="EI143" i="229"/>
  <c r="CC143" i="229"/>
  <c r="CX143" i="229"/>
  <c r="DS143" i="229"/>
  <c r="EN143" i="229"/>
  <c r="CD143" i="229"/>
  <c r="CY143" i="229"/>
  <c r="DT143" i="229"/>
  <c r="CH143" i="229"/>
  <c r="DC143" i="229"/>
  <c r="DY143" i="229"/>
  <c r="CI143" i="229"/>
  <c r="DD143" i="229"/>
  <c r="DZ143" i="229"/>
  <c r="CM143" i="229"/>
  <c r="CN143" i="229"/>
  <c r="DI143" i="229"/>
  <c r="EE143" i="229"/>
  <c r="DJ143" i="229"/>
  <c r="ED143" i="229"/>
  <c r="U188" i="229"/>
  <c r="U248" i="229" s="1"/>
  <c r="H202" i="229"/>
  <c r="K111" i="229"/>
  <c r="K241" i="229" s="1"/>
  <c r="I188" i="229"/>
  <c r="I248" i="229" s="1"/>
  <c r="H129" i="229"/>
  <c r="H205" i="229" s="1"/>
  <c r="Q133" i="229"/>
  <c r="Q243" i="229" s="1"/>
  <c r="H140" i="229"/>
  <c r="H206" i="229" s="1"/>
  <c r="H118" i="229"/>
  <c r="H204" i="229" s="1"/>
  <c r="H188" i="229"/>
  <c r="H248" i="229" s="1"/>
  <c r="K133" i="229"/>
  <c r="K243" i="229" s="1"/>
  <c r="H305" i="229"/>
  <c r="S111" i="229"/>
  <c r="S241" i="229" s="1"/>
  <c r="J121" i="229"/>
  <c r="J122" i="229" s="1"/>
  <c r="J242" i="229" s="1"/>
  <c r="H121" i="229"/>
  <c r="H122" i="229" s="1"/>
  <c r="H242" i="229" s="1"/>
  <c r="K121" i="229"/>
  <c r="K122" i="229" s="1"/>
  <c r="K242" i="229" s="1"/>
  <c r="I121" i="229"/>
  <c r="I122" i="229" s="1"/>
  <c r="I242" i="229" s="1"/>
  <c r="W121" i="229"/>
  <c r="AE121" i="229"/>
  <c r="R121" i="229"/>
  <c r="R122" i="229" s="1"/>
  <c r="R242" i="229" s="1"/>
  <c r="U121" i="229"/>
  <c r="U122" i="229" s="1"/>
  <c r="U242" i="229" s="1"/>
  <c r="N121" i="229"/>
  <c r="N122" i="229" s="1"/>
  <c r="N242" i="229" s="1"/>
  <c r="P121" i="229"/>
  <c r="P122" i="229" s="1"/>
  <c r="P242" i="229" s="1"/>
  <c r="Z121" i="229"/>
  <c r="S121" i="229"/>
  <c r="S122" i="229" s="1"/>
  <c r="S242" i="229" s="1"/>
  <c r="V121" i="229"/>
  <c r="AD121" i="229"/>
  <c r="L121" i="229"/>
  <c r="L122" i="229" s="1"/>
  <c r="L242" i="229" s="1"/>
  <c r="AF121" i="229"/>
  <c r="X121" i="229"/>
  <c r="AA121" i="229"/>
  <c r="AB121" i="229"/>
  <c r="AG121" i="229"/>
  <c r="AN121" i="229"/>
  <c r="M121" i="229"/>
  <c r="M122" i="229" s="1"/>
  <c r="M242" i="229" s="1"/>
  <c r="AL121" i="229"/>
  <c r="AQ121" i="229"/>
  <c r="T121" i="229"/>
  <c r="T122" i="229" s="1"/>
  <c r="T242" i="229" s="1"/>
  <c r="Y121" i="229"/>
  <c r="AC121" i="229"/>
  <c r="AH121" i="229"/>
  <c r="AJ121" i="229"/>
  <c r="AO121" i="229"/>
  <c r="O121" i="229"/>
  <c r="O122" i="229" s="1"/>
  <c r="O242" i="229" s="1"/>
  <c r="AI121" i="229"/>
  <c r="AS121" i="229"/>
  <c r="BA121" i="229"/>
  <c r="BE121" i="229"/>
  <c r="BI121" i="229"/>
  <c r="AK121" i="229"/>
  <c r="AX121" i="229"/>
  <c r="Q121" i="229"/>
  <c r="Q122" i="229" s="1"/>
  <c r="Q242" i="229" s="1"/>
  <c r="AV121" i="229"/>
  <c r="BO121" i="229"/>
  <c r="AR121" i="229"/>
  <c r="AY121" i="229"/>
  <c r="AZ121" i="229"/>
  <c r="BD121" i="229"/>
  <c r="BH121" i="229"/>
  <c r="AM121" i="229"/>
  <c r="AW121" i="229"/>
  <c r="AT121" i="229"/>
  <c r="BF121" i="229"/>
  <c r="BK121" i="229"/>
  <c r="BN121" i="229"/>
  <c r="BS121" i="229"/>
  <c r="BB121" i="229"/>
  <c r="BT121" i="229"/>
  <c r="BL121" i="229"/>
  <c r="BQ121" i="229"/>
  <c r="BW121" i="229"/>
  <c r="AU121" i="229"/>
  <c r="BG121" i="229"/>
  <c r="AP121" i="229"/>
  <c r="BC121" i="229"/>
  <c r="BU121" i="229"/>
  <c r="BP121" i="229"/>
  <c r="BV121" i="229"/>
  <c r="BM121" i="229"/>
  <c r="BJ121" i="229"/>
  <c r="BR121" i="229"/>
  <c r="CA121" i="229"/>
  <c r="CD121" i="229"/>
  <c r="CB121" i="229"/>
  <c r="CK121" i="229"/>
  <c r="CS121" i="229"/>
  <c r="DA121" i="229"/>
  <c r="DI121" i="229"/>
  <c r="DQ121" i="229"/>
  <c r="DY121" i="229"/>
  <c r="EG121" i="229"/>
  <c r="EN121" i="229"/>
  <c r="CC121" i="229"/>
  <c r="CL121" i="229"/>
  <c r="CT121" i="229"/>
  <c r="DB121" i="229"/>
  <c r="DJ121" i="229"/>
  <c r="DR121" i="229"/>
  <c r="DZ121" i="229"/>
  <c r="EI116" i="229"/>
  <c r="CG121" i="229"/>
  <c r="CO121" i="229"/>
  <c r="CW121" i="229"/>
  <c r="DE121" i="229"/>
  <c r="DM121" i="229"/>
  <c r="DU121" i="229"/>
  <c r="EC121" i="229"/>
  <c r="EJ121" i="229"/>
  <c r="BX121" i="229"/>
  <c r="CH121" i="229"/>
  <c r="CP121" i="229"/>
  <c r="CX121" i="229"/>
  <c r="DF121" i="229"/>
  <c r="DN121" i="229"/>
  <c r="DV121" i="229"/>
  <c r="ED121" i="229"/>
  <c r="EK121" i="229"/>
  <c r="CI121" i="229"/>
  <c r="CY121" i="229"/>
  <c r="DO121" i="229"/>
  <c r="EE121" i="229"/>
  <c r="CJ121" i="229"/>
  <c r="CZ121" i="229"/>
  <c r="DP121" i="229"/>
  <c r="EF121" i="229"/>
  <c r="CM121" i="229"/>
  <c r="DC121" i="229"/>
  <c r="DS121" i="229"/>
  <c r="EH121" i="229"/>
  <c r="CN121" i="229"/>
  <c r="DD121" i="229"/>
  <c r="DT121" i="229"/>
  <c r="EI121" i="229"/>
  <c r="BY121" i="229"/>
  <c r="CQ121" i="229"/>
  <c r="DG121" i="229"/>
  <c r="DW121" i="229"/>
  <c r="EL121" i="229"/>
  <c r="BZ121" i="229"/>
  <c r="CR121" i="229"/>
  <c r="DH121" i="229"/>
  <c r="DX121" i="229"/>
  <c r="EM121" i="229"/>
  <c r="DK121" i="229"/>
  <c r="DL121" i="229"/>
  <c r="EA121" i="229"/>
  <c r="EB121" i="229"/>
  <c r="CE121" i="229"/>
  <c r="CF121" i="229"/>
  <c r="CV121" i="229"/>
  <c r="CU121" i="229"/>
  <c r="T188" i="229"/>
  <c r="T248" i="229" s="1"/>
  <c r="H185" i="229"/>
  <c r="H210" i="229"/>
  <c r="H133" i="229"/>
  <c r="H243" i="229" s="1"/>
  <c r="H64" i="229"/>
  <c r="I176" i="229"/>
  <c r="I177" i="229" s="1"/>
  <c r="I247" i="229" s="1"/>
  <c r="K176" i="229"/>
  <c r="K177" i="229" s="1"/>
  <c r="K247" i="229" s="1"/>
  <c r="AB176" i="229"/>
  <c r="AD176" i="229"/>
  <c r="J176" i="229"/>
  <c r="J177" i="229" s="1"/>
  <c r="J247" i="229" s="1"/>
  <c r="M176" i="229"/>
  <c r="M177" i="229" s="1"/>
  <c r="M247" i="229" s="1"/>
  <c r="O176" i="229"/>
  <c r="O177" i="229" s="1"/>
  <c r="O247" i="229" s="1"/>
  <c r="Y176" i="229"/>
  <c r="AA176" i="229"/>
  <c r="H176" i="229"/>
  <c r="H177" i="229" s="1"/>
  <c r="H247" i="229" s="1"/>
  <c r="P176" i="229"/>
  <c r="P177" i="229" s="1"/>
  <c r="P247" i="229" s="1"/>
  <c r="R176" i="229"/>
  <c r="R177" i="229" s="1"/>
  <c r="R247" i="229" s="1"/>
  <c r="T176" i="229"/>
  <c r="T177" i="229" s="1"/>
  <c r="T247" i="229" s="1"/>
  <c r="V176" i="229"/>
  <c r="Z176" i="229"/>
  <c r="AE176" i="229"/>
  <c r="AO176" i="229"/>
  <c r="AQ176" i="229"/>
  <c r="AK176" i="229"/>
  <c r="AM176" i="229"/>
  <c r="N176" i="229"/>
  <c r="N177" i="229" s="1"/>
  <c r="N247" i="229" s="1"/>
  <c r="S176" i="229"/>
  <c r="S177" i="229" s="1"/>
  <c r="S247" i="229" s="1"/>
  <c r="AN176" i="229"/>
  <c r="AP176" i="229"/>
  <c r="L176" i="229"/>
  <c r="L177" i="229" s="1"/>
  <c r="L247" i="229" s="1"/>
  <c r="Q176" i="229"/>
  <c r="Q177" i="229" s="1"/>
  <c r="Q247" i="229" s="1"/>
  <c r="AG176" i="229"/>
  <c r="AI176" i="229"/>
  <c r="W176" i="229"/>
  <c r="AW176" i="229"/>
  <c r="AY176" i="229"/>
  <c r="AL176" i="229"/>
  <c r="AR176" i="229"/>
  <c r="AT176" i="229"/>
  <c r="BA176" i="229"/>
  <c r="BC176" i="229"/>
  <c r="AH176" i="229"/>
  <c r="AV176" i="229"/>
  <c r="AX176" i="229"/>
  <c r="AC176" i="229"/>
  <c r="AF176" i="229"/>
  <c r="BM176" i="229"/>
  <c r="BO176" i="229"/>
  <c r="BU176" i="229"/>
  <c r="BW176" i="229"/>
  <c r="BP176" i="229"/>
  <c r="BR176" i="229"/>
  <c r="X176" i="229"/>
  <c r="AJ176" i="229"/>
  <c r="BB176" i="229"/>
  <c r="BI176" i="229"/>
  <c r="BK176" i="229"/>
  <c r="AZ176" i="229"/>
  <c r="BL176" i="229"/>
  <c r="BN176" i="229"/>
  <c r="BT176" i="229"/>
  <c r="BV176" i="229"/>
  <c r="U176" i="229"/>
  <c r="U177" i="229" s="1"/>
  <c r="U247" i="229" s="1"/>
  <c r="AU176" i="229"/>
  <c r="BD176" i="229"/>
  <c r="BF176" i="229"/>
  <c r="AS176" i="229"/>
  <c r="BQ176" i="229"/>
  <c r="BS176" i="229"/>
  <c r="BG176" i="229"/>
  <c r="BE176" i="229"/>
  <c r="BJ176" i="229"/>
  <c r="BH176" i="229"/>
  <c r="CE176" i="229"/>
  <c r="CM176" i="229"/>
  <c r="CU176" i="229"/>
  <c r="DC176" i="229"/>
  <c r="DK176" i="229"/>
  <c r="DS176" i="229"/>
  <c r="EA176" i="229"/>
  <c r="EH176" i="229"/>
  <c r="BX176" i="229"/>
  <c r="CF176" i="229"/>
  <c r="CN176" i="229"/>
  <c r="CV176" i="229"/>
  <c r="DD176" i="229"/>
  <c r="DL176" i="229"/>
  <c r="DT176" i="229"/>
  <c r="EB176" i="229"/>
  <c r="EI176" i="229"/>
  <c r="CA176" i="229"/>
  <c r="CI176" i="229"/>
  <c r="CQ176" i="229"/>
  <c r="CY176" i="229"/>
  <c r="DG176" i="229"/>
  <c r="DO176" i="229"/>
  <c r="DW176" i="229"/>
  <c r="EE176" i="229"/>
  <c r="EL176" i="229"/>
  <c r="CB176" i="229"/>
  <c r="CJ176" i="229"/>
  <c r="CR176" i="229"/>
  <c r="CZ176" i="229"/>
  <c r="DH176" i="229"/>
  <c r="DP176" i="229"/>
  <c r="DX176" i="229"/>
  <c r="EF176" i="229"/>
  <c r="EM176" i="229"/>
  <c r="CC176" i="229"/>
  <c r="CS176" i="229"/>
  <c r="DI176" i="229"/>
  <c r="DY176" i="229"/>
  <c r="EN176" i="229"/>
  <c r="CD176" i="229"/>
  <c r="CT176" i="229"/>
  <c r="DJ176" i="229"/>
  <c r="DZ176" i="229"/>
  <c r="CG176" i="229"/>
  <c r="CW176" i="229"/>
  <c r="DM176" i="229"/>
  <c r="EC176" i="229"/>
  <c r="CH176" i="229"/>
  <c r="CX176" i="229"/>
  <c r="DN176" i="229"/>
  <c r="ED176" i="229"/>
  <c r="CK176" i="229"/>
  <c r="DA176" i="229"/>
  <c r="DQ176" i="229"/>
  <c r="EI171" i="229"/>
  <c r="CL176" i="229"/>
  <c r="DB176" i="229"/>
  <c r="DR176" i="229"/>
  <c r="EG176" i="229"/>
  <c r="DE176" i="229"/>
  <c r="DF176" i="229"/>
  <c r="DU176" i="229"/>
  <c r="DV176" i="229"/>
  <c r="BY176" i="229"/>
  <c r="EJ176" i="229"/>
  <c r="CP176" i="229"/>
  <c r="BZ176" i="229"/>
  <c r="EK176" i="229"/>
  <c r="CO176" i="229"/>
  <c r="P144" i="229"/>
  <c r="P244" i="229" s="1"/>
  <c r="H300" i="229" l="1"/>
  <c r="K304" i="229"/>
  <c r="I304" i="229"/>
  <c r="K299" i="229"/>
  <c r="H304" i="229"/>
  <c r="J304" i="229"/>
  <c r="I303" i="229"/>
  <c r="L8" i="227"/>
  <c r="M8" i="227"/>
  <c r="H299" i="229"/>
  <c r="I121" i="224"/>
  <c r="H123" i="224"/>
  <c r="I299" i="229"/>
  <c r="H219" i="229"/>
  <c r="H303" i="229"/>
  <c r="K300" i="229"/>
  <c r="J300" i="229"/>
  <c r="I300" i="229"/>
  <c r="J303" i="229"/>
  <c r="H53" i="229"/>
  <c r="H217" i="229" s="1"/>
  <c r="H11" i="257"/>
  <c r="I9" i="257"/>
  <c r="H34" i="257"/>
  <c r="M42" i="261"/>
  <c r="M65" i="261"/>
  <c r="N4" i="261"/>
  <c r="G12" i="257"/>
  <c r="G15" i="257" s="1"/>
  <c r="H10" i="257"/>
  <c r="H35" i="257" s="1"/>
  <c r="H41" i="257" s="1"/>
  <c r="M5" i="262"/>
  <c r="L42" i="262"/>
  <c r="I5" i="263"/>
  <c r="J3" i="263"/>
  <c r="J4" i="263"/>
  <c r="J941" i="263"/>
  <c r="J951" i="263" s="1"/>
  <c r="K2" i="263"/>
  <c r="H65" i="229"/>
  <c r="H67" i="229" s="1"/>
  <c r="H237" i="229" s="1"/>
  <c r="H66" i="259"/>
  <c r="G67" i="259"/>
  <c r="L121" i="259"/>
  <c r="J5" i="259"/>
  <c r="I102" i="259"/>
  <c r="I50" i="259"/>
  <c r="I194" i="259"/>
  <c r="I171" i="259"/>
  <c r="I7" i="259"/>
  <c r="I6" i="259"/>
  <c r="I173" i="259" s="1"/>
  <c r="K65" i="259"/>
  <c r="H122" i="259"/>
  <c r="G123" i="259"/>
  <c r="H8" i="259"/>
  <c r="H175" i="259" s="1"/>
  <c r="H174" i="259"/>
  <c r="U55" i="229"/>
  <c r="U56" i="229" s="1"/>
  <c r="U236" i="229" s="1"/>
  <c r="Y55" i="229"/>
  <c r="AP55" i="229"/>
  <c r="BC55" i="229"/>
  <c r="AR55" i="229"/>
  <c r="BN55" i="229"/>
  <c r="BH55" i="229"/>
  <c r="BB55" i="229"/>
  <c r="CB55" i="229"/>
  <c r="EE55" i="229"/>
  <c r="DX55" i="229"/>
  <c r="DI55" i="229"/>
  <c r="DB55" i="229"/>
  <c r="CU55" i="229"/>
  <c r="CN55" i="229"/>
  <c r="DV55" i="229"/>
  <c r="P55" i="229"/>
  <c r="P56" i="229" s="1"/>
  <c r="P236" i="229" s="1"/>
  <c r="AT55" i="229"/>
  <c r="DW55" i="229"/>
  <c r="EJ55" i="229"/>
  <c r="AA55" i="229"/>
  <c r="AD55" i="229"/>
  <c r="AJ55" i="229"/>
  <c r="AX55" i="229"/>
  <c r="BL55" i="229"/>
  <c r="BF55" i="229"/>
  <c r="BS55" i="229"/>
  <c r="CD55" i="229"/>
  <c r="CH55" i="229"/>
  <c r="EL55" i="229"/>
  <c r="EF55" i="229"/>
  <c r="DQ55" i="229"/>
  <c r="DJ55" i="229"/>
  <c r="DC55" i="229"/>
  <c r="CV55" i="229"/>
  <c r="CW55" i="229"/>
  <c r="DF55" i="229"/>
  <c r="BY55" i="229"/>
  <c r="V55" i="229"/>
  <c r="AG55" i="229"/>
  <c r="AV55" i="229"/>
  <c r="AU55" i="229"/>
  <c r="BP55" i="229"/>
  <c r="BR55" i="229"/>
  <c r="BU55" i="229"/>
  <c r="CF55" i="229"/>
  <c r="J55" i="229"/>
  <c r="J56" i="229" s="1"/>
  <c r="J236" i="229" s="1"/>
  <c r="Q55" i="229"/>
  <c r="Q56" i="229" s="1"/>
  <c r="Q236" i="229" s="1"/>
  <c r="EM55" i="229"/>
  <c r="DY55" i="229"/>
  <c r="DR55" i="229"/>
  <c r="DK55" i="229"/>
  <c r="DD55" i="229"/>
  <c r="EC55" i="229"/>
  <c r="EK55" i="229"/>
  <c r="AH55" i="229"/>
  <c r="CA55" i="229"/>
  <c r="CT55" i="229"/>
  <c r="X55" i="229"/>
  <c r="AO55" i="229"/>
  <c r="AI55" i="229"/>
  <c r="AY55" i="229"/>
  <c r="BV55" i="229"/>
  <c r="BT55" i="229"/>
  <c r="BJ55" i="229"/>
  <c r="BD55" i="229"/>
  <c r="CQ55" i="229"/>
  <c r="CJ55" i="229"/>
  <c r="K55" i="229"/>
  <c r="K56" i="229" s="1"/>
  <c r="K236" i="229" s="1"/>
  <c r="EI50" i="229"/>
  <c r="DZ55" i="229"/>
  <c r="DS55" i="229"/>
  <c r="DL55" i="229"/>
  <c r="M55" i="229"/>
  <c r="M56" i="229" s="1"/>
  <c r="M236" i="229" s="1"/>
  <c r="DU55" i="229"/>
  <c r="AC55" i="229"/>
  <c r="BK55" i="229"/>
  <c r="DA55" i="229"/>
  <c r="DN55" i="229"/>
  <c r="W55" i="229"/>
  <c r="AM55" i="229"/>
  <c r="AQ55" i="229"/>
  <c r="BM55" i="229"/>
  <c r="AL55" i="229"/>
  <c r="AB55" i="229"/>
  <c r="BZ55" i="229"/>
  <c r="BX55" i="229"/>
  <c r="CY55" i="229"/>
  <c r="CR55" i="229"/>
  <c r="N55" i="229"/>
  <c r="N56" i="229" s="1"/>
  <c r="N236" i="229" s="1"/>
  <c r="EN55" i="229"/>
  <c r="EG55" i="229"/>
  <c r="EA55" i="229"/>
  <c r="DT55" i="229"/>
  <c r="CX55" i="229"/>
  <c r="S55" i="229"/>
  <c r="S56" i="229" s="1"/>
  <c r="S236" i="229" s="1"/>
  <c r="BI55" i="229"/>
  <c r="CM55" i="229"/>
  <c r="AF55" i="229"/>
  <c r="Z55" i="229"/>
  <c r="AW55" i="229"/>
  <c r="BA55" i="229"/>
  <c r="BQ55" i="229"/>
  <c r="BO55" i="229"/>
  <c r="CC55" i="229"/>
  <c r="CE55" i="229"/>
  <c r="DG55" i="229"/>
  <c r="CZ55" i="229"/>
  <c r="CK55" i="229"/>
  <c r="H55" i="229"/>
  <c r="H56" i="229" s="1"/>
  <c r="H236" i="229" s="1"/>
  <c r="O55" i="229"/>
  <c r="O56" i="229" s="1"/>
  <c r="O236" i="229" s="1"/>
  <c r="EH55" i="229"/>
  <c r="EB55" i="229"/>
  <c r="ED55" i="229"/>
  <c r="DM55" i="229"/>
  <c r="BG55" i="229"/>
  <c r="L55" i="229"/>
  <c r="L56" i="229" s="1"/>
  <c r="L236" i="229" s="1"/>
  <c r="T55" i="229"/>
  <c r="T56" i="229" s="1"/>
  <c r="T236" i="229" s="1"/>
  <c r="AN55" i="229"/>
  <c r="AE55" i="229"/>
  <c r="AK55" i="229"/>
  <c r="BE55" i="229"/>
  <c r="BW55" i="229"/>
  <c r="AZ55" i="229"/>
  <c r="CI55" i="229"/>
  <c r="CG55" i="229"/>
  <c r="DO55" i="229"/>
  <c r="DH55" i="229"/>
  <c r="CS55" i="229"/>
  <c r="CL55" i="229"/>
  <c r="R55" i="229"/>
  <c r="R56" i="229" s="1"/>
  <c r="R236" i="229" s="1"/>
  <c r="I55" i="229"/>
  <c r="I56" i="229" s="1"/>
  <c r="I236" i="229" s="1"/>
  <c r="EI55" i="229"/>
  <c r="DE55" i="229"/>
  <c r="CO55" i="229"/>
  <c r="AS55" i="229"/>
  <c r="DP55" i="229"/>
  <c r="CP55" i="229"/>
  <c r="H6" i="253"/>
  <c r="H8" i="253" s="1"/>
  <c r="I4" i="253"/>
  <c r="J5" i="237"/>
  <c r="K3" i="237"/>
  <c r="AB3" i="237"/>
  <c r="AU3" i="237" s="1"/>
  <c r="AU11" i="237" s="1"/>
  <c r="H6" i="244"/>
  <c r="I4" i="244"/>
  <c r="AC3" i="253"/>
  <c r="AX3" i="253" s="1"/>
  <c r="AX11" i="253" s="1"/>
  <c r="J3" i="253"/>
  <c r="I53" i="253"/>
  <c r="I5" i="253"/>
  <c r="I3" i="242"/>
  <c r="H5" i="242"/>
  <c r="Z3" i="242"/>
  <c r="AS3" i="242" s="1"/>
  <c r="AS11" i="242" s="1"/>
  <c r="J3" i="246"/>
  <c r="AA3" i="246"/>
  <c r="AT3" i="246" s="1"/>
  <c r="AT11" i="246" s="1"/>
  <c r="I5" i="246"/>
  <c r="AA3" i="244"/>
  <c r="AT3" i="244" s="1"/>
  <c r="AT11" i="244" s="1"/>
  <c r="I5" i="244"/>
  <c r="J3" i="244"/>
  <c r="G6" i="242"/>
  <c r="G8" i="242" s="1"/>
  <c r="H4" i="242"/>
  <c r="H6" i="243"/>
  <c r="H8" i="243" s="1"/>
  <c r="I4" i="243"/>
  <c r="H6" i="246"/>
  <c r="H8" i="246" s="1"/>
  <c r="I4" i="246"/>
  <c r="I6" i="237"/>
  <c r="I8" i="237" s="1"/>
  <c r="J4" i="237"/>
  <c r="J3" i="245"/>
  <c r="I5" i="245"/>
  <c r="AA3" i="245"/>
  <c r="AT3" i="245" s="1"/>
  <c r="AT11" i="245" s="1"/>
  <c r="AA3" i="243"/>
  <c r="AT3" i="243" s="1"/>
  <c r="AT11" i="243" s="1"/>
  <c r="I5" i="243"/>
  <c r="J3" i="243"/>
  <c r="K7" i="253"/>
  <c r="J54" i="253"/>
  <c r="H6" i="245"/>
  <c r="H8" i="245" s="1"/>
  <c r="I4" i="245"/>
  <c r="P56" i="252"/>
  <c r="O57" i="252"/>
  <c r="K8" i="252"/>
  <c r="L6" i="252"/>
  <c r="M5" i="252"/>
  <c r="L7" i="252"/>
  <c r="L9" i="252"/>
  <c r="CZ8" i="204"/>
  <c r="J14" i="204"/>
  <c r="J8" i="204"/>
  <c r="J12" i="204"/>
  <c r="K11" i="204" s="1"/>
  <c r="K13" i="204" s="1"/>
  <c r="J7" i="243"/>
  <c r="I544" i="263"/>
  <c r="J542" i="263"/>
  <c r="I7" i="244"/>
  <c r="H8" i="244"/>
  <c r="J675" i="263"/>
  <c r="I677" i="263"/>
  <c r="I7" i="245"/>
  <c r="W33" i="256"/>
  <c r="X24" i="256"/>
  <c r="AS3" i="251"/>
  <c r="Z2" i="251"/>
  <c r="I127" i="251"/>
  <c r="I135" i="251" s="1"/>
  <c r="I120" i="251"/>
  <c r="J3" i="251"/>
  <c r="I108" i="251"/>
  <c r="I82" i="251"/>
  <c r="AA3" i="251"/>
  <c r="I5" i="251"/>
  <c r="I4" i="251"/>
  <c r="H6" i="251"/>
  <c r="L7" i="246"/>
  <c r="L7" i="242"/>
  <c r="K7" i="237"/>
  <c r="I21" i="248"/>
  <c r="H23" i="248"/>
  <c r="G24" i="248"/>
  <c r="H22" i="248"/>
  <c r="K92" i="231"/>
  <c r="K98" i="231"/>
  <c r="M29" i="231"/>
  <c r="L63" i="231"/>
  <c r="L81" i="231"/>
  <c r="L89" i="231" s="1"/>
  <c r="M9" i="231"/>
  <c r="M24" i="231"/>
  <c r="L76" i="231"/>
  <c r="L84" i="231" s="1"/>
  <c r="L58" i="231"/>
  <c r="L66" i="231" s="1"/>
  <c r="M30" i="231"/>
  <c r="L82" i="231"/>
  <c r="L90" i="231" s="1"/>
  <c r="L64" i="231"/>
  <c r="L72" i="231" s="1"/>
  <c r="M12" i="231"/>
  <c r="M28" i="231"/>
  <c r="L62" i="231"/>
  <c r="L70" i="231" s="1"/>
  <c r="L80" i="231"/>
  <c r="L88" i="231" s="1"/>
  <c r="M27" i="231"/>
  <c r="L61" i="231"/>
  <c r="L69" i="231" s="1"/>
  <c r="L79" i="231"/>
  <c r="L87" i="231" s="1"/>
  <c r="N57" i="231"/>
  <c r="N65" i="231" s="1"/>
  <c r="N23" i="231"/>
  <c r="O6" i="231"/>
  <c r="N8" i="231"/>
  <c r="N10" i="231" s="1"/>
  <c r="K89" i="231"/>
  <c r="M11" i="231"/>
  <c r="L68" i="231"/>
  <c r="M91" i="231"/>
  <c r="M75" i="231"/>
  <c r="M83" i="231" s="1"/>
  <c r="N13" i="250"/>
  <c r="N10" i="250"/>
  <c r="O388" i="250"/>
  <c r="O389" i="250" s="1"/>
  <c r="O9" i="250"/>
  <c r="P11" i="250"/>
  <c r="O15" i="250"/>
  <c r="O187" i="250"/>
  <c r="P187" i="250" s="1"/>
  <c r="G577" i="250"/>
  <c r="I577" i="250"/>
  <c r="N25" i="231"/>
  <c r="M77" i="231"/>
  <c r="M85" i="231" s="1"/>
  <c r="M59" i="231"/>
  <c r="M67" i="231" s="1"/>
  <c r="I65" i="256"/>
  <c r="H29" i="255" s="1"/>
  <c r="L26" i="198"/>
  <c r="M25" i="223"/>
  <c r="L28" i="223"/>
  <c r="E46" i="248"/>
  <c r="AW20" i="223"/>
  <c r="AY20" i="223"/>
  <c r="AX20" i="223"/>
  <c r="AZ20" i="223"/>
  <c r="Q4" i="223"/>
  <c r="P8" i="223"/>
  <c r="P9" i="223" s="1"/>
  <c r="H220" i="229"/>
  <c r="AV22" i="223"/>
  <c r="AU22" i="223"/>
  <c r="AS22" i="223"/>
  <c r="AT22" i="223"/>
  <c r="E17" i="224"/>
  <c r="E17" i="259" s="1"/>
  <c r="J41" i="256"/>
  <c r="J49" i="256"/>
  <c r="J57" i="256"/>
  <c r="J42" i="256"/>
  <c r="J50" i="256"/>
  <c r="J58" i="256"/>
  <c r="J39" i="256"/>
  <c r="J47" i="256"/>
  <c r="J55" i="256"/>
  <c r="J44" i="256"/>
  <c r="J56" i="256"/>
  <c r="J45" i="256"/>
  <c r="J59" i="256"/>
  <c r="J46" i="256"/>
  <c r="J60" i="256"/>
  <c r="J48" i="256"/>
  <c r="J61" i="256"/>
  <c r="J51" i="256"/>
  <c r="J62" i="256"/>
  <c r="J40" i="256"/>
  <c r="J53" i="256"/>
  <c r="J38" i="256"/>
  <c r="J43" i="256"/>
  <c r="J52" i="256"/>
  <c r="J54" i="256"/>
  <c r="J66" i="256" s="1"/>
  <c r="I36" i="255" s="1"/>
  <c r="M44" i="228"/>
  <c r="M40" i="228"/>
  <c r="M41" i="228"/>
  <c r="M43" i="228"/>
  <c r="M46" i="228"/>
  <c r="M42" i="228"/>
  <c r="M45" i="228"/>
  <c r="M38" i="228"/>
  <c r="M37" i="228"/>
  <c r="E45" i="248"/>
  <c r="I66" i="256"/>
  <c r="H36" i="255" s="1"/>
  <c r="D49" i="248"/>
  <c r="H32" i="252"/>
  <c r="H50" i="252"/>
  <c r="H58" i="252"/>
  <c r="H60" i="252" s="1"/>
  <c r="H41" i="252"/>
  <c r="F27" i="248"/>
  <c r="F32" i="248"/>
  <c r="F29" i="248"/>
  <c r="F30" i="248"/>
  <c r="F28" i="248"/>
  <c r="F34" i="248"/>
  <c r="F35" i="248"/>
  <c r="F33" i="248"/>
  <c r="I64" i="256"/>
  <c r="H22" i="255" s="1"/>
  <c r="N30" i="228"/>
  <c r="N36" i="228" s="1"/>
  <c r="L27" i="223"/>
  <c r="M24" i="223"/>
  <c r="G25" i="248"/>
  <c r="I10" i="252"/>
  <c r="Y1" i="251"/>
  <c r="K4" i="256"/>
  <c r="H7" i="263"/>
  <c r="J7" i="255"/>
  <c r="G146" i="251"/>
  <c r="G93" i="253"/>
  <c r="L5" i="223"/>
  <c r="F54" i="251"/>
  <c r="F96" i="251" s="1"/>
  <c r="F86" i="251"/>
  <c r="F51" i="251"/>
  <c r="F92" i="251" s="1"/>
  <c r="F88" i="251"/>
  <c r="E48" i="248"/>
  <c r="F17" i="224"/>
  <c r="F17" i="259" s="1"/>
  <c r="G48" i="255"/>
  <c r="D123" i="251" s="1"/>
  <c r="E47" i="248"/>
  <c r="X29" i="223"/>
  <c r="Y26" i="223"/>
  <c r="Z26" i="223" s="1"/>
  <c r="AA26" i="223" s="1"/>
  <c r="AB26" i="223" s="1"/>
  <c r="K386" i="250"/>
  <c r="I414" i="250"/>
  <c r="I444" i="250"/>
  <c r="I503" i="250"/>
  <c r="I473" i="250"/>
  <c r="J414" i="250"/>
  <c r="J473" i="250"/>
  <c r="J444" i="250"/>
  <c r="J503" i="250"/>
  <c r="L222" i="250"/>
  <c r="L169" i="250"/>
  <c r="K19" i="231"/>
  <c r="O474" i="250"/>
  <c r="O476" i="250" s="1"/>
  <c r="P165" i="250"/>
  <c r="P164" i="250"/>
  <c r="O134" i="250"/>
  <c r="P134" i="250" s="1"/>
  <c r="M17" i="231"/>
  <c r="L93" i="231"/>
  <c r="M167" i="250"/>
  <c r="N166" i="250"/>
  <c r="M168" i="250"/>
  <c r="M169" i="250" s="1"/>
  <c r="O81" i="250"/>
  <c r="P81" i="250" s="1"/>
  <c r="N114" i="250"/>
  <c r="N115" i="250"/>
  <c r="N116" i="250" s="1"/>
  <c r="M505" i="250"/>
  <c r="N219" i="250"/>
  <c r="L2" i="250"/>
  <c r="M18" i="231"/>
  <c r="L94" i="231"/>
  <c r="H20" i="231"/>
  <c r="M217" i="250"/>
  <c r="M221" i="250" s="1"/>
  <c r="L504" i="250"/>
  <c r="L506" i="250" s="1"/>
  <c r="J13" i="231"/>
  <c r="I71" i="231"/>
  <c r="O26" i="250"/>
  <c r="P26" i="250" s="1"/>
  <c r="N60" i="250"/>
  <c r="M61" i="250"/>
  <c r="M62" i="250"/>
  <c r="M63" i="250" s="1"/>
  <c r="O177" i="250"/>
  <c r="P177" i="250"/>
  <c r="O69" i="250"/>
  <c r="P69" i="250"/>
  <c r="L63" i="250"/>
  <c r="M16" i="231"/>
  <c r="O174" i="250"/>
  <c r="O171" i="250"/>
  <c r="P171" i="250"/>
  <c r="P170" i="250"/>
  <c r="J96" i="231"/>
  <c r="J95" i="231"/>
  <c r="N5" i="250"/>
  <c r="M6" i="250"/>
  <c r="M7" i="250"/>
  <c r="I308" i="229"/>
  <c r="J307" i="229"/>
  <c r="H174" i="229"/>
  <c r="H228" i="229" s="1"/>
  <c r="I310" i="229"/>
  <c r="H130" i="229"/>
  <c r="H224" i="229" s="1"/>
  <c r="H141" i="229"/>
  <c r="I139" i="229" s="1"/>
  <c r="H309" i="229"/>
  <c r="H308" i="229"/>
  <c r="I309" i="229"/>
  <c r="I74" i="229"/>
  <c r="I200" i="229" s="1"/>
  <c r="I307" i="229"/>
  <c r="J311" i="229"/>
  <c r="H11" i="227"/>
  <c r="K11" i="227"/>
  <c r="H310" i="229"/>
  <c r="V221" i="229"/>
  <c r="V98" i="229"/>
  <c r="V100" i="229" s="1"/>
  <c r="V240" i="229" s="1"/>
  <c r="W95" i="229"/>
  <c r="H216" i="229"/>
  <c r="I40" i="229"/>
  <c r="H307" i="229"/>
  <c r="H152" i="229"/>
  <c r="H306" i="229"/>
  <c r="M35" i="228"/>
  <c r="K35" i="228"/>
  <c r="L35" i="228"/>
  <c r="H35" i="228"/>
  <c r="J35" i="228"/>
  <c r="G35" i="228"/>
  <c r="I35" i="228"/>
  <c r="I313" i="229"/>
  <c r="H229" i="229"/>
  <c r="I183" i="229"/>
  <c r="J312" i="229"/>
  <c r="H313" i="229"/>
  <c r="I29" i="229"/>
  <c r="I30" i="229" s="1"/>
  <c r="H215" i="229"/>
  <c r="H312" i="229"/>
  <c r="H311" i="229"/>
  <c r="H119" i="229"/>
  <c r="I306" i="229"/>
  <c r="H108" i="229"/>
  <c r="H163" i="229"/>
  <c r="J308" i="229"/>
  <c r="J36" i="228"/>
  <c r="G36" i="228"/>
  <c r="K36" i="228"/>
  <c r="L36" i="228"/>
  <c r="M36" i="228"/>
  <c r="H36" i="228"/>
  <c r="I36" i="228"/>
  <c r="J309" i="229"/>
  <c r="J310" i="229"/>
  <c r="I311" i="229"/>
  <c r="E242" i="239"/>
  <c r="G19" i="227" s="1"/>
  <c r="H19" i="227" s="1"/>
  <c r="D25" i="228" s="1"/>
  <c r="E243" i="239"/>
  <c r="M246" i="239" s="1"/>
  <c r="M248" i="239" s="1"/>
  <c r="I96" i="229"/>
  <c r="I97" i="229" s="1"/>
  <c r="I312" i="229"/>
  <c r="I62" i="229"/>
  <c r="H218" i="229"/>
  <c r="J306" i="229"/>
  <c r="I85" i="229"/>
  <c r="I201" i="229" s="1"/>
  <c r="J313" i="229"/>
  <c r="D12" i="228"/>
  <c r="M6" i="227"/>
  <c r="Y6" i="227" s="1"/>
  <c r="L6" i="227"/>
  <c r="X6" i="227" s="1"/>
  <c r="I51" i="229" l="1"/>
  <c r="I52" i="229" s="1"/>
  <c r="I198" i="229" s="1"/>
  <c r="I123" i="224"/>
  <c r="J121" i="224"/>
  <c r="I172" i="229"/>
  <c r="I173" i="229" s="1"/>
  <c r="I209" i="229" s="1"/>
  <c r="K4" i="263"/>
  <c r="K941" i="263"/>
  <c r="K951" i="263" s="1"/>
  <c r="N65" i="261"/>
  <c r="O4" i="261"/>
  <c r="N42" i="261"/>
  <c r="K3" i="263"/>
  <c r="J5" i="263"/>
  <c r="I11" i="257"/>
  <c r="J9" i="257"/>
  <c r="I34" i="257"/>
  <c r="N5" i="262"/>
  <c r="M42" i="262"/>
  <c r="I10" i="257"/>
  <c r="I35" i="257" s="1"/>
  <c r="I41" i="257" s="1"/>
  <c r="H12" i="257"/>
  <c r="H15" i="257" s="1"/>
  <c r="I122" i="259"/>
  <c r="H123" i="259"/>
  <c r="J102" i="259"/>
  <c r="J7" i="259"/>
  <c r="J50" i="259"/>
  <c r="J6" i="259"/>
  <c r="J173" i="259" s="1"/>
  <c r="K5" i="259"/>
  <c r="J171" i="259"/>
  <c r="J194" i="259"/>
  <c r="L65" i="259"/>
  <c r="M121" i="259"/>
  <c r="I8" i="259"/>
  <c r="I175" i="259" s="1"/>
  <c r="I174" i="259"/>
  <c r="I66" i="259"/>
  <c r="H67" i="259"/>
  <c r="I301" i="229"/>
  <c r="H301" i="229"/>
  <c r="J301" i="229"/>
  <c r="J4" i="243"/>
  <c r="I6" i="243"/>
  <c r="I8" i="243" s="1"/>
  <c r="J4" i="245"/>
  <c r="I6" i="245"/>
  <c r="I6" i="244"/>
  <c r="I8" i="244" s="1"/>
  <c r="J4" i="244"/>
  <c r="J5" i="245"/>
  <c r="AB3" i="245"/>
  <c r="AU3" i="245" s="1"/>
  <c r="AU11" i="245" s="1"/>
  <c r="K3" i="245"/>
  <c r="K3" i="246"/>
  <c r="AB3" i="246"/>
  <c r="AU3" i="246" s="1"/>
  <c r="AU11" i="246" s="1"/>
  <c r="J5" i="246"/>
  <c r="I6" i="253"/>
  <c r="I8" i="253" s="1"/>
  <c r="J4" i="253"/>
  <c r="AD3" i="253"/>
  <c r="AY3" i="253" s="1"/>
  <c r="AY11" i="253" s="1"/>
  <c r="K3" i="253"/>
  <c r="J5" i="253"/>
  <c r="J53" i="253"/>
  <c r="L7" i="253"/>
  <c r="K54" i="253"/>
  <c r="AC3" i="237"/>
  <c r="AV3" i="237" s="1"/>
  <c r="AV11" i="237" s="1"/>
  <c r="L3" i="237"/>
  <c r="K5" i="237"/>
  <c r="I4" i="242"/>
  <c r="H6" i="242"/>
  <c r="H8" i="242" s="1"/>
  <c r="K4" i="237"/>
  <c r="J6" i="237"/>
  <c r="J8" i="237" s="1"/>
  <c r="AA3" i="242"/>
  <c r="AT3" i="242" s="1"/>
  <c r="AT11" i="242" s="1"/>
  <c r="J3" i="242"/>
  <c r="I5" i="242"/>
  <c r="K3" i="243"/>
  <c r="AB3" i="243"/>
  <c r="AU3" i="243" s="1"/>
  <c r="AU11" i="243" s="1"/>
  <c r="J5" i="243"/>
  <c r="AB3" i="244"/>
  <c r="AU3" i="244" s="1"/>
  <c r="AU11" i="244" s="1"/>
  <c r="K3" i="244"/>
  <c r="J5" i="244"/>
  <c r="J4" i="246"/>
  <c r="I6" i="246"/>
  <c r="I8" i="246" s="1"/>
  <c r="L8" i="252"/>
  <c r="M6" i="252"/>
  <c r="P57" i="252"/>
  <c r="Q56" i="252"/>
  <c r="M7" i="252"/>
  <c r="N5" i="252"/>
  <c r="M9" i="252"/>
  <c r="K12" i="204"/>
  <c r="L11" i="204" s="1"/>
  <c r="L13" i="204" s="1"/>
  <c r="K8" i="204"/>
  <c r="K14" i="204"/>
  <c r="DA8" i="204"/>
  <c r="K7" i="243"/>
  <c r="J7" i="244"/>
  <c r="K542" i="263"/>
  <c r="K544" i="263" s="1"/>
  <c r="J544" i="263"/>
  <c r="I8" i="245"/>
  <c r="J7" i="245"/>
  <c r="J677" i="263"/>
  <c r="K675" i="263"/>
  <c r="K677" i="263" s="1"/>
  <c r="X33" i="256"/>
  <c r="Y24" i="256"/>
  <c r="I6" i="251"/>
  <c r="J4" i="251"/>
  <c r="AT3" i="251"/>
  <c r="AA2" i="251"/>
  <c r="AB3" i="251"/>
  <c r="J127" i="251"/>
  <c r="J135" i="251" s="1"/>
  <c r="J5" i="251"/>
  <c r="J82" i="251"/>
  <c r="K3" i="251"/>
  <c r="J108" i="251"/>
  <c r="J120" i="251"/>
  <c r="M7" i="246"/>
  <c r="M7" i="242"/>
  <c r="L7" i="237"/>
  <c r="I22" i="248"/>
  <c r="H24" i="248"/>
  <c r="I23" i="248"/>
  <c r="J21" i="248"/>
  <c r="L92" i="231"/>
  <c r="N9" i="231"/>
  <c r="M68" i="231"/>
  <c r="N11" i="231"/>
  <c r="N27" i="231"/>
  <c r="M79" i="231"/>
  <c r="M87" i="231" s="1"/>
  <c r="M61" i="231"/>
  <c r="M69" i="231" s="1"/>
  <c r="N75" i="231"/>
  <c r="N83" i="231" s="1"/>
  <c r="N91" i="231"/>
  <c r="L98" i="231"/>
  <c r="N24" i="231"/>
  <c r="M58" i="231"/>
  <c r="M66" i="231" s="1"/>
  <c r="M76" i="231"/>
  <c r="M84" i="231" s="1"/>
  <c r="N29" i="231"/>
  <c r="M63" i="231"/>
  <c r="M81" i="231"/>
  <c r="M89" i="231" s="1"/>
  <c r="P6" i="231"/>
  <c r="O23" i="231"/>
  <c r="O57" i="231"/>
  <c r="O65" i="231" s="1"/>
  <c r="O8" i="231"/>
  <c r="O10" i="231" s="1"/>
  <c r="N28" i="231"/>
  <c r="M62" i="231"/>
  <c r="M70" i="231" s="1"/>
  <c r="M80" i="231"/>
  <c r="M88" i="231" s="1"/>
  <c r="N30" i="231"/>
  <c r="M82" i="231"/>
  <c r="M90" i="231" s="1"/>
  <c r="M64" i="231"/>
  <c r="M72" i="231" s="1"/>
  <c r="N12" i="231"/>
  <c r="P15" i="250"/>
  <c r="O16" i="250"/>
  <c r="O10" i="250"/>
  <c r="P9" i="250"/>
  <c r="O13" i="250"/>
  <c r="O113" i="250"/>
  <c r="P113" i="250" s="1"/>
  <c r="N14" i="250"/>
  <c r="P13" i="250"/>
  <c r="O25" i="231"/>
  <c r="N59" i="231"/>
  <c r="N67" i="231" s="1"/>
  <c r="N77" i="231"/>
  <c r="N85" i="231" s="1"/>
  <c r="I128" i="229"/>
  <c r="I129" i="229" s="1"/>
  <c r="I205" i="229" s="1"/>
  <c r="N35" i="228"/>
  <c r="BB20" i="223"/>
  <c r="R4" i="223"/>
  <c r="BC20" i="223"/>
  <c r="BA20" i="223"/>
  <c r="Q8" i="223"/>
  <c r="Q9" i="223" s="1"/>
  <c r="BD20" i="223"/>
  <c r="N25" i="223"/>
  <c r="M26" i="198"/>
  <c r="F45" i="248"/>
  <c r="J65" i="256"/>
  <c r="I29" i="255" s="1"/>
  <c r="AW22" i="223"/>
  <c r="AZ22" i="223"/>
  <c r="AX22" i="223"/>
  <c r="AY22" i="223"/>
  <c r="I50" i="252"/>
  <c r="I58" i="252"/>
  <c r="I60" i="252" s="1"/>
  <c r="I32" i="252"/>
  <c r="I41" i="252"/>
  <c r="H12" i="234"/>
  <c r="H8" i="234"/>
  <c r="H32" i="234"/>
  <c r="H25" i="248"/>
  <c r="H30" i="234"/>
  <c r="D28" i="204"/>
  <c r="H9" i="234"/>
  <c r="H29" i="234"/>
  <c r="H28" i="234"/>
  <c r="J10" i="252"/>
  <c r="L4" i="256"/>
  <c r="H10" i="234"/>
  <c r="Z1" i="251"/>
  <c r="M5" i="223"/>
  <c r="H93" i="253"/>
  <c r="K7" i="255"/>
  <c r="H146" i="251"/>
  <c r="I7" i="263"/>
  <c r="G34" i="248"/>
  <c r="G35" i="248"/>
  <c r="G32" i="248"/>
  <c r="G28" i="248"/>
  <c r="G29" i="248"/>
  <c r="G30" i="248"/>
  <c r="G33" i="248"/>
  <c r="G27" i="248"/>
  <c r="G54" i="251"/>
  <c r="G96" i="251" s="1"/>
  <c r="G88" i="251"/>
  <c r="G86" i="251"/>
  <c r="G51" i="251"/>
  <c r="G92" i="251" s="1"/>
  <c r="E49" i="248"/>
  <c r="N24" i="223"/>
  <c r="O30" i="228"/>
  <c r="O47" i="228" s="1"/>
  <c r="F46" i="248"/>
  <c r="F48" i="248"/>
  <c r="N45" i="228"/>
  <c r="N44" i="228"/>
  <c r="N42" i="228"/>
  <c r="N41" i="228"/>
  <c r="N43" i="228"/>
  <c r="N40" i="228"/>
  <c r="N46" i="228"/>
  <c r="N38" i="228"/>
  <c r="N37" i="228"/>
  <c r="N33" i="228"/>
  <c r="F47" i="248"/>
  <c r="J64" i="256"/>
  <c r="I22" i="255" s="1"/>
  <c r="I48" i="255" s="1"/>
  <c r="F123" i="251" s="1"/>
  <c r="AB29" i="223"/>
  <c r="AC26" i="223"/>
  <c r="AD26" i="223" s="1"/>
  <c r="AE26" i="223" s="1"/>
  <c r="AF26" i="223" s="1"/>
  <c r="AG26" i="223" s="1"/>
  <c r="AH26" i="223" s="1"/>
  <c r="AI26" i="223" s="1"/>
  <c r="AJ26" i="223" s="1"/>
  <c r="AK26" i="223" s="1"/>
  <c r="AL26" i="223" s="1"/>
  <c r="AM26" i="223" s="1"/>
  <c r="AN26" i="223" s="1"/>
  <c r="AO26" i="223" s="1"/>
  <c r="AP26" i="223" s="1"/>
  <c r="AQ26" i="223" s="1"/>
  <c r="AR26" i="223" s="1"/>
  <c r="AS26" i="223" s="1"/>
  <c r="AT26" i="223" s="1"/>
  <c r="AU26" i="223" s="1"/>
  <c r="AV26" i="223" s="1"/>
  <c r="K45" i="256"/>
  <c r="K53" i="256"/>
  <c r="K61" i="256"/>
  <c r="K38" i="256"/>
  <c r="K46" i="256"/>
  <c r="K54" i="256"/>
  <c r="K62" i="256"/>
  <c r="K43" i="256"/>
  <c r="K51" i="256"/>
  <c r="K40" i="256"/>
  <c r="K52" i="256"/>
  <c r="K41" i="256"/>
  <c r="K55" i="256"/>
  <c r="K42" i="256"/>
  <c r="K56" i="256"/>
  <c r="K44" i="256"/>
  <c r="K57" i="256"/>
  <c r="K47" i="256"/>
  <c r="K58" i="256"/>
  <c r="K49" i="256"/>
  <c r="K60" i="256"/>
  <c r="K50" i="256"/>
  <c r="K59" i="256"/>
  <c r="K39" i="256"/>
  <c r="K48" i="256"/>
  <c r="H48" i="255"/>
  <c r="E123" i="251" s="1"/>
  <c r="K414" i="250"/>
  <c r="L386" i="250"/>
  <c r="K444" i="250"/>
  <c r="K473" i="250"/>
  <c r="K503" i="250"/>
  <c r="M222" i="250"/>
  <c r="M8" i="250"/>
  <c r="N61" i="250"/>
  <c r="O60" i="250"/>
  <c r="P60" i="250" s="1"/>
  <c r="N62" i="250"/>
  <c r="M2" i="250"/>
  <c r="L19" i="231"/>
  <c r="K95" i="231"/>
  <c r="K96" i="231"/>
  <c r="O166" i="250"/>
  <c r="P166" i="250" s="1"/>
  <c r="N167" i="250"/>
  <c r="N168" i="250"/>
  <c r="N169" i="250" s="1"/>
  <c r="N6" i="250"/>
  <c r="O5" i="250"/>
  <c r="N7" i="250"/>
  <c r="N8" i="250" s="1"/>
  <c r="P5" i="250"/>
  <c r="O175" i="250"/>
  <c r="P175" i="250"/>
  <c r="P174" i="250"/>
  <c r="N18" i="231"/>
  <c r="M94" i="231"/>
  <c r="O219" i="250"/>
  <c r="N505" i="250"/>
  <c r="O114" i="250"/>
  <c r="P114" i="250"/>
  <c r="O115" i="250"/>
  <c r="P115" i="250" s="1"/>
  <c r="N16" i="231"/>
  <c r="K13" i="231"/>
  <c r="J71" i="231"/>
  <c r="N17" i="231"/>
  <c r="M93" i="231"/>
  <c r="M504" i="250"/>
  <c r="M506" i="250" s="1"/>
  <c r="I20" i="231"/>
  <c r="I97" i="231" s="1"/>
  <c r="N217" i="250"/>
  <c r="N221" i="250" s="1"/>
  <c r="H225" i="229"/>
  <c r="H20" i="227"/>
  <c r="I86" i="229"/>
  <c r="J84" i="229" s="1"/>
  <c r="J314" i="229"/>
  <c r="F21" i="224" s="1"/>
  <c r="F21" i="259" s="1"/>
  <c r="H314" i="229"/>
  <c r="D21" i="224" s="1"/>
  <c r="D21" i="259" s="1"/>
  <c r="I314" i="229"/>
  <c r="E21" i="224" s="1"/>
  <c r="E21" i="259" s="1"/>
  <c r="G47" i="228"/>
  <c r="K47" i="228"/>
  <c r="H47" i="228"/>
  <c r="L47" i="228"/>
  <c r="I47" i="228"/>
  <c r="M47" i="228"/>
  <c r="J47" i="228"/>
  <c r="N47" i="228"/>
  <c r="H223" i="229"/>
  <c r="I117" i="229"/>
  <c r="I118" i="229" s="1"/>
  <c r="I75" i="229"/>
  <c r="I184" i="229"/>
  <c r="I210" i="229" s="1"/>
  <c r="G20" i="227"/>
  <c r="I140" i="229"/>
  <c r="I206" i="229" s="1"/>
  <c r="L34" i="228"/>
  <c r="J34" i="228"/>
  <c r="G34" i="228"/>
  <c r="O34" i="228"/>
  <c r="I34" i="228"/>
  <c r="M34" i="228"/>
  <c r="K34" i="228"/>
  <c r="N34" i="228"/>
  <c r="H34" i="228"/>
  <c r="I41" i="229"/>
  <c r="I197" i="229" s="1"/>
  <c r="I63" i="229"/>
  <c r="I199" i="229" s="1"/>
  <c r="I161" i="229"/>
  <c r="H227" i="229"/>
  <c r="D17" i="228"/>
  <c r="L11" i="227"/>
  <c r="X11" i="227" s="1"/>
  <c r="M11" i="227"/>
  <c r="Y11" i="227" s="1"/>
  <c r="I106" i="229"/>
  <c r="H222" i="229"/>
  <c r="W96" i="229"/>
  <c r="W202" i="229" s="1"/>
  <c r="I221" i="229"/>
  <c r="J95" i="229"/>
  <c r="I202" i="229"/>
  <c r="I31" i="229"/>
  <c r="I196" i="229"/>
  <c r="I150" i="229"/>
  <c r="H226" i="229"/>
  <c r="K121" i="224" l="1"/>
  <c r="J123" i="224"/>
  <c r="O65" i="261"/>
  <c r="P4" i="261"/>
  <c r="O42" i="261"/>
  <c r="W97" i="229"/>
  <c r="N42" i="262"/>
  <c r="O5" i="262"/>
  <c r="K9" i="257"/>
  <c r="J34" i="257"/>
  <c r="J11" i="257"/>
  <c r="K5" i="263"/>
  <c r="I12" i="257"/>
  <c r="I15" i="257" s="1"/>
  <c r="J10" i="257"/>
  <c r="J35" i="257" s="1"/>
  <c r="J41" i="257" s="1"/>
  <c r="J122" i="259"/>
  <c r="I123" i="259"/>
  <c r="J66" i="259"/>
  <c r="I67" i="259"/>
  <c r="K50" i="259"/>
  <c r="K7" i="259"/>
  <c r="K171" i="259"/>
  <c r="K194" i="259"/>
  <c r="L5" i="259"/>
  <c r="K102" i="259"/>
  <c r="K6" i="259"/>
  <c r="K173" i="259" s="1"/>
  <c r="N121" i="259"/>
  <c r="J8" i="259"/>
  <c r="J175" i="259" s="1"/>
  <c r="J174" i="259"/>
  <c r="M65" i="259"/>
  <c r="Q32" i="234"/>
  <c r="P30" i="265" s="1"/>
  <c r="G30" i="265"/>
  <c r="K4" i="244"/>
  <c r="J6" i="244"/>
  <c r="J8" i="244" s="1"/>
  <c r="Q8" i="234"/>
  <c r="P6" i="265" s="1"/>
  <c r="G6" i="265"/>
  <c r="L3" i="244"/>
  <c r="AC3" i="244"/>
  <c r="AV3" i="244" s="1"/>
  <c r="AV11" i="244" s="1"/>
  <c r="K5" i="244"/>
  <c r="K5" i="243"/>
  <c r="AC3" i="243"/>
  <c r="AV3" i="243" s="1"/>
  <c r="AV11" i="243" s="1"/>
  <c r="L3" i="243"/>
  <c r="K6" i="237"/>
  <c r="K8" i="237" s="1"/>
  <c r="L4" i="237"/>
  <c r="Q28" i="234"/>
  <c r="P26" i="265" s="1"/>
  <c r="G26" i="265"/>
  <c r="Q12" i="234"/>
  <c r="P10" i="265" s="1"/>
  <c r="G10" i="265"/>
  <c r="M3" i="237"/>
  <c r="L5" i="237"/>
  <c r="AD3" i="237"/>
  <c r="AW3" i="237" s="1"/>
  <c r="AW11" i="237" s="1"/>
  <c r="G12" i="255"/>
  <c r="E12" i="255"/>
  <c r="F7" i="262"/>
  <c r="F31" i="262" s="1"/>
  <c r="F12" i="255"/>
  <c r="E11" i="263"/>
  <c r="D12" i="255"/>
  <c r="D110" i="251"/>
  <c r="K5" i="245"/>
  <c r="AC3" i="245"/>
  <c r="AV3" i="245" s="1"/>
  <c r="AV11" i="245" s="1"/>
  <c r="L3" i="245"/>
  <c r="Q29" i="234"/>
  <c r="P27" i="265" s="1"/>
  <c r="G27" i="265"/>
  <c r="J6" i="246"/>
  <c r="J8" i="246" s="1"/>
  <c r="K4" i="246"/>
  <c r="Q9" i="234"/>
  <c r="P7" i="265" s="1"/>
  <c r="G7" i="265"/>
  <c r="I6" i="242"/>
  <c r="I8" i="242" s="1"/>
  <c r="J4" i="242"/>
  <c r="K4" i="245"/>
  <c r="J6" i="245"/>
  <c r="G46" i="248"/>
  <c r="J5" i="242"/>
  <c r="AB3" i="242"/>
  <c r="AU3" i="242" s="1"/>
  <c r="AU11" i="242" s="1"/>
  <c r="K3" i="242"/>
  <c r="L3" i="246"/>
  <c r="K5" i="246"/>
  <c r="AC3" i="246"/>
  <c r="AV3" i="246" s="1"/>
  <c r="AV11" i="246" s="1"/>
  <c r="Q30" i="234"/>
  <c r="P28" i="265" s="1"/>
  <c r="G28" i="265"/>
  <c r="L54" i="253"/>
  <c r="M7" i="253"/>
  <c r="K4" i="253"/>
  <c r="J6" i="253"/>
  <c r="J8" i="253" s="1"/>
  <c r="Q10" i="234"/>
  <c r="P8" i="265" s="1"/>
  <c r="G8" i="265"/>
  <c r="J6" i="243"/>
  <c r="J8" i="243" s="1"/>
  <c r="K4" i="243"/>
  <c r="K53" i="253"/>
  <c r="L3" i="253"/>
  <c r="K5" i="253"/>
  <c r="AE3" i="253"/>
  <c r="AZ3" i="253" s="1"/>
  <c r="AZ11" i="253" s="1"/>
  <c r="O5" i="252"/>
  <c r="N7" i="252"/>
  <c r="N9" i="252"/>
  <c r="N6" i="252"/>
  <c r="M8" i="252"/>
  <c r="Q57" i="252"/>
  <c r="R56" i="252"/>
  <c r="DB8" i="204"/>
  <c r="L12" i="204"/>
  <c r="M11" i="204" s="1"/>
  <c r="L8" i="204"/>
  <c r="L14" i="204"/>
  <c r="L7" i="243"/>
  <c r="K7" i="244"/>
  <c r="J8" i="245"/>
  <c r="K7" i="245"/>
  <c r="Y33" i="256"/>
  <c r="Z24" i="256"/>
  <c r="K4" i="251"/>
  <c r="J6" i="251"/>
  <c r="AU3" i="251"/>
  <c r="AB2" i="251"/>
  <c r="K5" i="251"/>
  <c r="K120" i="251"/>
  <c r="K82" i="251"/>
  <c r="K108" i="251"/>
  <c r="K127" i="251"/>
  <c r="K135" i="251" s="1"/>
  <c r="L3" i="251"/>
  <c r="AC3" i="251"/>
  <c r="N7" i="246"/>
  <c r="N7" i="242"/>
  <c r="M7" i="237"/>
  <c r="J23" i="248"/>
  <c r="K21" i="248"/>
  <c r="J22" i="248"/>
  <c r="I24" i="248"/>
  <c r="G47" i="248"/>
  <c r="M98" i="231"/>
  <c r="O75" i="231"/>
  <c r="O83" i="231" s="1"/>
  <c r="O91" i="231"/>
  <c r="N68" i="231"/>
  <c r="O11" i="231"/>
  <c r="M92" i="231"/>
  <c r="O24" i="231"/>
  <c r="N58" i="231"/>
  <c r="N66" i="231" s="1"/>
  <c r="N76" i="231"/>
  <c r="N84" i="231" s="1"/>
  <c r="N92" i="231" s="1"/>
  <c r="O12" i="231"/>
  <c r="P57" i="231"/>
  <c r="P65" i="231" s="1"/>
  <c r="P23" i="231"/>
  <c r="Q6" i="231"/>
  <c r="P8" i="231"/>
  <c r="P11" i="231" s="1"/>
  <c r="O9" i="231"/>
  <c r="O30" i="231"/>
  <c r="N64" i="231"/>
  <c r="N72" i="231" s="1"/>
  <c r="N82" i="231"/>
  <c r="N90" i="231" s="1"/>
  <c r="O27" i="231"/>
  <c r="N79" i="231"/>
  <c r="N87" i="231" s="1"/>
  <c r="N61" i="231"/>
  <c r="N69" i="231" s="1"/>
  <c r="O28" i="231"/>
  <c r="N62" i="231"/>
  <c r="N70" i="231" s="1"/>
  <c r="N80" i="231"/>
  <c r="N88" i="231" s="1"/>
  <c r="O29" i="231"/>
  <c r="N81" i="231"/>
  <c r="N89" i="231" s="1"/>
  <c r="N63" i="231"/>
  <c r="O14" i="250"/>
  <c r="P14" i="250"/>
  <c r="P25" i="231"/>
  <c r="O77" i="231"/>
  <c r="O85" i="231" s="1"/>
  <c r="O59" i="231"/>
  <c r="O67" i="231" s="1"/>
  <c r="G48" i="248"/>
  <c r="K66" i="256"/>
  <c r="J36" i="255" s="1"/>
  <c r="AW26" i="223"/>
  <c r="AX26" i="223" s="1"/>
  <c r="AY26" i="223" s="1"/>
  <c r="AZ26" i="223" s="1"/>
  <c r="G45" i="248"/>
  <c r="BD22" i="223"/>
  <c r="BA22" i="223"/>
  <c r="BB22" i="223"/>
  <c r="BC22" i="223"/>
  <c r="O25" i="223"/>
  <c r="N26" i="198"/>
  <c r="S4" i="223"/>
  <c r="R8" i="223"/>
  <c r="BH20" i="223"/>
  <c r="BG20" i="223"/>
  <c r="BF20" i="223"/>
  <c r="BE20" i="223"/>
  <c r="O9" i="234"/>
  <c r="H7" i="234"/>
  <c r="K10" i="252"/>
  <c r="H11" i="234"/>
  <c r="I25" i="248"/>
  <c r="H26" i="234"/>
  <c r="H31" i="234"/>
  <c r="H6" i="234"/>
  <c r="AA1" i="251"/>
  <c r="M4" i="256"/>
  <c r="H27" i="234"/>
  <c r="N5" i="223"/>
  <c r="I146" i="251"/>
  <c r="J7" i="263"/>
  <c r="L7" i="255"/>
  <c r="I93" i="253"/>
  <c r="H54" i="251"/>
  <c r="H96" i="251" s="1"/>
  <c r="H86" i="251"/>
  <c r="H51" i="251"/>
  <c r="H92" i="251" s="1"/>
  <c r="H88" i="251"/>
  <c r="AS17" i="245"/>
  <c r="AT17" i="245" s="1"/>
  <c r="AU17" i="245" s="1"/>
  <c r="AV17" i="245" s="1"/>
  <c r="M30" i="234"/>
  <c r="N30" i="234"/>
  <c r="O30" i="234"/>
  <c r="P30" i="234"/>
  <c r="O41" i="228"/>
  <c r="O42" i="228"/>
  <c r="O46" i="228"/>
  <c r="O45" i="228"/>
  <c r="O44" i="228"/>
  <c r="O40" i="228"/>
  <c r="O43" i="228"/>
  <c r="O38" i="228"/>
  <c r="O37" i="228"/>
  <c r="O33" i="228"/>
  <c r="O36" i="228"/>
  <c r="O35" i="228"/>
  <c r="N10" i="234"/>
  <c r="O10" i="234"/>
  <c r="M10" i="234"/>
  <c r="P10" i="234"/>
  <c r="AS15" i="245"/>
  <c r="AT15" i="245" s="1"/>
  <c r="AU15" i="245" s="1"/>
  <c r="AV15" i="245" s="1"/>
  <c r="H28" i="248"/>
  <c r="H33" i="248"/>
  <c r="H34" i="248"/>
  <c r="H35" i="248"/>
  <c r="H27" i="248"/>
  <c r="H30" i="248"/>
  <c r="H32" i="248"/>
  <c r="H29" i="248"/>
  <c r="F49" i="248"/>
  <c r="L41" i="256"/>
  <c r="L49" i="256"/>
  <c r="L57" i="256"/>
  <c r="L42" i="256"/>
  <c r="L50" i="256"/>
  <c r="L58" i="256"/>
  <c r="L46" i="256"/>
  <c r="L56" i="256"/>
  <c r="L47" i="256"/>
  <c r="L59" i="256"/>
  <c r="L38" i="256"/>
  <c r="L48" i="256"/>
  <c r="L60" i="256"/>
  <c r="L39" i="256"/>
  <c r="L51" i="256"/>
  <c r="L61" i="256"/>
  <c r="L40" i="256"/>
  <c r="L52" i="256"/>
  <c r="L62" i="256"/>
  <c r="L44" i="256"/>
  <c r="L54" i="256"/>
  <c r="L43" i="256"/>
  <c r="L45" i="256"/>
  <c r="L53" i="256"/>
  <c r="L55" i="256"/>
  <c r="AW17" i="253"/>
  <c r="AX17" i="253" s="1"/>
  <c r="AY17" i="253" s="1"/>
  <c r="AZ17" i="253" s="1"/>
  <c r="N32" i="234"/>
  <c r="M32" i="234"/>
  <c r="O32" i="234"/>
  <c r="P32" i="234"/>
  <c r="K65" i="256"/>
  <c r="J29" i="255" s="1"/>
  <c r="K64" i="256"/>
  <c r="J22" i="255" s="1"/>
  <c r="M13" i="204"/>
  <c r="O24" i="223"/>
  <c r="P30" i="228"/>
  <c r="J32" i="252"/>
  <c r="J41" i="252"/>
  <c r="J58" i="252"/>
  <c r="J60" i="252" s="1"/>
  <c r="J50" i="252"/>
  <c r="N8" i="234"/>
  <c r="P8" i="234"/>
  <c r="M8" i="234"/>
  <c r="O8" i="234"/>
  <c r="AS15" i="243"/>
  <c r="AT15" i="243" s="1"/>
  <c r="AU15" i="243" s="1"/>
  <c r="AV15" i="243" s="1"/>
  <c r="N28" i="234"/>
  <c r="P28" i="234"/>
  <c r="AS17" i="243"/>
  <c r="AT17" i="243" s="1"/>
  <c r="AU17" i="243" s="1"/>
  <c r="AV17" i="243" s="1"/>
  <c r="M28" i="234"/>
  <c r="O28" i="234"/>
  <c r="AW15" i="253"/>
  <c r="AX15" i="253" s="1"/>
  <c r="AY15" i="253" s="1"/>
  <c r="AZ15" i="253" s="1"/>
  <c r="M12" i="234"/>
  <c r="O12" i="234"/>
  <c r="P12" i="234"/>
  <c r="N12" i="234"/>
  <c r="L414" i="250"/>
  <c r="L444" i="250"/>
  <c r="M386" i="250"/>
  <c r="L473" i="250"/>
  <c r="L503" i="250"/>
  <c r="N222" i="250"/>
  <c r="N504" i="250"/>
  <c r="N506" i="250" s="1"/>
  <c r="O217" i="250"/>
  <c r="J20" i="231"/>
  <c r="J97" i="231" s="1"/>
  <c r="O17" i="231"/>
  <c r="N93" i="231"/>
  <c r="O116" i="250"/>
  <c r="P116" i="250"/>
  <c r="O221" i="250"/>
  <c r="O505" i="250"/>
  <c r="P220" i="250"/>
  <c r="O167" i="250"/>
  <c r="P167" i="250"/>
  <c r="O168" i="250"/>
  <c r="L13" i="231"/>
  <c r="K71" i="231"/>
  <c r="O16" i="231"/>
  <c r="N2" i="250"/>
  <c r="O18" i="231"/>
  <c r="N94" i="231"/>
  <c r="N63" i="250"/>
  <c r="M19" i="231"/>
  <c r="L96" i="231"/>
  <c r="L95" i="231"/>
  <c r="O61" i="250"/>
  <c r="P61" i="250"/>
  <c r="O62" i="250"/>
  <c r="P62" i="250" s="1"/>
  <c r="P219" i="250"/>
  <c r="O6" i="250"/>
  <c r="O7" i="250"/>
  <c r="I42" i="229"/>
  <c r="J40" i="229" s="1"/>
  <c r="I220" i="229"/>
  <c r="D26" i="228"/>
  <c r="I53" i="229"/>
  <c r="I217" i="229" s="1"/>
  <c r="I219" i="229"/>
  <c r="J73" i="229"/>
  <c r="J85" i="229"/>
  <c r="J201" i="229" s="1"/>
  <c r="I119" i="229"/>
  <c r="I204" i="229"/>
  <c r="J96" i="229"/>
  <c r="J97" i="229" s="1"/>
  <c r="I174" i="229"/>
  <c r="J29" i="229"/>
  <c r="J30" i="229" s="1"/>
  <c r="I215" i="229"/>
  <c r="W221" i="229"/>
  <c r="K283" i="229" s="1"/>
  <c r="K327" i="229" s="1"/>
  <c r="X95" i="229"/>
  <c r="W98" i="229"/>
  <c r="W100" i="229" s="1"/>
  <c r="W240" i="229" s="1"/>
  <c r="K305" i="229" s="1"/>
  <c r="M39" i="228"/>
  <c r="M48" i="228" s="1"/>
  <c r="N39" i="228"/>
  <c r="N48" i="228" s="1"/>
  <c r="K39" i="228"/>
  <c r="K48" i="228" s="1"/>
  <c r="L39" i="228"/>
  <c r="L48" i="228" s="1"/>
  <c r="J39" i="228"/>
  <c r="J48" i="228" s="1"/>
  <c r="G39" i="228"/>
  <c r="G48" i="228" s="1"/>
  <c r="H39" i="228"/>
  <c r="H48" i="228" s="1"/>
  <c r="I39" i="228"/>
  <c r="I48" i="228" s="1"/>
  <c r="P39" i="228"/>
  <c r="O39" i="228"/>
  <c r="I130" i="229"/>
  <c r="I64" i="229"/>
  <c r="I107" i="229"/>
  <c r="I203" i="229" s="1"/>
  <c r="I162" i="229"/>
  <c r="I208" i="229" s="1"/>
  <c r="I141" i="229"/>
  <c r="I185" i="229"/>
  <c r="I151" i="229"/>
  <c r="I207" i="229" s="1"/>
  <c r="K123" i="224" l="1"/>
  <c r="L121" i="224"/>
  <c r="P29" i="234"/>
  <c r="AR17" i="244" s="1"/>
  <c r="N9" i="234"/>
  <c r="AS17" i="244"/>
  <c r="AT17" i="244" s="1"/>
  <c r="AU17" i="244" s="1"/>
  <c r="AV17" i="244" s="1"/>
  <c r="AS15" i="244"/>
  <c r="AT15" i="244" s="1"/>
  <c r="AU15" i="244" s="1"/>
  <c r="AV15" i="244" s="1"/>
  <c r="M9" i="234"/>
  <c r="L7" i="265" s="1"/>
  <c r="P5" i="262"/>
  <c r="O42" i="262"/>
  <c r="Q4" i="261"/>
  <c r="P42" i="261"/>
  <c r="P65" i="261"/>
  <c r="J12" i="257"/>
  <c r="J15" i="257" s="1"/>
  <c r="K10" i="257"/>
  <c r="K35" i="257" s="1"/>
  <c r="K41" i="257" s="1"/>
  <c r="I65" i="229"/>
  <c r="I67" i="229" s="1"/>
  <c r="I237" i="229" s="1"/>
  <c r="K11" i="257"/>
  <c r="L9" i="257"/>
  <c r="K34" i="257"/>
  <c r="O29" i="234"/>
  <c r="N27" i="265" s="1"/>
  <c r="P9" i="234"/>
  <c r="O7" i="265" s="1"/>
  <c r="M29" i="234"/>
  <c r="N29" i="234"/>
  <c r="M27" i="265" s="1"/>
  <c r="K8" i="259"/>
  <c r="K175" i="259" s="1"/>
  <c r="K174" i="259"/>
  <c r="T121" i="259"/>
  <c r="O121" i="259"/>
  <c r="K66" i="259"/>
  <c r="J67" i="259"/>
  <c r="N65" i="259"/>
  <c r="M5" i="259"/>
  <c r="L194" i="259"/>
  <c r="L6" i="259"/>
  <c r="L173" i="259" s="1"/>
  <c r="L171" i="259"/>
  <c r="L7" i="259"/>
  <c r="L50" i="259"/>
  <c r="L102" i="259"/>
  <c r="K122" i="259"/>
  <c r="J123" i="259"/>
  <c r="AO15" i="243"/>
  <c r="L6" i="265"/>
  <c r="AP15" i="244"/>
  <c r="M7" i="265"/>
  <c r="L5" i="253"/>
  <c r="AF3" i="253"/>
  <c r="BA3" i="253" s="1"/>
  <c r="BA11" i="253" s="1"/>
  <c r="BA17" i="253" s="1"/>
  <c r="M3" i="253"/>
  <c r="L53" i="253"/>
  <c r="J6" i="242"/>
  <c r="J8" i="242" s="1"/>
  <c r="K4" i="242"/>
  <c r="AT15" i="253"/>
  <c r="M10" i="265"/>
  <c r="AR17" i="243"/>
  <c r="O26" i="265"/>
  <c r="AR15" i="243"/>
  <c r="O6" i="265"/>
  <c r="Q11" i="234"/>
  <c r="P9" i="265" s="1"/>
  <c r="G9" i="265"/>
  <c r="AD3" i="245"/>
  <c r="AW3" i="245" s="1"/>
  <c r="AW11" i="245" s="1"/>
  <c r="AW17" i="245" s="1"/>
  <c r="M3" i="245"/>
  <c r="L5" i="245"/>
  <c r="D16" i="255"/>
  <c r="E16" i="255"/>
  <c r="F16" i="255"/>
  <c r="AQ17" i="244"/>
  <c r="AV15" i="253"/>
  <c r="O10" i="265"/>
  <c r="AP17" i="243"/>
  <c r="M26" i="265"/>
  <c r="AP15" i="243"/>
  <c r="M6" i="265"/>
  <c r="Q27" i="234"/>
  <c r="P25" i="265" s="1"/>
  <c r="G25" i="265"/>
  <c r="M3" i="243"/>
  <c r="L5" i="243"/>
  <c r="AD3" i="243"/>
  <c r="AW3" i="243" s="1"/>
  <c r="AW11" i="243" s="1"/>
  <c r="AW17" i="243" s="1"/>
  <c r="F14" i="255"/>
  <c r="D14" i="255"/>
  <c r="E14" i="255"/>
  <c r="AO17" i="244"/>
  <c r="L27" i="265"/>
  <c r="AU15" i="253"/>
  <c r="N10" i="265"/>
  <c r="AW15" i="245"/>
  <c r="Q7" i="234"/>
  <c r="P5" i="265" s="1"/>
  <c r="G5" i="265"/>
  <c r="K6" i="245"/>
  <c r="L4" i="245"/>
  <c r="K6" i="244"/>
  <c r="K8" i="244" s="1"/>
  <c r="L4" i="244"/>
  <c r="AS15" i="253"/>
  <c r="L10" i="265"/>
  <c r="AV17" i="253"/>
  <c r="O30" i="265"/>
  <c r="AR15" i="245"/>
  <c r="O8" i="265"/>
  <c r="AR17" i="245"/>
  <c r="O28" i="265"/>
  <c r="AQ15" i="244"/>
  <c r="N7" i="265"/>
  <c r="L4" i="243"/>
  <c r="K6" i="243"/>
  <c r="K8" i="243" s="1"/>
  <c r="O27" i="265"/>
  <c r="Q6" i="234"/>
  <c r="P4" i="265" s="1"/>
  <c r="G4" i="265"/>
  <c r="L5" i="244"/>
  <c r="M3" i="244"/>
  <c r="AD3" i="244"/>
  <c r="AW3" i="244" s="1"/>
  <c r="AW11" i="244" s="1"/>
  <c r="AW17" i="244" s="1"/>
  <c r="BA15" i="253"/>
  <c r="AU17" i="253"/>
  <c r="N30" i="265"/>
  <c r="AO15" i="245"/>
  <c r="L8" i="265"/>
  <c r="AQ17" i="245"/>
  <c r="N28" i="265"/>
  <c r="AP17" i="244"/>
  <c r="AQ17" i="243"/>
  <c r="N26" i="265"/>
  <c r="AS17" i="253"/>
  <c r="L30" i="265"/>
  <c r="AQ15" i="245"/>
  <c r="N8" i="265"/>
  <c r="AP17" i="245"/>
  <c r="M28" i="265"/>
  <c r="Q31" i="234"/>
  <c r="P29" i="265" s="1"/>
  <c r="G29" i="265"/>
  <c r="AO15" i="244"/>
  <c r="M54" i="253"/>
  <c r="N7" i="253"/>
  <c r="K6" i="246"/>
  <c r="K8" i="246" s="1"/>
  <c r="L4" i="246"/>
  <c r="AC3" i="242"/>
  <c r="AV3" i="242" s="1"/>
  <c r="AV11" i="242" s="1"/>
  <c r="K5" i="242"/>
  <c r="L3" i="242"/>
  <c r="L6" i="237"/>
  <c r="L8" i="237" s="1"/>
  <c r="M4" i="237"/>
  <c r="AO17" i="243"/>
  <c r="L26" i="265"/>
  <c r="AQ15" i="243"/>
  <c r="N6" i="265"/>
  <c r="AT17" i="253"/>
  <c r="M30" i="265"/>
  <c r="AP15" i="245"/>
  <c r="M8" i="265"/>
  <c r="AO17" i="245"/>
  <c r="L28" i="265"/>
  <c r="Q26" i="234"/>
  <c r="P24" i="265" s="1"/>
  <c r="G24" i="265"/>
  <c r="K6" i="253"/>
  <c r="K8" i="253" s="1"/>
  <c r="L4" i="253"/>
  <c r="M3" i="246"/>
  <c r="G17" i="255"/>
  <c r="L5" i="246"/>
  <c r="AD3" i="246"/>
  <c r="AW3" i="246" s="1"/>
  <c r="AW11" i="246" s="1"/>
  <c r="E144" i="263"/>
  <c r="E17" i="255"/>
  <c r="F12" i="262"/>
  <c r="F36" i="262" s="1"/>
  <c r="D17" i="255"/>
  <c r="F17" i="255"/>
  <c r="N3" i="237"/>
  <c r="AE3" i="237"/>
  <c r="AX3" i="237" s="1"/>
  <c r="AX11" i="237" s="1"/>
  <c r="M5" i="237"/>
  <c r="R57" i="252"/>
  <c r="S56" i="252"/>
  <c r="O6" i="252"/>
  <c r="N8" i="252"/>
  <c r="P5" i="252"/>
  <c r="O7" i="252"/>
  <c r="O9" i="252"/>
  <c r="DC8" i="204"/>
  <c r="M8" i="204"/>
  <c r="M14" i="204"/>
  <c r="M12" i="204"/>
  <c r="N11" i="204" s="1"/>
  <c r="N13" i="204" s="1"/>
  <c r="M7" i="243"/>
  <c r="L7" i="244"/>
  <c r="L7" i="245"/>
  <c r="K8" i="245"/>
  <c r="Z33" i="256"/>
  <c r="AA24" i="256"/>
  <c r="AA33" i="256" s="1"/>
  <c r="K6" i="251"/>
  <c r="L4" i="251"/>
  <c r="AV3" i="251"/>
  <c r="AC2" i="251"/>
  <c r="D10" i="224"/>
  <c r="D10" i="259" s="1"/>
  <c r="L108" i="251"/>
  <c r="L82" i="251"/>
  <c r="E10" i="224"/>
  <c r="E10" i="259" s="1"/>
  <c r="AD3" i="251"/>
  <c r="L5" i="251"/>
  <c r="L120" i="251"/>
  <c r="F10" i="224"/>
  <c r="F10" i="259" s="1"/>
  <c r="M3" i="251"/>
  <c r="L127" i="251"/>
  <c r="L135" i="251" s="1"/>
  <c r="O7" i="246"/>
  <c r="O7" i="242"/>
  <c r="N7" i="237"/>
  <c r="H45" i="248"/>
  <c r="L21" i="248"/>
  <c r="K23" i="248"/>
  <c r="K22" i="248"/>
  <c r="J24" i="248"/>
  <c r="N98" i="231"/>
  <c r="P68" i="231"/>
  <c r="Q23" i="231"/>
  <c r="Q57" i="231"/>
  <c r="Q65" i="231" s="1"/>
  <c r="R6" i="231"/>
  <c r="Q8" i="231"/>
  <c r="Q11" i="231" s="1"/>
  <c r="O68" i="231"/>
  <c r="P30" i="231"/>
  <c r="O82" i="231"/>
  <c r="O90" i="231" s="1"/>
  <c r="O64" i="231"/>
  <c r="O72" i="231" s="1"/>
  <c r="P91" i="231"/>
  <c r="P75" i="231"/>
  <c r="P83" i="231" s="1"/>
  <c r="P29" i="231"/>
  <c r="O81" i="231"/>
  <c r="O89" i="231" s="1"/>
  <c r="O63" i="231"/>
  <c r="P27" i="231"/>
  <c r="O61" i="231"/>
  <c r="O69" i="231" s="1"/>
  <c r="O79" i="231"/>
  <c r="O87" i="231" s="1"/>
  <c r="P9" i="231"/>
  <c r="P24" i="231"/>
  <c r="O58" i="231"/>
  <c r="O66" i="231" s="1"/>
  <c r="O76" i="231"/>
  <c r="O84" i="231" s="1"/>
  <c r="P12" i="231"/>
  <c r="P10" i="231"/>
  <c r="P28" i="231"/>
  <c r="O80" i="231"/>
  <c r="O88" i="231" s="1"/>
  <c r="O62" i="231"/>
  <c r="O70" i="231" s="1"/>
  <c r="Q25" i="231"/>
  <c r="P77" i="231"/>
  <c r="P85" i="231" s="1"/>
  <c r="P59" i="231"/>
  <c r="G49" i="248"/>
  <c r="L66" i="256"/>
  <c r="K36" i="255" s="1"/>
  <c r="BH22" i="223"/>
  <c r="BG22" i="223"/>
  <c r="BE22" i="223"/>
  <c r="BF22" i="223"/>
  <c r="BI20" i="223"/>
  <c r="T4" i="223"/>
  <c r="BL20" i="223"/>
  <c r="BK20" i="223"/>
  <c r="BJ20" i="223"/>
  <c r="S8" i="223"/>
  <c r="R9" i="223"/>
  <c r="H48" i="248"/>
  <c r="O26" i="198"/>
  <c r="P25" i="223"/>
  <c r="BA26" i="223"/>
  <c r="BB26" i="223" s="1"/>
  <c r="BC26" i="223" s="1"/>
  <c r="BD26" i="223" s="1"/>
  <c r="M45" i="256"/>
  <c r="M53" i="256"/>
  <c r="M61" i="256"/>
  <c r="M38" i="256"/>
  <c r="M46" i="256"/>
  <c r="M54" i="256"/>
  <c r="M62" i="256"/>
  <c r="M39" i="256"/>
  <c r="M49" i="256"/>
  <c r="M59" i="256"/>
  <c r="M40" i="256"/>
  <c r="M50" i="256"/>
  <c r="M60" i="256"/>
  <c r="M41" i="256"/>
  <c r="M51" i="256"/>
  <c r="M42" i="256"/>
  <c r="M52" i="256"/>
  <c r="M43" i="256"/>
  <c r="M55" i="256"/>
  <c r="M47" i="256"/>
  <c r="M57" i="256"/>
  <c r="M44" i="256"/>
  <c r="M48" i="256"/>
  <c r="M56" i="256"/>
  <c r="M58" i="256"/>
  <c r="P43" i="228"/>
  <c r="P45" i="228"/>
  <c r="P40" i="228"/>
  <c r="P46" i="228"/>
  <c r="P44" i="228"/>
  <c r="P41" i="228"/>
  <c r="P42" i="228"/>
  <c r="P37" i="228"/>
  <c r="P38" i="228"/>
  <c r="P33" i="228"/>
  <c r="P35" i="228"/>
  <c r="P36" i="228"/>
  <c r="P34" i="228"/>
  <c r="P47" i="228"/>
  <c r="L64" i="256"/>
  <c r="K22" i="255" s="1"/>
  <c r="I51" i="251"/>
  <c r="I92" i="251" s="1"/>
  <c r="I88" i="251"/>
  <c r="I54" i="251"/>
  <c r="I96" i="251" s="1"/>
  <c r="I86" i="251"/>
  <c r="N7" i="234"/>
  <c r="P7" i="234"/>
  <c r="O7" i="234"/>
  <c r="AS15" i="242"/>
  <c r="AT15" i="242" s="1"/>
  <c r="AU15" i="242" s="1"/>
  <c r="AV15" i="242" s="1"/>
  <c r="M7" i="234"/>
  <c r="O48" i="228"/>
  <c r="Q30" i="228"/>
  <c r="P24" i="223"/>
  <c r="L65" i="256"/>
  <c r="K29" i="255" s="1"/>
  <c r="M6" i="234"/>
  <c r="O6" i="234"/>
  <c r="AS15" i="237"/>
  <c r="AT15" i="237" s="1"/>
  <c r="AU15" i="237" s="1"/>
  <c r="AV15" i="237" s="1"/>
  <c r="AW15" i="237" s="1"/>
  <c r="AX15" i="237" s="1"/>
  <c r="N6" i="234"/>
  <c r="P6" i="234"/>
  <c r="N31" i="234"/>
  <c r="P31" i="234"/>
  <c r="AS17" i="246"/>
  <c r="AT17" i="246" s="1"/>
  <c r="AU17" i="246" s="1"/>
  <c r="AV17" i="246" s="1"/>
  <c r="AW17" i="246" s="1"/>
  <c r="M31" i="234"/>
  <c r="O31" i="234"/>
  <c r="J48" i="255"/>
  <c r="G123" i="251" s="1"/>
  <c r="M26" i="234"/>
  <c r="O26" i="234"/>
  <c r="N26" i="234"/>
  <c r="P26" i="234"/>
  <c r="AS17" i="237"/>
  <c r="AT17" i="237" s="1"/>
  <c r="AU17" i="237" s="1"/>
  <c r="AV17" i="237" s="1"/>
  <c r="AW17" i="237" s="1"/>
  <c r="H47" i="248"/>
  <c r="H46" i="248"/>
  <c r="I33" i="248"/>
  <c r="I29" i="248"/>
  <c r="I30" i="248"/>
  <c r="I34" i="248"/>
  <c r="I35" i="248"/>
  <c r="I27" i="248"/>
  <c r="I32" i="248"/>
  <c r="I28" i="248"/>
  <c r="AB1" i="251"/>
  <c r="J25" i="248"/>
  <c r="L10" i="252"/>
  <c r="N4" i="256"/>
  <c r="J146" i="251"/>
  <c r="O5" i="223"/>
  <c r="K7" i="263"/>
  <c r="M7" i="255"/>
  <c r="J93" i="253"/>
  <c r="M11" i="234"/>
  <c r="O11" i="234"/>
  <c r="AS15" i="246"/>
  <c r="AT15" i="246" s="1"/>
  <c r="AU15" i="246" s="1"/>
  <c r="AV15" i="246" s="1"/>
  <c r="AW15" i="246" s="1"/>
  <c r="P11" i="234"/>
  <c r="N11" i="234"/>
  <c r="N27" i="234"/>
  <c r="P27" i="234"/>
  <c r="AS17" i="242"/>
  <c r="AT17" i="242" s="1"/>
  <c r="AU17" i="242" s="1"/>
  <c r="AV17" i="242" s="1"/>
  <c r="M27" i="234"/>
  <c r="O27" i="234"/>
  <c r="K41" i="252"/>
  <c r="K50" i="252"/>
  <c r="K58" i="252"/>
  <c r="K60" i="252" s="1"/>
  <c r="K32" i="252"/>
  <c r="M414" i="250"/>
  <c r="M444" i="250"/>
  <c r="N386" i="250"/>
  <c r="M473" i="250"/>
  <c r="M503" i="250"/>
  <c r="O8" i="250"/>
  <c r="P8" i="250"/>
  <c r="N19" i="231"/>
  <c r="M95" i="231"/>
  <c r="M96" i="231"/>
  <c r="M13" i="231"/>
  <c r="L71" i="231"/>
  <c r="O169" i="250"/>
  <c r="P169" i="250"/>
  <c r="P168" i="250"/>
  <c r="P17" i="231"/>
  <c r="O93" i="231"/>
  <c r="O63" i="250"/>
  <c r="P63" i="250"/>
  <c r="P18" i="231"/>
  <c r="O94" i="231"/>
  <c r="K20" i="231"/>
  <c r="O504" i="250"/>
  <c r="O506" i="250" s="1"/>
  <c r="P218" i="250"/>
  <c r="P217" i="250"/>
  <c r="P7" i="250"/>
  <c r="O222" i="250"/>
  <c r="P222" i="250"/>
  <c r="P221" i="250"/>
  <c r="O2" i="250"/>
  <c r="P4" i="250" s="1"/>
  <c r="P16" i="231"/>
  <c r="J51" i="229"/>
  <c r="J52" i="229" s="1"/>
  <c r="J198" i="229" s="1"/>
  <c r="I216" i="229"/>
  <c r="I152" i="229"/>
  <c r="J150" i="229" s="1"/>
  <c r="J151" i="229" s="1"/>
  <c r="J86" i="229"/>
  <c r="J220" i="229" s="1"/>
  <c r="H53" i="228"/>
  <c r="I108" i="229"/>
  <c r="J62" i="229"/>
  <c r="I218" i="229"/>
  <c r="J202" i="229"/>
  <c r="I229" i="229"/>
  <c r="J183" i="229"/>
  <c r="J128" i="229"/>
  <c r="I224" i="229"/>
  <c r="J31" i="229"/>
  <c r="J196" i="229"/>
  <c r="J221" i="229"/>
  <c r="K95" i="229"/>
  <c r="I225" i="229"/>
  <c r="J139" i="229"/>
  <c r="J140" i="229" s="1"/>
  <c r="J41" i="229"/>
  <c r="J197" i="229" s="1"/>
  <c r="I228" i="229"/>
  <c r="J172" i="229"/>
  <c r="J173" i="229" s="1"/>
  <c r="J117" i="229"/>
  <c r="I223" i="229"/>
  <c r="J74" i="229"/>
  <c r="J200" i="229" s="1"/>
  <c r="G53" i="228"/>
  <c r="I163" i="229"/>
  <c r="X96" i="229"/>
  <c r="X202" i="229" s="1"/>
  <c r="M121" i="224" l="1"/>
  <c r="L123" i="224"/>
  <c r="Q10" i="231"/>
  <c r="L34" i="257"/>
  <c r="M9" i="257"/>
  <c r="L11" i="257"/>
  <c r="Q65" i="261"/>
  <c r="Q42" i="261"/>
  <c r="L10" i="257"/>
  <c r="L35" i="257" s="1"/>
  <c r="L41" i="257" s="1"/>
  <c r="K12" i="257"/>
  <c r="K15" i="257" s="1"/>
  <c r="P42" i="262"/>
  <c r="Q5" i="262"/>
  <c r="AR15" i="244"/>
  <c r="L174" i="259"/>
  <c r="L8" i="259"/>
  <c r="L175" i="259" s="1"/>
  <c r="L66" i="259"/>
  <c r="K67" i="259"/>
  <c r="P121" i="259"/>
  <c r="M7" i="259"/>
  <c r="M194" i="259"/>
  <c r="N5" i="259"/>
  <c r="M50" i="259"/>
  <c r="M102" i="259"/>
  <c r="M171" i="259"/>
  <c r="M6" i="259"/>
  <c r="M173" i="259" s="1"/>
  <c r="L122" i="259"/>
  <c r="K123" i="259"/>
  <c r="T65" i="259"/>
  <c r="O65" i="259"/>
  <c r="AX17" i="237"/>
  <c r="AQ17" i="242"/>
  <c r="N25" i="265"/>
  <c r="O7" i="253"/>
  <c r="N54" i="253"/>
  <c r="L6" i="244"/>
  <c r="L8" i="244" s="1"/>
  <c r="M4" i="244"/>
  <c r="AQ15" i="246"/>
  <c r="N9" i="265"/>
  <c r="AP15" i="246"/>
  <c r="M9" i="265"/>
  <c r="AR15" i="246"/>
  <c r="O9" i="265"/>
  <c r="AR17" i="237"/>
  <c r="O24" i="265"/>
  <c r="AR17" i="246"/>
  <c r="O29" i="265"/>
  <c r="AQ15" i="242"/>
  <c r="N5" i="265"/>
  <c r="N4" i="237"/>
  <c r="M6" i="237"/>
  <c r="M8" i="237" s="1"/>
  <c r="AW15" i="244"/>
  <c r="AP17" i="237"/>
  <c r="M24" i="265"/>
  <c r="AP17" i="246"/>
  <c r="M29" i="265"/>
  <c r="AR15" i="242"/>
  <c r="O5" i="265"/>
  <c r="AQ17" i="237"/>
  <c r="N24" i="265"/>
  <c r="AR15" i="237"/>
  <c r="O4" i="265"/>
  <c r="AP15" i="242"/>
  <c r="M5" i="265"/>
  <c r="N5" i="237"/>
  <c r="O3" i="237"/>
  <c r="AF3" i="237"/>
  <c r="AY3" i="237" s="1"/>
  <c r="AY11" i="237" s="1"/>
  <c r="AY15" i="237" s="1"/>
  <c r="L5" i="242"/>
  <c r="G13" i="255"/>
  <c r="AD3" i="242"/>
  <c r="AW3" i="242" s="1"/>
  <c r="AW11" i="242" s="1"/>
  <c r="AW15" i="242" s="1"/>
  <c r="M3" i="242"/>
  <c r="E13" i="255"/>
  <c r="E277" i="263"/>
  <c r="D13" i="255"/>
  <c r="F8" i="262"/>
  <c r="F32" i="262" s="1"/>
  <c r="F13" i="255"/>
  <c r="D111" i="251"/>
  <c r="D109" i="251" s="1"/>
  <c r="AO17" i="242"/>
  <c r="L25" i="265"/>
  <c r="AO15" i="246"/>
  <c r="L9" i="265"/>
  <c r="AO17" i="237"/>
  <c r="L24" i="265"/>
  <c r="AP15" i="237"/>
  <c r="M4" i="265"/>
  <c r="M4" i="246"/>
  <c r="L6" i="246"/>
  <c r="L8" i="246" s="1"/>
  <c r="L4" i="242"/>
  <c r="K6" i="242"/>
  <c r="K8" i="242" s="1"/>
  <c r="L6" i="245"/>
  <c r="M4" i="245"/>
  <c r="AW17" i="242"/>
  <c r="AW15" i="243"/>
  <c r="L6" i="243"/>
  <c r="L8" i="243" s="1"/>
  <c r="M4" i="243"/>
  <c r="M5" i="245"/>
  <c r="N3" i="245"/>
  <c r="AE3" i="245"/>
  <c r="AX3" i="245" s="1"/>
  <c r="AX11" i="245" s="1"/>
  <c r="AX15" i="245" s="1"/>
  <c r="N3" i="253"/>
  <c r="M53" i="253"/>
  <c r="AG3" i="253"/>
  <c r="BB3" i="253" s="1"/>
  <c r="BB11" i="253" s="1"/>
  <c r="BB15" i="253" s="1"/>
  <c r="M5" i="253"/>
  <c r="AR17" i="242"/>
  <c r="O25" i="265"/>
  <c r="AQ17" i="246"/>
  <c r="N29" i="265"/>
  <c r="AQ15" i="237"/>
  <c r="N4" i="265"/>
  <c r="M5" i="246"/>
  <c r="AE3" i="246"/>
  <c r="AX3" i="246" s="1"/>
  <c r="AX11" i="246" s="1"/>
  <c r="AX17" i="246" s="1"/>
  <c r="N3" i="246"/>
  <c r="AE3" i="243"/>
  <c r="AX3" i="243" s="1"/>
  <c r="AX11" i="243" s="1"/>
  <c r="AX17" i="243" s="1"/>
  <c r="M5" i="243"/>
  <c r="N3" i="243"/>
  <c r="AP17" i="242"/>
  <c r="M25" i="265"/>
  <c r="AO17" i="246"/>
  <c r="L29" i="265"/>
  <c r="AO15" i="237"/>
  <c r="L4" i="265"/>
  <c r="AO15" i="242"/>
  <c r="L5" i="265"/>
  <c r="AE3" i="244"/>
  <c r="AX3" i="244" s="1"/>
  <c r="AX11" i="244" s="1"/>
  <c r="AX17" i="244" s="1"/>
  <c r="M5" i="244"/>
  <c r="N3" i="244"/>
  <c r="M4" i="253"/>
  <c r="L6" i="253"/>
  <c r="L8" i="253" s="1"/>
  <c r="P6" i="252"/>
  <c r="O8" i="252"/>
  <c r="E11" i="224"/>
  <c r="E11" i="259" s="1"/>
  <c r="Q5" i="252"/>
  <c r="D19" i="255"/>
  <c r="E19" i="255"/>
  <c r="P7" i="252"/>
  <c r="F19" i="255"/>
  <c r="F11" i="224"/>
  <c r="F11" i="259" s="1"/>
  <c r="D11" i="224"/>
  <c r="D11" i="259" s="1"/>
  <c r="P9" i="252"/>
  <c r="S57" i="252"/>
  <c r="T56" i="252"/>
  <c r="DD8" i="204"/>
  <c r="N8" i="204"/>
  <c r="N14" i="204"/>
  <c r="N12" i="204"/>
  <c r="O11" i="204" s="1"/>
  <c r="O13" i="204" s="1"/>
  <c r="N7" i="243"/>
  <c r="M7" i="244"/>
  <c r="M7" i="245"/>
  <c r="L8" i="245"/>
  <c r="M4" i="251"/>
  <c r="L6" i="251"/>
  <c r="AW3" i="251"/>
  <c r="AD2" i="251"/>
  <c r="M127" i="251"/>
  <c r="M135" i="251" s="1"/>
  <c r="M120" i="251"/>
  <c r="M108" i="251"/>
  <c r="M82" i="251"/>
  <c r="N3" i="251"/>
  <c r="AE3" i="251"/>
  <c r="M5" i="251"/>
  <c r="P7" i="246"/>
  <c r="P7" i="242"/>
  <c r="O7" i="237"/>
  <c r="K24" i="248"/>
  <c r="L22" i="248"/>
  <c r="M21" i="248"/>
  <c r="L23" i="248"/>
  <c r="O98" i="231"/>
  <c r="Q12" i="231"/>
  <c r="Q24" i="231"/>
  <c r="P76" i="231"/>
  <c r="P84" i="231" s="1"/>
  <c r="P92" i="231" s="1"/>
  <c r="P58" i="231"/>
  <c r="P66" i="231" s="1"/>
  <c r="Q30" i="231"/>
  <c r="P64" i="231"/>
  <c r="P72" i="231" s="1"/>
  <c r="P82" i="231"/>
  <c r="P90" i="231" s="1"/>
  <c r="Q9" i="231"/>
  <c r="Q28" i="231"/>
  <c r="P80" i="231"/>
  <c r="P88" i="231" s="1"/>
  <c r="P62" i="231"/>
  <c r="P70" i="231" s="1"/>
  <c r="Q68" i="231"/>
  <c r="Q29" i="231"/>
  <c r="P63" i="231"/>
  <c r="P81" i="231"/>
  <c r="P89" i="231" s="1"/>
  <c r="R57" i="231"/>
  <c r="R65" i="231" s="1"/>
  <c r="S6" i="231"/>
  <c r="R23" i="231"/>
  <c r="R8" i="231"/>
  <c r="R11" i="231" s="1"/>
  <c r="R10" i="231"/>
  <c r="Q27" i="231"/>
  <c r="P79" i="231"/>
  <c r="P87" i="231" s="1"/>
  <c r="P61" i="231"/>
  <c r="P69" i="231" s="1"/>
  <c r="Q91" i="231"/>
  <c r="Q75" i="231"/>
  <c r="Q83" i="231" s="1"/>
  <c r="P67" i="231"/>
  <c r="O92" i="231"/>
  <c r="P16" i="250"/>
  <c r="R25" i="231"/>
  <c r="Q77" i="231"/>
  <c r="Q85" i="231" s="1"/>
  <c r="Q59" i="231"/>
  <c r="Q67" i="231" s="1"/>
  <c r="M66" i="256"/>
  <c r="L36" i="255" s="1"/>
  <c r="I47" i="248"/>
  <c r="S9" i="223"/>
  <c r="P48" i="228"/>
  <c r="I48" i="248"/>
  <c r="BE26" i="223"/>
  <c r="BF26" i="223" s="1"/>
  <c r="BG26" i="223" s="1"/>
  <c r="BH26" i="223" s="1"/>
  <c r="U4" i="223"/>
  <c r="T8" i="223"/>
  <c r="T9" i="223" s="1"/>
  <c r="P26" i="198"/>
  <c r="P28" i="223"/>
  <c r="Q25" i="223"/>
  <c r="BJ22" i="223"/>
  <c r="BK22" i="223"/>
  <c r="BL22" i="223"/>
  <c r="BI22" i="223"/>
  <c r="N41" i="256"/>
  <c r="N49" i="256"/>
  <c r="N57" i="256"/>
  <c r="N42" i="256"/>
  <c r="N50" i="256"/>
  <c r="N58" i="256"/>
  <c r="N43" i="256"/>
  <c r="N53" i="256"/>
  <c r="N44" i="256"/>
  <c r="N54" i="256"/>
  <c r="N45" i="256"/>
  <c r="N55" i="256"/>
  <c r="N46" i="256"/>
  <c r="N56" i="256"/>
  <c r="N47" i="256"/>
  <c r="N59" i="256"/>
  <c r="N39" i="256"/>
  <c r="N51" i="256"/>
  <c r="N61" i="256"/>
  <c r="N40" i="256"/>
  <c r="N48" i="256"/>
  <c r="N52" i="256"/>
  <c r="N60" i="256"/>
  <c r="N62" i="256"/>
  <c r="N38" i="256"/>
  <c r="R30" i="228"/>
  <c r="P27" i="223"/>
  <c r="Q24" i="223"/>
  <c r="M65" i="256"/>
  <c r="L29" i="255" s="1"/>
  <c r="L58" i="252"/>
  <c r="L60" i="252" s="1"/>
  <c r="L32" i="252"/>
  <c r="L50" i="252"/>
  <c r="L41" i="252"/>
  <c r="K48" i="255"/>
  <c r="H123" i="251" s="1"/>
  <c r="J29" i="248"/>
  <c r="J30" i="248"/>
  <c r="J27" i="248"/>
  <c r="J34" i="248"/>
  <c r="J35" i="248"/>
  <c r="J32" i="248"/>
  <c r="J28" i="248"/>
  <c r="J33" i="248"/>
  <c r="I46" i="248"/>
  <c r="Q40" i="228"/>
  <c r="Q41" i="228"/>
  <c r="Q46" i="228"/>
  <c r="Q44" i="228"/>
  <c r="Q42" i="228"/>
  <c r="Q43" i="228"/>
  <c r="Q45" i="228"/>
  <c r="Q37" i="228"/>
  <c r="Q38" i="228"/>
  <c r="Q33" i="228"/>
  <c r="Q36" i="228"/>
  <c r="Q35" i="228"/>
  <c r="Q34" i="228"/>
  <c r="Q47" i="228"/>
  <c r="Q39" i="228"/>
  <c r="J54" i="251"/>
  <c r="J96" i="251" s="1"/>
  <c r="J88" i="251"/>
  <c r="J86" i="251"/>
  <c r="J51" i="251"/>
  <c r="J92" i="251" s="1"/>
  <c r="I45" i="248"/>
  <c r="H49" i="248"/>
  <c r="M64" i="256"/>
  <c r="L22" i="255" s="1"/>
  <c r="K25" i="248"/>
  <c r="M10" i="252"/>
  <c r="O4" i="256"/>
  <c r="AC1" i="251"/>
  <c r="P5" i="223"/>
  <c r="K93" i="253"/>
  <c r="K146" i="251"/>
  <c r="N7" i="255"/>
  <c r="P12" i="250"/>
  <c r="O386" i="250"/>
  <c r="N503" i="250"/>
  <c r="N414" i="250"/>
  <c r="N444" i="250"/>
  <c r="N473" i="250"/>
  <c r="N13" i="231"/>
  <c r="M71" i="231"/>
  <c r="Q16" i="231"/>
  <c r="L20" i="231"/>
  <c r="K97" i="231"/>
  <c r="Q18" i="231"/>
  <c r="P94" i="231"/>
  <c r="O19" i="231"/>
  <c r="N95" i="231"/>
  <c r="N96" i="231"/>
  <c r="P10" i="250"/>
  <c r="P6" i="250"/>
  <c r="Q17" i="231"/>
  <c r="P93" i="231"/>
  <c r="I226" i="229"/>
  <c r="K84" i="229"/>
  <c r="K85" i="229" s="1"/>
  <c r="K201" i="229" s="1"/>
  <c r="H261" i="229" s="1"/>
  <c r="X97" i="229"/>
  <c r="J42" i="229"/>
  <c r="J215" i="229"/>
  <c r="K29" i="229"/>
  <c r="I227" i="229"/>
  <c r="J161" i="229"/>
  <c r="J162" i="229" s="1"/>
  <c r="J53" i="229"/>
  <c r="J141" i="229"/>
  <c r="J206" i="229"/>
  <c r="J129" i="229"/>
  <c r="J205" i="229" s="1"/>
  <c r="J75" i="229"/>
  <c r="J184" i="229"/>
  <c r="J210" i="229" s="1"/>
  <c r="K57" i="228"/>
  <c r="L49" i="228"/>
  <c r="D175" i="224"/>
  <c r="D176" i="259"/>
  <c r="D178" i="259" s="1"/>
  <c r="D37" i="224"/>
  <c r="J63" i="229"/>
  <c r="J199" i="229" s="1"/>
  <c r="K96" i="229"/>
  <c r="I222" i="229"/>
  <c r="J106" i="229"/>
  <c r="J152" i="229"/>
  <c r="J207" i="229"/>
  <c r="J118" i="229"/>
  <c r="J204" i="229" s="1"/>
  <c r="J174" i="229"/>
  <c r="J209" i="229"/>
  <c r="L57" i="228"/>
  <c r="P49" i="228"/>
  <c r="I54" i="228" s="1"/>
  <c r="F177" i="259" s="1"/>
  <c r="E37" i="224"/>
  <c r="E176" i="259"/>
  <c r="E175" i="224"/>
  <c r="F176" i="224" l="1"/>
  <c r="N121" i="224"/>
  <c r="M123" i="224"/>
  <c r="L12" i="257"/>
  <c r="L15" i="257" s="1"/>
  <c r="M10" i="257"/>
  <c r="M35" i="257" s="1"/>
  <c r="M41" i="257" s="1"/>
  <c r="R5" i="262"/>
  <c r="Q42" i="262"/>
  <c r="M11" i="257"/>
  <c r="N9" i="257"/>
  <c r="M34" i="257"/>
  <c r="M8" i="259"/>
  <c r="M175" i="259" s="1"/>
  <c r="M174" i="259"/>
  <c r="M122" i="259"/>
  <c r="L123" i="259"/>
  <c r="Q121" i="259"/>
  <c r="M66" i="259"/>
  <c r="L67" i="259"/>
  <c r="P65" i="259"/>
  <c r="N7" i="259"/>
  <c r="O5" i="259"/>
  <c r="N194" i="259"/>
  <c r="N102" i="259"/>
  <c r="N50" i="259"/>
  <c r="N171" i="259"/>
  <c r="N6" i="259"/>
  <c r="N173" i="259" s="1"/>
  <c r="N4" i="244"/>
  <c r="M6" i="244"/>
  <c r="M8" i="244" s="1"/>
  <c r="N5" i="245"/>
  <c r="O3" i="245"/>
  <c r="AF3" i="245"/>
  <c r="AY3" i="245" s="1"/>
  <c r="AY11" i="245" s="1"/>
  <c r="AY15" i="245" s="1"/>
  <c r="N4" i="245"/>
  <c r="M6" i="245"/>
  <c r="O54" i="253"/>
  <c r="P7" i="253"/>
  <c r="AX17" i="245"/>
  <c r="N5" i="243"/>
  <c r="AF3" i="243"/>
  <c r="AY3" i="243" s="1"/>
  <c r="AY11" i="243" s="1"/>
  <c r="AY17" i="243" s="1"/>
  <c r="O3" i="243"/>
  <c r="O3" i="253"/>
  <c r="N5" i="253"/>
  <c r="N53" i="253"/>
  <c r="AH3" i="253"/>
  <c r="BC3" i="253" s="1"/>
  <c r="BC11" i="253" s="1"/>
  <c r="BC15" i="253" s="1"/>
  <c r="N3" i="242"/>
  <c r="AE3" i="242"/>
  <c r="AX3" i="242" s="1"/>
  <c r="AX11" i="242" s="1"/>
  <c r="AX15" i="242" s="1"/>
  <c r="M5" i="242"/>
  <c r="N4" i="243"/>
  <c r="M6" i="243"/>
  <c r="M8" i="243" s="1"/>
  <c r="N5" i="246"/>
  <c r="AF3" i="246"/>
  <c r="AY3" i="246" s="1"/>
  <c r="AY11" i="246" s="1"/>
  <c r="AY17" i="246" s="1"/>
  <c r="O3" i="246"/>
  <c r="P3" i="237"/>
  <c r="O5" i="237"/>
  <c r="AG3" i="237"/>
  <c r="AZ3" i="237" s="1"/>
  <c r="AZ11" i="237" s="1"/>
  <c r="AZ15" i="237" s="1"/>
  <c r="AX15" i="243"/>
  <c r="AY15" i="243" s="1"/>
  <c r="D115" i="251"/>
  <c r="D114" i="251"/>
  <c r="D112" i="251"/>
  <c r="N6" i="237"/>
  <c r="N8" i="237" s="1"/>
  <c r="O4" i="237"/>
  <c r="M6" i="246"/>
  <c r="M8" i="246" s="1"/>
  <c r="N4" i="246"/>
  <c r="L6" i="242"/>
  <c r="L8" i="242" s="1"/>
  <c r="M4" i="242"/>
  <c r="AX15" i="246"/>
  <c r="AY17" i="237"/>
  <c r="BB17" i="253"/>
  <c r="BC17" i="253" s="1"/>
  <c r="AX15" i="244"/>
  <c r="N5" i="244"/>
  <c r="AF3" i="244"/>
  <c r="AY3" i="244" s="1"/>
  <c r="AY11" i="244" s="1"/>
  <c r="AY17" i="244" s="1"/>
  <c r="O3" i="244"/>
  <c r="M6" i="253"/>
  <c r="M8" i="253" s="1"/>
  <c r="N4" i="253"/>
  <c r="Q6" i="252"/>
  <c r="P8" i="252"/>
  <c r="R5" i="252"/>
  <c r="Q7" i="252"/>
  <c r="Q9" i="252"/>
  <c r="T57" i="252"/>
  <c r="U56" i="252"/>
  <c r="DE8" i="204"/>
  <c r="O12" i="204"/>
  <c r="P11" i="204" s="1"/>
  <c r="P13" i="204" s="1"/>
  <c r="O14" i="204"/>
  <c r="O8" i="204"/>
  <c r="O7" i="243"/>
  <c r="N7" i="244"/>
  <c r="N7" i="245"/>
  <c r="M8" i="245"/>
  <c r="M6" i="251"/>
  <c r="N4" i="251"/>
  <c r="AX3" i="251"/>
  <c r="AE2" i="251"/>
  <c r="N120" i="251"/>
  <c r="AF3" i="251"/>
  <c r="N127" i="251"/>
  <c r="N135" i="251" s="1"/>
  <c r="N108" i="251"/>
  <c r="N5" i="251"/>
  <c r="O3" i="251"/>
  <c r="N82" i="251"/>
  <c r="Q7" i="246"/>
  <c r="Q7" i="242"/>
  <c r="P7" i="237"/>
  <c r="L24" i="248"/>
  <c r="M22" i="248"/>
  <c r="J46" i="248"/>
  <c r="M23" i="248"/>
  <c r="N21" i="248"/>
  <c r="P98" i="231"/>
  <c r="R29" i="231"/>
  <c r="Q81" i="231"/>
  <c r="Q89" i="231" s="1"/>
  <c r="Q63" i="231"/>
  <c r="R27" i="231"/>
  <c r="Q61" i="231"/>
  <c r="Q69" i="231" s="1"/>
  <c r="Q79" i="231"/>
  <c r="Q87" i="231" s="1"/>
  <c r="R30" i="231"/>
  <c r="Q82" i="231"/>
  <c r="Q90" i="231" s="1"/>
  <c r="Q64" i="231"/>
  <c r="Q72" i="231" s="1"/>
  <c r="R28" i="231"/>
  <c r="Q62" i="231"/>
  <c r="Q70" i="231" s="1"/>
  <c r="Q80" i="231"/>
  <c r="Q88" i="231" s="1"/>
  <c r="R9" i="231"/>
  <c r="R24" i="231"/>
  <c r="Q58" i="231"/>
  <c r="Q66" i="231" s="1"/>
  <c r="Q76" i="231"/>
  <c r="Q84" i="231" s="1"/>
  <c r="Q92" i="231" s="1"/>
  <c r="R75" i="231"/>
  <c r="R83" i="231" s="1"/>
  <c r="R91" i="231"/>
  <c r="S57" i="231"/>
  <c r="T6" i="231"/>
  <c r="S23" i="231"/>
  <c r="S8" i="231"/>
  <c r="S11" i="231" s="1"/>
  <c r="R68" i="231"/>
  <c r="R12" i="231"/>
  <c r="S25" i="231"/>
  <c r="R77" i="231"/>
  <c r="R85" i="231" s="1"/>
  <c r="R59" i="231"/>
  <c r="R67" i="231" s="1"/>
  <c r="L48" i="255"/>
  <c r="I123" i="251" s="1"/>
  <c r="J45" i="248"/>
  <c r="Q26" i="198"/>
  <c r="R25" i="223"/>
  <c r="BI26" i="223"/>
  <c r="BJ26" i="223" s="1"/>
  <c r="BK26" i="223" s="1"/>
  <c r="BL26" i="223" s="1"/>
  <c r="U8" i="223"/>
  <c r="U9" i="223" s="1"/>
  <c r="V4" i="223"/>
  <c r="O45" i="256"/>
  <c r="O53" i="256"/>
  <c r="O61" i="256"/>
  <c r="O38" i="256"/>
  <c r="O46" i="256"/>
  <c r="O54" i="256"/>
  <c r="O66" i="256" s="1"/>
  <c r="N36" i="255" s="1"/>
  <c r="O62" i="256"/>
  <c r="O44" i="256"/>
  <c r="O56" i="256"/>
  <c r="O47" i="256"/>
  <c r="O57" i="256"/>
  <c r="O48" i="256"/>
  <c r="O58" i="256"/>
  <c r="O39" i="256"/>
  <c r="O49" i="256"/>
  <c r="O59" i="256"/>
  <c r="O40" i="256"/>
  <c r="O50" i="256"/>
  <c r="O60" i="256"/>
  <c r="O42" i="256"/>
  <c r="O52" i="256"/>
  <c r="O51" i="256"/>
  <c r="O55" i="256"/>
  <c r="O41" i="256"/>
  <c r="O43" i="256"/>
  <c r="M32" i="252"/>
  <c r="M41" i="252"/>
  <c r="M50" i="252"/>
  <c r="M58" i="252"/>
  <c r="M60" i="252" s="1"/>
  <c r="R45" i="228"/>
  <c r="R44" i="228"/>
  <c r="R46" i="228"/>
  <c r="R41" i="228"/>
  <c r="R43" i="228"/>
  <c r="R42" i="228"/>
  <c r="R40" i="228"/>
  <c r="R38" i="228"/>
  <c r="R37" i="228"/>
  <c r="R33" i="228"/>
  <c r="R35" i="228"/>
  <c r="R36" i="228"/>
  <c r="R47" i="228"/>
  <c r="R34" i="228"/>
  <c r="R39" i="228"/>
  <c r="K29" i="248"/>
  <c r="K30" i="248"/>
  <c r="K32" i="248"/>
  <c r="K34" i="248"/>
  <c r="K35" i="248"/>
  <c r="K28" i="248"/>
  <c r="K33" i="248"/>
  <c r="K27" i="248"/>
  <c r="N66" i="256"/>
  <c r="M36" i="255" s="1"/>
  <c r="N65" i="256"/>
  <c r="M29" i="255" s="1"/>
  <c r="I49" i="248"/>
  <c r="N64" i="256"/>
  <c r="M22" i="255" s="1"/>
  <c r="N10" i="252"/>
  <c r="L25" i="248"/>
  <c r="AD1" i="251"/>
  <c r="P4" i="256"/>
  <c r="L93" i="253"/>
  <c r="Q5" i="223"/>
  <c r="O7" i="255"/>
  <c r="L146" i="251"/>
  <c r="Q48" i="228"/>
  <c r="J48" i="248"/>
  <c r="K54" i="251"/>
  <c r="K96" i="251" s="1"/>
  <c r="K86" i="251"/>
  <c r="K88" i="251"/>
  <c r="K51" i="251"/>
  <c r="K92" i="251" s="1"/>
  <c r="J47" i="248"/>
  <c r="S30" i="228"/>
  <c r="R24" i="223"/>
  <c r="O503" i="250"/>
  <c r="O414" i="250"/>
  <c r="O444" i="250"/>
  <c r="O473" i="250"/>
  <c r="R18" i="231"/>
  <c r="Q94" i="231"/>
  <c r="M20" i="231"/>
  <c r="L97" i="231"/>
  <c r="P19" i="231"/>
  <c r="O96" i="231"/>
  <c r="O95" i="231"/>
  <c r="R16" i="231"/>
  <c r="R17" i="231"/>
  <c r="Q93" i="231"/>
  <c r="O13" i="231"/>
  <c r="N71" i="231"/>
  <c r="J185" i="229"/>
  <c r="K183" i="229" s="1"/>
  <c r="J119" i="229"/>
  <c r="K86" i="229"/>
  <c r="E115" i="224"/>
  <c r="E37" i="259"/>
  <c r="E115" i="259" s="1"/>
  <c r="D177" i="224"/>
  <c r="D178" i="224" s="1"/>
  <c r="D179" i="259" s="1"/>
  <c r="D180" i="259" s="1"/>
  <c r="D181" i="259" s="1"/>
  <c r="J107" i="229"/>
  <c r="J203" i="229" s="1"/>
  <c r="F39" i="224"/>
  <c r="J64" i="229"/>
  <c r="H54" i="228"/>
  <c r="E177" i="259" s="1"/>
  <c r="J130" i="229"/>
  <c r="K30" i="229"/>
  <c r="K196" i="229" s="1"/>
  <c r="J226" i="229"/>
  <c r="K150" i="229"/>
  <c r="K151" i="229" s="1"/>
  <c r="J216" i="229"/>
  <c r="K40" i="229"/>
  <c r="K202" i="229"/>
  <c r="K139" i="229"/>
  <c r="J225" i="229"/>
  <c r="K172" i="229"/>
  <c r="J228" i="229"/>
  <c r="K97" i="229"/>
  <c r="K51" i="229"/>
  <c r="K52" i="229" s="1"/>
  <c r="J217" i="229"/>
  <c r="D37" i="259"/>
  <c r="D115" i="224"/>
  <c r="K73" i="229"/>
  <c r="K74" i="229" s="1"/>
  <c r="J219" i="229"/>
  <c r="J163" i="229"/>
  <c r="J208" i="229"/>
  <c r="X221" i="229"/>
  <c r="Y95" i="229"/>
  <c r="X98" i="229"/>
  <c r="X100" i="229" s="1"/>
  <c r="X240" i="229" s="1"/>
  <c r="E176" i="224" l="1"/>
  <c r="E177" i="224" s="1"/>
  <c r="E178" i="224" s="1"/>
  <c r="N123" i="224"/>
  <c r="T121" i="224"/>
  <c r="T123" i="224" s="1"/>
  <c r="T124" i="224" s="1"/>
  <c r="O121" i="224"/>
  <c r="N11" i="257"/>
  <c r="O9" i="257"/>
  <c r="N34" i="257"/>
  <c r="M12" i="257"/>
  <c r="M15" i="257" s="1"/>
  <c r="N10" i="257"/>
  <c r="N35" i="257" s="1"/>
  <c r="N41" i="257" s="1"/>
  <c r="R42" i="262"/>
  <c r="S5" i="262"/>
  <c r="J65" i="229"/>
  <c r="J67" i="229" s="1"/>
  <c r="J237" i="229" s="1"/>
  <c r="O7" i="259"/>
  <c r="O194" i="259"/>
  <c r="O6" i="259"/>
  <c r="O173" i="259" s="1"/>
  <c r="P5" i="259"/>
  <c r="O171" i="259"/>
  <c r="O102" i="259"/>
  <c r="R121" i="259"/>
  <c r="N174" i="259"/>
  <c r="N8" i="259"/>
  <c r="N175" i="259" s="1"/>
  <c r="Q65" i="259"/>
  <c r="N122" i="259"/>
  <c r="M123" i="259"/>
  <c r="N66" i="259"/>
  <c r="M67" i="259"/>
  <c r="AZ17" i="237"/>
  <c r="N6" i="253"/>
  <c r="N8" i="253" s="1"/>
  <c r="O4" i="253"/>
  <c r="AY17" i="245"/>
  <c r="P3" i="244"/>
  <c r="O5" i="244"/>
  <c r="AG3" i="244"/>
  <c r="AZ3" i="244" s="1"/>
  <c r="AZ11" i="244" s="1"/>
  <c r="AZ17" i="244" s="1"/>
  <c r="AY15" i="246"/>
  <c r="P3" i="246"/>
  <c r="O5" i="246"/>
  <c r="AG3" i="246"/>
  <c r="AZ3" i="246" s="1"/>
  <c r="AZ11" i="246" s="1"/>
  <c r="AZ17" i="246" s="1"/>
  <c r="M6" i="242"/>
  <c r="M8" i="242" s="1"/>
  <c r="N4" i="242"/>
  <c r="P3" i="253"/>
  <c r="O53" i="253"/>
  <c r="O5" i="253"/>
  <c r="AI3" i="253"/>
  <c r="BD3" i="253" s="1"/>
  <c r="BD11" i="253" s="1"/>
  <c r="BD17" i="253" s="1"/>
  <c r="P54" i="253"/>
  <c r="Q7" i="253"/>
  <c r="N6" i="244"/>
  <c r="N8" i="244" s="1"/>
  <c r="O4" i="244"/>
  <c r="O6" i="237"/>
  <c r="O8" i="237" s="1"/>
  <c r="P4" i="237"/>
  <c r="N6" i="246"/>
  <c r="N8" i="246" s="1"/>
  <c r="O4" i="246"/>
  <c r="O3" i="242"/>
  <c r="AF3" i="242"/>
  <c r="AY3" i="242" s="1"/>
  <c r="AY11" i="242" s="1"/>
  <c r="AY15" i="242" s="1"/>
  <c r="N5" i="242"/>
  <c r="AX17" i="242"/>
  <c r="Q3" i="237"/>
  <c r="P5" i="237"/>
  <c r="AH3" i="237"/>
  <c r="BA3" i="237" s="1"/>
  <c r="BA11" i="237" s="1"/>
  <c r="BA17" i="237" s="1"/>
  <c r="P3" i="243"/>
  <c r="O5" i="243"/>
  <c r="AG3" i="243"/>
  <c r="AZ3" i="243" s="1"/>
  <c r="AZ11" i="243" s="1"/>
  <c r="AZ17" i="243" s="1"/>
  <c r="AY15" i="244"/>
  <c r="P3" i="245"/>
  <c r="O5" i="245"/>
  <c r="AG3" i="245"/>
  <c r="AZ3" i="245" s="1"/>
  <c r="AZ11" i="245" s="1"/>
  <c r="AZ17" i="245" s="1"/>
  <c r="D113" i="251"/>
  <c r="D56" i="251" s="1"/>
  <c r="N6" i="243"/>
  <c r="N8" i="243" s="1"/>
  <c r="O4" i="243"/>
  <c r="O4" i="245"/>
  <c r="N6" i="245"/>
  <c r="U57" i="252"/>
  <c r="V56" i="252"/>
  <c r="V57" i="252" s="1"/>
  <c r="Q8" i="252"/>
  <c r="R6" i="252"/>
  <c r="R7" i="252"/>
  <c r="S5" i="252"/>
  <c r="R9" i="252"/>
  <c r="DF8" i="204"/>
  <c r="P12" i="204"/>
  <c r="Q11" i="204" s="1"/>
  <c r="Q13" i="204" s="1"/>
  <c r="P8" i="204"/>
  <c r="P14" i="204"/>
  <c r="P7" i="243"/>
  <c r="O7" i="244"/>
  <c r="O7" i="245"/>
  <c r="N8" i="245"/>
  <c r="O120" i="251"/>
  <c r="O82" i="251"/>
  <c r="O127" i="251"/>
  <c r="O135" i="251" s="1"/>
  <c r="O108" i="251"/>
  <c r="O5" i="251"/>
  <c r="P3" i="251"/>
  <c r="AG3" i="251"/>
  <c r="O4" i="251"/>
  <c r="N6" i="251"/>
  <c r="AY3" i="251"/>
  <c r="AF2" i="251"/>
  <c r="R7" i="246"/>
  <c r="R7" i="242"/>
  <c r="Q7" i="237"/>
  <c r="Q98" i="231"/>
  <c r="K45" i="248"/>
  <c r="O21" i="248"/>
  <c r="N23" i="248"/>
  <c r="K48" i="248"/>
  <c r="N22" i="248"/>
  <c r="M24" i="248"/>
  <c r="U6" i="231"/>
  <c r="T57" i="231"/>
  <c r="T65" i="231" s="1"/>
  <c r="T23" i="231"/>
  <c r="T8" i="231"/>
  <c r="T11" i="231" s="1"/>
  <c r="S9" i="231"/>
  <c r="S27" i="231"/>
  <c r="R79" i="231"/>
  <c r="R87" i="231" s="1"/>
  <c r="R61" i="231"/>
  <c r="R69" i="231" s="1"/>
  <c r="S12" i="231"/>
  <c r="S65" i="231"/>
  <c r="M35" i="231"/>
  <c r="S28" i="231"/>
  <c r="R80" i="231"/>
  <c r="R88" i="231" s="1"/>
  <c r="R62" i="231"/>
  <c r="R70" i="231" s="1"/>
  <c r="S10" i="231"/>
  <c r="S68" i="231"/>
  <c r="M38" i="231" s="1"/>
  <c r="S24" i="231"/>
  <c r="R58" i="231"/>
  <c r="R66" i="231" s="1"/>
  <c r="R76" i="231"/>
  <c r="R84" i="231" s="1"/>
  <c r="S30" i="231"/>
  <c r="R64" i="231"/>
  <c r="R72" i="231" s="1"/>
  <c r="R82" i="231"/>
  <c r="R90" i="231" s="1"/>
  <c r="S29" i="231"/>
  <c r="R81" i="231"/>
  <c r="R89" i="231" s="1"/>
  <c r="R63" i="231"/>
  <c r="T25" i="231"/>
  <c r="S77" i="231"/>
  <c r="S85" i="231" s="1"/>
  <c r="S59" i="231"/>
  <c r="S67" i="231" s="1"/>
  <c r="S25" i="223"/>
  <c r="R26" i="198"/>
  <c r="K47" i="248"/>
  <c r="W4" i="223"/>
  <c r="V8" i="223"/>
  <c r="V9" i="223" s="1"/>
  <c r="J49" i="248"/>
  <c r="M48" i="255"/>
  <c r="J123" i="251" s="1"/>
  <c r="P41" i="256"/>
  <c r="P49" i="256"/>
  <c r="P57" i="256"/>
  <c r="P42" i="256"/>
  <c r="P50" i="256"/>
  <c r="P58" i="256"/>
  <c r="P38" i="256"/>
  <c r="P48" i="256"/>
  <c r="P60" i="256"/>
  <c r="P39" i="256"/>
  <c r="P51" i="256"/>
  <c r="P61" i="256"/>
  <c r="P40" i="256"/>
  <c r="P52" i="256"/>
  <c r="P62" i="256"/>
  <c r="P43" i="256"/>
  <c r="P53" i="256"/>
  <c r="P44" i="256"/>
  <c r="P54" i="256"/>
  <c r="P46" i="256"/>
  <c r="P56" i="256"/>
  <c r="P45" i="256"/>
  <c r="P47" i="256"/>
  <c r="P55" i="256"/>
  <c r="P59" i="256"/>
  <c r="K46" i="248"/>
  <c r="R48" i="228"/>
  <c r="I53" i="228" s="1"/>
  <c r="T30" i="228"/>
  <c r="S24" i="223"/>
  <c r="L54" i="251"/>
  <c r="L96" i="251" s="1"/>
  <c r="L86" i="251"/>
  <c r="L88" i="251"/>
  <c r="L51" i="251"/>
  <c r="L92" i="251" s="1"/>
  <c r="O64" i="256"/>
  <c r="N22" i="255" s="1"/>
  <c r="S44" i="228"/>
  <c r="S45" i="228"/>
  <c r="S46" i="228"/>
  <c r="S42" i="228"/>
  <c r="S43" i="228"/>
  <c r="S41" i="228"/>
  <c r="S40" i="228"/>
  <c r="S38" i="228"/>
  <c r="S37" i="228"/>
  <c r="S33" i="228"/>
  <c r="S35" i="228"/>
  <c r="S36" i="228"/>
  <c r="S34" i="228"/>
  <c r="S47" i="228"/>
  <c r="S39" i="228"/>
  <c r="L28" i="248"/>
  <c r="L33" i="248"/>
  <c r="L27" i="248"/>
  <c r="L29" i="248"/>
  <c r="L30" i="248"/>
  <c r="L34" i="248"/>
  <c r="L35" i="248"/>
  <c r="L32" i="248"/>
  <c r="N50" i="252"/>
  <c r="N58" i="252"/>
  <c r="N60" i="252" s="1"/>
  <c r="N41" i="252"/>
  <c r="N32" i="252"/>
  <c r="M25" i="248"/>
  <c r="O10" i="252"/>
  <c r="Q4" i="256"/>
  <c r="AE1" i="251"/>
  <c r="P7" i="255"/>
  <c r="M146" i="251"/>
  <c r="M93" i="253"/>
  <c r="R5" i="223"/>
  <c r="O65" i="256"/>
  <c r="N29" i="255" s="1"/>
  <c r="P13" i="231"/>
  <c r="O71" i="231"/>
  <c r="S16" i="231"/>
  <c r="Q19" i="231"/>
  <c r="P96" i="231"/>
  <c r="P95" i="231"/>
  <c r="S18" i="231"/>
  <c r="R94" i="231"/>
  <c r="S17" i="231"/>
  <c r="R93" i="231"/>
  <c r="N20" i="231"/>
  <c r="M97" i="231"/>
  <c r="J229" i="229"/>
  <c r="D43" i="259"/>
  <c r="K161" i="229"/>
  <c r="K162" i="229" s="1"/>
  <c r="J227" i="229"/>
  <c r="K41" i="229"/>
  <c r="K197" i="229" s="1"/>
  <c r="K128" i="229"/>
  <c r="J224" i="229"/>
  <c r="J108" i="229"/>
  <c r="E39" i="224"/>
  <c r="E178" i="259"/>
  <c r="E179" i="259" s="1"/>
  <c r="Y96" i="229"/>
  <c r="Y202" i="229" s="1"/>
  <c r="K75" i="229"/>
  <c r="K200" i="229"/>
  <c r="H260" i="229" s="1"/>
  <c r="K53" i="229"/>
  <c r="K198" i="229"/>
  <c r="K152" i="229"/>
  <c r="K207" i="229"/>
  <c r="H267" i="229" s="1"/>
  <c r="J218" i="229"/>
  <c r="K62" i="229"/>
  <c r="K63" i="229" s="1"/>
  <c r="K140" i="229"/>
  <c r="K206" i="229" s="1"/>
  <c r="F117" i="224"/>
  <c r="F39" i="259"/>
  <c r="F117" i="259" s="1"/>
  <c r="K221" i="229"/>
  <c r="H283" i="229" s="1"/>
  <c r="H327" i="229" s="1"/>
  <c r="L95" i="229"/>
  <c r="K184" i="229"/>
  <c r="K210" i="229" s="1"/>
  <c r="H270" i="229" s="1"/>
  <c r="D115" i="259"/>
  <c r="K31" i="229"/>
  <c r="K220" i="229"/>
  <c r="H282" i="229" s="1"/>
  <c r="H326" i="229" s="1"/>
  <c r="L84" i="229"/>
  <c r="L85" i="229" s="1"/>
  <c r="K173" i="229"/>
  <c r="K209" i="229" s="1"/>
  <c r="K117" i="229"/>
  <c r="K118" i="229" s="1"/>
  <c r="J223" i="229"/>
  <c r="O123" i="224" l="1"/>
  <c r="P121" i="224"/>
  <c r="L38" i="231"/>
  <c r="R92" i="231"/>
  <c r="S42" i="262"/>
  <c r="T5" i="262"/>
  <c r="O34" i="257"/>
  <c r="P9" i="257"/>
  <c r="O11" i="257"/>
  <c r="N12" i="257"/>
  <c r="N15" i="257" s="1"/>
  <c r="O10" i="257"/>
  <c r="O35" i="257" s="1"/>
  <c r="O41" i="257" s="1"/>
  <c r="AZ15" i="244"/>
  <c r="S121" i="259"/>
  <c r="O66" i="259"/>
  <c r="N67" i="259"/>
  <c r="O122" i="259"/>
  <c r="N123" i="259"/>
  <c r="R65" i="259"/>
  <c r="P7" i="259"/>
  <c r="P102" i="259"/>
  <c r="P171" i="259"/>
  <c r="Q5" i="259"/>
  <c r="P194" i="259"/>
  <c r="P6" i="259"/>
  <c r="P173" i="259" s="1"/>
  <c r="O174" i="259"/>
  <c r="O8" i="259"/>
  <c r="O175" i="259" s="1"/>
  <c r="BA15" i="237"/>
  <c r="O6" i="245"/>
  <c r="P4" i="245"/>
  <c r="Q3" i="245"/>
  <c r="P5" i="245"/>
  <c r="AH3" i="245"/>
  <c r="BA3" i="245" s="1"/>
  <c r="BA11" i="245" s="1"/>
  <c r="BA17" i="245" s="1"/>
  <c r="P4" i="243"/>
  <c r="O6" i="243"/>
  <c r="O8" i="243" s="1"/>
  <c r="AY17" i="242"/>
  <c r="AZ15" i="243"/>
  <c r="Q3" i="253"/>
  <c r="P53" i="253"/>
  <c r="P5" i="253"/>
  <c r="AJ3" i="253"/>
  <c r="BE3" i="253" s="1"/>
  <c r="BE11" i="253" s="1"/>
  <c r="BE17" i="253" s="1"/>
  <c r="O6" i="246"/>
  <c r="O8" i="246" s="1"/>
  <c r="P4" i="246"/>
  <c r="P5" i="243"/>
  <c r="Q3" i="243"/>
  <c r="AH3" i="243"/>
  <c r="BA3" i="243" s="1"/>
  <c r="BA11" i="243" s="1"/>
  <c r="BA17" i="243" s="1"/>
  <c r="Q54" i="253"/>
  <c r="R7" i="253"/>
  <c r="P5" i="246"/>
  <c r="Q3" i="246"/>
  <c r="AH3" i="246"/>
  <c r="BA3" i="246" s="1"/>
  <c r="BA11" i="246" s="1"/>
  <c r="BA17" i="246" s="1"/>
  <c r="O6" i="244"/>
  <c r="O8" i="244" s="1"/>
  <c r="P4" i="244"/>
  <c r="AZ15" i="246"/>
  <c r="Q3" i="244"/>
  <c r="P5" i="244"/>
  <c r="AH3" i="244"/>
  <c r="BA3" i="244" s="1"/>
  <c r="BA11" i="244" s="1"/>
  <c r="BA15" i="244" s="1"/>
  <c r="AZ15" i="245"/>
  <c r="BA15" i="245" s="1"/>
  <c r="N6" i="242"/>
  <c r="N8" i="242" s="1"/>
  <c r="O4" i="242"/>
  <c r="P6" i="237"/>
  <c r="P8" i="237" s="1"/>
  <c r="Q4" i="237"/>
  <c r="BD15" i="253"/>
  <c r="BE15" i="253" s="1"/>
  <c r="Q5" i="237"/>
  <c r="R3" i="237"/>
  <c r="AI3" i="237"/>
  <c r="BB3" i="237" s="1"/>
  <c r="BB11" i="237" s="1"/>
  <c r="BB17" i="237" s="1"/>
  <c r="O5" i="242"/>
  <c r="P3" i="242"/>
  <c r="AG3" i="242"/>
  <c r="AZ3" i="242" s="1"/>
  <c r="AZ11" i="242" s="1"/>
  <c r="AZ15" i="242" s="1"/>
  <c r="P4" i="253"/>
  <c r="O6" i="253"/>
  <c r="O8" i="253" s="1"/>
  <c r="S7" i="252"/>
  <c r="T5" i="252"/>
  <c r="S9" i="252"/>
  <c r="R8" i="252"/>
  <c r="S6" i="252"/>
  <c r="Q8" i="204"/>
  <c r="Q14" i="204"/>
  <c r="Q12" i="204"/>
  <c r="R11" i="204" s="1"/>
  <c r="R13" i="204" s="1"/>
  <c r="DG8" i="204"/>
  <c r="Q7" i="243"/>
  <c r="P7" i="244"/>
  <c r="P7" i="245"/>
  <c r="O8" i="245"/>
  <c r="Q3" i="251"/>
  <c r="AH3" i="251"/>
  <c r="P5" i="251"/>
  <c r="P82" i="251"/>
  <c r="P127" i="251"/>
  <c r="P135" i="251" s="1"/>
  <c r="P108" i="251"/>
  <c r="P120" i="251"/>
  <c r="O6" i="251"/>
  <c r="P4" i="251"/>
  <c r="AZ3" i="251"/>
  <c r="AG2" i="251"/>
  <c r="S7" i="246"/>
  <c r="S7" i="242"/>
  <c r="R7" i="237"/>
  <c r="L46" i="248"/>
  <c r="O22" i="248"/>
  <c r="N24" i="248"/>
  <c r="P21" i="248"/>
  <c r="O23" i="248"/>
  <c r="T12" i="231"/>
  <c r="T68" i="231"/>
  <c r="T30" i="231"/>
  <c r="S64" i="231"/>
  <c r="S72" i="231" s="1"/>
  <c r="M42" i="231" s="1"/>
  <c r="L42" i="231" s="1"/>
  <c r="S82" i="231"/>
  <c r="S90" i="231" s="1"/>
  <c r="T91" i="231"/>
  <c r="T75" i="231"/>
  <c r="T83" i="231" s="1"/>
  <c r="T28" i="231"/>
  <c r="S80" i="231"/>
  <c r="S88" i="231" s="1"/>
  <c r="S62" i="231"/>
  <c r="S70" i="231" s="1"/>
  <c r="U57" i="231"/>
  <c r="U65" i="231" s="1"/>
  <c r="U23" i="231"/>
  <c r="V6" i="231"/>
  <c r="U8" i="231"/>
  <c r="U11" i="231" s="1"/>
  <c r="T27" i="231"/>
  <c r="S61" i="231"/>
  <c r="S69" i="231" s="1"/>
  <c r="S79" i="231"/>
  <c r="S87" i="231" s="1"/>
  <c r="S75" i="231"/>
  <c r="S83" i="231" s="1"/>
  <c r="S91" i="231"/>
  <c r="R98" i="231"/>
  <c r="T29" i="231"/>
  <c r="S81" i="231"/>
  <c r="S89" i="231" s="1"/>
  <c r="S63" i="231"/>
  <c r="T24" i="231"/>
  <c r="S76" i="231"/>
  <c r="S84" i="231" s="1"/>
  <c r="S58" i="231"/>
  <c r="S66" i="231" s="1"/>
  <c r="T10" i="231"/>
  <c r="T9" i="231"/>
  <c r="M37" i="231"/>
  <c r="L37" i="231" s="1"/>
  <c r="U25" i="231"/>
  <c r="T77" i="231"/>
  <c r="T59" i="231"/>
  <c r="K49" i="248"/>
  <c r="N12" i="224" s="1"/>
  <c r="P65" i="256"/>
  <c r="O29" i="255" s="1"/>
  <c r="S26" i="198"/>
  <c r="T25" i="223"/>
  <c r="W8" i="223"/>
  <c r="W9" i="223" s="1"/>
  <c r="X4" i="223"/>
  <c r="P64" i="256"/>
  <c r="O22" i="255" s="1"/>
  <c r="L48" i="248"/>
  <c r="L47" i="248"/>
  <c r="N48" i="255"/>
  <c r="K123" i="251" s="1"/>
  <c r="AF1" i="251"/>
  <c r="N25" i="248"/>
  <c r="R4" i="256"/>
  <c r="P10" i="252"/>
  <c r="Q7" i="255"/>
  <c r="S5" i="223"/>
  <c r="N146" i="251"/>
  <c r="N93" i="253"/>
  <c r="T44" i="228"/>
  <c r="T40" i="228"/>
  <c r="T46" i="228"/>
  <c r="T42" i="228"/>
  <c r="T43" i="228"/>
  <c r="T45" i="228"/>
  <c r="T41" i="228"/>
  <c r="T38" i="228"/>
  <c r="T37" i="228"/>
  <c r="T33" i="228"/>
  <c r="T35" i="228"/>
  <c r="T36" i="228"/>
  <c r="T47" i="228"/>
  <c r="T34" i="228"/>
  <c r="T39" i="228"/>
  <c r="S48" i="228"/>
  <c r="M54" i="251"/>
  <c r="M96" i="251" s="1"/>
  <c r="M88" i="251"/>
  <c r="M51" i="251"/>
  <c r="M92" i="251" s="1"/>
  <c r="M86" i="251"/>
  <c r="P66" i="256"/>
  <c r="O36" i="255" s="1"/>
  <c r="Q45" i="256"/>
  <c r="Q53" i="256"/>
  <c r="Q61" i="256"/>
  <c r="Q38" i="256"/>
  <c r="Q46" i="256"/>
  <c r="Q54" i="256"/>
  <c r="Q62" i="256"/>
  <c r="Q41" i="256"/>
  <c r="Q51" i="256"/>
  <c r="Q42" i="256"/>
  <c r="Q52" i="256"/>
  <c r="Q43" i="256"/>
  <c r="Q55" i="256"/>
  <c r="Q44" i="256"/>
  <c r="Q56" i="256"/>
  <c r="Q47" i="256"/>
  <c r="Q57" i="256"/>
  <c r="Q39" i="256"/>
  <c r="Q49" i="256"/>
  <c r="Q59" i="256"/>
  <c r="Q40" i="256"/>
  <c r="Q48" i="256"/>
  <c r="Q50" i="256"/>
  <c r="Q58" i="256"/>
  <c r="Q60" i="256"/>
  <c r="M57" i="228"/>
  <c r="T49" i="228"/>
  <c r="F175" i="224"/>
  <c r="F37" i="224"/>
  <c r="F176" i="259"/>
  <c r="F178" i="259" s="1"/>
  <c r="L45" i="248"/>
  <c r="O58" i="252"/>
  <c r="O60" i="252" s="1"/>
  <c r="O32" i="252"/>
  <c r="O41" i="252"/>
  <c r="O50" i="252"/>
  <c r="U30" i="228"/>
  <c r="D13" i="257"/>
  <c r="T24" i="223"/>
  <c r="M29" i="248"/>
  <c r="M30" i="248"/>
  <c r="M33" i="248"/>
  <c r="M27" i="248"/>
  <c r="M32" i="248"/>
  <c r="M35" i="248"/>
  <c r="M28" i="248"/>
  <c r="M34" i="248"/>
  <c r="O20" i="231"/>
  <c r="N97" i="231"/>
  <c r="T16" i="231"/>
  <c r="S92" i="231"/>
  <c r="T17" i="231"/>
  <c r="S93" i="231"/>
  <c r="Q13" i="231"/>
  <c r="P71" i="231"/>
  <c r="T18" i="231"/>
  <c r="S94" i="231"/>
  <c r="R19" i="231"/>
  <c r="Q96" i="231"/>
  <c r="Q95" i="231"/>
  <c r="K141" i="229"/>
  <c r="L139" i="229" s="1"/>
  <c r="K119" i="229"/>
  <c r="K204" i="229"/>
  <c r="L96" i="229"/>
  <c r="L97" i="229" s="1"/>
  <c r="K64" i="229"/>
  <c r="K199" i="229"/>
  <c r="H259" i="229" s="1"/>
  <c r="L51" i="229"/>
  <c r="K217" i="229"/>
  <c r="H279" i="229" s="1"/>
  <c r="H323" i="229" s="1"/>
  <c r="J222" i="229"/>
  <c r="K106" i="229"/>
  <c r="K42" i="229"/>
  <c r="E180" i="259"/>
  <c r="E181" i="259" s="1"/>
  <c r="L73" i="229"/>
  <c r="K219" i="229"/>
  <c r="H281" i="229" s="1"/>
  <c r="H325" i="229" s="1"/>
  <c r="E39" i="259"/>
  <c r="E117" i="224"/>
  <c r="K129" i="229"/>
  <c r="K205" i="229" s="1"/>
  <c r="H265" i="229" s="1"/>
  <c r="D179" i="224"/>
  <c r="D180" i="224" s="1"/>
  <c r="L86" i="229"/>
  <c r="L201" i="229"/>
  <c r="K185" i="229"/>
  <c r="K226" i="229"/>
  <c r="H288" i="229" s="1"/>
  <c r="H332" i="229" s="1"/>
  <c r="L150" i="229"/>
  <c r="L151" i="229" s="1"/>
  <c r="Y97" i="229"/>
  <c r="E179" i="224"/>
  <c r="K163" i="229"/>
  <c r="K208" i="229"/>
  <c r="K174" i="229"/>
  <c r="L29" i="229"/>
  <c r="K215" i="229"/>
  <c r="H277" i="229" s="1"/>
  <c r="H321" i="229" s="1"/>
  <c r="E180" i="224" l="1"/>
  <c r="E43" i="224" s="1"/>
  <c r="P123" i="224"/>
  <c r="Q121" i="224"/>
  <c r="U10" i="231"/>
  <c r="O12" i="257"/>
  <c r="O15" i="257" s="1"/>
  <c r="P10" i="257"/>
  <c r="P35" i="257" s="1"/>
  <c r="P41" i="257" s="1"/>
  <c r="P11" i="257"/>
  <c r="P34" i="257"/>
  <c r="Q9" i="257"/>
  <c r="K65" i="229"/>
  <c r="K67" i="229" s="1"/>
  <c r="K237" i="229" s="1"/>
  <c r="U5" i="262"/>
  <c r="U42" i="262" s="1"/>
  <c r="T42" i="262"/>
  <c r="S65" i="259"/>
  <c r="P122" i="259"/>
  <c r="O123" i="259"/>
  <c r="R5" i="259"/>
  <c r="Q102" i="259"/>
  <c r="Q171" i="259"/>
  <c r="Q194" i="259"/>
  <c r="Q6" i="259"/>
  <c r="Q173" i="259" s="1"/>
  <c r="Q7" i="259"/>
  <c r="P66" i="259"/>
  <c r="O67" i="259"/>
  <c r="P8" i="259"/>
  <c r="P175" i="259" s="1"/>
  <c r="P174" i="259"/>
  <c r="BB15" i="237"/>
  <c r="P6" i="244"/>
  <c r="P8" i="244" s="1"/>
  <c r="Q4" i="244"/>
  <c r="P6" i="253"/>
  <c r="P8" i="253" s="1"/>
  <c r="Q4" i="253"/>
  <c r="Q3" i="242"/>
  <c r="P5" i="242"/>
  <c r="AH3" i="242"/>
  <c r="BA3" i="242" s="1"/>
  <c r="BA11" i="242" s="1"/>
  <c r="BA15" i="242" s="1"/>
  <c r="Q5" i="244"/>
  <c r="R3" i="244"/>
  <c r="AI3" i="244"/>
  <c r="BB3" i="244" s="1"/>
  <c r="BB11" i="244" s="1"/>
  <c r="BB15" i="244" s="1"/>
  <c r="D18" i="255"/>
  <c r="E18" i="255"/>
  <c r="F18" i="255"/>
  <c r="O6" i="242"/>
  <c r="O8" i="242" s="1"/>
  <c r="P4" i="242"/>
  <c r="BA15" i="246"/>
  <c r="R3" i="246"/>
  <c r="Q5" i="246"/>
  <c r="AI3" i="246"/>
  <c r="BB3" i="246" s="1"/>
  <c r="BB11" i="246" s="1"/>
  <c r="BB17" i="246" s="1"/>
  <c r="Q5" i="253"/>
  <c r="R3" i="253"/>
  <c r="Q53" i="253"/>
  <c r="AK3" i="253"/>
  <c r="BF3" i="253" s="1"/>
  <c r="BF11" i="253" s="1"/>
  <c r="BF17" i="253" s="1"/>
  <c r="P6" i="245"/>
  <c r="Q4" i="245"/>
  <c r="BF15" i="253"/>
  <c r="BB15" i="245"/>
  <c r="P6" i="246"/>
  <c r="P8" i="246" s="1"/>
  <c r="Q4" i="246"/>
  <c r="BA15" i="243"/>
  <c r="R3" i="245"/>
  <c r="Q5" i="245"/>
  <c r="AI3" i="245"/>
  <c r="BB3" i="245" s="1"/>
  <c r="BB11" i="245" s="1"/>
  <c r="BB17" i="245" s="1"/>
  <c r="R54" i="253"/>
  <c r="S7" i="253"/>
  <c r="AZ17" i="242"/>
  <c r="BA17" i="242" s="1"/>
  <c r="R5" i="237"/>
  <c r="AJ3" i="237"/>
  <c r="BC3" i="237" s="1"/>
  <c r="BC11" i="237" s="1"/>
  <c r="BC17" i="237" s="1"/>
  <c r="S3" i="237"/>
  <c r="Q6" i="237"/>
  <c r="Q8" i="237" s="1"/>
  <c r="R4" i="237"/>
  <c r="Q5" i="243"/>
  <c r="R3" i="243"/>
  <c r="AI3" i="243"/>
  <c r="BB3" i="243" s="1"/>
  <c r="BB11" i="243" s="1"/>
  <c r="BB15" i="243" s="1"/>
  <c r="P6" i="243"/>
  <c r="P8" i="243" s="1"/>
  <c r="Q4" i="243"/>
  <c r="BA17" i="244"/>
  <c r="U5" i="252"/>
  <c r="T7" i="252"/>
  <c r="T9" i="252"/>
  <c r="T6" i="252"/>
  <c r="S8" i="252"/>
  <c r="S98" i="231"/>
  <c r="DH8" i="204"/>
  <c r="R8" i="204"/>
  <c r="R14" i="204"/>
  <c r="R12" i="204"/>
  <c r="S11" i="204" s="1"/>
  <c r="S13" i="204" s="1"/>
  <c r="R7" i="243"/>
  <c r="Q7" i="244"/>
  <c r="P8" i="245"/>
  <c r="Q7" i="245"/>
  <c r="Q4" i="251"/>
  <c r="P6" i="251"/>
  <c r="BA3" i="251"/>
  <c r="AH2" i="251"/>
  <c r="Q127" i="251"/>
  <c r="Q135" i="251" s="1"/>
  <c r="Q120" i="251"/>
  <c r="Q108" i="251"/>
  <c r="R3" i="251"/>
  <c r="Q5" i="251"/>
  <c r="Q82" i="251"/>
  <c r="AI3" i="251"/>
  <c r="T7" i="246"/>
  <c r="T7" i="242"/>
  <c r="S7" i="237"/>
  <c r="M46" i="248"/>
  <c r="H61" i="260" s="1"/>
  <c r="J61" i="260" s="1"/>
  <c r="N20" i="255"/>
  <c r="P22" i="248"/>
  <c r="O24" i="248"/>
  <c r="P23" i="248"/>
  <c r="Q21" i="248"/>
  <c r="D12" i="224"/>
  <c r="D12" i="259" s="1"/>
  <c r="F20" i="255"/>
  <c r="F12" i="224"/>
  <c r="F12" i="259" s="1"/>
  <c r="D20" i="255"/>
  <c r="E12" i="224"/>
  <c r="E12" i="259" s="1"/>
  <c r="E20" i="255"/>
  <c r="G12" i="224"/>
  <c r="G12" i="259" s="1"/>
  <c r="G20" i="255"/>
  <c r="H20" i="255"/>
  <c r="H12" i="224"/>
  <c r="H12" i="259" s="1"/>
  <c r="I12" i="224"/>
  <c r="I12" i="259" s="1"/>
  <c r="I20" i="255"/>
  <c r="J20" i="255"/>
  <c r="J12" i="224"/>
  <c r="J12" i="259" s="1"/>
  <c r="K20" i="255"/>
  <c r="K12" i="224"/>
  <c r="K12" i="259" s="1"/>
  <c r="L12" i="224"/>
  <c r="L12" i="259" s="1"/>
  <c r="L20" i="255"/>
  <c r="M20" i="255"/>
  <c r="M12" i="224"/>
  <c r="M12" i="259" s="1"/>
  <c r="M36" i="231"/>
  <c r="L36" i="231" s="1"/>
  <c r="V57" i="231"/>
  <c r="V65" i="231" s="1"/>
  <c r="W6" i="231"/>
  <c r="V23" i="231"/>
  <c r="V8" i="231"/>
  <c r="V11" i="231" s="1"/>
  <c r="M40" i="231"/>
  <c r="L40" i="231" s="1"/>
  <c r="M39" i="231"/>
  <c r="L39" i="231" s="1"/>
  <c r="U91" i="231"/>
  <c r="U75" i="231"/>
  <c r="U83" i="231" s="1"/>
  <c r="U30" i="231"/>
  <c r="T82" i="231"/>
  <c r="T90" i="231" s="1"/>
  <c r="T64" i="231"/>
  <c r="T72" i="231" s="1"/>
  <c r="T67" i="231"/>
  <c r="U9" i="231"/>
  <c r="U24" i="231"/>
  <c r="T76" i="231"/>
  <c r="T84" i="231" s="1"/>
  <c r="T58" i="231"/>
  <c r="T66" i="231" s="1"/>
  <c r="U12" i="231"/>
  <c r="V10" i="231"/>
  <c r="U28" i="231"/>
  <c r="T62" i="231"/>
  <c r="T70" i="231" s="1"/>
  <c r="T80" i="231"/>
  <c r="T88" i="231" s="1"/>
  <c r="U27" i="231"/>
  <c r="T61" i="231"/>
  <c r="T69" i="231" s="1"/>
  <c r="T79" i="231"/>
  <c r="T87" i="231" s="1"/>
  <c r="U29" i="231"/>
  <c r="T63" i="231"/>
  <c r="T81" i="231"/>
  <c r="T89" i="231" s="1"/>
  <c r="U68" i="231"/>
  <c r="T85" i="231"/>
  <c r="T93" i="231" s="1"/>
  <c r="V25" i="231"/>
  <c r="U77" i="231"/>
  <c r="U85" i="231" s="1"/>
  <c r="U59" i="231"/>
  <c r="U67" i="231" s="1"/>
  <c r="M47" i="248"/>
  <c r="H66" i="260" s="1"/>
  <c r="J66" i="260" s="1"/>
  <c r="O48" i="255"/>
  <c r="L123" i="251" s="1"/>
  <c r="T26" i="198"/>
  <c r="T28" i="223"/>
  <c r="U25" i="223"/>
  <c r="Y4" i="223"/>
  <c r="X8" i="223"/>
  <c r="X9" i="223" s="1"/>
  <c r="L49" i="248"/>
  <c r="O12" i="224" s="1"/>
  <c r="O12" i="259" s="1"/>
  <c r="Q66" i="256"/>
  <c r="P36" i="255" s="1"/>
  <c r="F177" i="224"/>
  <c r="N28" i="248"/>
  <c r="N33" i="248"/>
  <c r="N34" i="248"/>
  <c r="N30" i="248"/>
  <c r="N35" i="248"/>
  <c r="N27" i="248"/>
  <c r="N32" i="248"/>
  <c r="N29" i="248"/>
  <c r="F37" i="259"/>
  <c r="F115" i="224"/>
  <c r="R41" i="256"/>
  <c r="R49" i="256"/>
  <c r="R57" i="256"/>
  <c r="R42" i="256"/>
  <c r="R50" i="256"/>
  <c r="R58" i="256"/>
  <c r="R45" i="256"/>
  <c r="R55" i="256"/>
  <c r="R46" i="256"/>
  <c r="R56" i="256"/>
  <c r="R47" i="256"/>
  <c r="R59" i="256"/>
  <c r="R38" i="256"/>
  <c r="R48" i="256"/>
  <c r="R60" i="256"/>
  <c r="R39" i="256"/>
  <c r="R51" i="256"/>
  <c r="R61" i="256"/>
  <c r="R43" i="256"/>
  <c r="R53" i="256"/>
  <c r="R44" i="256"/>
  <c r="R52" i="256"/>
  <c r="R54" i="256"/>
  <c r="R62" i="256"/>
  <c r="R40" i="256"/>
  <c r="M45" i="248"/>
  <c r="V30" i="228"/>
  <c r="T27" i="223"/>
  <c r="U24" i="223"/>
  <c r="J54" i="228"/>
  <c r="G177" i="259" s="1"/>
  <c r="N54" i="251"/>
  <c r="N96" i="251" s="1"/>
  <c r="N86" i="251"/>
  <c r="N88" i="251"/>
  <c r="N51" i="251"/>
  <c r="N92" i="251" s="1"/>
  <c r="D25" i="257"/>
  <c r="D26" i="257"/>
  <c r="Q64" i="256"/>
  <c r="P22" i="255" s="1"/>
  <c r="Q65" i="256"/>
  <c r="P29" i="255" s="1"/>
  <c r="T48" i="228"/>
  <c r="N12" i="259"/>
  <c r="U45" i="228"/>
  <c r="U44" i="228"/>
  <c r="U46" i="228"/>
  <c r="U42" i="228"/>
  <c r="U41" i="228"/>
  <c r="U43" i="228"/>
  <c r="U40" i="228"/>
  <c r="U38" i="228"/>
  <c r="U37" i="228"/>
  <c r="U33" i="228"/>
  <c r="U36" i="228"/>
  <c r="U35" i="228"/>
  <c r="U34" i="228"/>
  <c r="U47" i="228"/>
  <c r="U39" i="228"/>
  <c r="O25" i="248"/>
  <c r="AG1" i="251"/>
  <c r="S4" i="256"/>
  <c r="Q10" i="252"/>
  <c r="O146" i="251"/>
  <c r="O93" i="253"/>
  <c r="R7" i="255"/>
  <c r="T5" i="223"/>
  <c r="M48" i="248"/>
  <c r="H67" i="260" s="1"/>
  <c r="J67" i="260" s="1"/>
  <c r="P50" i="252"/>
  <c r="P41" i="252"/>
  <c r="P58" i="252"/>
  <c r="P60" i="252" s="1"/>
  <c r="P32" i="252"/>
  <c r="S19" i="231"/>
  <c r="R95" i="231"/>
  <c r="R96" i="231"/>
  <c r="U18" i="231"/>
  <c r="T94" i="231"/>
  <c r="P20" i="231"/>
  <c r="O97" i="231"/>
  <c r="U16" i="231"/>
  <c r="U17" i="231"/>
  <c r="R13" i="231"/>
  <c r="Q71" i="231"/>
  <c r="K225" i="229"/>
  <c r="H287" i="229" s="1"/>
  <c r="H331" i="229" s="1"/>
  <c r="L221" i="229"/>
  <c r="M95" i="229"/>
  <c r="L52" i="229"/>
  <c r="L198" i="229" s="1"/>
  <c r="D43" i="224"/>
  <c r="L74" i="229"/>
  <c r="L200" i="229" s="1"/>
  <c r="Y221" i="229"/>
  <c r="Z95" i="229"/>
  <c r="Y98" i="229"/>
  <c r="Y100" i="229" s="1"/>
  <c r="Y240" i="229" s="1"/>
  <c r="K130" i="229"/>
  <c r="K218" i="229"/>
  <c r="H280" i="229" s="1"/>
  <c r="H324" i="229" s="1"/>
  <c r="L62" i="229"/>
  <c r="K223" i="229"/>
  <c r="H285" i="229" s="1"/>
  <c r="H329" i="229" s="1"/>
  <c r="L117" i="229"/>
  <c r="M84" i="229"/>
  <c r="M85" i="229" s="1"/>
  <c r="L220" i="229"/>
  <c r="L152" i="229"/>
  <c r="L207" i="229"/>
  <c r="E43" i="259"/>
  <c r="E117" i="259"/>
  <c r="L140" i="229"/>
  <c r="L206" i="229" s="1"/>
  <c r="L40" i="229"/>
  <c r="K216" i="229"/>
  <c r="H278" i="229" s="1"/>
  <c r="H322" i="229" s="1"/>
  <c r="L202" i="229"/>
  <c r="L30" i="229"/>
  <c r="L196" i="229" s="1"/>
  <c r="K227" i="229"/>
  <c r="H289" i="229" s="1"/>
  <c r="H333" i="229" s="1"/>
  <c r="L161" i="229"/>
  <c r="K229" i="229"/>
  <c r="H291" i="229" s="1"/>
  <c r="H335" i="229" s="1"/>
  <c r="L183" i="229"/>
  <c r="K107" i="229"/>
  <c r="K203" i="229" s="1"/>
  <c r="H263" i="229" s="1"/>
  <c r="K228" i="229"/>
  <c r="H290" i="229" s="1"/>
  <c r="H334" i="229" s="1"/>
  <c r="L172" i="229"/>
  <c r="L173" i="229" s="1"/>
  <c r="G176" i="224" l="1"/>
  <c r="R121" i="224"/>
  <c r="Q123" i="224"/>
  <c r="T98" i="231"/>
  <c r="Q34" i="257"/>
  <c r="Q11" i="257"/>
  <c r="R9" i="257"/>
  <c r="D13" i="224"/>
  <c r="D13" i="259" s="1"/>
  <c r="E13" i="224"/>
  <c r="E13" i="259" s="1"/>
  <c r="F13" i="224"/>
  <c r="F13" i="259" s="1"/>
  <c r="P12" i="257"/>
  <c r="P15" i="257" s="1"/>
  <c r="Q10" i="257"/>
  <c r="Q35" i="257" s="1"/>
  <c r="Q41" i="257" s="1"/>
  <c r="BB17" i="244"/>
  <c r="R171" i="259"/>
  <c r="R194" i="259"/>
  <c r="R102" i="259"/>
  <c r="R7" i="259"/>
  <c r="S5" i="259"/>
  <c r="R6" i="259"/>
  <c r="R173" i="259" s="1"/>
  <c r="Q66" i="259"/>
  <c r="P67" i="259"/>
  <c r="Q122" i="259"/>
  <c r="P123" i="259"/>
  <c r="Q174" i="259"/>
  <c r="Q8" i="259"/>
  <c r="Q175" i="259" s="1"/>
  <c r="BC15" i="237"/>
  <c r="T3" i="237"/>
  <c r="S5" i="237"/>
  <c r="AK3" i="237"/>
  <c r="BD3" i="237" s="1"/>
  <c r="BD11" i="237" s="1"/>
  <c r="BD17" i="237" s="1"/>
  <c r="P8" i="251"/>
  <c r="L8" i="251"/>
  <c r="R16" i="251"/>
  <c r="S4" i="237"/>
  <c r="R6" i="237"/>
  <c r="R8" i="237" s="1"/>
  <c r="S3" i="243"/>
  <c r="R5" i="243"/>
  <c r="AJ3" i="243"/>
  <c r="BC3" i="243" s="1"/>
  <c r="BC11" i="243" s="1"/>
  <c r="BC15" i="243" s="1"/>
  <c r="R4" i="246"/>
  <c r="Q6" i="246"/>
  <c r="Q8" i="246" s="1"/>
  <c r="S3" i="244"/>
  <c r="R5" i="244"/>
  <c r="AJ3" i="244"/>
  <c r="BC3" i="244" s="1"/>
  <c r="BC11" i="244" s="1"/>
  <c r="BC15" i="244" s="1"/>
  <c r="Q6" i="243"/>
  <c r="Q8" i="243" s="1"/>
  <c r="R4" i="243"/>
  <c r="S3" i="246"/>
  <c r="R5" i="246"/>
  <c r="AJ3" i="246"/>
  <c r="BC3" i="246" s="1"/>
  <c r="BC11" i="246" s="1"/>
  <c r="BC17" i="246" s="1"/>
  <c r="Q6" i="244"/>
  <c r="Q8" i="244" s="1"/>
  <c r="R4" i="244"/>
  <c r="Q4" i="242"/>
  <c r="P6" i="242"/>
  <c r="P8" i="242" s="1"/>
  <c r="BB17" i="243"/>
  <c r="BC17" i="243" s="1"/>
  <c r="O8" i="251"/>
  <c r="R4" i="245"/>
  <c r="Q6" i="245"/>
  <c r="S3" i="253"/>
  <c r="R5" i="253"/>
  <c r="R53" i="253"/>
  <c r="AL3" i="253"/>
  <c r="BG3" i="253" s="1"/>
  <c r="BG11" i="253" s="1"/>
  <c r="BG17" i="253" s="1"/>
  <c r="BB15" i="246"/>
  <c r="R3" i="242"/>
  <c r="Q5" i="242"/>
  <c r="AI3" i="242"/>
  <c r="BB3" i="242" s="1"/>
  <c r="BB11" i="242" s="1"/>
  <c r="BB17" i="242" s="1"/>
  <c r="N8" i="251"/>
  <c r="M8" i="251"/>
  <c r="K16" i="251"/>
  <c r="T7" i="253"/>
  <c r="S54" i="253"/>
  <c r="R5" i="245"/>
  <c r="S3" i="245"/>
  <c r="AJ3" i="245"/>
  <c r="BC3" i="245" s="1"/>
  <c r="BC11" i="245" s="1"/>
  <c r="BC15" i="245" s="1"/>
  <c r="Q6" i="253"/>
  <c r="Q8" i="253" s="1"/>
  <c r="R4" i="253"/>
  <c r="V5" i="252"/>
  <c r="U7" i="252"/>
  <c r="U9" i="252"/>
  <c r="U6" i="252"/>
  <c r="T8" i="252"/>
  <c r="DI8" i="204"/>
  <c r="S12" i="204"/>
  <c r="T11" i="204" s="1"/>
  <c r="T13" i="204" s="1"/>
  <c r="S14" i="204"/>
  <c r="S8" i="204"/>
  <c r="S7" i="243"/>
  <c r="R7" i="244"/>
  <c r="R7" i="245"/>
  <c r="Q8" i="245"/>
  <c r="Q6" i="251"/>
  <c r="R4" i="251"/>
  <c r="R82" i="251"/>
  <c r="AJ3" i="251"/>
  <c r="R127" i="251"/>
  <c r="R135" i="251" s="1"/>
  <c r="R108" i="251"/>
  <c r="R5" i="251"/>
  <c r="S3" i="251"/>
  <c r="S16" i="251" s="1"/>
  <c r="R120" i="251"/>
  <c r="R8" i="251"/>
  <c r="BB3" i="251"/>
  <c r="AI2" i="251"/>
  <c r="T7" i="237"/>
  <c r="O20" i="255"/>
  <c r="R21" i="248"/>
  <c r="Q23" i="248"/>
  <c r="Q22" i="248"/>
  <c r="P24" i="248"/>
  <c r="V28" i="231"/>
  <c r="U80" i="231"/>
  <c r="U88" i="231" s="1"/>
  <c r="U62" i="231"/>
  <c r="U70" i="231" s="1"/>
  <c r="V24" i="231"/>
  <c r="U76" i="231"/>
  <c r="U84" i="231" s="1"/>
  <c r="U92" i="231" s="1"/>
  <c r="U58" i="231"/>
  <c r="U66" i="231" s="1"/>
  <c r="V68" i="231"/>
  <c r="V27" i="231"/>
  <c r="U79" i="231"/>
  <c r="U87" i="231" s="1"/>
  <c r="U61" i="231"/>
  <c r="U69" i="231" s="1"/>
  <c r="V9" i="231"/>
  <c r="V30" i="231"/>
  <c r="U64" i="231"/>
  <c r="U72" i="231" s="1"/>
  <c r="U82" i="231"/>
  <c r="U90" i="231" s="1"/>
  <c r="T92" i="231"/>
  <c r="W23" i="231"/>
  <c r="X6" i="231"/>
  <c r="W57" i="231"/>
  <c r="W65" i="231" s="1"/>
  <c r="W8" i="231"/>
  <c r="W11" i="231" s="1"/>
  <c r="V29" i="231"/>
  <c r="U63" i="231"/>
  <c r="U81" i="231"/>
  <c r="U89" i="231" s="1"/>
  <c r="V91" i="231"/>
  <c r="V75" i="231"/>
  <c r="V83" i="231" s="1"/>
  <c r="V12" i="231"/>
  <c r="W25" i="231"/>
  <c r="V59" i="231"/>
  <c r="V67" i="231" s="1"/>
  <c r="V77" i="231"/>
  <c r="V85" i="231" s="1"/>
  <c r="R66" i="256"/>
  <c r="Q36" i="255" s="1"/>
  <c r="V25" i="223"/>
  <c r="U26" i="198"/>
  <c r="P48" i="255"/>
  <c r="M123" i="251" s="1"/>
  <c r="N47" i="248"/>
  <c r="Z4" i="223"/>
  <c r="Y8" i="223"/>
  <c r="Y9" i="223" s="1"/>
  <c r="S38" i="256"/>
  <c r="S46" i="256"/>
  <c r="S54" i="256"/>
  <c r="S62" i="256"/>
  <c r="S47" i="256"/>
  <c r="S56" i="256"/>
  <c r="S39" i="256"/>
  <c r="S48" i="256"/>
  <c r="S57" i="256"/>
  <c r="S40" i="256"/>
  <c r="S49" i="256"/>
  <c r="S58" i="256"/>
  <c r="S41" i="256"/>
  <c r="S50" i="256"/>
  <c r="S59" i="256"/>
  <c r="S42" i="256"/>
  <c r="S51" i="256"/>
  <c r="S60" i="256"/>
  <c r="S44" i="256"/>
  <c r="S53" i="256"/>
  <c r="S52" i="256"/>
  <c r="S55" i="256"/>
  <c r="S61" i="256"/>
  <c r="S43" i="256"/>
  <c r="S45" i="256"/>
  <c r="O54" i="251"/>
  <c r="O96" i="251" s="1"/>
  <c r="O51" i="251"/>
  <c r="O92" i="251" s="1"/>
  <c r="O86" i="251"/>
  <c r="O88" i="251"/>
  <c r="R64" i="256"/>
  <c r="Q22" i="255" s="1"/>
  <c r="F115" i="259"/>
  <c r="N46" i="248"/>
  <c r="O29" i="248"/>
  <c r="O34" i="248"/>
  <c r="O30" i="248"/>
  <c r="O32" i="248"/>
  <c r="O27" i="248"/>
  <c r="O28" i="248"/>
  <c r="O33" i="248"/>
  <c r="O35" i="248"/>
  <c r="V45" i="228"/>
  <c r="V40" i="228"/>
  <c r="V43" i="228"/>
  <c r="V41" i="228"/>
  <c r="V44" i="228"/>
  <c r="V46" i="228"/>
  <c r="V42" i="228"/>
  <c r="V38" i="228"/>
  <c r="V37" i="228"/>
  <c r="V33" i="228"/>
  <c r="V36" i="228"/>
  <c r="V35" i="228"/>
  <c r="V47" i="228"/>
  <c r="V34" i="228"/>
  <c r="V39" i="228"/>
  <c r="P25" i="248"/>
  <c r="AH1" i="251"/>
  <c r="T4" i="256"/>
  <c r="P93" i="253"/>
  <c r="P146" i="251"/>
  <c r="S7" i="255"/>
  <c r="R10" i="252"/>
  <c r="U5" i="223"/>
  <c r="M49" i="248"/>
  <c r="H62" i="260"/>
  <c r="J62" i="260" s="1"/>
  <c r="R65" i="256"/>
  <c r="Q29" i="255" s="1"/>
  <c r="N45" i="248"/>
  <c r="F178" i="224"/>
  <c r="U48" i="228"/>
  <c r="V24" i="223"/>
  <c r="E13" i="257"/>
  <c r="W30" i="228"/>
  <c r="N48" i="248"/>
  <c r="Q41" i="252"/>
  <c r="Q50" i="252"/>
  <c r="Q32" i="252"/>
  <c r="Q58" i="252"/>
  <c r="Q60" i="252" s="1"/>
  <c r="G39" i="224"/>
  <c r="V17" i="231"/>
  <c r="U93" i="231"/>
  <c r="V16" i="231"/>
  <c r="S13" i="231"/>
  <c r="R71" i="231"/>
  <c r="Q20" i="231"/>
  <c r="P97" i="231"/>
  <c r="T19" i="231"/>
  <c r="S96" i="231"/>
  <c r="S95" i="231"/>
  <c r="V18" i="231"/>
  <c r="U94" i="231"/>
  <c r="H320" i="229"/>
  <c r="L75" i="229"/>
  <c r="L219" i="229" s="1"/>
  <c r="L141" i="229"/>
  <c r="M139" i="229" s="1"/>
  <c r="M140" i="229" s="1"/>
  <c r="L53" i="229"/>
  <c r="M51" i="229" s="1"/>
  <c r="L31" i="229"/>
  <c r="M29" i="229" s="1"/>
  <c r="K108" i="229"/>
  <c r="K222" i="229" s="1"/>
  <c r="H284" i="229" s="1"/>
  <c r="H328" i="229" s="1"/>
  <c r="L184" i="229"/>
  <c r="L210" i="229" s="1"/>
  <c r="M86" i="229"/>
  <c r="M201" i="229"/>
  <c r="L41" i="229"/>
  <c r="L197" i="229" s="1"/>
  <c r="L118" i="229"/>
  <c r="L204" i="229" s="1"/>
  <c r="L162" i="229"/>
  <c r="L208" i="229" s="1"/>
  <c r="M150" i="229"/>
  <c r="M151" i="229" s="1"/>
  <c r="L226" i="229"/>
  <c r="L63" i="229"/>
  <c r="L199" i="229" s="1"/>
  <c r="Z96" i="229"/>
  <c r="Z202" i="229" s="1"/>
  <c r="L174" i="229"/>
  <c r="L209" i="229"/>
  <c r="K224" i="229"/>
  <c r="H286" i="229" s="1"/>
  <c r="H330" i="229" s="1"/>
  <c r="L128" i="229"/>
  <c r="M96" i="229"/>
  <c r="M202" i="229" s="1"/>
  <c r="F179" i="259" l="1"/>
  <c r="F180" i="259" s="1"/>
  <c r="F181" i="259" s="1"/>
  <c r="F43" i="259" s="1"/>
  <c r="S121" i="224"/>
  <c r="S123" i="224" s="1"/>
  <c r="R123" i="224"/>
  <c r="S9" i="257"/>
  <c r="R11" i="257"/>
  <c r="R34" i="257"/>
  <c r="R10" i="257"/>
  <c r="R35" i="257" s="1"/>
  <c r="R41" i="257" s="1"/>
  <c r="Q12" i="257"/>
  <c r="Q15" i="257" s="1"/>
  <c r="R66" i="259"/>
  <c r="Q67" i="259"/>
  <c r="S194" i="259"/>
  <c r="S7" i="259"/>
  <c r="S6" i="259"/>
  <c r="S173" i="259" s="1"/>
  <c r="S171" i="259"/>
  <c r="S102" i="259"/>
  <c r="T5" i="259"/>
  <c r="R174" i="259"/>
  <c r="R8" i="259"/>
  <c r="R175" i="259" s="1"/>
  <c r="R122" i="259"/>
  <c r="Q123" i="259"/>
  <c r="BD15" i="237"/>
  <c r="BG15" i="253"/>
  <c r="R17" i="252"/>
  <c r="T54" i="253"/>
  <c r="U7" i="253"/>
  <c r="Q6" i="242"/>
  <c r="Q8" i="242" s="1"/>
  <c r="R4" i="242"/>
  <c r="S4" i="253"/>
  <c r="R6" i="253"/>
  <c r="R8" i="253" s="1"/>
  <c r="BB15" i="242"/>
  <c r="R5" i="242"/>
  <c r="S3" i="242"/>
  <c r="AJ3" i="242"/>
  <c r="BC3" i="242" s="1"/>
  <c r="BC11" i="242" s="1"/>
  <c r="BC17" i="242" s="1"/>
  <c r="S5" i="253"/>
  <c r="T3" i="253"/>
  <c r="S53" i="253"/>
  <c r="AM3" i="253"/>
  <c r="BH3" i="253" s="1"/>
  <c r="BH11" i="253" s="1"/>
  <c r="BH15" i="253" s="1"/>
  <c r="R6" i="246"/>
  <c r="R8" i="246" s="1"/>
  <c r="S4" i="246"/>
  <c r="BC17" i="244"/>
  <c r="S6" i="237"/>
  <c r="S8" i="237" s="1"/>
  <c r="T4" i="237"/>
  <c r="O17" i="252"/>
  <c r="T3" i="246"/>
  <c r="S5" i="246"/>
  <c r="AK3" i="246"/>
  <c r="BD3" i="246" s="1"/>
  <c r="BD11" i="246" s="1"/>
  <c r="BD17" i="246" s="1"/>
  <c r="Q13" i="251"/>
  <c r="S22" i="252" s="1"/>
  <c r="O21" i="251"/>
  <c r="O13" i="251"/>
  <c r="Q22" i="252" s="1"/>
  <c r="Q21" i="251"/>
  <c r="R6" i="243"/>
  <c r="R8" i="243" s="1"/>
  <c r="S4" i="243"/>
  <c r="T5" i="237"/>
  <c r="AL3" i="237"/>
  <c r="BE3" i="237" s="1"/>
  <c r="BE11" i="237" s="1"/>
  <c r="BE17" i="237" s="1"/>
  <c r="D41" i="251"/>
  <c r="E16" i="251"/>
  <c r="D24" i="251"/>
  <c r="D16" i="251"/>
  <c r="E8" i="251"/>
  <c r="H16" i="251"/>
  <c r="D8" i="251"/>
  <c r="D137" i="251"/>
  <c r="G16" i="251"/>
  <c r="D33" i="251"/>
  <c r="F8" i="251"/>
  <c r="J8" i="251"/>
  <c r="F16" i="251"/>
  <c r="G8" i="251"/>
  <c r="J16" i="251"/>
  <c r="I16" i="251"/>
  <c r="N16" i="251"/>
  <c r="K8" i="251"/>
  <c r="Q8" i="251"/>
  <c r="M16" i="251"/>
  <c r="Q16" i="251"/>
  <c r="I8" i="251"/>
  <c r="O16" i="251"/>
  <c r="L16" i="251"/>
  <c r="H8" i="251"/>
  <c r="P16" i="251"/>
  <c r="P17" i="252"/>
  <c r="BC15" i="246"/>
  <c r="BD15" i="246" s="1"/>
  <c r="K21" i="251"/>
  <c r="BC17" i="245"/>
  <c r="S4" i="244"/>
  <c r="R6" i="244"/>
  <c r="T3" i="243"/>
  <c r="Q10" i="251" s="1"/>
  <c r="S19" i="252" s="1"/>
  <c r="S5" i="243"/>
  <c r="AK3" i="243"/>
  <c r="BD3" i="243" s="1"/>
  <c r="BD11" i="243" s="1"/>
  <c r="BD15" i="243" s="1"/>
  <c r="U98" i="231"/>
  <c r="T3" i="245"/>
  <c r="I12" i="251" s="1"/>
  <c r="K21" i="252" s="1"/>
  <c r="S5" i="245"/>
  <c r="AK3" i="245"/>
  <c r="BD3" i="245" s="1"/>
  <c r="BD11" i="245" s="1"/>
  <c r="BD15" i="245" s="1"/>
  <c r="O20" i="251"/>
  <c r="O12" i="251"/>
  <c r="Q21" i="252" s="1"/>
  <c r="P13" i="251"/>
  <c r="R22" i="252" s="1"/>
  <c r="T3" i="244"/>
  <c r="O11" i="251" s="1"/>
  <c r="Q20" i="252" s="1"/>
  <c r="S5" i="244"/>
  <c r="AK3" i="244"/>
  <c r="BD3" i="244" s="1"/>
  <c r="BD11" i="244" s="1"/>
  <c r="BD15" i="244" s="1"/>
  <c r="P20" i="251"/>
  <c r="N17" i="252"/>
  <c r="O10" i="251"/>
  <c r="Q19" i="252" s="1"/>
  <c r="Q20" i="251"/>
  <c r="R6" i="245"/>
  <c r="R8" i="245" s="1"/>
  <c r="R20" i="251" s="1"/>
  <c r="S4" i="245"/>
  <c r="Q17" i="252"/>
  <c r="Q18" i="251"/>
  <c r="Q12" i="251"/>
  <c r="S21" i="252" s="1"/>
  <c r="U8" i="252"/>
  <c r="V6" i="252"/>
  <c r="V7" i="252"/>
  <c r="V9" i="252"/>
  <c r="T12" i="204"/>
  <c r="U11" i="204" s="1"/>
  <c r="U13" i="204" s="1"/>
  <c r="T8" i="204"/>
  <c r="T14" i="204"/>
  <c r="DJ8" i="204"/>
  <c r="T7" i="243"/>
  <c r="S7" i="244"/>
  <c r="R8" i="244"/>
  <c r="R19" i="251" s="1"/>
  <c r="S7" i="245"/>
  <c r="T17" i="252"/>
  <c r="S4" i="251"/>
  <c r="R6" i="251"/>
  <c r="S82" i="251"/>
  <c r="S120" i="251"/>
  <c r="S127" i="251"/>
  <c r="S135" i="251" s="1"/>
  <c r="S108" i="251"/>
  <c r="T3" i="251"/>
  <c r="AK3" i="251"/>
  <c r="S5" i="251"/>
  <c r="S13" i="251"/>
  <c r="U22" i="252" s="1"/>
  <c r="S10" i="251"/>
  <c r="U19" i="252" s="1"/>
  <c r="S11" i="251"/>
  <c r="U20" i="252" s="1"/>
  <c r="S21" i="251"/>
  <c r="S8" i="251"/>
  <c r="S12" i="251"/>
  <c r="U21" i="252" s="1"/>
  <c r="BC3" i="251"/>
  <c r="AJ2" i="251"/>
  <c r="M97" i="229"/>
  <c r="M221" i="229" s="1"/>
  <c r="O46" i="248"/>
  <c r="O47" i="248"/>
  <c r="Q24" i="248"/>
  <c r="R22" i="248"/>
  <c r="R23" i="248"/>
  <c r="S21" i="248"/>
  <c r="W12" i="231"/>
  <c r="X57" i="231"/>
  <c r="X65" i="231" s="1"/>
  <c r="X23" i="231"/>
  <c r="Y6" i="231"/>
  <c r="X8" i="231"/>
  <c r="X11" i="231" s="1"/>
  <c r="W28" i="231"/>
  <c r="V80" i="231"/>
  <c r="V88" i="231" s="1"/>
  <c r="V62" i="231"/>
  <c r="V70" i="231" s="1"/>
  <c r="W75" i="231"/>
  <c r="W83" i="231" s="1"/>
  <c r="W91" i="231"/>
  <c r="V64" i="231"/>
  <c r="V72" i="231" s="1"/>
  <c r="W30" i="231"/>
  <c r="V82" i="231"/>
  <c r="V90" i="231" s="1"/>
  <c r="W9" i="231"/>
  <c r="W10" i="231"/>
  <c r="X10" i="231" s="1"/>
  <c r="W29" i="231"/>
  <c r="V81" i="231"/>
  <c r="V89" i="231" s="1"/>
  <c r="V63" i="231"/>
  <c r="W68" i="231"/>
  <c r="W27" i="231"/>
  <c r="V61" i="231"/>
  <c r="V69" i="231" s="1"/>
  <c r="V79" i="231"/>
  <c r="W24" i="231"/>
  <c r="V58" i="231"/>
  <c r="V66" i="231" s="1"/>
  <c r="V76" i="231"/>
  <c r="X25" i="231"/>
  <c r="W59" i="231"/>
  <c r="W67" i="231" s="1"/>
  <c r="W77" i="231"/>
  <c r="W85" i="231" s="1"/>
  <c r="S65" i="256"/>
  <c r="R29" i="255" s="1"/>
  <c r="S66" i="256"/>
  <c r="R36" i="255" s="1"/>
  <c r="AA4" i="223"/>
  <c r="Z8" i="223"/>
  <c r="Z9" i="223" s="1"/>
  <c r="BE15" i="237"/>
  <c r="W25" i="223"/>
  <c r="V26" i="198"/>
  <c r="P32" i="248"/>
  <c r="P28" i="248"/>
  <c r="P29" i="248"/>
  <c r="P35" i="248"/>
  <c r="P27" i="248"/>
  <c r="P33" i="248"/>
  <c r="P34" i="248"/>
  <c r="P30" i="248"/>
  <c r="O48" i="248"/>
  <c r="Q48" i="255"/>
  <c r="N123" i="251" s="1"/>
  <c r="Q25" i="248"/>
  <c r="U4" i="256"/>
  <c r="S10" i="252"/>
  <c r="AI1" i="251"/>
  <c r="V5" i="223"/>
  <c r="Q93" i="253"/>
  <c r="T7" i="255"/>
  <c r="Q146" i="251"/>
  <c r="P54" i="251"/>
  <c r="P96" i="251" s="1"/>
  <c r="P86" i="251"/>
  <c r="P88" i="251"/>
  <c r="P51" i="251"/>
  <c r="P92" i="251" s="1"/>
  <c r="W44" i="228"/>
  <c r="W46" i="228"/>
  <c r="W43" i="228"/>
  <c r="W45" i="228"/>
  <c r="W40" i="228"/>
  <c r="W42" i="228"/>
  <c r="W41" i="228"/>
  <c r="W38" i="228"/>
  <c r="W37" i="228"/>
  <c r="W33" i="228"/>
  <c r="W36" i="228"/>
  <c r="W35" i="228"/>
  <c r="W47" i="228"/>
  <c r="W34" i="228"/>
  <c r="W39" i="228"/>
  <c r="P20" i="255"/>
  <c r="P12" i="224"/>
  <c r="P12" i="259" s="1"/>
  <c r="R32" i="252"/>
  <c r="R41" i="252"/>
  <c r="R58" i="252"/>
  <c r="R60" i="252" s="1"/>
  <c r="R50" i="252"/>
  <c r="E25" i="257"/>
  <c r="E26" i="257"/>
  <c r="V48" i="228"/>
  <c r="W24" i="223"/>
  <c r="X30" i="228"/>
  <c r="S64" i="256"/>
  <c r="R22" i="255" s="1"/>
  <c r="G117" i="224"/>
  <c r="G39" i="259"/>
  <c r="N49" i="248"/>
  <c r="F179" i="224"/>
  <c r="F180" i="224" s="1"/>
  <c r="T42" i="256"/>
  <c r="T50" i="256"/>
  <c r="T58" i="256"/>
  <c r="T46" i="256"/>
  <c r="T55" i="256"/>
  <c r="T38" i="256"/>
  <c r="T47" i="256"/>
  <c r="T56" i="256"/>
  <c r="T39" i="256"/>
  <c r="T48" i="256"/>
  <c r="T57" i="256"/>
  <c r="T40" i="256"/>
  <c r="T49" i="256"/>
  <c r="T59" i="256"/>
  <c r="T41" i="256"/>
  <c r="T51" i="256"/>
  <c r="T60" i="256"/>
  <c r="T44" i="256"/>
  <c r="T53" i="256"/>
  <c r="T62" i="256"/>
  <c r="T54" i="256"/>
  <c r="T66" i="256" s="1"/>
  <c r="S36" i="255" s="1"/>
  <c r="T61" i="256"/>
  <c r="T43" i="256"/>
  <c r="T45" i="256"/>
  <c r="T52" i="256"/>
  <c r="O45" i="248"/>
  <c r="U19" i="231"/>
  <c r="T95" i="231"/>
  <c r="T96" i="231"/>
  <c r="W18" i="231"/>
  <c r="V94" i="231"/>
  <c r="W17" i="231"/>
  <c r="V93" i="231"/>
  <c r="R20" i="231"/>
  <c r="Q97" i="231"/>
  <c r="T13" i="231"/>
  <c r="S71" i="231"/>
  <c r="W16" i="231"/>
  <c r="L215" i="229"/>
  <c r="L217" i="229"/>
  <c r="M73" i="229"/>
  <c r="M74" i="229" s="1"/>
  <c r="M200" i="229" s="1"/>
  <c r="L106" i="229"/>
  <c r="L107" i="229" s="1"/>
  <c r="L203" i="229" s="1"/>
  <c r="L225" i="229"/>
  <c r="L185" i="229"/>
  <c r="L229" i="229" s="1"/>
  <c r="L119" i="229"/>
  <c r="L223" i="229" s="1"/>
  <c r="M30" i="229"/>
  <c r="M196" i="229" s="1"/>
  <c r="M52" i="229"/>
  <c r="M198" i="229" s="1"/>
  <c r="L42" i="229"/>
  <c r="L129" i="229"/>
  <c r="L205" i="229" s="1"/>
  <c r="L64" i="229"/>
  <c r="H336" i="229"/>
  <c r="D22" i="224" s="1"/>
  <c r="M172" i="229"/>
  <c r="L228" i="229"/>
  <c r="M141" i="229"/>
  <c r="M206" i="229"/>
  <c r="Z97" i="229"/>
  <c r="M152" i="229"/>
  <c r="M207" i="229"/>
  <c r="L163" i="229"/>
  <c r="N84" i="229"/>
  <c r="M220" i="229"/>
  <c r="M11" i="251" l="1"/>
  <c r="O20" i="252" s="1"/>
  <c r="Q11" i="251"/>
  <c r="S20" i="252" s="1"/>
  <c r="O19" i="251"/>
  <c r="I11" i="251"/>
  <c r="K20" i="252" s="1"/>
  <c r="V98" i="231"/>
  <c r="L65" i="229"/>
  <c r="L67" i="229" s="1"/>
  <c r="L237" i="229" s="1"/>
  <c r="S10" i="257"/>
  <c r="S35" i="257" s="1"/>
  <c r="S41" i="257" s="1"/>
  <c r="R12" i="257"/>
  <c r="R15" i="257" s="1"/>
  <c r="T9" i="257"/>
  <c r="S11" i="257"/>
  <c r="S34" i="257"/>
  <c r="N19" i="251"/>
  <c r="N11" i="251"/>
  <c r="P20" i="252" s="1"/>
  <c r="S8" i="259"/>
  <c r="S175" i="259" s="1"/>
  <c r="S174" i="259"/>
  <c r="S122" i="259"/>
  <c r="R123" i="259"/>
  <c r="T171" i="259"/>
  <c r="T194" i="259"/>
  <c r="T6" i="259"/>
  <c r="T173" i="259" s="1"/>
  <c r="T7" i="259"/>
  <c r="T102" i="259"/>
  <c r="S66" i="259"/>
  <c r="R67" i="259"/>
  <c r="J17" i="252"/>
  <c r="S5" i="242"/>
  <c r="T3" i="242"/>
  <c r="AK3" i="242"/>
  <c r="BD3" i="242" s="1"/>
  <c r="BD11" i="242" s="1"/>
  <c r="BD17" i="242" s="1"/>
  <c r="L17" i="251"/>
  <c r="BD17" i="244"/>
  <c r="R6" i="242"/>
  <c r="R8" i="242" s="1"/>
  <c r="S17" i="251" s="1"/>
  <c r="S4" i="242"/>
  <c r="R17" i="251"/>
  <c r="M12" i="251"/>
  <c r="O21" i="252" s="1"/>
  <c r="L10" i="251"/>
  <c r="N19" i="252" s="1"/>
  <c r="BD17" i="245"/>
  <c r="F17" i="252"/>
  <c r="T6" i="237"/>
  <c r="T8" i="237" s="1"/>
  <c r="S6" i="246"/>
  <c r="S8" i="246" s="1"/>
  <c r="T4" i="246"/>
  <c r="BD17" i="243"/>
  <c r="M10" i="251"/>
  <c r="O19" i="252" s="1"/>
  <c r="K17" i="252"/>
  <c r="I17" i="252"/>
  <c r="T5" i="246"/>
  <c r="T6" i="246" s="1"/>
  <c r="T8" i="246" s="1"/>
  <c r="AL3" i="246"/>
  <c r="BE3" i="246" s="1"/>
  <c r="BE11" i="246" s="1"/>
  <c r="D29" i="251"/>
  <c r="D13" i="251"/>
  <c r="F22" i="252" s="1"/>
  <c r="F21" i="251"/>
  <c r="E21" i="251"/>
  <c r="D38" i="251"/>
  <c r="D21" i="251"/>
  <c r="E13" i="251"/>
  <c r="G22" i="252" s="1"/>
  <c r="G13" i="251"/>
  <c r="I22" i="252" s="1"/>
  <c r="G21" i="251"/>
  <c r="H13" i="251"/>
  <c r="J22" i="252" s="1"/>
  <c r="D46" i="251"/>
  <c r="F13" i="251"/>
  <c r="H22" i="252" s="1"/>
  <c r="D142" i="251"/>
  <c r="I21" i="251"/>
  <c r="I13" i="251"/>
  <c r="K22" i="252" s="1"/>
  <c r="H21" i="251"/>
  <c r="K13" i="251"/>
  <c r="M22" i="252" s="1"/>
  <c r="J21" i="251"/>
  <c r="N21" i="251"/>
  <c r="R21" i="251"/>
  <c r="M13" i="251"/>
  <c r="O22" i="252" s="1"/>
  <c r="N13" i="251"/>
  <c r="P22" i="252" s="1"/>
  <c r="L21" i="251"/>
  <c r="J13" i="251"/>
  <c r="L22" i="252" s="1"/>
  <c r="R13" i="251"/>
  <c r="T22" i="252" s="1"/>
  <c r="V7" i="253"/>
  <c r="U54" i="253"/>
  <c r="L13" i="251"/>
  <c r="N22" i="252" s="1"/>
  <c r="G17" i="252"/>
  <c r="R18" i="251"/>
  <c r="T53" i="253"/>
  <c r="T5" i="253"/>
  <c r="U3" i="253"/>
  <c r="AN3" i="253"/>
  <c r="BI3" i="253" s="1"/>
  <c r="BI11" i="253" s="1"/>
  <c r="BI15" i="253" s="1"/>
  <c r="BC15" i="242"/>
  <c r="BD15" i="242" s="1"/>
  <c r="P21" i="251"/>
  <c r="S6" i="244"/>
  <c r="T4" i="244"/>
  <c r="L17" i="252"/>
  <c r="S6" i="253"/>
  <c r="S8" i="253" s="1"/>
  <c r="T4" i="253"/>
  <c r="BH17" i="253"/>
  <c r="BI17" i="253" s="1"/>
  <c r="V8" i="252"/>
  <c r="T5" i="244"/>
  <c r="AL3" i="244"/>
  <c r="BE3" i="244" s="1"/>
  <c r="BE11" i="244" s="1"/>
  <c r="BE15" i="244" s="1"/>
  <c r="E11" i="251"/>
  <c r="G20" i="252" s="1"/>
  <c r="F19" i="251"/>
  <c r="F11" i="251"/>
  <c r="H20" i="252" s="1"/>
  <c r="D19" i="251"/>
  <c r="E19" i="251"/>
  <c r="D11" i="251"/>
  <c r="F20" i="252" s="1"/>
  <c r="J11" i="251"/>
  <c r="L20" i="252" s="1"/>
  <c r="J19" i="251"/>
  <c r="G11" i="251"/>
  <c r="I20" i="252" s="1"/>
  <c r="I19" i="251"/>
  <c r="H11" i="251"/>
  <c r="J20" i="252" s="1"/>
  <c r="G19" i="251"/>
  <c r="K19" i="251"/>
  <c r="H19" i="251"/>
  <c r="P11" i="251"/>
  <c r="R20" i="252" s="1"/>
  <c r="K11" i="251"/>
  <c r="M20" i="252" s="1"/>
  <c r="L19" i="251"/>
  <c r="L11" i="251"/>
  <c r="N20" i="252" s="1"/>
  <c r="R11" i="251"/>
  <c r="T20" i="252" s="1"/>
  <c r="P19" i="251"/>
  <c r="M19" i="251"/>
  <c r="S6" i="245"/>
  <c r="T4" i="245"/>
  <c r="S6" i="243"/>
  <c r="S8" i="243" s="1"/>
  <c r="S18" i="251" s="1"/>
  <c r="T4" i="243"/>
  <c r="S17" i="252"/>
  <c r="H17" i="252"/>
  <c r="Q19" i="251"/>
  <c r="P17" i="251"/>
  <c r="T5" i="245"/>
  <c r="T6" i="245" s="1"/>
  <c r="AL3" i="245"/>
  <c r="BE3" i="245" s="1"/>
  <c r="BE11" i="245" s="1"/>
  <c r="BE15" i="245" s="1"/>
  <c r="D12" i="251"/>
  <c r="F21" i="252" s="1"/>
  <c r="F20" i="251"/>
  <c r="F12" i="251"/>
  <c r="H21" i="252" s="1"/>
  <c r="D20" i="251"/>
  <c r="E20" i="251"/>
  <c r="H12" i="251"/>
  <c r="J21" i="252" s="1"/>
  <c r="E12" i="251"/>
  <c r="G21" i="252" s="1"/>
  <c r="J12" i="251"/>
  <c r="L21" i="252" s="1"/>
  <c r="G20" i="251"/>
  <c r="G12" i="251"/>
  <c r="I21" i="252" s="1"/>
  <c r="H20" i="251"/>
  <c r="K20" i="251"/>
  <c r="I20" i="251"/>
  <c r="L12" i="251"/>
  <c r="N21" i="252" s="1"/>
  <c r="L20" i="251"/>
  <c r="K12" i="251"/>
  <c r="M21" i="252" s="1"/>
  <c r="R12" i="251"/>
  <c r="T21" i="252" s="1"/>
  <c r="P12" i="251"/>
  <c r="R21" i="252" s="1"/>
  <c r="N20" i="251"/>
  <c r="N12" i="251"/>
  <c r="P21" i="252" s="1"/>
  <c r="J20" i="251"/>
  <c r="M20" i="251"/>
  <c r="T5" i="243"/>
  <c r="T6" i="243" s="1"/>
  <c r="T8" i="243" s="1"/>
  <c r="T18" i="251" s="1"/>
  <c r="AL3" i="243"/>
  <c r="BE3" i="243" s="1"/>
  <c r="BE11" i="243" s="1"/>
  <c r="BE15" i="243" s="1"/>
  <c r="D18" i="251"/>
  <c r="E10" i="251"/>
  <c r="G19" i="252" s="1"/>
  <c r="D10" i="251"/>
  <c r="F19" i="252" s="1"/>
  <c r="E18" i="251"/>
  <c r="G18" i="251"/>
  <c r="F18" i="251"/>
  <c r="G10" i="251"/>
  <c r="I19" i="252" s="1"/>
  <c r="I18" i="251"/>
  <c r="F10" i="251"/>
  <c r="H19" i="252" s="1"/>
  <c r="H18" i="251"/>
  <c r="H10" i="251"/>
  <c r="J19" i="252" s="1"/>
  <c r="J18" i="251"/>
  <c r="J10" i="251"/>
  <c r="L19" i="252" s="1"/>
  <c r="L18" i="251"/>
  <c r="P10" i="251"/>
  <c r="R19" i="252" s="1"/>
  <c r="I10" i="251"/>
  <c r="K19" i="252" s="1"/>
  <c r="N18" i="251"/>
  <c r="N10" i="251"/>
  <c r="P19" i="252" s="1"/>
  <c r="K18" i="251"/>
  <c r="O18" i="251"/>
  <c r="K10" i="251"/>
  <c r="M19" i="252" s="1"/>
  <c r="M18" i="251"/>
  <c r="P18" i="251"/>
  <c r="R10" i="251"/>
  <c r="T19" i="252" s="1"/>
  <c r="M17" i="252"/>
  <c r="M21" i="251"/>
  <c r="DK8" i="204"/>
  <c r="U8" i="204"/>
  <c r="U14" i="204"/>
  <c r="U12" i="204"/>
  <c r="V11" i="204" s="1"/>
  <c r="N95" i="229"/>
  <c r="S8" i="244"/>
  <c r="S19" i="251" s="1"/>
  <c r="T7" i="244"/>
  <c r="S8" i="245"/>
  <c r="S20" i="251" s="1"/>
  <c r="T7" i="245"/>
  <c r="T8" i="245" s="1"/>
  <c r="T20" i="251" s="1"/>
  <c r="R48" i="255"/>
  <c r="O123" i="251" s="1"/>
  <c r="U17" i="252"/>
  <c r="S6" i="251"/>
  <c r="T4" i="251"/>
  <c r="BD3" i="251"/>
  <c r="AK2" i="251"/>
  <c r="AL3" i="251"/>
  <c r="T5" i="251"/>
  <c r="T120" i="251"/>
  <c r="T82" i="251"/>
  <c r="T108" i="251"/>
  <c r="T127" i="251"/>
  <c r="T135" i="251" s="1"/>
  <c r="T9" i="251"/>
  <c r="V18" i="252" s="1"/>
  <c r="T11" i="251"/>
  <c r="V20" i="252" s="1"/>
  <c r="T13" i="251"/>
  <c r="V22" i="252" s="1"/>
  <c r="T10" i="251"/>
  <c r="V19" i="252" s="1"/>
  <c r="T8" i="251"/>
  <c r="T21" i="251"/>
  <c r="T16" i="251"/>
  <c r="S23" i="248"/>
  <c r="T21" i="248"/>
  <c r="S22" i="248"/>
  <c r="R24" i="248"/>
  <c r="V84" i="231"/>
  <c r="V92" i="231" s="1"/>
  <c r="X24" i="231"/>
  <c r="W58" i="231"/>
  <c r="W66" i="231" s="1"/>
  <c r="W76" i="231"/>
  <c r="W84" i="231" s="1"/>
  <c r="X68" i="231"/>
  <c r="V87" i="231"/>
  <c r="Y57" i="231"/>
  <c r="Y65" i="231" s="1"/>
  <c r="Z6" i="231"/>
  <c r="Y23" i="231"/>
  <c r="Y8" i="231"/>
  <c r="Y11" i="231" s="1"/>
  <c r="X12" i="231"/>
  <c r="X9" i="231"/>
  <c r="X27" i="231"/>
  <c r="W61" i="231"/>
  <c r="W69" i="231" s="1"/>
  <c r="W79" i="231"/>
  <c r="W87" i="231" s="1"/>
  <c r="X75" i="231"/>
  <c r="X83" i="231" s="1"/>
  <c r="X91" i="231"/>
  <c r="X30" i="231"/>
  <c r="W64" i="231"/>
  <c r="W72" i="231" s="1"/>
  <c r="W82" i="231"/>
  <c r="W90" i="231" s="1"/>
  <c r="X28" i="231"/>
  <c r="W80" i="231"/>
  <c r="W88" i="231" s="1"/>
  <c r="W62" i="231"/>
  <c r="W70" i="231" s="1"/>
  <c r="X29" i="231"/>
  <c r="W63" i="231"/>
  <c r="W81" i="231"/>
  <c r="W89" i="231" s="1"/>
  <c r="Y25" i="231"/>
  <c r="X59" i="231"/>
  <c r="X67" i="231" s="1"/>
  <c r="X77" i="231"/>
  <c r="X85" i="231" s="1"/>
  <c r="P46" i="248"/>
  <c r="P48" i="248"/>
  <c r="O49" i="248"/>
  <c r="R12" i="224" s="1"/>
  <c r="R12" i="259" s="1"/>
  <c r="AA8" i="223"/>
  <c r="AA9" i="223" s="1"/>
  <c r="AB4" i="223"/>
  <c r="P45" i="248"/>
  <c r="X25" i="223"/>
  <c r="W26" i="198"/>
  <c r="S50" i="252"/>
  <c r="S58" i="252"/>
  <c r="S60" i="252" s="1"/>
  <c r="S32" i="252"/>
  <c r="S41" i="252"/>
  <c r="U38" i="256"/>
  <c r="U46" i="256"/>
  <c r="U54" i="256"/>
  <c r="U62" i="256"/>
  <c r="U45" i="256"/>
  <c r="U55" i="256"/>
  <c r="U47" i="256"/>
  <c r="U56" i="256"/>
  <c r="U39" i="256"/>
  <c r="U48" i="256"/>
  <c r="U57" i="256"/>
  <c r="U40" i="256"/>
  <c r="U49" i="256"/>
  <c r="U58" i="256"/>
  <c r="U41" i="256"/>
  <c r="U50" i="256"/>
  <c r="U59" i="256"/>
  <c r="U43" i="256"/>
  <c r="U52" i="256"/>
  <c r="U61" i="256"/>
  <c r="U60" i="256"/>
  <c r="U42" i="256"/>
  <c r="U44" i="256"/>
  <c r="U51" i="256"/>
  <c r="U53" i="256"/>
  <c r="G117" i="259"/>
  <c r="Q34" i="248"/>
  <c r="Q27" i="248"/>
  <c r="Q35" i="248"/>
  <c r="Q28" i="248"/>
  <c r="Q33" i="248"/>
  <c r="Q29" i="248"/>
  <c r="Q30" i="248"/>
  <c r="Q32" i="248"/>
  <c r="P47" i="248"/>
  <c r="F43" i="224"/>
  <c r="X40" i="228"/>
  <c r="X41" i="228"/>
  <c r="X44" i="228"/>
  <c r="X46" i="228"/>
  <c r="X43" i="228"/>
  <c r="X45" i="228"/>
  <c r="X42" i="228"/>
  <c r="X38" i="228"/>
  <c r="X37" i="228"/>
  <c r="X33" i="228"/>
  <c r="X36" i="228"/>
  <c r="X35" i="228"/>
  <c r="X34" i="228"/>
  <c r="X47" i="228"/>
  <c r="X39" i="228"/>
  <c r="T64" i="256"/>
  <c r="S22" i="255" s="1"/>
  <c r="Y30" i="228"/>
  <c r="X24" i="223"/>
  <c r="W48" i="228"/>
  <c r="R25" i="248"/>
  <c r="AJ1" i="251"/>
  <c r="V4" i="256"/>
  <c r="T10" i="252"/>
  <c r="W5" i="223"/>
  <c r="R146" i="251"/>
  <c r="U7" i="255"/>
  <c r="R93" i="253"/>
  <c r="T65" i="256"/>
  <c r="S29" i="255" s="1"/>
  <c r="Q20" i="255"/>
  <c r="Q12" i="224"/>
  <c r="Q12" i="259" s="1"/>
  <c r="Q54" i="251"/>
  <c r="Q96" i="251" s="1"/>
  <c r="Q86" i="251"/>
  <c r="Q88" i="251"/>
  <c r="Q51" i="251"/>
  <c r="Q92" i="251" s="1"/>
  <c r="M41" i="231"/>
  <c r="L41" i="231" s="1"/>
  <c r="V19" i="231"/>
  <c r="U95" i="231"/>
  <c r="U96" i="231"/>
  <c r="U13" i="231"/>
  <c r="T71" i="231"/>
  <c r="X17" i="231"/>
  <c r="W93" i="231"/>
  <c r="X18" i="231"/>
  <c r="W94" i="231"/>
  <c r="X16" i="231"/>
  <c r="S20" i="231"/>
  <c r="R97" i="231"/>
  <c r="L108" i="229"/>
  <c r="L222" i="229" s="1"/>
  <c r="M183" i="229"/>
  <c r="M184" i="229" s="1"/>
  <c r="M210" i="229" s="1"/>
  <c r="M117" i="229"/>
  <c r="M118" i="229" s="1"/>
  <c r="M204" i="229" s="1"/>
  <c r="M53" i="229"/>
  <c r="M217" i="229" s="1"/>
  <c r="L130" i="229"/>
  <c r="L224" i="229" s="1"/>
  <c r="N150" i="229"/>
  <c r="M226" i="229"/>
  <c r="M173" i="229"/>
  <c r="M209" i="229" s="1"/>
  <c r="Z221" i="229"/>
  <c r="AA95" i="229"/>
  <c r="Z98" i="229"/>
  <c r="Z100" i="229" s="1"/>
  <c r="Z240" i="229" s="1"/>
  <c r="D22" i="259"/>
  <c r="D23" i="259" s="1"/>
  <c r="D23" i="224"/>
  <c r="M75" i="229"/>
  <c r="M62" i="229"/>
  <c r="L218" i="229"/>
  <c r="N96" i="229"/>
  <c r="N202" i="229" s="1"/>
  <c r="M40" i="229"/>
  <c r="L216" i="229"/>
  <c r="N85" i="229"/>
  <c r="N201" i="229" s="1"/>
  <c r="M161" i="229"/>
  <c r="L227" i="229"/>
  <c r="N139" i="229"/>
  <c r="M225" i="229"/>
  <c r="M31" i="229"/>
  <c r="W92" i="231" l="1"/>
  <c r="T10" i="257"/>
  <c r="T35" i="257" s="1"/>
  <c r="T41" i="257" s="1"/>
  <c r="S12" i="257"/>
  <c r="S15" i="257" s="1"/>
  <c r="T11" i="257"/>
  <c r="T12" i="257" s="1"/>
  <c r="T15" i="257" s="1"/>
  <c r="T34" i="257"/>
  <c r="T174" i="259"/>
  <c r="T8" i="259"/>
  <c r="T175" i="259" s="1"/>
  <c r="T122" i="259"/>
  <c r="T123" i="259" s="1"/>
  <c r="T124" i="259" s="1"/>
  <c r="S123" i="259"/>
  <c r="T66" i="259"/>
  <c r="T67" i="259" s="1"/>
  <c r="T68" i="259" s="1"/>
  <c r="S67" i="259"/>
  <c r="BE17" i="244"/>
  <c r="BE17" i="246"/>
  <c r="BE15" i="246"/>
  <c r="BE17" i="243"/>
  <c r="BE17" i="245"/>
  <c r="T5" i="242"/>
  <c r="AL3" i="242"/>
  <c r="BE3" i="242" s="1"/>
  <c r="BE11" i="242" s="1"/>
  <c r="BE17" i="242" s="1"/>
  <c r="D9" i="251"/>
  <c r="D25" i="251"/>
  <c r="F17" i="251"/>
  <c r="E17" i="251"/>
  <c r="D34" i="251"/>
  <c r="D42" i="251"/>
  <c r="D138" i="251"/>
  <c r="D17" i="251"/>
  <c r="G17" i="251"/>
  <c r="H17" i="251"/>
  <c r="E9" i="251"/>
  <c r="I9" i="251"/>
  <c r="G9" i="251"/>
  <c r="F9" i="251"/>
  <c r="J17" i="251"/>
  <c r="I17" i="251"/>
  <c r="K9" i="251"/>
  <c r="H9" i="251"/>
  <c r="K17" i="251"/>
  <c r="O9" i="251"/>
  <c r="M17" i="251"/>
  <c r="Q17" i="251"/>
  <c r="O17" i="251"/>
  <c r="M9" i="251"/>
  <c r="L9" i="251"/>
  <c r="N17" i="251"/>
  <c r="S9" i="251"/>
  <c r="P9" i="251"/>
  <c r="Q9" i="251"/>
  <c r="T12" i="251"/>
  <c r="V21" i="252" s="1"/>
  <c r="T4" i="242"/>
  <c r="S6" i="242"/>
  <c r="S8" i="242" s="1"/>
  <c r="T17" i="251" s="1"/>
  <c r="J9" i="251"/>
  <c r="T6" i="244"/>
  <c r="T8" i="244" s="1"/>
  <c r="T19" i="251" s="1"/>
  <c r="BE15" i="242"/>
  <c r="V3" i="253"/>
  <c r="P22" i="251" s="1"/>
  <c r="P15" i="251" s="1"/>
  <c r="U53" i="253"/>
  <c r="U5" i="253"/>
  <c r="AO3" i="253"/>
  <c r="BJ3" i="253" s="1"/>
  <c r="BJ11" i="253" s="1"/>
  <c r="BJ17" i="253" s="1"/>
  <c r="O22" i="251"/>
  <c r="P14" i="251"/>
  <c r="R23" i="252" s="1"/>
  <c r="R9" i="251"/>
  <c r="T6" i="253"/>
  <c r="T8" i="253" s="1"/>
  <c r="T22" i="251" s="1"/>
  <c r="U4" i="253"/>
  <c r="N9" i="251"/>
  <c r="V54" i="253"/>
  <c r="O14" i="251"/>
  <c r="Q23" i="252" s="1"/>
  <c r="V8" i="204"/>
  <c r="V14" i="204"/>
  <c r="V12" i="204"/>
  <c r="W11" i="204" s="1"/>
  <c r="W13" i="204" s="1"/>
  <c r="V13" i="204"/>
  <c r="DL8" i="204"/>
  <c r="T6" i="251"/>
  <c r="BE3" i="251"/>
  <c r="AL2" i="251"/>
  <c r="V17" i="252"/>
  <c r="R20" i="255"/>
  <c r="T23" i="248"/>
  <c r="U21" i="248"/>
  <c r="T22" i="248"/>
  <c r="S24" i="248"/>
  <c r="W98" i="231"/>
  <c r="Y29" i="231"/>
  <c r="X63" i="231"/>
  <c r="X81" i="231"/>
  <c r="Y27" i="231"/>
  <c r="X61" i="231"/>
  <c r="X69" i="231" s="1"/>
  <c r="X79" i="231"/>
  <c r="X87" i="231" s="1"/>
  <c r="Y12" i="231"/>
  <c r="Y68" i="231"/>
  <c r="Y30" i="231"/>
  <c r="X64" i="231"/>
  <c r="X72" i="231" s="1"/>
  <c r="X82" i="231"/>
  <c r="X90" i="231" s="1"/>
  <c r="Y28" i="231"/>
  <c r="X80" i="231"/>
  <c r="X88" i="231" s="1"/>
  <c r="X62" i="231"/>
  <c r="X70" i="231" s="1"/>
  <c r="Z57" i="231"/>
  <c r="Z65" i="231" s="1"/>
  <c r="Z23" i="231"/>
  <c r="AA6" i="231"/>
  <c r="Z8" i="231"/>
  <c r="Z11" i="231" s="1"/>
  <c r="Y24" i="231"/>
  <c r="X58" i="231"/>
  <c r="X66" i="231" s="1"/>
  <c r="X76" i="231"/>
  <c r="X84" i="231" s="1"/>
  <c r="Y9" i="231"/>
  <c r="Y75" i="231"/>
  <c r="Y83" i="231" s="1"/>
  <c r="Y91" i="231"/>
  <c r="Y10" i="231"/>
  <c r="Z25" i="231"/>
  <c r="Y59" i="231"/>
  <c r="Y77" i="231"/>
  <c r="Q45" i="248"/>
  <c r="U66" i="256"/>
  <c r="T36" i="255" s="1"/>
  <c r="Q46" i="248"/>
  <c r="P49" i="248"/>
  <c r="S20" i="255" s="1"/>
  <c r="AB8" i="223"/>
  <c r="AB9" i="223" s="1"/>
  <c r="AC4" i="223"/>
  <c r="Y25" i="223"/>
  <c r="X26" i="198"/>
  <c r="X28" i="223"/>
  <c r="S25" i="248"/>
  <c r="AK1" i="251"/>
  <c r="W4" i="256"/>
  <c r="U10" i="252"/>
  <c r="X5" i="223"/>
  <c r="S146" i="251"/>
  <c r="V7" i="255"/>
  <c r="S93" i="253"/>
  <c r="Z30" i="228"/>
  <c r="X27" i="223"/>
  <c r="Y24" i="223"/>
  <c r="T32" i="252"/>
  <c r="T50" i="252"/>
  <c r="T41" i="252"/>
  <c r="T58" i="252"/>
  <c r="T60" i="252" s="1"/>
  <c r="V42" i="256"/>
  <c r="V50" i="256"/>
  <c r="V58" i="256"/>
  <c r="V45" i="256"/>
  <c r="V54" i="256"/>
  <c r="V46" i="256"/>
  <c r="V55" i="256"/>
  <c r="V38" i="256"/>
  <c r="V47" i="256"/>
  <c r="V56" i="256"/>
  <c r="V39" i="256"/>
  <c r="V48" i="256"/>
  <c r="V57" i="256"/>
  <c r="V40" i="256"/>
  <c r="V49" i="256"/>
  <c r="V59" i="256"/>
  <c r="V43" i="256"/>
  <c r="V52" i="256"/>
  <c r="V61" i="256"/>
  <c r="V62" i="256"/>
  <c r="V41" i="256"/>
  <c r="V44" i="256"/>
  <c r="V51" i="256"/>
  <c r="V53" i="256"/>
  <c r="V60" i="256"/>
  <c r="Y42" i="228"/>
  <c r="Y41" i="228"/>
  <c r="Y43" i="228"/>
  <c r="Y45" i="228"/>
  <c r="Y40" i="228"/>
  <c r="Y44" i="228"/>
  <c r="Y46" i="228"/>
  <c r="Y38" i="228"/>
  <c r="Y37" i="228"/>
  <c r="Y33" i="228"/>
  <c r="Y36" i="228"/>
  <c r="Y35" i="228"/>
  <c r="Y34" i="228"/>
  <c r="Y47" i="228"/>
  <c r="Y39" i="228"/>
  <c r="U64" i="256"/>
  <c r="T22" i="255" s="1"/>
  <c r="R54" i="251"/>
  <c r="R96" i="251" s="1"/>
  <c r="R86" i="251"/>
  <c r="R51" i="251"/>
  <c r="R92" i="251" s="1"/>
  <c r="R88" i="251"/>
  <c r="S48" i="255"/>
  <c r="P123" i="251" s="1"/>
  <c r="Q48" i="248"/>
  <c r="R27" i="248"/>
  <c r="R35" i="248"/>
  <c r="R32" i="248"/>
  <c r="R33" i="248"/>
  <c r="R34" i="248"/>
  <c r="R28" i="248"/>
  <c r="R29" i="248"/>
  <c r="R30" i="248"/>
  <c r="X48" i="228"/>
  <c r="Q47" i="248"/>
  <c r="U65" i="256"/>
  <c r="T29" i="255" s="1"/>
  <c r="V13" i="231"/>
  <c r="U71" i="231"/>
  <c r="T20" i="231"/>
  <c r="S97" i="231"/>
  <c r="Y17" i="231"/>
  <c r="X93" i="231"/>
  <c r="Y16" i="231"/>
  <c r="W19" i="231"/>
  <c r="V96" i="231"/>
  <c r="V95" i="231"/>
  <c r="Y18" i="231"/>
  <c r="X94" i="231"/>
  <c r="M106" i="229"/>
  <c r="M107" i="229" s="1"/>
  <c r="M203" i="229" s="1"/>
  <c r="M119" i="229"/>
  <c r="M223" i="229" s="1"/>
  <c r="M185" i="229"/>
  <c r="N183" i="229" s="1"/>
  <c r="M174" i="229"/>
  <c r="M228" i="229" s="1"/>
  <c r="N51" i="229"/>
  <c r="N52" i="229" s="1"/>
  <c r="M128" i="229"/>
  <c r="M129" i="229" s="1"/>
  <c r="M205" i="229" s="1"/>
  <c r="M63" i="229"/>
  <c r="M199" i="229" s="1"/>
  <c r="AA96" i="229"/>
  <c r="AA202" i="229" s="1"/>
  <c r="N29" i="229"/>
  <c r="M215" i="229"/>
  <c r="N86" i="229"/>
  <c r="N73" i="229"/>
  <c r="N74" i="229" s="1"/>
  <c r="M219" i="229"/>
  <c r="N140" i="229"/>
  <c r="N206" i="229" s="1"/>
  <c r="N97" i="229"/>
  <c r="M41" i="229"/>
  <c r="M197" i="229" s="1"/>
  <c r="M162" i="229"/>
  <c r="M208" i="229" s="1"/>
  <c r="N151" i="229"/>
  <c r="N207" i="229" s="1"/>
  <c r="Y67" i="231" l="1"/>
  <c r="Z10" i="231"/>
  <c r="T7" i="251"/>
  <c r="T15" i="251"/>
  <c r="M22" i="251"/>
  <c r="M15" i="251" s="1"/>
  <c r="BJ15" i="253"/>
  <c r="O15" i="251"/>
  <c r="T6" i="242"/>
  <c r="T8" i="242" s="1"/>
  <c r="S14" i="251"/>
  <c r="U23" i="252" s="1"/>
  <c r="H18" i="252"/>
  <c r="F7" i="251"/>
  <c r="T18" i="252"/>
  <c r="R7" i="251"/>
  <c r="R57" i="251" s="1"/>
  <c r="M14" i="251"/>
  <c r="O23" i="252" s="1"/>
  <c r="S18" i="252"/>
  <c r="Q7" i="251"/>
  <c r="I18" i="252"/>
  <c r="G7" i="251"/>
  <c r="N22" i="251"/>
  <c r="N15" i="251" s="1"/>
  <c r="R18" i="252"/>
  <c r="R16" i="252" s="1"/>
  <c r="P7" i="251"/>
  <c r="Q18" i="252"/>
  <c r="Q16" i="252" s="1"/>
  <c r="O7" i="251"/>
  <c r="K18" i="252"/>
  <c r="I7" i="251"/>
  <c r="P18" i="252"/>
  <c r="N7" i="251"/>
  <c r="U18" i="252"/>
  <c r="S7" i="251"/>
  <c r="G18" i="252"/>
  <c r="E7" i="251"/>
  <c r="Q14" i="251"/>
  <c r="S23" i="252" s="1"/>
  <c r="U6" i="253"/>
  <c r="U8" i="253" s="1"/>
  <c r="V4" i="253"/>
  <c r="J18" i="252"/>
  <c r="H7" i="251"/>
  <c r="R60" i="251"/>
  <c r="R103" i="251" s="1"/>
  <c r="R104" i="251" s="1"/>
  <c r="N18" i="252"/>
  <c r="L7" i="251"/>
  <c r="M18" i="252"/>
  <c r="K7" i="251"/>
  <c r="F18" i="252"/>
  <c r="D7" i="251"/>
  <c r="V5" i="253"/>
  <c r="V6" i="253" s="1"/>
  <c r="V8" i="253" s="1"/>
  <c r="V53" i="253"/>
  <c r="AP3" i="253"/>
  <c r="BK3" i="253" s="1"/>
  <c r="BK11" i="253" s="1"/>
  <c r="BK17" i="253" s="1"/>
  <c r="E14" i="251"/>
  <c r="G23" i="252" s="1"/>
  <c r="D22" i="251"/>
  <c r="D15" i="251" s="1"/>
  <c r="G14" i="251"/>
  <c r="I23" i="252" s="1"/>
  <c r="E22" i="251"/>
  <c r="E15" i="251" s="1"/>
  <c r="F22" i="251"/>
  <c r="F15" i="251" s="1"/>
  <c r="G22" i="251"/>
  <c r="G15" i="251" s="1"/>
  <c r="D14" i="251"/>
  <c r="F23" i="252" s="1"/>
  <c r="H22" i="251"/>
  <c r="H15" i="251" s="1"/>
  <c r="F14" i="251"/>
  <c r="H23" i="252" s="1"/>
  <c r="I22" i="251"/>
  <c r="I15" i="251" s="1"/>
  <c r="I14" i="251"/>
  <c r="K23" i="252" s="1"/>
  <c r="J22" i="251"/>
  <c r="J15" i="251" s="1"/>
  <c r="H14" i="251"/>
  <c r="J23" i="252" s="1"/>
  <c r="K22" i="251"/>
  <c r="K15" i="251" s="1"/>
  <c r="L22" i="251"/>
  <c r="L15" i="251" s="1"/>
  <c r="K14" i="251"/>
  <c r="M23" i="252" s="1"/>
  <c r="R22" i="251"/>
  <c r="R15" i="251" s="1"/>
  <c r="N14" i="251"/>
  <c r="P23" i="252" s="1"/>
  <c r="L14" i="251"/>
  <c r="N23" i="252" s="1"/>
  <c r="T14" i="251"/>
  <c r="V23" i="252" s="1"/>
  <c r="V16" i="252" s="1"/>
  <c r="R14" i="251"/>
  <c r="T23" i="252" s="1"/>
  <c r="J14" i="251"/>
  <c r="L23" i="252" s="1"/>
  <c r="Q22" i="251"/>
  <c r="Q15" i="251" s="1"/>
  <c r="L18" i="252"/>
  <c r="J7" i="251"/>
  <c r="S22" i="251"/>
  <c r="S15" i="251" s="1"/>
  <c r="O18" i="252"/>
  <c r="O16" i="252" s="1"/>
  <c r="M7" i="251"/>
  <c r="W12" i="204"/>
  <c r="X11" i="204" s="1"/>
  <c r="X13" i="204" s="1"/>
  <c r="W8" i="204"/>
  <c r="W14" i="204"/>
  <c r="DM8" i="204"/>
  <c r="X98" i="231"/>
  <c r="AA97" i="229"/>
  <c r="AA221" i="229" s="1"/>
  <c r="L283" i="229" s="1"/>
  <c r="L327" i="229" s="1"/>
  <c r="S12" i="224"/>
  <c r="C12" i="224" s="1"/>
  <c r="U23" i="248"/>
  <c r="V21" i="248"/>
  <c r="V23" i="248" s="1"/>
  <c r="U22" i="248"/>
  <c r="T24" i="248"/>
  <c r="Z27" i="231"/>
  <c r="Y79" i="231"/>
  <c r="Y87" i="231" s="1"/>
  <c r="Y61" i="231"/>
  <c r="Y69" i="231" s="1"/>
  <c r="X89" i="231"/>
  <c r="Z24" i="231"/>
  <c r="Y76" i="231"/>
  <c r="Y58" i="231"/>
  <c r="Y66" i="231" s="1"/>
  <c r="Z28" i="231"/>
  <c r="Y62" i="231"/>
  <c r="Y70" i="231" s="1"/>
  <c r="Y80" i="231"/>
  <c r="Y88" i="231" s="1"/>
  <c r="Z29" i="231"/>
  <c r="Y63" i="231"/>
  <c r="Y81" i="231"/>
  <c r="Y89" i="231" s="1"/>
  <c r="Z9" i="231"/>
  <c r="Z68" i="231"/>
  <c r="AA57" i="231"/>
  <c r="AA65" i="231" s="1"/>
  <c r="AB6" i="231"/>
  <c r="AA23" i="231"/>
  <c r="AA8" i="231"/>
  <c r="AA11" i="231" s="1"/>
  <c r="Z12" i="231"/>
  <c r="X92" i="231"/>
  <c r="Z75" i="231"/>
  <c r="Z83" i="231" s="1"/>
  <c r="Z91" i="231"/>
  <c r="Y64" i="231"/>
  <c r="Y72" i="231" s="1"/>
  <c r="Z30" i="231"/>
  <c r="Y82" i="231"/>
  <c r="Y90" i="231" s="1"/>
  <c r="Y85" i="231"/>
  <c r="Y93" i="231" s="1"/>
  <c r="AA25" i="231"/>
  <c r="Z77" i="231"/>
  <c r="Z85" i="231" s="1"/>
  <c r="Z59" i="231"/>
  <c r="Z67" i="231" s="1"/>
  <c r="V66" i="256"/>
  <c r="U36" i="255" s="1"/>
  <c r="R46" i="248"/>
  <c r="Z25" i="223"/>
  <c r="Y26" i="198"/>
  <c r="Q49" i="248"/>
  <c r="T20" i="255" s="1"/>
  <c r="AC8" i="223"/>
  <c r="AC9" i="223" s="1"/>
  <c r="AD4" i="223"/>
  <c r="R45" i="248"/>
  <c r="S54" i="251"/>
  <c r="S96" i="251" s="1"/>
  <c r="S88" i="251"/>
  <c r="S60" i="251" s="1"/>
  <c r="S86" i="251"/>
  <c r="S51" i="251"/>
  <c r="S92" i="251" s="1"/>
  <c r="S33" i="248"/>
  <c r="S29" i="248"/>
  <c r="S27" i="248"/>
  <c r="S35" i="248"/>
  <c r="S32" i="248"/>
  <c r="S28" i="248"/>
  <c r="S34" i="248"/>
  <c r="S30" i="248"/>
  <c r="Z42" i="228"/>
  <c r="Z41" i="228"/>
  <c r="Z43" i="228"/>
  <c r="Z45" i="228"/>
  <c r="Z46" i="228"/>
  <c r="Z40" i="228"/>
  <c r="Z44" i="228"/>
  <c r="Z38" i="228"/>
  <c r="Z37" i="228"/>
  <c r="Z33" i="228"/>
  <c r="Z35" i="228"/>
  <c r="Z36" i="228"/>
  <c r="Z47" i="228"/>
  <c r="Z34" i="228"/>
  <c r="Z39" i="228"/>
  <c r="T48" i="255"/>
  <c r="Q123" i="251" s="1"/>
  <c r="Y48" i="228"/>
  <c r="V64" i="256"/>
  <c r="U22" i="255" s="1"/>
  <c r="AL1" i="251"/>
  <c r="V10" i="252"/>
  <c r="X4" i="256"/>
  <c r="T25" i="248"/>
  <c r="T93" i="253"/>
  <c r="Y5" i="223"/>
  <c r="W7" i="255"/>
  <c r="T146" i="251"/>
  <c r="R48" i="248"/>
  <c r="V65" i="256"/>
  <c r="U29" i="255" s="1"/>
  <c r="F13" i="257"/>
  <c r="AA30" i="228"/>
  <c r="Z24" i="223"/>
  <c r="U41" i="252"/>
  <c r="U58" i="252"/>
  <c r="U60" i="252" s="1"/>
  <c r="U32" i="252"/>
  <c r="U50" i="252"/>
  <c r="R47" i="248"/>
  <c r="W43" i="256"/>
  <c r="W51" i="256"/>
  <c r="W59" i="256"/>
  <c r="W44" i="256"/>
  <c r="W52" i="256"/>
  <c r="W60" i="256"/>
  <c r="W45" i="256"/>
  <c r="W53" i="256"/>
  <c r="W61" i="256"/>
  <c r="W38" i="256"/>
  <c r="W46" i="256"/>
  <c r="W54" i="256"/>
  <c r="W62" i="256"/>
  <c r="W39" i="256"/>
  <c r="W47" i="256"/>
  <c r="W55" i="256"/>
  <c r="W41" i="256"/>
  <c r="W49" i="256"/>
  <c r="W57" i="256"/>
  <c r="W40" i="256"/>
  <c r="W42" i="256"/>
  <c r="W48" i="256"/>
  <c r="W50" i="256"/>
  <c r="W56" i="256"/>
  <c r="W58" i="256"/>
  <c r="N172" i="229"/>
  <c r="N173" i="229" s="1"/>
  <c r="N209" i="229" s="1"/>
  <c r="X19" i="231"/>
  <c r="W95" i="231"/>
  <c r="W96" i="231"/>
  <c r="U20" i="231"/>
  <c r="T97" i="231"/>
  <c r="Z16" i="231"/>
  <c r="Z18" i="231"/>
  <c r="Y94" i="231"/>
  <c r="Z17" i="231"/>
  <c r="W13" i="231"/>
  <c r="V71" i="231"/>
  <c r="M229" i="229"/>
  <c r="N117" i="229"/>
  <c r="N118" i="229" s="1"/>
  <c r="N204" i="229" s="1"/>
  <c r="N198" i="229"/>
  <c r="N53" i="229"/>
  <c r="O51" i="229" s="1"/>
  <c r="N152" i="229"/>
  <c r="N226" i="229" s="1"/>
  <c r="M130" i="229"/>
  <c r="M224" i="229" s="1"/>
  <c r="M42" i="229"/>
  <c r="N40" i="229" s="1"/>
  <c r="N141" i="229"/>
  <c r="N225" i="229" s="1"/>
  <c r="N75" i="229"/>
  <c r="N200" i="229"/>
  <c r="M163" i="229"/>
  <c r="M108" i="229"/>
  <c r="O84" i="229"/>
  <c r="N220" i="229"/>
  <c r="N184" i="229"/>
  <c r="N210" i="229" s="1"/>
  <c r="N221" i="229"/>
  <c r="O95" i="229"/>
  <c r="N30" i="229"/>
  <c r="N196" i="229" s="1"/>
  <c r="M64" i="229"/>
  <c r="R128" i="251" l="1"/>
  <c r="AA10" i="231"/>
  <c r="Y98" i="231"/>
  <c r="AA98" i="229"/>
  <c r="AA100" i="229" s="1"/>
  <c r="AA240" i="229" s="1"/>
  <c r="AB95" i="229"/>
  <c r="M65" i="229"/>
  <c r="M67" i="229" s="1"/>
  <c r="M237" i="229" s="1"/>
  <c r="S12" i="259"/>
  <c r="C12" i="259" s="1"/>
  <c r="S57" i="251"/>
  <c r="S58" i="251" s="1"/>
  <c r="S100" i="251" s="1"/>
  <c r="L16" i="252"/>
  <c r="U16" i="252"/>
  <c r="R58" i="251"/>
  <c r="R100" i="251" s="1"/>
  <c r="R99" i="251"/>
  <c r="R102" i="251" s="1"/>
  <c r="R59" i="251"/>
  <c r="R101" i="251" s="1"/>
  <c r="M57" i="251"/>
  <c r="M60" i="251"/>
  <c r="F16" i="252"/>
  <c r="H57" i="251"/>
  <c r="H60" i="251"/>
  <c r="G16" i="252"/>
  <c r="K16" i="252"/>
  <c r="J16" i="252"/>
  <c r="O60" i="251"/>
  <c r="O57" i="251"/>
  <c r="Q60" i="251"/>
  <c r="Q57" i="251"/>
  <c r="K57" i="251"/>
  <c r="K60" i="251"/>
  <c r="S16" i="252"/>
  <c r="J57" i="251"/>
  <c r="J60" i="251"/>
  <c r="M16" i="252"/>
  <c r="P57" i="251"/>
  <c r="P60" i="251"/>
  <c r="L60" i="251"/>
  <c r="L57" i="251"/>
  <c r="N60" i="251"/>
  <c r="N57" i="251"/>
  <c r="N16" i="252"/>
  <c r="P16" i="252"/>
  <c r="T16" i="252"/>
  <c r="BK15" i="253"/>
  <c r="G57" i="251"/>
  <c r="G60" i="251"/>
  <c r="F57" i="251"/>
  <c r="F60" i="251"/>
  <c r="D57" i="251"/>
  <c r="D60" i="251"/>
  <c r="E57" i="251"/>
  <c r="E60" i="251"/>
  <c r="I60" i="251"/>
  <c r="I57" i="251"/>
  <c r="I16" i="252"/>
  <c r="H16" i="252"/>
  <c r="DN8" i="204"/>
  <c r="X12" i="204"/>
  <c r="Y11" i="204" s="1"/>
  <c r="X8" i="204"/>
  <c r="X14" i="204"/>
  <c r="U24" i="248"/>
  <c r="V22" i="248"/>
  <c r="V24" i="248" s="1"/>
  <c r="AA30" i="231"/>
  <c r="Z82" i="231"/>
  <c r="Z90" i="231" s="1"/>
  <c r="Z64" i="231"/>
  <c r="Z72" i="231" s="1"/>
  <c r="AA68" i="231"/>
  <c r="AA28" i="231"/>
  <c r="Z62" i="231"/>
  <c r="Z70" i="231" s="1"/>
  <c r="Z80" i="231"/>
  <c r="Z88" i="231" s="1"/>
  <c r="Y84" i="231"/>
  <c r="Y92" i="231" s="1"/>
  <c r="AA27" i="231"/>
  <c r="Z79" i="231"/>
  <c r="Z87" i="231" s="1"/>
  <c r="Z61" i="231"/>
  <c r="Z69" i="231" s="1"/>
  <c r="AA12" i="231"/>
  <c r="AA24" i="231"/>
  <c r="Z58" i="231"/>
  <c r="Z66" i="231" s="1"/>
  <c r="Z76" i="231"/>
  <c r="Z84" i="231" s="1"/>
  <c r="Z92" i="231" s="1"/>
  <c r="AC6" i="231"/>
  <c r="AB23" i="231"/>
  <c r="AB57" i="231"/>
  <c r="AB65" i="231" s="1"/>
  <c r="AB8" i="231"/>
  <c r="AB11" i="231" s="1"/>
  <c r="AA29" i="231"/>
  <c r="Z81" i="231"/>
  <c r="Z89" i="231" s="1"/>
  <c r="Z63" i="231"/>
  <c r="AA91" i="231"/>
  <c r="AA75" i="231"/>
  <c r="AA83" i="231" s="1"/>
  <c r="AA9" i="231"/>
  <c r="AB25" i="231"/>
  <c r="AA77" i="231"/>
  <c r="AA85" i="231" s="1"/>
  <c r="AA59" i="231"/>
  <c r="AA67" i="231" s="1"/>
  <c r="T12" i="224"/>
  <c r="T12" i="259" s="1"/>
  <c r="W65" i="256"/>
  <c r="V29" i="255" s="1"/>
  <c r="W64" i="256"/>
  <c r="V22" i="255" s="1"/>
  <c r="S45" i="248"/>
  <c r="Z26" i="198"/>
  <c r="AA25" i="223"/>
  <c r="W66" i="256"/>
  <c r="V36" i="255" s="1"/>
  <c r="R49" i="248"/>
  <c r="U20" i="255" s="1"/>
  <c r="S48" i="248"/>
  <c r="AD8" i="223"/>
  <c r="AD9" i="223" s="1"/>
  <c r="AE4" i="223"/>
  <c r="Z48" i="228"/>
  <c r="K53" i="228" s="1"/>
  <c r="T54" i="251"/>
  <c r="T96" i="251" s="1"/>
  <c r="T51" i="251"/>
  <c r="T92" i="251" s="1"/>
  <c r="T88" i="251"/>
  <c r="T60" i="251" s="1"/>
  <c r="T86" i="251"/>
  <c r="T57" i="251" s="1"/>
  <c r="S46" i="248"/>
  <c r="U48" i="255"/>
  <c r="R123" i="251" s="1"/>
  <c r="S128" i="251"/>
  <c r="S103" i="251"/>
  <c r="S104" i="251" s="1"/>
  <c r="V32" i="252"/>
  <c r="V41" i="252"/>
  <c r="V50" i="252"/>
  <c r="V58" i="252"/>
  <c r="V60" i="252" s="1"/>
  <c r="AB30" i="228"/>
  <c r="AA24" i="223"/>
  <c r="AA43" i="228"/>
  <c r="AA45" i="228"/>
  <c r="AA40" i="228"/>
  <c r="AA44" i="228"/>
  <c r="AA42" i="228"/>
  <c r="AA46" i="228"/>
  <c r="AA41" i="228"/>
  <c r="AA37" i="228"/>
  <c r="AA38" i="228"/>
  <c r="AA33" i="228"/>
  <c r="AA35" i="228"/>
  <c r="AA36" i="228"/>
  <c r="AA47" i="228"/>
  <c r="AA34" i="228"/>
  <c r="AA39" i="228"/>
  <c r="U25" i="248"/>
  <c r="Y4" i="256"/>
  <c r="X7" i="255"/>
  <c r="U93" i="253"/>
  <c r="Z5" i="223"/>
  <c r="F26" i="257"/>
  <c r="F25" i="257"/>
  <c r="S47" i="248"/>
  <c r="T30" i="248"/>
  <c r="T27" i="248"/>
  <c r="T35" i="248"/>
  <c r="T28" i="248"/>
  <c r="T29" i="248"/>
  <c r="T32" i="248"/>
  <c r="T33" i="248"/>
  <c r="T34" i="248"/>
  <c r="X39" i="256"/>
  <c r="X40" i="256"/>
  <c r="X48" i="256"/>
  <c r="X56" i="256"/>
  <c r="X41" i="256"/>
  <c r="X49" i="256"/>
  <c r="X57" i="256"/>
  <c r="X42" i="256"/>
  <c r="X50" i="256"/>
  <c r="X58" i="256"/>
  <c r="X43" i="256"/>
  <c r="X51" i="256"/>
  <c r="X59" i="256"/>
  <c r="X45" i="256"/>
  <c r="X53" i="256"/>
  <c r="X61" i="256"/>
  <c r="X55" i="256"/>
  <c r="X60" i="256"/>
  <c r="X38" i="256"/>
  <c r="X62" i="256"/>
  <c r="X44" i="256"/>
  <c r="X46" i="256"/>
  <c r="X47" i="256"/>
  <c r="X52" i="256"/>
  <c r="X54" i="256"/>
  <c r="X66" i="256" s="1"/>
  <c r="W36" i="255" s="1"/>
  <c r="X13" i="231"/>
  <c r="W71" i="231"/>
  <c r="Y19" i="231"/>
  <c r="X95" i="231"/>
  <c r="X96" i="231"/>
  <c r="AA18" i="231"/>
  <c r="Z94" i="231"/>
  <c r="AA16" i="231"/>
  <c r="AA17" i="231"/>
  <c r="Z93" i="231"/>
  <c r="V20" i="231"/>
  <c r="U97" i="231"/>
  <c r="N31" i="229"/>
  <c r="N215" i="229" s="1"/>
  <c r="O139" i="229"/>
  <c r="O140" i="229" s="1"/>
  <c r="O206" i="229" s="1"/>
  <c r="M216" i="229"/>
  <c r="N128" i="229"/>
  <c r="N129" i="229" s="1"/>
  <c r="N205" i="229" s="1"/>
  <c r="N217" i="229"/>
  <c r="O150" i="229"/>
  <c r="O151" i="229" s="1"/>
  <c r="O207" i="229" s="1"/>
  <c r="O96" i="229"/>
  <c r="O202" i="229" s="1"/>
  <c r="N185" i="229"/>
  <c r="N106" i="229"/>
  <c r="M222" i="229"/>
  <c r="O73" i="229"/>
  <c r="N219" i="229"/>
  <c r="N41" i="229"/>
  <c r="N197" i="229" s="1"/>
  <c r="O85" i="229"/>
  <c r="O201" i="229" s="1"/>
  <c r="I261" i="229" s="1"/>
  <c r="N161" i="229"/>
  <c r="M227" i="229"/>
  <c r="N62" i="229"/>
  <c r="M218" i="229"/>
  <c r="AB96" i="229"/>
  <c r="AB202" i="229" s="1"/>
  <c r="N119" i="229"/>
  <c r="N174" i="229"/>
  <c r="O52" i="229"/>
  <c r="O198" i="229" s="1"/>
  <c r="S59" i="251" l="1"/>
  <c r="S101" i="251" s="1"/>
  <c r="S99" i="251"/>
  <c r="S102" i="251" s="1"/>
  <c r="I103" i="251"/>
  <c r="I104" i="251" s="1"/>
  <c r="I128" i="251"/>
  <c r="G58" i="251"/>
  <c r="G100" i="251" s="1"/>
  <c r="G59" i="251"/>
  <c r="G101" i="251" s="1"/>
  <c r="G99" i="251"/>
  <c r="G102" i="251" s="1"/>
  <c r="L128" i="251"/>
  <c r="L103" i="251"/>
  <c r="L104" i="251" s="1"/>
  <c r="K99" i="251"/>
  <c r="K102" i="251" s="1"/>
  <c r="K59" i="251"/>
  <c r="K101" i="251" s="1"/>
  <c r="K58" i="251"/>
  <c r="K100" i="251" s="1"/>
  <c r="H103" i="251"/>
  <c r="H104" i="251" s="1"/>
  <c r="H128" i="251"/>
  <c r="E103" i="251"/>
  <c r="E104" i="251" s="1"/>
  <c r="E128" i="251"/>
  <c r="P103" i="251"/>
  <c r="P104" i="251" s="1"/>
  <c r="P128" i="251"/>
  <c r="Q59" i="251"/>
  <c r="Q101" i="251" s="1"/>
  <c r="Q99" i="251"/>
  <c r="Q102" i="251" s="1"/>
  <c r="Q58" i="251"/>
  <c r="Q100" i="251" s="1"/>
  <c r="H58" i="251"/>
  <c r="H100" i="251" s="1"/>
  <c r="H99" i="251"/>
  <c r="H102" i="251" s="1"/>
  <c r="H59" i="251"/>
  <c r="H101" i="251" s="1"/>
  <c r="E59" i="251"/>
  <c r="E101" i="251" s="1"/>
  <c r="E99" i="251"/>
  <c r="E102" i="251" s="1"/>
  <c r="E58" i="251"/>
  <c r="E100" i="251" s="1"/>
  <c r="P99" i="251"/>
  <c r="P102" i="251" s="1"/>
  <c r="P59" i="251"/>
  <c r="P101" i="251" s="1"/>
  <c r="P58" i="251"/>
  <c r="P100" i="251" s="1"/>
  <c r="Q128" i="251"/>
  <c r="Q103" i="251"/>
  <c r="Q104" i="251" s="1"/>
  <c r="D128" i="251"/>
  <c r="D103" i="251"/>
  <c r="D104" i="251" s="1"/>
  <c r="O59" i="251"/>
  <c r="O101" i="251" s="1"/>
  <c r="O58" i="251"/>
  <c r="O100" i="251" s="1"/>
  <c r="O99" i="251"/>
  <c r="O102" i="251" s="1"/>
  <c r="M103" i="251"/>
  <c r="M104" i="251" s="1"/>
  <c r="M128" i="251"/>
  <c r="D99" i="251"/>
  <c r="D102" i="251" s="1"/>
  <c r="D58" i="251"/>
  <c r="D100" i="251" s="1"/>
  <c r="D59" i="251"/>
  <c r="D101" i="251" s="1"/>
  <c r="J103" i="251"/>
  <c r="J104" i="251" s="1"/>
  <c r="J128" i="251"/>
  <c r="O103" i="251"/>
  <c r="O104" i="251" s="1"/>
  <c r="O128" i="251"/>
  <c r="M99" i="251"/>
  <c r="M102" i="251" s="1"/>
  <c r="M58" i="251"/>
  <c r="M100" i="251" s="1"/>
  <c r="M59" i="251"/>
  <c r="M101" i="251" s="1"/>
  <c r="F103" i="251"/>
  <c r="F104" i="251" s="1"/>
  <c r="F128" i="251"/>
  <c r="N58" i="251"/>
  <c r="N100" i="251" s="1"/>
  <c r="N59" i="251"/>
  <c r="N101" i="251" s="1"/>
  <c r="N99" i="251"/>
  <c r="N102" i="251" s="1"/>
  <c r="J99" i="251"/>
  <c r="J102" i="251" s="1"/>
  <c r="J59" i="251"/>
  <c r="J101" i="251" s="1"/>
  <c r="J58" i="251"/>
  <c r="J100" i="251" s="1"/>
  <c r="F99" i="251"/>
  <c r="F102" i="251" s="1"/>
  <c r="F59" i="251"/>
  <c r="F101" i="251" s="1"/>
  <c r="F58" i="251"/>
  <c r="F100" i="251" s="1"/>
  <c r="N128" i="251"/>
  <c r="N103" i="251"/>
  <c r="N104" i="251" s="1"/>
  <c r="I59" i="251"/>
  <c r="I101" i="251" s="1"/>
  <c r="I99" i="251"/>
  <c r="I102" i="251" s="1"/>
  <c r="I58" i="251"/>
  <c r="I100" i="251" s="1"/>
  <c r="G128" i="251"/>
  <c r="G103" i="251"/>
  <c r="G104" i="251" s="1"/>
  <c r="L58" i="251"/>
  <c r="L100" i="251" s="1"/>
  <c r="L99" i="251"/>
  <c r="L102" i="251" s="1"/>
  <c r="L59" i="251"/>
  <c r="L101" i="251" s="1"/>
  <c r="K103" i="251"/>
  <c r="K104" i="251" s="1"/>
  <c r="K128" i="251"/>
  <c r="Y8" i="204"/>
  <c r="Y12" i="204"/>
  <c r="Z11" i="204" s="1"/>
  <c r="Z13" i="204" s="1"/>
  <c r="Y14" i="204"/>
  <c r="DO8" i="204"/>
  <c r="Y13" i="204"/>
  <c r="V48" i="255"/>
  <c r="S123" i="251" s="1"/>
  <c r="AB97" i="229"/>
  <c r="Z98" i="231"/>
  <c r="AB91" i="231"/>
  <c r="AB75" i="231"/>
  <c r="AB83" i="231" s="1"/>
  <c r="AB9" i="231"/>
  <c r="AC57" i="231"/>
  <c r="AC65" i="231" s="1"/>
  <c r="AC23" i="231"/>
  <c r="AC8" i="231"/>
  <c r="AC11" i="231" s="1"/>
  <c r="AB12" i="231"/>
  <c r="AB30" i="231"/>
  <c r="AA64" i="231"/>
  <c r="AA72" i="231" s="1"/>
  <c r="U11" i="253" s="1"/>
  <c r="AA82" i="231"/>
  <c r="AA90" i="231" s="1"/>
  <c r="P11" i="246"/>
  <c r="T11" i="245"/>
  <c r="S11" i="242"/>
  <c r="AB24" i="231"/>
  <c r="AA58" i="231"/>
  <c r="AA66" i="231" s="1"/>
  <c r="T11" i="237" s="1"/>
  <c r="AA76" i="231"/>
  <c r="AA84" i="231" s="1"/>
  <c r="Q11" i="245"/>
  <c r="AB28" i="231"/>
  <c r="AA62" i="231"/>
  <c r="AA70" i="231" s="1"/>
  <c r="AA80" i="231"/>
  <c r="AA88" i="231" s="1"/>
  <c r="AB10" i="231"/>
  <c r="AC10" i="231" s="1"/>
  <c r="K11" i="246"/>
  <c r="M11" i="246"/>
  <c r="AB29" i="231"/>
  <c r="AA63" i="231"/>
  <c r="AA81" i="231"/>
  <c r="AA89" i="231" s="1"/>
  <c r="S11" i="243"/>
  <c r="AB68" i="231"/>
  <c r="AB27" i="231"/>
  <c r="AA79" i="231"/>
  <c r="AA87" i="231" s="1"/>
  <c r="AA61" i="231"/>
  <c r="AA69" i="231" s="1"/>
  <c r="P11" i="237"/>
  <c r="T11" i="243"/>
  <c r="AC25" i="231"/>
  <c r="AB59" i="231"/>
  <c r="AB67" i="231" s="1"/>
  <c r="AB77" i="231"/>
  <c r="AB85" i="231" s="1"/>
  <c r="T46" i="248"/>
  <c r="T45" i="248"/>
  <c r="H175" i="224"/>
  <c r="H37" i="224"/>
  <c r="H176" i="259"/>
  <c r="AB49" i="228"/>
  <c r="L54" i="228" s="1"/>
  <c r="I39" i="224" s="1"/>
  <c r="I39" i="259" s="1"/>
  <c r="I117" i="259" s="1"/>
  <c r="O57" i="228"/>
  <c r="AF4" i="223"/>
  <c r="AE8" i="223"/>
  <c r="AE9" i="223" s="1"/>
  <c r="S49" i="248"/>
  <c r="V20" i="255" s="1"/>
  <c r="AB25" i="223"/>
  <c r="AA26" i="198"/>
  <c r="X65" i="256"/>
  <c r="W29" i="255" s="1"/>
  <c r="Y44" i="256"/>
  <c r="Y52" i="256"/>
  <c r="Y60" i="256"/>
  <c r="Y45" i="256"/>
  <c r="Y53" i="256"/>
  <c r="Y61" i="256"/>
  <c r="Y38" i="256"/>
  <c r="Y46" i="256"/>
  <c r="Y54" i="256"/>
  <c r="Y62" i="256"/>
  <c r="Y39" i="256"/>
  <c r="Y47" i="256"/>
  <c r="Y55" i="256"/>
  <c r="Y41" i="256"/>
  <c r="Y49" i="256"/>
  <c r="Y57" i="256"/>
  <c r="Y48" i="256"/>
  <c r="Y50" i="256"/>
  <c r="Y51" i="256"/>
  <c r="Y56" i="256"/>
  <c r="Y58" i="256"/>
  <c r="Y40" i="256"/>
  <c r="Y59" i="256"/>
  <c r="Y42" i="256"/>
  <c r="Y43" i="256"/>
  <c r="U29" i="248"/>
  <c r="U34" i="248"/>
  <c r="U30" i="248"/>
  <c r="U32" i="248"/>
  <c r="U27" i="248"/>
  <c r="U28" i="248"/>
  <c r="U33" i="248"/>
  <c r="U35" i="248"/>
  <c r="AC30" i="228"/>
  <c r="AB24" i="223"/>
  <c r="T47" i="248"/>
  <c r="AA48" i="228"/>
  <c r="X64" i="256"/>
  <c r="W22" i="255" s="1"/>
  <c r="AB44" i="228"/>
  <c r="AB46" i="228"/>
  <c r="AB43" i="228"/>
  <c r="AB40" i="228"/>
  <c r="AB42" i="228"/>
  <c r="AB45" i="228"/>
  <c r="AB41" i="228"/>
  <c r="AB37" i="228"/>
  <c r="AB38" i="228"/>
  <c r="AB33" i="228"/>
  <c r="AB35" i="228"/>
  <c r="AB36" i="228"/>
  <c r="AB34" i="228"/>
  <c r="AB47" i="228"/>
  <c r="AB39" i="228"/>
  <c r="T99" i="251"/>
  <c r="T102" i="251" s="1"/>
  <c r="T58" i="251"/>
  <c r="T100" i="251" s="1"/>
  <c r="T59" i="251"/>
  <c r="T101" i="251" s="1"/>
  <c r="T128" i="251"/>
  <c r="T103" i="251"/>
  <c r="T104" i="251" s="1"/>
  <c r="V25" i="248"/>
  <c r="Z4" i="256"/>
  <c r="AA5" i="223"/>
  <c r="Y7" i="255"/>
  <c r="V93" i="253"/>
  <c r="T48" i="248"/>
  <c r="AB17" i="231"/>
  <c r="AA93" i="231"/>
  <c r="AB16" i="231"/>
  <c r="AB18" i="231"/>
  <c r="AA94" i="231"/>
  <c r="Z19" i="231"/>
  <c r="Y95" i="231"/>
  <c r="Y96" i="231"/>
  <c r="W20" i="231"/>
  <c r="V97" i="231"/>
  <c r="Y13" i="231"/>
  <c r="X71" i="231"/>
  <c r="Q11" i="246" s="1"/>
  <c r="O29" i="229"/>
  <c r="O30" i="229" s="1"/>
  <c r="O196" i="229" s="1"/>
  <c r="O53" i="229"/>
  <c r="P51" i="229" s="1"/>
  <c r="N130" i="229"/>
  <c r="O128" i="229" s="1"/>
  <c r="O141" i="229"/>
  <c r="O225" i="229" s="1"/>
  <c r="I287" i="229" s="1"/>
  <c r="I331" i="229" s="1"/>
  <c r="N42" i="229"/>
  <c r="O40" i="229" s="1"/>
  <c r="AB221" i="229"/>
  <c r="AC95" i="229"/>
  <c r="AB98" i="229"/>
  <c r="AB100" i="229" s="1"/>
  <c r="AB240" i="229" s="1"/>
  <c r="N162" i="229"/>
  <c r="N208" i="229" s="1"/>
  <c r="O152" i="229"/>
  <c r="O86" i="229"/>
  <c r="O74" i="229"/>
  <c r="O200" i="229" s="1"/>
  <c r="N63" i="229"/>
  <c r="N199" i="229" s="1"/>
  <c r="N107" i="229"/>
  <c r="N203" i="229" s="1"/>
  <c r="N228" i="229"/>
  <c r="O172" i="229"/>
  <c r="O183" i="229"/>
  <c r="N229" i="229"/>
  <c r="N223" i="229"/>
  <c r="O117" i="229"/>
  <c r="O97" i="229"/>
  <c r="H37" i="259" l="1"/>
  <c r="H115" i="259" s="1"/>
  <c r="AA98" i="231"/>
  <c r="U10" i="253" s="1"/>
  <c r="U9" i="253" s="1"/>
  <c r="DP8" i="204"/>
  <c r="Z14" i="204"/>
  <c r="Z8" i="204"/>
  <c r="Z12" i="204"/>
  <c r="AA11" i="204" s="1"/>
  <c r="AA13" i="204" s="1"/>
  <c r="AL11" i="243"/>
  <c r="H115" i="224"/>
  <c r="U46" i="248"/>
  <c r="AA92" i="231"/>
  <c r="T10" i="237" s="1"/>
  <c r="T9" i="237" s="1"/>
  <c r="AC75" i="231"/>
  <c r="AC83" i="231" s="1"/>
  <c r="AC91" i="231"/>
  <c r="E11" i="242"/>
  <c r="D11" i="237"/>
  <c r="E11" i="243"/>
  <c r="D11" i="253"/>
  <c r="E11" i="245"/>
  <c r="E11" i="244"/>
  <c r="D11" i="244"/>
  <c r="F11" i="245"/>
  <c r="G11" i="242"/>
  <c r="D11" i="243"/>
  <c r="D11" i="245"/>
  <c r="D11" i="242"/>
  <c r="F11" i="244"/>
  <c r="F11" i="253"/>
  <c r="E11" i="253"/>
  <c r="F11" i="242"/>
  <c r="G11" i="243"/>
  <c r="G11" i="253"/>
  <c r="F11" i="237"/>
  <c r="G11" i="245"/>
  <c r="H11" i="244"/>
  <c r="D11" i="246"/>
  <c r="H11" i="253"/>
  <c r="F11" i="243"/>
  <c r="E11" i="237"/>
  <c r="H11" i="237"/>
  <c r="H11" i="245"/>
  <c r="G11" i="237"/>
  <c r="I11" i="244"/>
  <c r="I11" i="245"/>
  <c r="E11" i="246"/>
  <c r="J11" i="243"/>
  <c r="I11" i="243"/>
  <c r="H11" i="243"/>
  <c r="M11" i="253"/>
  <c r="K11" i="245"/>
  <c r="H11" i="242"/>
  <c r="G11" i="244"/>
  <c r="I11" i="253"/>
  <c r="J11" i="242"/>
  <c r="M11" i="243"/>
  <c r="M11" i="245"/>
  <c r="I11" i="242"/>
  <c r="J11" i="244"/>
  <c r="J11" i="245"/>
  <c r="F11" i="246"/>
  <c r="K11" i="243"/>
  <c r="J11" i="253"/>
  <c r="I11" i="237"/>
  <c r="M11" i="244"/>
  <c r="M11" i="242"/>
  <c r="G11" i="246"/>
  <c r="Q11" i="242"/>
  <c r="H11" i="246"/>
  <c r="L11" i="242"/>
  <c r="O11" i="246"/>
  <c r="Q11" i="244"/>
  <c r="N11" i="244"/>
  <c r="O11" i="244"/>
  <c r="K11" i="242"/>
  <c r="R11" i="245"/>
  <c r="AJ11" i="245" s="1"/>
  <c r="L11" i="253"/>
  <c r="K11" i="253"/>
  <c r="J11" i="246"/>
  <c r="AC11" i="246" s="1"/>
  <c r="R11" i="244"/>
  <c r="L11" i="237"/>
  <c r="J11" i="237"/>
  <c r="O11" i="243"/>
  <c r="M11" i="237"/>
  <c r="R11" i="237"/>
  <c r="K11" i="244"/>
  <c r="N11" i="243"/>
  <c r="P11" i="243"/>
  <c r="N11" i="253"/>
  <c r="L11" i="245"/>
  <c r="K11" i="237"/>
  <c r="N11" i="246"/>
  <c r="AF11" i="246" s="1"/>
  <c r="Q11" i="237"/>
  <c r="S11" i="244"/>
  <c r="O11" i="253"/>
  <c r="N11" i="245"/>
  <c r="O11" i="242"/>
  <c r="L11" i="243"/>
  <c r="L11" i="244"/>
  <c r="Q11" i="253"/>
  <c r="L11" i="246"/>
  <c r="AE11" i="246" s="1"/>
  <c r="P11" i="242"/>
  <c r="N11" i="237"/>
  <c r="Q11" i="243"/>
  <c r="AC27" i="231"/>
  <c r="AB61" i="231"/>
  <c r="AB69" i="231" s="1"/>
  <c r="AB79" i="231"/>
  <c r="AB87" i="231" s="1"/>
  <c r="I11" i="246"/>
  <c r="S11" i="237"/>
  <c r="AK11" i="237" s="1"/>
  <c r="O11" i="237"/>
  <c r="AH11" i="237" s="1"/>
  <c r="R10" i="242"/>
  <c r="Q10" i="237"/>
  <c r="Q10" i="242"/>
  <c r="L10" i="246"/>
  <c r="Q10" i="244"/>
  <c r="Q10" i="253"/>
  <c r="P10" i="243"/>
  <c r="P10" i="244"/>
  <c r="P10" i="242"/>
  <c r="O10" i="237"/>
  <c r="R10" i="243"/>
  <c r="M10" i="245"/>
  <c r="L10" i="253"/>
  <c r="P10" i="245"/>
  <c r="N10" i="242"/>
  <c r="N10" i="245"/>
  <c r="AC29" i="231"/>
  <c r="AB63" i="231"/>
  <c r="AB81" i="231"/>
  <c r="AB89" i="231" s="1"/>
  <c r="AC12" i="231"/>
  <c r="P11" i="244"/>
  <c r="T11" i="253"/>
  <c r="AO11" i="253" s="1"/>
  <c r="O11" i="245"/>
  <c r="O10" i="246"/>
  <c r="O9" i="246" s="1"/>
  <c r="S10" i="245"/>
  <c r="S9" i="245" s="1"/>
  <c r="S11" i="245"/>
  <c r="R11" i="253"/>
  <c r="S10" i="244"/>
  <c r="S9" i="244" s="1"/>
  <c r="AC9" i="231"/>
  <c r="P11" i="245"/>
  <c r="T11" i="244"/>
  <c r="T10" i="242"/>
  <c r="T9" i="242" s="1"/>
  <c r="AC28" i="231"/>
  <c r="AB80" i="231"/>
  <c r="AB88" i="231" s="1"/>
  <c r="AB62" i="231"/>
  <c r="AB70" i="231" s="1"/>
  <c r="AC24" i="231"/>
  <c r="AB76" i="231"/>
  <c r="AB84" i="231" s="1"/>
  <c r="AB92" i="231" s="1"/>
  <c r="AB58" i="231"/>
  <c r="AB66" i="231" s="1"/>
  <c r="AC68" i="231"/>
  <c r="N11" i="242"/>
  <c r="R11" i="243"/>
  <c r="AK11" i="243" s="1"/>
  <c r="T11" i="242"/>
  <c r="AL11" i="242" s="1"/>
  <c r="AC30" i="231"/>
  <c r="AB64" i="231"/>
  <c r="AB72" i="231" s="1"/>
  <c r="V11" i="253" s="1"/>
  <c r="AP11" i="253" s="1"/>
  <c r="AB82" i="231"/>
  <c r="AB90" i="231" s="1"/>
  <c r="S11" i="253"/>
  <c r="P11" i="253"/>
  <c r="R11" i="242"/>
  <c r="AK11" i="242" s="1"/>
  <c r="AC59" i="231"/>
  <c r="AC67" i="231" s="1"/>
  <c r="AC77" i="231"/>
  <c r="AC85" i="231" s="1"/>
  <c r="T49" i="248"/>
  <c r="W20" i="255" s="1"/>
  <c r="I117" i="224"/>
  <c r="W48" i="255"/>
  <c r="T123" i="251" s="1"/>
  <c r="Y66" i="256"/>
  <c r="X36" i="255" s="1"/>
  <c r="U48" i="248"/>
  <c r="AF8" i="223"/>
  <c r="AF9" i="223" s="1"/>
  <c r="AG4" i="223"/>
  <c r="AC25" i="223"/>
  <c r="AB26" i="198"/>
  <c r="AB28" i="223"/>
  <c r="U45" i="248"/>
  <c r="AD30" i="228"/>
  <c r="AB27" i="223"/>
  <c r="AC24" i="223"/>
  <c r="Y65" i="256"/>
  <c r="X29" i="255" s="1"/>
  <c r="Y64" i="256"/>
  <c r="X22" i="255" s="1"/>
  <c r="AC43" i="228"/>
  <c r="AC41" i="228"/>
  <c r="AC46" i="228"/>
  <c r="AC40" i="228"/>
  <c r="AC44" i="228"/>
  <c r="AC45" i="228"/>
  <c r="AC42" i="228"/>
  <c r="AC37" i="228"/>
  <c r="AC38" i="228"/>
  <c r="AC33" i="228"/>
  <c r="AC36" i="228"/>
  <c r="AC35" i="228"/>
  <c r="AC47" i="228"/>
  <c r="AC34" i="228"/>
  <c r="AC39" i="228"/>
  <c r="U47" i="248"/>
  <c r="AA4" i="256"/>
  <c r="AB5" i="223"/>
  <c r="AC5" i="223" s="1"/>
  <c r="AD5" i="223" s="1"/>
  <c r="AE5" i="223" s="1"/>
  <c r="AF5" i="223" s="1"/>
  <c r="AG5" i="223" s="1"/>
  <c r="Z7" i="255"/>
  <c r="V34" i="248"/>
  <c r="V32" i="248"/>
  <c r="V30" i="248"/>
  <c r="V28" i="248"/>
  <c r="V33" i="248"/>
  <c r="V29" i="248"/>
  <c r="V27" i="248"/>
  <c r="V35" i="248"/>
  <c r="Z40" i="256"/>
  <c r="Z48" i="256"/>
  <c r="Z56" i="256"/>
  <c r="Z41" i="256"/>
  <c r="Z49" i="256"/>
  <c r="Z57" i="256"/>
  <c r="Z42" i="256"/>
  <c r="Z50" i="256"/>
  <c r="Z58" i="256"/>
  <c r="Z43" i="256"/>
  <c r="Z51" i="256"/>
  <c r="Z59" i="256"/>
  <c r="Z45" i="256"/>
  <c r="Z53" i="256"/>
  <c r="Z61" i="256"/>
  <c r="Z38" i="256"/>
  <c r="Z60" i="256"/>
  <c r="Z39" i="256"/>
  <c r="Z62" i="256"/>
  <c r="Z44" i="256"/>
  <c r="Z46" i="256"/>
  <c r="Z47" i="256"/>
  <c r="Z52" i="256"/>
  <c r="Z54" i="256"/>
  <c r="Z66" i="256" s="1"/>
  <c r="Y36" i="255" s="1"/>
  <c r="Z55" i="256"/>
  <c r="AB48" i="228"/>
  <c r="AC17" i="231"/>
  <c r="AB93" i="231"/>
  <c r="AI11" i="246"/>
  <c r="AC16" i="231"/>
  <c r="Z13" i="231"/>
  <c r="Y71" i="231"/>
  <c r="R11" i="246" s="1"/>
  <c r="AC18" i="231"/>
  <c r="AB94" i="231"/>
  <c r="X20" i="231"/>
  <c r="W97" i="231"/>
  <c r="P10" i="246" s="1"/>
  <c r="AA19" i="231"/>
  <c r="Z96" i="231"/>
  <c r="T10" i="245" s="1"/>
  <c r="Z95" i="231"/>
  <c r="T10" i="244" s="1"/>
  <c r="P139" i="229"/>
  <c r="P140" i="229" s="1"/>
  <c r="P206" i="229" s="1"/>
  <c r="O217" i="229"/>
  <c r="I279" i="229" s="1"/>
  <c r="I323" i="229" s="1"/>
  <c r="N224" i="229"/>
  <c r="N216" i="229"/>
  <c r="N163" i="229"/>
  <c r="O161" i="229" s="1"/>
  <c r="O75" i="229"/>
  <c r="O219" i="229" s="1"/>
  <c r="I281" i="229" s="1"/>
  <c r="I325" i="229" s="1"/>
  <c r="O31" i="229"/>
  <c r="P29" i="229" s="1"/>
  <c r="O184" i="229"/>
  <c r="O210" i="229" s="1"/>
  <c r="O173" i="229"/>
  <c r="O209" i="229" s="1"/>
  <c r="O118" i="229"/>
  <c r="O204" i="229" s="1"/>
  <c r="O41" i="229"/>
  <c r="O197" i="229" s="1"/>
  <c r="I257" i="229" s="1"/>
  <c r="O221" i="229"/>
  <c r="I283" i="229" s="1"/>
  <c r="I327" i="229" s="1"/>
  <c r="P95" i="229"/>
  <c r="N108" i="229"/>
  <c r="O129" i="229"/>
  <c r="O205" i="229" s="1"/>
  <c r="I265" i="229" s="1"/>
  <c r="AC96" i="229"/>
  <c r="AC202" i="229" s="1"/>
  <c r="O220" i="229"/>
  <c r="I282" i="229" s="1"/>
  <c r="I326" i="229" s="1"/>
  <c r="P84" i="229"/>
  <c r="N64" i="229"/>
  <c r="P52" i="229"/>
  <c r="P198" i="229" s="1"/>
  <c r="O226" i="229"/>
  <c r="I288" i="229" s="1"/>
  <c r="I332" i="229" s="1"/>
  <c r="P150" i="229"/>
  <c r="AJ11" i="244" l="1"/>
  <c r="AL11" i="244"/>
  <c r="N65" i="229"/>
  <c r="N67" i="229" s="1"/>
  <c r="N237" i="229" s="1"/>
  <c r="AA12" i="204"/>
  <c r="AB11" i="204" s="1"/>
  <c r="AB13" i="204" s="1"/>
  <c r="AA8" i="204"/>
  <c r="AA14" i="204"/>
  <c r="AK11" i="244"/>
  <c r="V45" i="248"/>
  <c r="AB98" i="231"/>
  <c r="V10" i="253" s="1"/>
  <c r="V9" i="253" s="1"/>
  <c r="AC93" i="231"/>
  <c r="AN11" i="253"/>
  <c r="AF11" i="242"/>
  <c r="AE11" i="237"/>
  <c r="W11" i="245"/>
  <c r="AC62" i="231"/>
  <c r="AC70" i="231" s="1"/>
  <c r="AC80" i="231"/>
  <c r="AC88" i="231" s="1"/>
  <c r="R9" i="243"/>
  <c r="R14" i="243" s="1"/>
  <c r="AI10" i="242"/>
  <c r="Q9" i="242"/>
  <c r="Q14" i="242" s="1"/>
  <c r="AD11" i="244"/>
  <c r="AC11" i="237"/>
  <c r="AG11" i="243"/>
  <c r="AC11" i="242"/>
  <c r="Y11" i="246"/>
  <c r="AB11" i="244"/>
  <c r="AC11" i="245"/>
  <c r="Y11" i="237"/>
  <c r="Y11" i="245"/>
  <c r="AB11" i="245"/>
  <c r="AC64" i="231"/>
  <c r="AC72" i="231" s="1"/>
  <c r="AC82" i="231"/>
  <c r="AC90" i="231" s="1"/>
  <c r="O9" i="237"/>
  <c r="O14" i="237" s="1"/>
  <c r="Q9" i="237"/>
  <c r="Q14" i="237" s="1"/>
  <c r="AC79" i="231"/>
  <c r="AC87" i="231" s="1"/>
  <c r="AC61" i="231"/>
  <c r="AC69" i="231" s="1"/>
  <c r="AD11" i="243"/>
  <c r="AD11" i="245"/>
  <c r="AB11" i="237"/>
  <c r="AG11" i="244"/>
  <c r="AE11" i="242"/>
  <c r="AA11" i="242"/>
  <c r="AG11" i="253"/>
  <c r="Z11" i="245"/>
  <c r="W11" i="243"/>
  <c r="L9" i="246"/>
  <c r="X11" i="244"/>
  <c r="AG11" i="245"/>
  <c r="AC63" i="231"/>
  <c r="AC81" i="231"/>
  <c r="AC89" i="231" s="1"/>
  <c r="P9" i="242"/>
  <c r="P14" i="242" s="1"/>
  <c r="R9" i="242"/>
  <c r="R14" i="242" s="1"/>
  <c r="AJ10" i="242"/>
  <c r="AI11" i="243"/>
  <c r="AG11" i="242"/>
  <c r="AH11" i="253"/>
  <c r="AD11" i="237"/>
  <c r="AF11" i="244"/>
  <c r="AE11" i="244"/>
  <c r="AE11" i="245"/>
  <c r="Z11" i="243"/>
  <c r="Z11" i="237"/>
  <c r="AA11" i="253"/>
  <c r="Z11" i="242"/>
  <c r="AL11" i="253"/>
  <c r="N9" i="245"/>
  <c r="N14" i="245" s="1"/>
  <c r="AF10" i="245"/>
  <c r="P9" i="244"/>
  <c r="P14" i="244" s="1"/>
  <c r="AG11" i="237"/>
  <c r="AF11" i="237"/>
  <c r="AF11" i="245"/>
  <c r="AH11" i="243"/>
  <c r="AI11" i="244"/>
  <c r="AA11" i="237"/>
  <c r="AE11" i="243"/>
  <c r="AA11" i="243"/>
  <c r="X11" i="237"/>
  <c r="W11" i="237"/>
  <c r="Y11" i="242"/>
  <c r="W11" i="242"/>
  <c r="AK11" i="253"/>
  <c r="AI11" i="242"/>
  <c r="AJ11" i="242"/>
  <c r="AH11" i="245"/>
  <c r="AK11" i="245"/>
  <c r="AH11" i="244"/>
  <c r="N9" i="242"/>
  <c r="N14" i="242" s="1"/>
  <c r="P9" i="243"/>
  <c r="P14" i="243" s="1"/>
  <c r="AL11" i="245"/>
  <c r="AI11" i="253"/>
  <c r="AF11" i="243"/>
  <c r="AB11" i="246"/>
  <c r="AG11" i="246"/>
  <c r="AH11" i="246"/>
  <c r="AD11" i="253"/>
  <c r="AB11" i="242"/>
  <c r="AB11" i="243"/>
  <c r="Y11" i="243"/>
  <c r="X11" i="243"/>
  <c r="X11" i="242"/>
  <c r="X11" i="245"/>
  <c r="D10" i="242"/>
  <c r="D10" i="243"/>
  <c r="F10" i="253"/>
  <c r="D10" i="253"/>
  <c r="D10" i="237"/>
  <c r="E10" i="243"/>
  <c r="E10" i="253"/>
  <c r="F10" i="244"/>
  <c r="E10" i="237"/>
  <c r="D10" i="245"/>
  <c r="D10" i="244"/>
  <c r="E10" i="245"/>
  <c r="G10" i="253"/>
  <c r="H10" i="243"/>
  <c r="E10" i="242"/>
  <c r="F10" i="243"/>
  <c r="F10" i="245"/>
  <c r="G10" i="237"/>
  <c r="E10" i="244"/>
  <c r="G10" i="242"/>
  <c r="G10" i="243"/>
  <c r="I10" i="253"/>
  <c r="G10" i="244"/>
  <c r="F10" i="237"/>
  <c r="H10" i="253"/>
  <c r="I10" i="244"/>
  <c r="H10" i="244"/>
  <c r="H10" i="242"/>
  <c r="H10" i="237"/>
  <c r="I10" i="243"/>
  <c r="F10" i="242"/>
  <c r="G10" i="245"/>
  <c r="I10" i="237"/>
  <c r="D10" i="246"/>
  <c r="J10" i="243"/>
  <c r="K10" i="253"/>
  <c r="AF10" i="253" s="1"/>
  <c r="I10" i="245"/>
  <c r="L10" i="244"/>
  <c r="H10" i="245"/>
  <c r="K10" i="237"/>
  <c r="K10" i="242"/>
  <c r="E10" i="246"/>
  <c r="K10" i="243"/>
  <c r="J10" i="253"/>
  <c r="J10" i="244"/>
  <c r="J10" i="237"/>
  <c r="J10" i="245"/>
  <c r="J10" i="242"/>
  <c r="K10" i="244"/>
  <c r="L10" i="243"/>
  <c r="L10" i="242"/>
  <c r="N10" i="253"/>
  <c r="H10" i="246"/>
  <c r="M10" i="253"/>
  <c r="I10" i="242"/>
  <c r="L10" i="237"/>
  <c r="N10" i="243"/>
  <c r="F10" i="246"/>
  <c r="M10" i="242"/>
  <c r="M10" i="243"/>
  <c r="G10" i="246"/>
  <c r="L10" i="245"/>
  <c r="AE10" i="245" s="1"/>
  <c r="S10" i="237"/>
  <c r="M10" i="246"/>
  <c r="K10" i="245"/>
  <c r="T10" i="253"/>
  <c r="N10" i="244"/>
  <c r="S10" i="242"/>
  <c r="K10" i="246"/>
  <c r="R10" i="244"/>
  <c r="R10" i="237"/>
  <c r="O10" i="243"/>
  <c r="AH10" i="243" s="1"/>
  <c r="P10" i="237"/>
  <c r="O10" i="242"/>
  <c r="N10" i="246"/>
  <c r="I10" i="246"/>
  <c r="R10" i="253"/>
  <c r="O10" i="244"/>
  <c r="N10" i="237"/>
  <c r="AG10" i="237" s="1"/>
  <c r="S10" i="243"/>
  <c r="O10" i="253"/>
  <c r="M10" i="237"/>
  <c r="T10" i="243"/>
  <c r="P10" i="253"/>
  <c r="AK10" i="253" s="1"/>
  <c r="J10" i="246"/>
  <c r="S10" i="253"/>
  <c r="M10" i="244"/>
  <c r="Q10" i="245"/>
  <c r="R10" i="245"/>
  <c r="Q10" i="243"/>
  <c r="O10" i="245"/>
  <c r="Z11" i="244"/>
  <c r="AJ11" i="253"/>
  <c r="AC76" i="231"/>
  <c r="AC84" i="231" s="1"/>
  <c r="AC58" i="231"/>
  <c r="AC66" i="231" s="1"/>
  <c r="P9" i="245"/>
  <c r="Q9" i="253"/>
  <c r="Q14" i="253" s="1"/>
  <c r="AA11" i="246"/>
  <c r="AH11" i="242"/>
  <c r="AC11" i="244"/>
  <c r="AE11" i="253"/>
  <c r="AD11" i="242"/>
  <c r="AC11" i="243"/>
  <c r="AC11" i="253"/>
  <c r="W11" i="246"/>
  <c r="AB11" i="253"/>
  <c r="Y11" i="253"/>
  <c r="M9" i="245"/>
  <c r="AA11" i="244"/>
  <c r="AM11" i="253"/>
  <c r="AJ11" i="243"/>
  <c r="L9" i="253"/>
  <c r="L14" i="253" s="1"/>
  <c r="Q9" i="244"/>
  <c r="Q14" i="244" s="1"/>
  <c r="AI10" i="244"/>
  <c r="AI11" i="245"/>
  <c r="AD11" i="246"/>
  <c r="L14" i="246"/>
  <c r="AI11" i="237"/>
  <c r="AJ11" i="237"/>
  <c r="AF11" i="253"/>
  <c r="Z11" i="246"/>
  <c r="X11" i="246"/>
  <c r="Y11" i="244"/>
  <c r="AA11" i="245"/>
  <c r="Z11" i="253"/>
  <c r="W11" i="244"/>
  <c r="AL11" i="237"/>
  <c r="AC26" i="198"/>
  <c r="AD25" i="223"/>
  <c r="Z65" i="256"/>
  <c r="Y29" i="255" s="1"/>
  <c r="X48" i="255"/>
  <c r="AH4" i="223"/>
  <c r="AG8" i="223"/>
  <c r="AG9" i="223" s="1"/>
  <c r="V46" i="248"/>
  <c r="AA44" i="256"/>
  <c r="AA52" i="256"/>
  <c r="AA60" i="256"/>
  <c r="AA45" i="256"/>
  <c r="AA53" i="256"/>
  <c r="AA61" i="256"/>
  <c r="AA38" i="256"/>
  <c r="AA46" i="256"/>
  <c r="AA54" i="256"/>
  <c r="AA62" i="256"/>
  <c r="AA39" i="256"/>
  <c r="AA47" i="256"/>
  <c r="AA55" i="256"/>
  <c r="AA41" i="256"/>
  <c r="AA49" i="256"/>
  <c r="AA57" i="256"/>
  <c r="AA50" i="256"/>
  <c r="AA51" i="256"/>
  <c r="AA56" i="256"/>
  <c r="AA58" i="256"/>
  <c r="AA40" i="256"/>
  <c r="AA59" i="256"/>
  <c r="AA42" i="256"/>
  <c r="AA43" i="256"/>
  <c r="AA48" i="256"/>
  <c r="AD41" i="228"/>
  <c r="AD46" i="228"/>
  <c r="AD40" i="228"/>
  <c r="AD43" i="228"/>
  <c r="AD45" i="228"/>
  <c r="AD42" i="228"/>
  <c r="AD44" i="228"/>
  <c r="AD38" i="228"/>
  <c r="AD37" i="228"/>
  <c r="AD33" i="228"/>
  <c r="AD35" i="228"/>
  <c r="AD36" i="228"/>
  <c r="AD47" i="228"/>
  <c r="AD34" i="228"/>
  <c r="AD39" i="228"/>
  <c r="Z64" i="256"/>
  <c r="Y22" i="255" s="1"/>
  <c r="V48" i="248"/>
  <c r="U49" i="248"/>
  <c r="X20" i="255" s="1"/>
  <c r="AC48" i="228"/>
  <c r="V47" i="248"/>
  <c r="AD24" i="223"/>
  <c r="G13" i="257"/>
  <c r="AE30" i="228"/>
  <c r="P9" i="246"/>
  <c r="AH10" i="246"/>
  <c r="Y20" i="231"/>
  <c r="X97" i="231"/>
  <c r="Q10" i="246" s="1"/>
  <c r="S15" i="245"/>
  <c r="U11" i="262"/>
  <c r="U35" i="262" s="1"/>
  <c r="S14" i="245"/>
  <c r="S17" i="245"/>
  <c r="S28" i="251"/>
  <c r="T9" i="244"/>
  <c r="U10" i="262" s="1"/>
  <c r="U34" i="262" s="1"/>
  <c r="AL10" i="244"/>
  <c r="T9" i="245"/>
  <c r="AL10" i="245"/>
  <c r="T17" i="242"/>
  <c r="T15" i="242"/>
  <c r="T14" i="242"/>
  <c r="AB19" i="231"/>
  <c r="AA95" i="231"/>
  <c r="AA96" i="231"/>
  <c r="P29" i="251"/>
  <c r="O17" i="246"/>
  <c r="O15" i="246"/>
  <c r="R12" i="262"/>
  <c r="R36" i="262" s="1"/>
  <c r="O14" i="246"/>
  <c r="U14" i="253"/>
  <c r="U15" i="253"/>
  <c r="U17" i="253"/>
  <c r="AJ11" i="246"/>
  <c r="T15" i="237"/>
  <c r="T14" i="237"/>
  <c r="T17" i="237"/>
  <c r="AC94" i="231"/>
  <c r="S27" i="251"/>
  <c r="S17" i="244"/>
  <c r="S15" i="244"/>
  <c r="S14" i="244"/>
  <c r="AA13" i="231"/>
  <c r="Z71" i="231"/>
  <c r="S11" i="246" s="1"/>
  <c r="O215" i="229"/>
  <c r="I277" i="229" s="1"/>
  <c r="I321" i="229" s="1"/>
  <c r="N227" i="229"/>
  <c r="P73" i="229"/>
  <c r="P74" i="229" s="1"/>
  <c r="P200" i="229" s="1"/>
  <c r="O174" i="229"/>
  <c r="P172" i="229" s="1"/>
  <c r="P141" i="229"/>
  <c r="Q139" i="229" s="1"/>
  <c r="P53" i="229"/>
  <c r="Q51" i="229" s="1"/>
  <c r="O130" i="229"/>
  <c r="O106" i="229"/>
  <c r="N222" i="229"/>
  <c r="O42" i="229"/>
  <c r="O62" i="229"/>
  <c r="N218" i="229"/>
  <c r="P85" i="229"/>
  <c r="P201" i="229" s="1"/>
  <c r="P96" i="229"/>
  <c r="P202" i="229" s="1"/>
  <c r="O119" i="229"/>
  <c r="O185" i="229"/>
  <c r="P151" i="229"/>
  <c r="P207" i="229" s="1"/>
  <c r="AC97" i="229"/>
  <c r="O162" i="229"/>
  <c r="O208" i="229" s="1"/>
  <c r="P30" i="229"/>
  <c r="P196" i="229" s="1"/>
  <c r="AP10" i="253" l="1"/>
  <c r="AB12" i="204"/>
  <c r="AC11" i="204" s="1"/>
  <c r="AB14" i="204"/>
  <c r="AB8" i="204"/>
  <c r="P97" i="229"/>
  <c r="AC98" i="231"/>
  <c r="Q45" i="253"/>
  <c r="Q59" i="253"/>
  <c r="Q39" i="253"/>
  <c r="Q23" i="253"/>
  <c r="Q22" i="253"/>
  <c r="Q16" i="253"/>
  <c r="BF16" i="253" s="1"/>
  <c r="Q33" i="253"/>
  <c r="BF13" i="253"/>
  <c r="Q33" i="244"/>
  <c r="Q22" i="244"/>
  <c r="Q16" i="244"/>
  <c r="BB16" i="244" s="1"/>
  <c r="Q23" i="244"/>
  <c r="Q45" i="244"/>
  <c r="BB13" i="244"/>
  <c r="Q140" i="251"/>
  <c r="Q39" i="244"/>
  <c r="AY13" i="242"/>
  <c r="N23" i="242"/>
  <c r="O138" i="251"/>
  <c r="N22" i="242"/>
  <c r="N39" i="242"/>
  <c r="N16" i="242"/>
  <c r="AY16" i="242" s="1"/>
  <c r="N33" i="242"/>
  <c r="N45" i="242"/>
  <c r="N52" i="242" s="1"/>
  <c r="N53" i="242" s="1"/>
  <c r="O111" i="251"/>
  <c r="BA13" i="244"/>
  <c r="P39" i="244"/>
  <c r="P16" i="244"/>
  <c r="BA16" i="244" s="1"/>
  <c r="P33" i="244"/>
  <c r="P23" i="244"/>
  <c r="P45" i="244"/>
  <c r="P22" i="244"/>
  <c r="P140" i="251"/>
  <c r="S9" i="253"/>
  <c r="AM10" i="253"/>
  <c r="O9" i="244"/>
  <c r="AG10" i="244"/>
  <c r="R9" i="244"/>
  <c r="AJ10" i="244"/>
  <c r="AK10" i="244"/>
  <c r="L9" i="245"/>
  <c r="AD10" i="245"/>
  <c r="M9" i="253"/>
  <c r="AG10" i="253"/>
  <c r="J9" i="237"/>
  <c r="AB10" i="237"/>
  <c r="AD10" i="244"/>
  <c r="L9" i="244"/>
  <c r="AA10" i="243"/>
  <c r="J410" i="263"/>
  <c r="I9" i="243"/>
  <c r="I9" i="253"/>
  <c r="AC10" i="253"/>
  <c r="J809" i="263"/>
  <c r="Z10" i="243"/>
  <c r="H9" i="243"/>
  <c r="I410" i="263"/>
  <c r="W10" i="243"/>
  <c r="F410" i="263"/>
  <c r="E9" i="243"/>
  <c r="Q23" i="237"/>
  <c r="Q22" i="237"/>
  <c r="Q16" i="237"/>
  <c r="BB16" i="237" s="1"/>
  <c r="Q45" i="237"/>
  <c r="R110" i="251"/>
  <c r="Q39" i="237"/>
  <c r="Q33" i="237"/>
  <c r="BB13" i="237"/>
  <c r="R137" i="251"/>
  <c r="N13" i="262"/>
  <c r="N37" i="262" s="1"/>
  <c r="L30" i="251"/>
  <c r="L15" i="253"/>
  <c r="L17" i="253"/>
  <c r="AB10" i="246"/>
  <c r="J9" i="246"/>
  <c r="R9" i="253"/>
  <c r="AL10" i="253"/>
  <c r="K9" i="246"/>
  <c r="AC10" i="246"/>
  <c r="Y10" i="246"/>
  <c r="G9" i="246"/>
  <c r="I144" i="263"/>
  <c r="H9" i="246"/>
  <c r="Z10" i="246"/>
  <c r="J144" i="263"/>
  <c r="J9" i="244"/>
  <c r="AB10" i="244"/>
  <c r="K543" i="263"/>
  <c r="AA10" i="245"/>
  <c r="J676" i="263"/>
  <c r="I9" i="245"/>
  <c r="J11" i="263"/>
  <c r="Z10" i="237"/>
  <c r="H9" i="237"/>
  <c r="H410" i="263"/>
  <c r="Y10" i="243"/>
  <c r="G9" i="243"/>
  <c r="G9" i="253"/>
  <c r="H809" i="263"/>
  <c r="AA10" i="253"/>
  <c r="D9" i="237"/>
  <c r="F11" i="263"/>
  <c r="O33" i="237"/>
  <c r="O22" i="237"/>
  <c r="O23" i="237"/>
  <c r="AZ13" i="237"/>
  <c r="O16" i="237"/>
  <c r="AZ16" i="237" s="1"/>
  <c r="O45" i="237"/>
  <c r="O39" i="237"/>
  <c r="P110" i="251"/>
  <c r="P137" i="251"/>
  <c r="S13" i="262"/>
  <c r="S37" i="262" s="1"/>
  <c r="Q30" i="251"/>
  <c r="Q15" i="253"/>
  <c r="Q17" i="253"/>
  <c r="AJ10" i="253"/>
  <c r="P9" i="253"/>
  <c r="K144" i="263"/>
  <c r="I9" i="246"/>
  <c r="AA10" i="246"/>
  <c r="AK10" i="242"/>
  <c r="S9" i="242"/>
  <c r="AL10" i="242"/>
  <c r="AE10" i="243"/>
  <c r="M9" i="243"/>
  <c r="N9" i="253"/>
  <c r="AH10" i="253"/>
  <c r="K809" i="263"/>
  <c r="J9" i="253"/>
  <c r="AD10" i="253"/>
  <c r="AE10" i="253"/>
  <c r="K9" i="253"/>
  <c r="Z10" i="242"/>
  <c r="H9" i="242"/>
  <c r="J277" i="263"/>
  <c r="G9" i="242"/>
  <c r="I277" i="263"/>
  <c r="Y10" i="242"/>
  <c r="W10" i="245"/>
  <c r="F676" i="263"/>
  <c r="E9" i="245"/>
  <c r="D9" i="253"/>
  <c r="E809" i="263"/>
  <c r="AC92" i="231"/>
  <c r="Q17" i="242"/>
  <c r="R25" i="251"/>
  <c r="T8" i="262"/>
  <c r="T32" i="262" s="1"/>
  <c r="Q15" i="242"/>
  <c r="L39" i="246"/>
  <c r="L45" i="246"/>
  <c r="L23" i="246"/>
  <c r="M142" i="251"/>
  <c r="L22" i="246"/>
  <c r="L33" i="246"/>
  <c r="AW13" i="246"/>
  <c r="L16" i="246"/>
  <c r="AW16" i="246" s="1"/>
  <c r="R22" i="243"/>
  <c r="R139" i="251"/>
  <c r="R39" i="243"/>
  <c r="R45" i="243"/>
  <c r="BC13" i="243"/>
  <c r="R33" i="243"/>
  <c r="R16" i="243"/>
  <c r="BC16" i="243" s="1"/>
  <c r="R23" i="243"/>
  <c r="O11" i="262"/>
  <c r="O35" i="262" s="1"/>
  <c r="M28" i="251"/>
  <c r="M17" i="245"/>
  <c r="M15" i="245"/>
  <c r="P15" i="245"/>
  <c r="R11" i="262"/>
  <c r="R35" i="262" s="1"/>
  <c r="P17" i="245"/>
  <c r="P28" i="251"/>
  <c r="O9" i="245"/>
  <c r="AG10" i="245"/>
  <c r="T9" i="243"/>
  <c r="AL10" i="243"/>
  <c r="N9" i="246"/>
  <c r="AF10" i="246"/>
  <c r="AG10" i="246"/>
  <c r="N9" i="244"/>
  <c r="AF10" i="244"/>
  <c r="M9" i="242"/>
  <c r="AE10" i="242"/>
  <c r="L9" i="242"/>
  <c r="AD10" i="242"/>
  <c r="AC10" i="243"/>
  <c r="K9" i="243"/>
  <c r="J9" i="243"/>
  <c r="AB10" i="243"/>
  <c r="K410" i="263"/>
  <c r="I543" i="263"/>
  <c r="H9" i="244"/>
  <c r="Z10" i="244"/>
  <c r="F543" i="263"/>
  <c r="W10" i="244"/>
  <c r="E9" i="244"/>
  <c r="D9" i="244"/>
  <c r="E543" i="263"/>
  <c r="F9" i="253"/>
  <c r="Z10" i="253"/>
  <c r="G809" i="263"/>
  <c r="P14" i="245"/>
  <c r="P16" i="243"/>
  <c r="BA16" i="243" s="1"/>
  <c r="P33" i="243"/>
  <c r="P22" i="243"/>
  <c r="P23" i="243"/>
  <c r="BA13" i="243"/>
  <c r="P39" i="243"/>
  <c r="P139" i="251"/>
  <c r="P45" i="243"/>
  <c r="AH10" i="244"/>
  <c r="AH10" i="245"/>
  <c r="AI10" i="243"/>
  <c r="Q9" i="243"/>
  <c r="M9" i="237"/>
  <c r="AE10" i="237"/>
  <c r="O9" i="242"/>
  <c r="AG10" i="242"/>
  <c r="AN10" i="253"/>
  <c r="T9" i="253"/>
  <c r="AO10" i="253"/>
  <c r="F9" i="246"/>
  <c r="H144" i="263"/>
  <c r="X10" i="246"/>
  <c r="L9" i="243"/>
  <c r="AD10" i="243"/>
  <c r="W10" i="246"/>
  <c r="E9" i="246"/>
  <c r="G144" i="263"/>
  <c r="F144" i="263"/>
  <c r="D9" i="246"/>
  <c r="J543" i="263"/>
  <c r="AA10" i="244"/>
  <c r="I9" i="244"/>
  <c r="G9" i="237"/>
  <c r="I11" i="263"/>
  <c r="Y10" i="237"/>
  <c r="E676" i="263"/>
  <c r="D9" i="245"/>
  <c r="D9" i="243"/>
  <c r="E410" i="263"/>
  <c r="P15" i="244"/>
  <c r="P17" i="244"/>
  <c r="P27" i="251"/>
  <c r="R10" i="262"/>
  <c r="R34" i="262" s="1"/>
  <c r="R17" i="242"/>
  <c r="U8" i="262"/>
  <c r="U32" i="262" s="1"/>
  <c r="R15" i="242"/>
  <c r="S25" i="251"/>
  <c r="AJ10" i="243"/>
  <c r="BA13" i="253"/>
  <c r="L23" i="253"/>
  <c r="L22" i="253"/>
  <c r="L16" i="253"/>
  <c r="BA16" i="253" s="1"/>
  <c r="L33" i="253"/>
  <c r="L59" i="253"/>
  <c r="L45" i="253"/>
  <c r="L39" i="253"/>
  <c r="P39" i="242"/>
  <c r="Q138" i="251"/>
  <c r="P33" i="242"/>
  <c r="P45" i="242"/>
  <c r="P52" i="242" s="1"/>
  <c r="P53" i="242" s="1"/>
  <c r="P23" i="242"/>
  <c r="BA13" i="242"/>
  <c r="Q111" i="251"/>
  <c r="P16" i="242"/>
  <c r="BA16" i="242" s="1"/>
  <c r="P22" i="242"/>
  <c r="R9" i="245"/>
  <c r="AJ10" i="245"/>
  <c r="AK10" i="245"/>
  <c r="O9" i="253"/>
  <c r="AI10" i="253"/>
  <c r="P9" i="237"/>
  <c r="AH10" i="237"/>
  <c r="K9" i="245"/>
  <c r="AC10" i="245"/>
  <c r="N9" i="243"/>
  <c r="AF10" i="243"/>
  <c r="K9" i="244"/>
  <c r="AC10" i="244"/>
  <c r="K9" i="242"/>
  <c r="AC10" i="242"/>
  <c r="AA10" i="237"/>
  <c r="I9" i="237"/>
  <c r="K11" i="263"/>
  <c r="AB10" i="253"/>
  <c r="H9" i="253"/>
  <c r="I809" i="263"/>
  <c r="X10" i="245"/>
  <c r="G676" i="263"/>
  <c r="F9" i="245"/>
  <c r="G11" i="263"/>
  <c r="W10" i="237"/>
  <c r="E9" i="237"/>
  <c r="F277" i="263"/>
  <c r="D9" i="242"/>
  <c r="P26" i="251"/>
  <c r="R9" i="262"/>
  <c r="R33" i="262" s="1"/>
  <c r="P15" i="243"/>
  <c r="P17" i="243"/>
  <c r="R45" i="242"/>
  <c r="R52" i="242" s="1"/>
  <c r="R53" i="242" s="1"/>
  <c r="R39" i="242"/>
  <c r="S111" i="251"/>
  <c r="R16" i="242"/>
  <c r="BC16" i="242" s="1"/>
  <c r="R33" i="242"/>
  <c r="S138" i="251"/>
  <c r="BC13" i="242"/>
  <c r="R23" i="242"/>
  <c r="R22" i="242"/>
  <c r="N22" i="245"/>
  <c r="N141" i="251"/>
  <c r="AY13" i="245"/>
  <c r="N23" i="245"/>
  <c r="N16" i="245"/>
  <c r="AY16" i="245" s="1"/>
  <c r="N33" i="245"/>
  <c r="N39" i="245"/>
  <c r="N45" i="245"/>
  <c r="M14" i="245"/>
  <c r="AH10" i="242"/>
  <c r="AD10" i="246"/>
  <c r="AI10" i="237"/>
  <c r="R15" i="243"/>
  <c r="R17" i="243"/>
  <c r="R26" i="251"/>
  <c r="T9" i="262"/>
  <c r="T33" i="262" s="1"/>
  <c r="Q9" i="245"/>
  <c r="AI10" i="245"/>
  <c r="S9" i="243"/>
  <c r="AK10" i="243"/>
  <c r="O9" i="243"/>
  <c r="AG10" i="243"/>
  <c r="M9" i="246"/>
  <c r="AE10" i="246"/>
  <c r="L9" i="237"/>
  <c r="AD10" i="237"/>
  <c r="AB10" i="242"/>
  <c r="J9" i="242"/>
  <c r="AC10" i="237"/>
  <c r="K9" i="237"/>
  <c r="G9" i="245"/>
  <c r="H676" i="263"/>
  <c r="Y10" i="245"/>
  <c r="X10" i="237"/>
  <c r="F9" i="237"/>
  <c r="H11" i="263"/>
  <c r="F9" i="243"/>
  <c r="G410" i="263"/>
  <c r="X10" i="243"/>
  <c r="F9" i="244"/>
  <c r="X10" i="244"/>
  <c r="G543" i="263"/>
  <c r="AF10" i="242"/>
  <c r="N17" i="245"/>
  <c r="P11" i="262"/>
  <c r="P35" i="262" s="1"/>
  <c r="N28" i="251"/>
  <c r="N15" i="245"/>
  <c r="S8" i="262"/>
  <c r="S32" i="262" s="1"/>
  <c r="Q25" i="251"/>
  <c r="P17" i="242"/>
  <c r="P15" i="242"/>
  <c r="L17" i="246"/>
  <c r="O12" i="262"/>
  <c r="O36" i="262" s="1"/>
  <c r="L15" i="246"/>
  <c r="M29" i="251"/>
  <c r="R24" i="251"/>
  <c r="Q17" i="237"/>
  <c r="T7" i="262"/>
  <c r="T31" i="262" s="1"/>
  <c r="Q15" i="237"/>
  <c r="Q15" i="244"/>
  <c r="Q17" i="244"/>
  <c r="Q27" i="251"/>
  <c r="S10" i="262"/>
  <c r="S34" i="262" s="1"/>
  <c r="AE10" i="244"/>
  <c r="M9" i="244"/>
  <c r="AF10" i="237"/>
  <c r="N9" i="237"/>
  <c r="R9" i="237"/>
  <c r="AJ10" i="237"/>
  <c r="S9" i="237"/>
  <c r="AK10" i="237"/>
  <c r="AL10" i="237"/>
  <c r="I9" i="242"/>
  <c r="K277" i="263"/>
  <c r="AA10" i="242"/>
  <c r="AB10" i="245"/>
  <c r="J9" i="245"/>
  <c r="K676" i="263"/>
  <c r="I676" i="263"/>
  <c r="H9" i="245"/>
  <c r="Z10" i="245"/>
  <c r="F9" i="242"/>
  <c r="X10" i="242"/>
  <c r="H277" i="263"/>
  <c r="G9" i="244"/>
  <c r="H543" i="263"/>
  <c r="Y10" i="244"/>
  <c r="E9" i="242"/>
  <c r="W10" i="242"/>
  <c r="G277" i="263"/>
  <c r="E9" i="253"/>
  <c r="F809" i="263"/>
  <c r="Y10" i="253"/>
  <c r="O25" i="251"/>
  <c r="N15" i="242"/>
  <c r="N17" i="242"/>
  <c r="Q8" i="262"/>
  <c r="Q32" i="262" s="1"/>
  <c r="R111" i="251"/>
  <c r="Q16" i="242"/>
  <c r="BB16" i="242" s="1"/>
  <c r="Q45" i="242"/>
  <c r="Q52" i="242" s="1"/>
  <c r="Q53" i="242" s="1"/>
  <c r="Q33" i="242"/>
  <c r="Q22" i="242"/>
  <c r="Q23" i="242"/>
  <c r="BB13" i="242"/>
  <c r="Q39" i="242"/>
  <c r="R138" i="251"/>
  <c r="O15" i="237"/>
  <c r="R7" i="262"/>
  <c r="R31" i="262" s="1"/>
  <c r="O17" i="237"/>
  <c r="P24" i="251"/>
  <c r="Y48" i="255"/>
  <c r="AI4" i="223"/>
  <c r="AH8" i="223"/>
  <c r="AH9" i="223" s="1"/>
  <c r="V49" i="248"/>
  <c r="Y20" i="255" s="1"/>
  <c r="AH5" i="223"/>
  <c r="AI5" i="223" s="1"/>
  <c r="AA66" i="256"/>
  <c r="Z36" i="255" s="1"/>
  <c r="AD26" i="198"/>
  <c r="AE25" i="223"/>
  <c r="G25" i="257"/>
  <c r="G26" i="257"/>
  <c r="AC13" i="204"/>
  <c r="AE24" i="223"/>
  <c r="AD48" i="228"/>
  <c r="AE45" i="228"/>
  <c r="F45" i="228" s="1"/>
  <c r="AE46" i="228"/>
  <c r="F46" i="228" s="1"/>
  <c r="AE41" i="228"/>
  <c r="F41" i="228" s="1"/>
  <c r="AE44" i="228"/>
  <c r="F44" i="228" s="1"/>
  <c r="AE40" i="228"/>
  <c r="F40" i="228" s="1"/>
  <c r="AE43" i="228"/>
  <c r="F43" i="228" s="1"/>
  <c r="AE42" i="228"/>
  <c r="F42" i="228" s="1"/>
  <c r="AE37" i="228"/>
  <c r="F37" i="228" s="1"/>
  <c r="AE38" i="228"/>
  <c r="F38" i="228" s="1"/>
  <c r="AE33" i="228"/>
  <c r="F33" i="228" s="1"/>
  <c r="AE35" i="228"/>
  <c r="F35" i="228" s="1"/>
  <c r="AE36" i="228"/>
  <c r="F36" i="228" s="1"/>
  <c r="AE34" i="228"/>
  <c r="F34" i="228" s="1"/>
  <c r="AE47" i="228"/>
  <c r="F47" i="228" s="1"/>
  <c r="AE39" i="228"/>
  <c r="AA65" i="256"/>
  <c r="Z29" i="255" s="1"/>
  <c r="AA64" i="256"/>
  <c r="Z22" i="255" s="1"/>
  <c r="T33" i="242"/>
  <c r="T22" i="242"/>
  <c r="T23" i="242"/>
  <c r="T16" i="242"/>
  <c r="BE16" i="242" s="1"/>
  <c r="BE13" i="242"/>
  <c r="T39" i="242"/>
  <c r="T45" i="242"/>
  <c r="T52" i="242" s="1"/>
  <c r="T53" i="242" s="1"/>
  <c r="T27" i="251"/>
  <c r="T15" i="244"/>
  <c r="T17" i="244"/>
  <c r="T14" i="244"/>
  <c r="Q9" i="246"/>
  <c r="AI10" i="246"/>
  <c r="AC19" i="231"/>
  <c r="AB95" i="231"/>
  <c r="AB96" i="231"/>
  <c r="Z20" i="231"/>
  <c r="Y97" i="231"/>
  <c r="R10" i="246" s="1"/>
  <c r="R9" i="246" s="1"/>
  <c r="AK11" i="246"/>
  <c r="S22" i="244"/>
  <c r="S33" i="244"/>
  <c r="S45" i="244"/>
  <c r="S16" i="244"/>
  <c r="BD16" i="244" s="1"/>
  <c r="S39" i="244"/>
  <c r="BD13" i="244"/>
  <c r="S23" i="244"/>
  <c r="S140" i="251"/>
  <c r="T33" i="237"/>
  <c r="T23" i="237"/>
  <c r="T39" i="237"/>
  <c r="T16" i="237"/>
  <c r="BE16" i="237" s="1"/>
  <c r="BE13" i="237"/>
  <c r="T45" i="237"/>
  <c r="T22" i="237"/>
  <c r="V14" i="253"/>
  <c r="V17" i="253"/>
  <c r="V15" i="253"/>
  <c r="S45" i="245"/>
  <c r="S33" i="245"/>
  <c r="S16" i="245"/>
  <c r="BD16" i="245" s="1"/>
  <c r="S22" i="245"/>
  <c r="S23" i="245"/>
  <c r="BD13" i="245"/>
  <c r="S141" i="251"/>
  <c r="S39" i="245"/>
  <c r="P17" i="246"/>
  <c r="Q29" i="251"/>
  <c r="S12" i="262"/>
  <c r="S36" i="262" s="1"/>
  <c r="P15" i="246"/>
  <c r="P14" i="246"/>
  <c r="AB13" i="231"/>
  <c r="AA71" i="231"/>
  <c r="T11" i="246" s="1"/>
  <c r="U45" i="253"/>
  <c r="U23" i="253"/>
  <c r="U22" i="253"/>
  <c r="U16" i="253"/>
  <c r="BJ16" i="253" s="1"/>
  <c r="U59" i="253"/>
  <c r="BJ13" i="253"/>
  <c r="U33" i="253"/>
  <c r="U39" i="253"/>
  <c r="O22" i="246"/>
  <c r="O39" i="246"/>
  <c r="O16" i="246"/>
  <c r="AZ16" i="246" s="1"/>
  <c r="P142" i="251"/>
  <c r="O45" i="246"/>
  <c r="AZ13" i="246"/>
  <c r="O23" i="246"/>
  <c r="O33" i="246"/>
  <c r="T17" i="245"/>
  <c r="T15" i="245"/>
  <c r="T14" i="245"/>
  <c r="T28" i="251"/>
  <c r="O228" i="229"/>
  <c r="I290" i="229" s="1"/>
  <c r="I334" i="229" s="1"/>
  <c r="P217" i="229"/>
  <c r="P225" i="229"/>
  <c r="P152" i="229"/>
  <c r="Q150" i="229" s="1"/>
  <c r="O223" i="229"/>
  <c r="I285" i="229" s="1"/>
  <c r="I329" i="229" s="1"/>
  <c r="P117" i="229"/>
  <c r="P173" i="229"/>
  <c r="P209" i="229" s="1"/>
  <c r="Q140" i="229"/>
  <c r="Q206" i="229" s="1"/>
  <c r="O216" i="229"/>
  <c r="I278" i="229" s="1"/>
  <c r="I322" i="229" s="1"/>
  <c r="P40" i="229"/>
  <c r="P221" i="229"/>
  <c r="Q95" i="229"/>
  <c r="O107" i="229"/>
  <c r="O203" i="229" s="1"/>
  <c r="P31" i="229"/>
  <c r="P86" i="229"/>
  <c r="O63" i="229"/>
  <c r="O199" i="229" s="1"/>
  <c r="I259" i="229" s="1"/>
  <c r="Q52" i="229"/>
  <c r="Q198" i="229" s="1"/>
  <c r="P75" i="229"/>
  <c r="AC221" i="229"/>
  <c r="AD95" i="229"/>
  <c r="AC98" i="229"/>
  <c r="AC100" i="229" s="1"/>
  <c r="AC240" i="229" s="1"/>
  <c r="O163" i="229"/>
  <c r="P183" i="229"/>
  <c r="O229" i="229"/>
  <c r="I291" i="229" s="1"/>
  <c r="I335" i="229" s="1"/>
  <c r="P128" i="229"/>
  <c r="O224" i="229"/>
  <c r="I286" i="229" s="1"/>
  <c r="I330" i="229" s="1"/>
  <c r="AC8" i="204" l="1"/>
  <c r="AC12" i="204"/>
  <c r="AD11" i="204" s="1"/>
  <c r="AC14" i="204"/>
  <c r="Z20" i="255"/>
  <c r="Q26" i="242"/>
  <c r="BB26" i="242" s="1"/>
  <c r="Q24" i="242"/>
  <c r="BB22" i="242"/>
  <c r="Q28" i="242"/>
  <c r="BB28" i="242" s="1"/>
  <c r="Q21" i="242"/>
  <c r="S15" i="237"/>
  <c r="S14" i="237"/>
  <c r="T24" i="251"/>
  <c r="S17" i="237"/>
  <c r="L18" i="246"/>
  <c r="L24" i="251"/>
  <c r="K15" i="237"/>
  <c r="K17" i="237"/>
  <c r="N7" i="262"/>
  <c r="N31" i="262" s="1"/>
  <c r="K14" i="237"/>
  <c r="BC22" i="242"/>
  <c r="R24" i="242"/>
  <c r="R21" i="242"/>
  <c r="R26" i="242"/>
  <c r="BC26" i="242" s="1"/>
  <c r="R28" i="242"/>
  <c r="BC28" i="242" s="1"/>
  <c r="N17" i="243"/>
  <c r="N26" i="251"/>
  <c r="P9" i="262"/>
  <c r="P33" i="262" s="1"/>
  <c r="N15" i="243"/>
  <c r="N14" i="243"/>
  <c r="P27" i="242"/>
  <c r="P29" i="242"/>
  <c r="BA23" i="242"/>
  <c r="P25" i="242"/>
  <c r="L15" i="243"/>
  <c r="L17" i="243"/>
  <c r="L26" i="251"/>
  <c r="N9" i="262"/>
  <c r="N33" i="262" s="1"/>
  <c r="L14" i="243"/>
  <c r="O17" i="242"/>
  <c r="O15" i="242"/>
  <c r="R8" i="262"/>
  <c r="R32" i="262" s="1"/>
  <c r="P25" i="251"/>
  <c r="O14" i="242"/>
  <c r="BA22" i="243"/>
  <c r="P21" i="243"/>
  <c r="P24" i="243"/>
  <c r="P28" i="243"/>
  <c r="BA28" i="243" s="1"/>
  <c r="P26" i="243"/>
  <c r="BA26" i="243" s="1"/>
  <c r="D27" i="251"/>
  <c r="F10" i="262"/>
  <c r="F34" i="262" s="1"/>
  <c r="D15" i="244"/>
  <c r="D17" i="244"/>
  <c r="D14" i="244"/>
  <c r="O28" i="251"/>
  <c r="O17" i="245"/>
  <c r="Q11" i="262"/>
  <c r="Q35" i="262" s="1"/>
  <c r="O15" i="245"/>
  <c r="O14" i="245"/>
  <c r="BC22" i="243"/>
  <c r="R21" i="243"/>
  <c r="R24" i="243"/>
  <c r="R26" i="243"/>
  <c r="BC26" i="243" s="1"/>
  <c r="R28" i="243"/>
  <c r="BC28" i="243" s="1"/>
  <c r="L41" i="246"/>
  <c r="AW41" i="246" s="1"/>
  <c r="AW39" i="246"/>
  <c r="L40" i="246"/>
  <c r="E28" i="251"/>
  <c r="G11" i="262"/>
  <c r="G35" i="262" s="1"/>
  <c r="E15" i="245"/>
  <c r="E17" i="245"/>
  <c r="E14" i="245"/>
  <c r="M26" i="251"/>
  <c r="M17" i="243"/>
  <c r="O9" i="262"/>
  <c r="O33" i="262" s="1"/>
  <c r="M15" i="243"/>
  <c r="M14" i="243"/>
  <c r="R13" i="262"/>
  <c r="R37" i="262" s="1"/>
  <c r="P17" i="253"/>
  <c r="P30" i="251"/>
  <c r="P15" i="253"/>
  <c r="P14" i="253"/>
  <c r="AZ33" i="237"/>
  <c r="O34" i="237"/>
  <c r="O35" i="237"/>
  <c r="AZ35" i="237" s="1"/>
  <c r="L17" i="245"/>
  <c r="L28" i="251"/>
  <c r="L15" i="245"/>
  <c r="N11" i="262"/>
  <c r="N35" i="262" s="1"/>
  <c r="L14" i="245"/>
  <c r="Q34" i="242"/>
  <c r="BB33" i="242"/>
  <c r="Q35" i="242"/>
  <c r="BB35" i="242" s="1"/>
  <c r="I10" i="262"/>
  <c r="I34" i="262" s="1"/>
  <c r="G27" i="251"/>
  <c r="G15" i="244"/>
  <c r="G17" i="244"/>
  <c r="G14" i="244"/>
  <c r="L11" i="262"/>
  <c r="L35" i="262" s="1"/>
  <c r="J17" i="245"/>
  <c r="J28" i="251"/>
  <c r="J15" i="245"/>
  <c r="J14" i="245"/>
  <c r="H9" i="262"/>
  <c r="H33" i="262" s="1"/>
  <c r="F26" i="251"/>
  <c r="F17" i="243"/>
  <c r="F15" i="243"/>
  <c r="F14" i="243"/>
  <c r="O15" i="243"/>
  <c r="O17" i="243"/>
  <c r="O26" i="251"/>
  <c r="Q9" i="262"/>
  <c r="Q33" i="262" s="1"/>
  <c r="O14" i="243"/>
  <c r="R18" i="243"/>
  <c r="N41" i="245"/>
  <c r="AY41" i="245" s="1"/>
  <c r="N40" i="245"/>
  <c r="AY39" i="245"/>
  <c r="BC23" i="242"/>
  <c r="R25" i="242"/>
  <c r="R27" i="242"/>
  <c r="R29" i="242"/>
  <c r="L7" i="262"/>
  <c r="L31" i="262" s="1"/>
  <c r="I15" i="237"/>
  <c r="I17" i="237"/>
  <c r="J24" i="251"/>
  <c r="I14" i="237"/>
  <c r="T11" i="262"/>
  <c r="T35" i="262" s="1"/>
  <c r="R28" i="251"/>
  <c r="R15" i="245"/>
  <c r="R17" i="245"/>
  <c r="R14" i="245"/>
  <c r="R18" i="242"/>
  <c r="D26" i="251"/>
  <c r="F9" i="262"/>
  <c r="F33" i="262" s="1"/>
  <c r="D17" i="243"/>
  <c r="D15" i="243"/>
  <c r="D14" i="243"/>
  <c r="P35" i="243"/>
  <c r="BA35" i="243" s="1"/>
  <c r="BA33" i="243"/>
  <c r="P34" i="243"/>
  <c r="E27" i="251"/>
  <c r="E17" i="244"/>
  <c r="E15" i="244"/>
  <c r="G10" i="262"/>
  <c r="G34" i="262" s="1"/>
  <c r="E14" i="244"/>
  <c r="J15" i="243"/>
  <c r="J26" i="251"/>
  <c r="J17" i="243"/>
  <c r="L9" i="262"/>
  <c r="L33" i="262" s="1"/>
  <c r="J14" i="243"/>
  <c r="N17" i="244"/>
  <c r="N15" i="244"/>
  <c r="P10" i="262"/>
  <c r="P34" i="262" s="1"/>
  <c r="N27" i="251"/>
  <c r="N14" i="244"/>
  <c r="R25" i="243"/>
  <c r="R29" i="243"/>
  <c r="BC23" i="243"/>
  <c r="R27" i="243"/>
  <c r="Q18" i="242"/>
  <c r="K17" i="253"/>
  <c r="M13" i="262"/>
  <c r="M37" i="262" s="1"/>
  <c r="K30" i="251"/>
  <c r="K15" i="253"/>
  <c r="K14" i="253"/>
  <c r="H17" i="237"/>
  <c r="H15" i="237"/>
  <c r="I24" i="251"/>
  <c r="K7" i="262"/>
  <c r="K31" i="262" s="1"/>
  <c r="H14" i="237"/>
  <c r="J15" i="244"/>
  <c r="J17" i="244"/>
  <c r="J27" i="251"/>
  <c r="L10" i="262"/>
  <c r="L34" i="262" s="1"/>
  <c r="J14" i="244"/>
  <c r="N12" i="262"/>
  <c r="N36" i="262" s="1"/>
  <c r="K15" i="246"/>
  <c r="L29" i="251"/>
  <c r="K17" i="246"/>
  <c r="K14" i="246"/>
  <c r="H15" i="243"/>
  <c r="H26" i="251"/>
  <c r="J9" i="262"/>
  <c r="J33" i="262" s="1"/>
  <c r="H17" i="243"/>
  <c r="H14" i="243"/>
  <c r="L17" i="244"/>
  <c r="L27" i="251"/>
  <c r="N10" i="262"/>
  <c r="N34" i="262" s="1"/>
  <c r="L15" i="244"/>
  <c r="L14" i="244"/>
  <c r="P40" i="244"/>
  <c r="BA39" i="244"/>
  <c r="P41" i="244"/>
  <c r="BA41" i="244" s="1"/>
  <c r="N40" i="242"/>
  <c r="N41" i="242"/>
  <c r="AY41" i="242" s="1"/>
  <c r="AY39" i="242"/>
  <c r="BF33" i="253"/>
  <c r="Q34" i="253"/>
  <c r="Q35" i="253"/>
  <c r="BF35" i="253" s="1"/>
  <c r="U7" i="262"/>
  <c r="U31" i="262" s="1"/>
  <c r="R17" i="237"/>
  <c r="R15" i="237"/>
  <c r="S24" i="251"/>
  <c r="R14" i="237"/>
  <c r="Q18" i="244"/>
  <c r="K25" i="251"/>
  <c r="J15" i="242"/>
  <c r="J17" i="242"/>
  <c r="M8" i="262"/>
  <c r="M32" i="262" s="1"/>
  <c r="J14" i="242"/>
  <c r="N35" i="245"/>
  <c r="AY35" i="245" s="1"/>
  <c r="N34" i="245"/>
  <c r="AY33" i="245"/>
  <c r="P18" i="243"/>
  <c r="F28" i="251"/>
  <c r="F17" i="245"/>
  <c r="F15" i="245"/>
  <c r="H11" i="262"/>
  <c r="H35" i="262" s="1"/>
  <c r="F14" i="245"/>
  <c r="K17" i="245"/>
  <c r="K28" i="251"/>
  <c r="K15" i="245"/>
  <c r="M11" i="262"/>
  <c r="M35" i="262" s="1"/>
  <c r="K14" i="245"/>
  <c r="BA33" i="242"/>
  <c r="P34" i="242"/>
  <c r="P35" i="242"/>
  <c r="BA35" i="242" s="1"/>
  <c r="L34" i="253"/>
  <c r="L35" i="253"/>
  <c r="BA35" i="253" s="1"/>
  <c r="BA33" i="253"/>
  <c r="F11" i="262"/>
  <c r="F35" i="262" s="1"/>
  <c r="D28" i="251"/>
  <c r="D17" i="245"/>
  <c r="D15" i="245"/>
  <c r="D14" i="245"/>
  <c r="E29" i="251"/>
  <c r="D15" i="246"/>
  <c r="D17" i="246"/>
  <c r="G12" i="262"/>
  <c r="G36" i="262" s="1"/>
  <c r="D14" i="246"/>
  <c r="P7" i="262"/>
  <c r="P31" i="262" s="1"/>
  <c r="M15" i="237"/>
  <c r="M17" i="237"/>
  <c r="N24" i="251"/>
  <c r="M14" i="237"/>
  <c r="K17" i="243"/>
  <c r="K15" i="243"/>
  <c r="K26" i="251"/>
  <c r="M9" i="262"/>
  <c r="M33" i="262" s="1"/>
  <c r="K14" i="243"/>
  <c r="O41" i="237"/>
  <c r="AZ41" i="237" s="1"/>
  <c r="AZ39" i="237"/>
  <c r="O40" i="237"/>
  <c r="E24" i="251"/>
  <c r="G7" i="262"/>
  <c r="G31" i="262" s="1"/>
  <c r="D17" i="237"/>
  <c r="D15" i="237"/>
  <c r="D14" i="237"/>
  <c r="Q24" i="237"/>
  <c r="Q28" i="237"/>
  <c r="BB28" i="237" s="1"/>
  <c r="BB22" i="237"/>
  <c r="Q26" i="237"/>
  <c r="BB26" i="237" s="1"/>
  <c r="Q21" i="237"/>
  <c r="N21" i="242"/>
  <c r="AY22" i="242"/>
  <c r="N24" i="242"/>
  <c r="N28" i="242"/>
  <c r="AY28" i="242" s="1"/>
  <c r="N26" i="242"/>
  <c r="AY26" i="242" s="1"/>
  <c r="O18" i="237"/>
  <c r="E30" i="251"/>
  <c r="G13" i="262"/>
  <c r="G37" i="262" s="1"/>
  <c r="E17" i="253"/>
  <c r="E15" i="253"/>
  <c r="E14" i="253"/>
  <c r="N15" i="237"/>
  <c r="N17" i="237"/>
  <c r="Q7" i="262"/>
  <c r="Q31" i="262" s="1"/>
  <c r="O24" i="251"/>
  <c r="N14" i="237"/>
  <c r="Q18" i="237"/>
  <c r="P18" i="242"/>
  <c r="I7" i="262"/>
  <c r="I31" i="262" s="1"/>
  <c r="G24" i="251"/>
  <c r="F15" i="237"/>
  <c r="F17" i="237"/>
  <c r="F14" i="237"/>
  <c r="S14" i="243"/>
  <c r="U9" i="262"/>
  <c r="U33" i="262" s="1"/>
  <c r="S15" i="243"/>
  <c r="S17" i="243"/>
  <c r="S26" i="251"/>
  <c r="G29" i="251"/>
  <c r="I12" i="262"/>
  <c r="I36" i="262" s="1"/>
  <c r="F17" i="246"/>
  <c r="F15" i="246"/>
  <c r="F14" i="246"/>
  <c r="Q17" i="243"/>
  <c r="Q15" i="243"/>
  <c r="S9" i="262"/>
  <c r="S33" i="262" s="1"/>
  <c r="Q26" i="251"/>
  <c r="Q14" i="243"/>
  <c r="BA13" i="245"/>
  <c r="P23" i="245"/>
  <c r="P141" i="251"/>
  <c r="P39" i="245"/>
  <c r="P22" i="245"/>
  <c r="P16" i="245"/>
  <c r="BA16" i="245" s="1"/>
  <c r="P45" i="245"/>
  <c r="P33" i="245"/>
  <c r="R34" i="243"/>
  <c r="R35" i="243"/>
  <c r="BC35" i="243" s="1"/>
  <c r="BC33" i="243"/>
  <c r="L34" i="246"/>
  <c r="L35" i="246"/>
  <c r="AW35" i="246" s="1"/>
  <c r="AW33" i="246"/>
  <c r="S17" i="242"/>
  <c r="S15" i="242"/>
  <c r="T25" i="251"/>
  <c r="S14" i="242"/>
  <c r="Q18" i="253"/>
  <c r="R15" i="253"/>
  <c r="T13" i="262"/>
  <c r="T37" i="262" s="1"/>
  <c r="R30" i="251"/>
  <c r="R17" i="253"/>
  <c r="R14" i="253"/>
  <c r="BB23" i="237"/>
  <c r="Q25" i="237"/>
  <c r="Q29" i="237"/>
  <c r="Q27" i="237"/>
  <c r="R27" i="251"/>
  <c r="T10" i="262"/>
  <c r="T34" i="262" s="1"/>
  <c r="R14" i="244"/>
  <c r="R15" i="244"/>
  <c r="R17" i="244"/>
  <c r="Q27" i="244"/>
  <c r="Q29" i="244"/>
  <c r="Q25" i="244"/>
  <c r="BF22" i="253"/>
  <c r="Q26" i="253"/>
  <c r="BF26" i="253" s="1"/>
  <c r="Q28" i="253"/>
  <c r="BF28" i="253" s="1"/>
  <c r="Q24" i="253"/>
  <c r="G25" i="251"/>
  <c r="F15" i="242"/>
  <c r="I8" i="262"/>
  <c r="I32" i="262" s="1"/>
  <c r="F17" i="242"/>
  <c r="F14" i="242"/>
  <c r="N27" i="245"/>
  <c r="N29" i="245"/>
  <c r="N25" i="245"/>
  <c r="R34" i="242"/>
  <c r="BC33" i="242"/>
  <c r="R35" i="242"/>
  <c r="BC35" i="242" s="1"/>
  <c r="N8" i="262"/>
  <c r="N32" i="262" s="1"/>
  <c r="L25" i="251"/>
  <c r="K15" i="242"/>
  <c r="K17" i="242"/>
  <c r="K14" i="242"/>
  <c r="S7" i="262"/>
  <c r="S31" i="262" s="1"/>
  <c r="P17" i="237"/>
  <c r="Q24" i="251"/>
  <c r="P15" i="237"/>
  <c r="P14" i="237"/>
  <c r="P28" i="242"/>
  <c r="BA28" i="242" s="1"/>
  <c r="BA22" i="242"/>
  <c r="P24" i="242"/>
  <c r="P26" i="242"/>
  <c r="BA26" i="242" s="1"/>
  <c r="P21" i="242"/>
  <c r="BA39" i="242"/>
  <c r="P41" i="242"/>
  <c r="BA41" i="242" s="1"/>
  <c r="P40" i="242"/>
  <c r="BA22" i="253"/>
  <c r="L24" i="253"/>
  <c r="L26" i="253"/>
  <c r="BA26" i="253" s="1"/>
  <c r="L28" i="253"/>
  <c r="BA28" i="253" s="1"/>
  <c r="N17" i="246"/>
  <c r="Q12" i="262"/>
  <c r="Q36" i="262" s="1"/>
  <c r="O29" i="251"/>
  <c r="N15" i="246"/>
  <c r="N14" i="246"/>
  <c r="L26" i="246"/>
  <c r="AW26" i="246" s="1"/>
  <c r="L24" i="246"/>
  <c r="AW22" i="246"/>
  <c r="L21" i="246"/>
  <c r="L28" i="246"/>
  <c r="AW28" i="246" s="1"/>
  <c r="J15" i="253"/>
  <c r="J17" i="253"/>
  <c r="J30" i="251"/>
  <c r="L13" i="262"/>
  <c r="L37" i="262" s="1"/>
  <c r="J14" i="253"/>
  <c r="I15" i="245"/>
  <c r="K11" i="262"/>
  <c r="K35" i="262" s="1"/>
  <c r="I17" i="245"/>
  <c r="I28" i="251"/>
  <c r="I14" i="245"/>
  <c r="I29" i="251"/>
  <c r="H15" i="246"/>
  <c r="K12" i="262"/>
  <c r="K36" i="262" s="1"/>
  <c r="H17" i="246"/>
  <c r="H14" i="246"/>
  <c r="K29" i="251"/>
  <c r="J17" i="246"/>
  <c r="M12" i="262"/>
  <c r="M36" i="262" s="1"/>
  <c r="J15" i="246"/>
  <c r="J14" i="246"/>
  <c r="K24" i="251"/>
  <c r="J15" i="237"/>
  <c r="M7" i="262"/>
  <c r="M31" i="262" s="1"/>
  <c r="J17" i="237"/>
  <c r="J14" i="237"/>
  <c r="BA22" i="244"/>
  <c r="P24" i="244"/>
  <c r="P21" i="244"/>
  <c r="P26" i="244"/>
  <c r="BA26" i="244" s="1"/>
  <c r="P28" i="244"/>
  <c r="BA28" i="244" s="1"/>
  <c r="AY23" i="242"/>
  <c r="N27" i="242"/>
  <c r="N29" i="242"/>
  <c r="N25" i="242"/>
  <c r="Q21" i="253"/>
  <c r="Q25" i="253"/>
  <c r="Q27" i="253"/>
  <c r="Q29" i="253"/>
  <c r="BB39" i="242"/>
  <c r="Q40" i="242"/>
  <c r="Q41" i="242"/>
  <c r="BB41" i="242" s="1"/>
  <c r="I17" i="242"/>
  <c r="J25" i="251"/>
  <c r="I15" i="242"/>
  <c r="L8" i="262"/>
  <c r="L32" i="262" s="1"/>
  <c r="I14" i="242"/>
  <c r="M17" i="244"/>
  <c r="M27" i="251"/>
  <c r="O10" i="262"/>
  <c r="O34" i="262" s="1"/>
  <c r="M15" i="244"/>
  <c r="M14" i="244"/>
  <c r="L15" i="237"/>
  <c r="L17" i="237"/>
  <c r="M24" i="251"/>
  <c r="O7" i="262"/>
  <c r="O31" i="262" s="1"/>
  <c r="L14" i="237"/>
  <c r="Q14" i="245"/>
  <c r="S11" i="262"/>
  <c r="S35" i="262" s="1"/>
  <c r="Q15" i="245"/>
  <c r="Q17" i="245"/>
  <c r="Q28" i="251"/>
  <c r="M33" i="245"/>
  <c r="M45" i="245"/>
  <c r="AX13" i="245"/>
  <c r="M141" i="251"/>
  <c r="M39" i="245"/>
  <c r="M22" i="245"/>
  <c r="M16" i="245"/>
  <c r="AX16" i="245" s="1"/>
  <c r="M23" i="245"/>
  <c r="G8" i="262"/>
  <c r="G32" i="262" s="1"/>
  <c r="E25" i="251"/>
  <c r="D17" i="242"/>
  <c r="D15" i="242"/>
  <c r="D14" i="242"/>
  <c r="L27" i="253"/>
  <c r="L21" i="253"/>
  <c r="L29" i="253"/>
  <c r="L25" i="253"/>
  <c r="E17" i="246"/>
  <c r="H12" i="262"/>
  <c r="H36" i="262" s="1"/>
  <c r="E15" i="246"/>
  <c r="F29" i="251"/>
  <c r="E14" i="246"/>
  <c r="T14" i="253"/>
  <c r="T30" i="251"/>
  <c r="T15" i="253"/>
  <c r="T17" i="253"/>
  <c r="P41" i="243"/>
  <c r="BA41" i="243" s="1"/>
  <c r="BA39" i="243"/>
  <c r="P40" i="243"/>
  <c r="H15" i="244"/>
  <c r="H27" i="251"/>
  <c r="J10" i="262"/>
  <c r="J34" i="262" s="1"/>
  <c r="H17" i="244"/>
  <c r="H14" i="244"/>
  <c r="L15" i="242"/>
  <c r="L17" i="242"/>
  <c r="O8" i="262"/>
  <c r="O32" i="262" s="1"/>
  <c r="M25" i="251"/>
  <c r="L14" i="242"/>
  <c r="G17" i="242"/>
  <c r="J8" i="262"/>
  <c r="J32" i="262" s="1"/>
  <c r="G15" i="242"/>
  <c r="H25" i="251"/>
  <c r="G14" i="242"/>
  <c r="G17" i="253"/>
  <c r="G30" i="251"/>
  <c r="G15" i="253"/>
  <c r="I13" i="262"/>
  <c r="I37" i="262" s="1"/>
  <c r="G14" i="253"/>
  <c r="Q35" i="237"/>
  <c r="BB35" i="237" s="1"/>
  <c r="Q34" i="237"/>
  <c r="BB33" i="237"/>
  <c r="E26" i="251"/>
  <c r="G9" i="262"/>
  <c r="G33" i="262" s="1"/>
  <c r="E17" i="243"/>
  <c r="E15" i="243"/>
  <c r="E14" i="243"/>
  <c r="I30" i="251"/>
  <c r="K13" i="262"/>
  <c r="K37" i="262" s="1"/>
  <c r="I15" i="253"/>
  <c r="I17" i="253"/>
  <c r="I14" i="253"/>
  <c r="Q10" i="262"/>
  <c r="Q34" i="262" s="1"/>
  <c r="O27" i="251"/>
  <c r="O15" i="244"/>
  <c r="O17" i="244"/>
  <c r="O14" i="244"/>
  <c r="Q26" i="244"/>
  <c r="BB26" i="244" s="1"/>
  <c r="Q24" i="244"/>
  <c r="Q28" i="244"/>
  <c r="BB28" i="244" s="1"/>
  <c r="Q21" i="244"/>
  <c r="BB22" i="244"/>
  <c r="Q40" i="253"/>
  <c r="Q41" i="253"/>
  <c r="BF41" i="253" s="1"/>
  <c r="BF39" i="253"/>
  <c r="F25" i="251"/>
  <c r="H8" i="262"/>
  <c r="H32" i="262" s="1"/>
  <c r="E15" i="242"/>
  <c r="E17" i="242"/>
  <c r="E14" i="242"/>
  <c r="J11" i="262"/>
  <c r="J35" i="262" s="1"/>
  <c r="H17" i="245"/>
  <c r="H15" i="245"/>
  <c r="H28" i="251"/>
  <c r="H14" i="245"/>
  <c r="F17" i="244"/>
  <c r="H10" i="262"/>
  <c r="H34" i="262" s="1"/>
  <c r="F27" i="251"/>
  <c r="F15" i="244"/>
  <c r="F14" i="244"/>
  <c r="H15" i="253"/>
  <c r="H17" i="253"/>
  <c r="J13" i="262"/>
  <c r="J37" i="262" s="1"/>
  <c r="H30" i="251"/>
  <c r="H14" i="253"/>
  <c r="K15" i="244"/>
  <c r="K17" i="244"/>
  <c r="K27" i="251"/>
  <c r="M10" i="262"/>
  <c r="M34" i="262" s="1"/>
  <c r="K14" i="244"/>
  <c r="Q13" i="262"/>
  <c r="Q37" i="262" s="1"/>
  <c r="O30" i="251"/>
  <c r="O17" i="253"/>
  <c r="O15" i="253"/>
  <c r="O14" i="253"/>
  <c r="J7" i="262"/>
  <c r="J31" i="262" s="1"/>
  <c r="G15" i="237"/>
  <c r="G17" i="237"/>
  <c r="H24" i="251"/>
  <c r="G14" i="237"/>
  <c r="F30" i="251"/>
  <c r="H13" i="262"/>
  <c r="H37" i="262" s="1"/>
  <c r="F15" i="253"/>
  <c r="F17" i="253"/>
  <c r="F14" i="253"/>
  <c r="T15" i="243"/>
  <c r="T26" i="251"/>
  <c r="T17" i="243"/>
  <c r="T14" i="243"/>
  <c r="BC39" i="243"/>
  <c r="R41" i="243"/>
  <c r="BC41" i="243" s="1"/>
  <c r="R40" i="243"/>
  <c r="L25" i="246"/>
  <c r="L29" i="246"/>
  <c r="L27" i="246"/>
  <c r="I17" i="246"/>
  <c r="J29" i="251"/>
  <c r="L12" i="262"/>
  <c r="L36" i="262" s="1"/>
  <c r="I15" i="246"/>
  <c r="I14" i="246"/>
  <c r="O27" i="237"/>
  <c r="AZ23" i="237"/>
  <c r="O29" i="237"/>
  <c r="O25" i="237"/>
  <c r="G15" i="243"/>
  <c r="I9" i="262"/>
  <c r="I33" i="262" s="1"/>
  <c r="G26" i="251"/>
  <c r="G17" i="243"/>
  <c r="G14" i="243"/>
  <c r="H29" i="251"/>
  <c r="J12" i="262"/>
  <c r="J36" i="262" s="1"/>
  <c r="G17" i="246"/>
  <c r="G15" i="246"/>
  <c r="G14" i="246"/>
  <c r="Q41" i="237"/>
  <c r="BB41" i="237" s="1"/>
  <c r="Q40" i="237"/>
  <c r="BB39" i="237"/>
  <c r="I15" i="243"/>
  <c r="I26" i="251"/>
  <c r="K9" i="262"/>
  <c r="K33" i="262" s="1"/>
  <c r="I17" i="243"/>
  <c r="I14" i="243"/>
  <c r="M17" i="253"/>
  <c r="O13" i="262"/>
  <c r="O37" i="262" s="1"/>
  <c r="M30" i="251"/>
  <c r="M15" i="253"/>
  <c r="M14" i="253"/>
  <c r="P29" i="244"/>
  <c r="P25" i="244"/>
  <c r="P27" i="244"/>
  <c r="Q34" i="244"/>
  <c r="Q35" i="244"/>
  <c r="BB35" i="244" s="1"/>
  <c r="BB33" i="244"/>
  <c r="Q25" i="242"/>
  <c r="BB23" i="242"/>
  <c r="Q29" i="242"/>
  <c r="Q27" i="242"/>
  <c r="N18" i="242"/>
  <c r="N18" i="245"/>
  <c r="G28" i="251"/>
  <c r="G15" i="245"/>
  <c r="G17" i="245"/>
  <c r="I11" i="262"/>
  <c r="I35" i="262" s="1"/>
  <c r="G14" i="245"/>
  <c r="M15" i="246"/>
  <c r="M17" i="246"/>
  <c r="P12" i="262"/>
  <c r="P36" i="262" s="1"/>
  <c r="M14" i="246"/>
  <c r="N29" i="251"/>
  <c r="AY22" i="245"/>
  <c r="N28" i="245"/>
  <c r="AY28" i="245" s="1"/>
  <c r="N21" i="245"/>
  <c r="N26" i="245"/>
  <c r="AY26" i="245" s="1"/>
  <c r="N24" i="245"/>
  <c r="BC39" i="242"/>
  <c r="R40" i="242"/>
  <c r="R41" i="242"/>
  <c r="BC41" i="242" s="1"/>
  <c r="F24" i="251"/>
  <c r="H7" i="262"/>
  <c r="H31" i="262" s="1"/>
  <c r="E17" i="237"/>
  <c r="E15" i="237"/>
  <c r="E14" i="237"/>
  <c r="BA39" i="253"/>
  <c r="L40" i="253"/>
  <c r="L41" i="253"/>
  <c r="BA41" i="253" s="1"/>
  <c r="P18" i="244"/>
  <c r="I17" i="244"/>
  <c r="I15" i="244"/>
  <c r="I27" i="251"/>
  <c r="K10" i="262"/>
  <c r="K34" i="262" s="1"/>
  <c r="I14" i="244"/>
  <c r="P25" i="243"/>
  <c r="P29" i="243"/>
  <c r="P27" i="243"/>
  <c r="BA23" i="243"/>
  <c r="M17" i="242"/>
  <c r="N25" i="251"/>
  <c r="P8" i="262"/>
  <c r="P32" i="262" s="1"/>
  <c r="M15" i="242"/>
  <c r="M14" i="242"/>
  <c r="D30" i="251"/>
  <c r="F13" i="262"/>
  <c r="F37" i="262" s="1"/>
  <c r="D17" i="253"/>
  <c r="D15" i="253"/>
  <c r="D14" i="253"/>
  <c r="K8" i="262"/>
  <c r="K32" i="262" s="1"/>
  <c r="H17" i="242"/>
  <c r="H15" i="242"/>
  <c r="I25" i="251"/>
  <c r="H14" i="242"/>
  <c r="P13" i="262"/>
  <c r="P37" i="262" s="1"/>
  <c r="N15" i="253"/>
  <c r="N30" i="251"/>
  <c r="N17" i="253"/>
  <c r="N14" i="253"/>
  <c r="AZ22" i="237"/>
  <c r="O21" i="237"/>
  <c r="O26" i="237"/>
  <c r="AZ26" i="237" s="1"/>
  <c r="O28" i="237"/>
  <c r="AZ28" i="237" s="1"/>
  <c r="O24" i="237"/>
  <c r="L18" i="253"/>
  <c r="R109" i="251"/>
  <c r="S15" i="253"/>
  <c r="S30" i="251"/>
  <c r="S17" i="253"/>
  <c r="U13" i="262"/>
  <c r="U37" i="262" s="1"/>
  <c r="S14" i="253"/>
  <c r="P35" i="244"/>
  <c r="BA35" i="244" s="1"/>
  <c r="BA33" i="244"/>
  <c r="P34" i="244"/>
  <c r="N34" i="242"/>
  <c r="N35" i="242"/>
  <c r="AY35" i="242" s="1"/>
  <c r="AY33" i="242"/>
  <c r="Q41" i="244"/>
  <c r="BB41" i="244" s="1"/>
  <c r="Q40" i="244"/>
  <c r="BB39" i="244"/>
  <c r="AF25" i="223"/>
  <c r="AE26" i="198"/>
  <c r="AI8" i="223"/>
  <c r="AI9" i="223" s="1"/>
  <c r="AJ4" i="223"/>
  <c r="E61" i="228"/>
  <c r="G61" i="228" s="1"/>
  <c r="F7" i="229" s="1"/>
  <c r="H7" i="229" s="1"/>
  <c r="D61" i="229" s="1"/>
  <c r="G58" i="260"/>
  <c r="I58" i="260" s="1"/>
  <c r="G72" i="260"/>
  <c r="E69" i="228"/>
  <c r="G69" i="228" s="1"/>
  <c r="F15" i="229" s="1"/>
  <c r="H15" i="229" s="1"/>
  <c r="D149" i="229" s="1"/>
  <c r="E65" i="228"/>
  <c r="G65" i="228" s="1"/>
  <c r="F11" i="229" s="1"/>
  <c r="H11" i="229" s="1"/>
  <c r="D105" i="229" s="1"/>
  <c r="G68" i="260"/>
  <c r="I68" i="260" s="1"/>
  <c r="E60" i="228"/>
  <c r="G60" i="228" s="1"/>
  <c r="F6" i="229" s="1"/>
  <c r="H6" i="229" s="1"/>
  <c r="D50" i="229" s="1"/>
  <c r="G57" i="260"/>
  <c r="I57" i="260" s="1"/>
  <c r="E66" i="228"/>
  <c r="G66" i="228" s="1"/>
  <c r="F12" i="229" s="1"/>
  <c r="H12" i="229" s="1"/>
  <c r="D116" i="229" s="1"/>
  <c r="G69" i="260"/>
  <c r="I69" i="260" s="1"/>
  <c r="G56" i="260"/>
  <c r="I56" i="260" s="1"/>
  <c r="E59" i="228"/>
  <c r="G59" i="228" s="1"/>
  <c r="F5" i="229" s="1"/>
  <c r="H5" i="229" s="1"/>
  <c r="D39" i="229" s="1"/>
  <c r="E58" i="228"/>
  <c r="G58" i="228" s="1"/>
  <c r="F4" i="229" s="1"/>
  <c r="G54" i="260"/>
  <c r="G74" i="260"/>
  <c r="E71" i="228"/>
  <c r="G71" i="228" s="1"/>
  <c r="F17" i="229" s="1"/>
  <c r="H17" i="229" s="1"/>
  <c r="D171" i="229" s="1"/>
  <c r="Z48" i="255"/>
  <c r="E63" i="228"/>
  <c r="G63" i="228" s="1"/>
  <c r="F9" i="229" s="1"/>
  <c r="H9" i="229" s="1"/>
  <c r="D83" i="229" s="1"/>
  <c r="G55" i="260"/>
  <c r="I55" i="260" s="1"/>
  <c r="E70" i="228"/>
  <c r="G70" i="228" s="1"/>
  <c r="F16" i="229" s="1"/>
  <c r="H16" i="229" s="1"/>
  <c r="D160" i="229" s="1"/>
  <c r="G73" i="260"/>
  <c r="G59" i="260"/>
  <c r="I59" i="260" s="1"/>
  <c r="E62" i="228"/>
  <c r="G62" i="228" s="1"/>
  <c r="F8" i="229" s="1"/>
  <c r="H8" i="229" s="1"/>
  <c r="D72" i="229" s="1"/>
  <c r="AE48" i="228"/>
  <c r="F39" i="228"/>
  <c r="G70" i="260"/>
  <c r="E67" i="228"/>
  <c r="G67" i="228" s="1"/>
  <c r="F13" i="229" s="1"/>
  <c r="H13" i="229" s="1"/>
  <c r="D127" i="229" s="1"/>
  <c r="AD13" i="204"/>
  <c r="AF24" i="223"/>
  <c r="E72" i="228"/>
  <c r="G72" i="228" s="1"/>
  <c r="F18" i="229" s="1"/>
  <c r="H18" i="229" s="1"/>
  <c r="D182" i="229" s="1"/>
  <c r="G75" i="260"/>
  <c r="E68" i="228"/>
  <c r="G68" i="228" s="1"/>
  <c r="F14" i="229" s="1"/>
  <c r="H14" i="229" s="1"/>
  <c r="D138" i="229" s="1"/>
  <c r="G71" i="260"/>
  <c r="S18" i="245"/>
  <c r="AK18" i="245" s="1"/>
  <c r="T18" i="242"/>
  <c r="T19" i="242" s="1"/>
  <c r="AL19" i="242" s="1"/>
  <c r="S18" i="244"/>
  <c r="BD18" i="244" s="1"/>
  <c r="AC13" i="231"/>
  <c r="AC71" i="231" s="1"/>
  <c r="AB71" i="231"/>
  <c r="V16" i="253"/>
  <c r="BK16" i="253" s="1"/>
  <c r="V59" i="253"/>
  <c r="BK13" i="253"/>
  <c r="V45" i="253"/>
  <c r="V22" i="253"/>
  <c r="V23" i="253"/>
  <c r="V39" i="253"/>
  <c r="V33" i="253"/>
  <c r="BD33" i="244"/>
  <c r="S35" i="244"/>
  <c r="BD35" i="244" s="1"/>
  <c r="S34" i="244"/>
  <c r="U18" i="253"/>
  <c r="AA20" i="231"/>
  <c r="Z97" i="231"/>
  <c r="S10" i="246" s="1"/>
  <c r="AC96" i="231"/>
  <c r="AC95" i="231"/>
  <c r="Q15" i="246"/>
  <c r="Q17" i="246"/>
  <c r="T12" i="262"/>
  <c r="T36" i="262" s="1"/>
  <c r="R29" i="251"/>
  <c r="Q14" i="246"/>
  <c r="O18" i="246"/>
  <c r="T141" i="251"/>
  <c r="T33" i="245"/>
  <c r="T23" i="245"/>
  <c r="BE13" i="245"/>
  <c r="T39" i="245"/>
  <c r="T45" i="245"/>
  <c r="T16" i="245"/>
  <c r="BE16" i="245" s="1"/>
  <c r="T22" i="245"/>
  <c r="O21" i="246"/>
  <c r="O25" i="246"/>
  <c r="O29" i="246"/>
  <c r="O27" i="246"/>
  <c r="BE33" i="237"/>
  <c r="T35" i="237"/>
  <c r="BE35" i="237" s="1"/>
  <c r="T34" i="237"/>
  <c r="U26" i="253"/>
  <c r="BJ26" i="253" s="1"/>
  <c r="U28" i="253"/>
  <c r="BJ28" i="253" s="1"/>
  <c r="BJ22" i="253"/>
  <c r="U24" i="253"/>
  <c r="S29" i="245"/>
  <c r="S25" i="245"/>
  <c r="S27" i="245"/>
  <c r="T26" i="237"/>
  <c r="BE26" i="237" s="1"/>
  <c r="BE22" i="237"/>
  <c r="T21" i="237"/>
  <c r="T24" i="237"/>
  <c r="T28" i="237"/>
  <c r="BE28" i="237" s="1"/>
  <c r="S24" i="244"/>
  <c r="S26" i="244"/>
  <c r="BD26" i="244" s="1"/>
  <c r="S28" i="244"/>
  <c r="BD28" i="244" s="1"/>
  <c r="S21" i="244"/>
  <c r="BD22" i="244"/>
  <c r="AJ10" i="246"/>
  <c r="BE23" i="242"/>
  <c r="T29" i="242"/>
  <c r="T25" i="242"/>
  <c r="T27" i="242"/>
  <c r="U25" i="253"/>
  <c r="U21" i="253"/>
  <c r="U27" i="253"/>
  <c r="U29" i="253"/>
  <c r="S21" i="245"/>
  <c r="S24" i="245"/>
  <c r="S28" i="245"/>
  <c r="BD28" i="245" s="1"/>
  <c r="S26" i="245"/>
  <c r="BD26" i="245" s="1"/>
  <c r="BD22" i="245"/>
  <c r="T18" i="237"/>
  <c r="BE22" i="242"/>
  <c r="T24" i="242"/>
  <c r="T26" i="242"/>
  <c r="BE26" i="242" s="1"/>
  <c r="T28" i="242"/>
  <c r="BE28" i="242" s="1"/>
  <c r="T21" i="242"/>
  <c r="BE33" i="242"/>
  <c r="T34" i="242"/>
  <c r="T35" i="242"/>
  <c r="BE35" i="242" s="1"/>
  <c r="S27" i="244"/>
  <c r="S29" i="244"/>
  <c r="S25" i="244"/>
  <c r="O40" i="246"/>
  <c r="O41" i="246"/>
  <c r="AZ41" i="246" s="1"/>
  <c r="AZ39" i="246"/>
  <c r="U40" i="253"/>
  <c r="BJ39" i="253"/>
  <c r="U41" i="253"/>
  <c r="BJ41" i="253" s="1"/>
  <c r="BD33" i="245"/>
  <c r="S34" i="245"/>
  <c r="S35" i="245"/>
  <c r="BD35" i="245" s="1"/>
  <c r="O26" i="246"/>
  <c r="AZ26" i="246" s="1"/>
  <c r="O24" i="246"/>
  <c r="O28" i="246"/>
  <c r="AZ28" i="246" s="1"/>
  <c r="AZ22" i="246"/>
  <c r="BJ33" i="253"/>
  <c r="U34" i="253"/>
  <c r="U35" i="253"/>
  <c r="BJ35" i="253" s="1"/>
  <c r="T41" i="237"/>
  <c r="BE41" i="237" s="1"/>
  <c r="BE39" i="237"/>
  <c r="T40" i="237"/>
  <c r="S40" i="244"/>
  <c r="S41" i="244"/>
  <c r="BD41" i="244" s="1"/>
  <c r="BD39" i="244"/>
  <c r="T33" i="244"/>
  <c r="T22" i="244"/>
  <c r="T16" i="244"/>
  <c r="BE16" i="244" s="1"/>
  <c r="T23" i="244"/>
  <c r="T39" i="244"/>
  <c r="T45" i="244"/>
  <c r="BE13" i="244"/>
  <c r="T140" i="251"/>
  <c r="O34" i="246"/>
  <c r="AZ33" i="246"/>
  <c r="O35" i="246"/>
  <c r="AZ35" i="246" s="1"/>
  <c r="AL11" i="246"/>
  <c r="S41" i="245"/>
  <c r="BD41" i="245" s="1"/>
  <c r="S40" i="245"/>
  <c r="BD39" i="245"/>
  <c r="T25" i="237"/>
  <c r="T27" i="237"/>
  <c r="BE23" i="237"/>
  <c r="T29" i="237"/>
  <c r="BE39" i="242"/>
  <c r="T41" i="242"/>
  <c r="BE41" i="242" s="1"/>
  <c r="T40" i="242"/>
  <c r="Q142" i="251"/>
  <c r="P45" i="246"/>
  <c r="P22" i="246"/>
  <c r="P33" i="246"/>
  <c r="P39" i="246"/>
  <c r="P23" i="246"/>
  <c r="P16" i="246"/>
  <c r="BA13" i="246"/>
  <c r="R15" i="246"/>
  <c r="U12" i="262"/>
  <c r="U36" i="262" s="1"/>
  <c r="S29" i="251"/>
  <c r="R17" i="246"/>
  <c r="R14" i="246"/>
  <c r="P226" i="229"/>
  <c r="P174" i="229"/>
  <c r="Q172" i="229" s="1"/>
  <c r="Q141" i="229"/>
  <c r="Q225" i="229" s="1"/>
  <c r="Q53" i="229"/>
  <c r="Q217" i="229" s="1"/>
  <c r="O108" i="229"/>
  <c r="P106" i="229" s="1"/>
  <c r="P161" i="229"/>
  <c r="O227" i="229"/>
  <c r="I289" i="229" s="1"/>
  <c r="I333" i="229" s="1"/>
  <c r="Q151" i="229"/>
  <c r="Q207" i="229" s="1"/>
  <c r="P184" i="229"/>
  <c r="P210" i="229" s="1"/>
  <c r="AD96" i="229"/>
  <c r="AD202" i="229" s="1"/>
  <c r="O64" i="229"/>
  <c r="P41" i="229"/>
  <c r="P197" i="229" s="1"/>
  <c r="P220" i="229"/>
  <c r="Q84" i="229"/>
  <c r="P129" i="229"/>
  <c r="P205" i="229" s="1"/>
  <c r="P219" i="229"/>
  <c r="Q73" i="229"/>
  <c r="Q96" i="229"/>
  <c r="Q202" i="229" s="1"/>
  <c r="P118" i="229"/>
  <c r="P204" i="229" s="1"/>
  <c r="Q29" i="229"/>
  <c r="P215" i="229"/>
  <c r="O65" i="229" l="1"/>
  <c r="O67" i="229" s="1"/>
  <c r="O237" i="229" s="1"/>
  <c r="AD97" i="229"/>
  <c r="AD8" i="204"/>
  <c r="AD12" i="204"/>
  <c r="AE11" i="204" s="1"/>
  <c r="AD14" i="204"/>
  <c r="P50" i="243"/>
  <c r="Q23" i="251"/>
  <c r="Q144" i="251" s="1"/>
  <c r="U38" i="262"/>
  <c r="U39" i="262" s="1"/>
  <c r="AB17" i="253"/>
  <c r="AC17" i="253" s="1"/>
  <c r="AD17" i="253" s="1"/>
  <c r="AE17" i="253" s="1"/>
  <c r="AF17" i="253" s="1"/>
  <c r="AG17" i="253" s="1"/>
  <c r="AH17" i="253" s="1"/>
  <c r="AI17" i="253" s="1"/>
  <c r="AJ17" i="253" s="1"/>
  <c r="AK17" i="253" s="1"/>
  <c r="AL17" i="253" s="1"/>
  <c r="AM17" i="253" s="1"/>
  <c r="AN17" i="253" s="1"/>
  <c r="AO17" i="253" s="1"/>
  <c r="AP17" i="253" s="1"/>
  <c r="N56" i="242"/>
  <c r="Y17" i="253"/>
  <c r="V17" i="237"/>
  <c r="X17" i="246"/>
  <c r="Y17" i="246"/>
  <c r="P23" i="251"/>
  <c r="P31" i="251" s="1"/>
  <c r="M23" i="251"/>
  <c r="M144" i="251" s="1"/>
  <c r="V17" i="244"/>
  <c r="S38" i="262"/>
  <c r="S39" i="262" s="1"/>
  <c r="H23" i="251"/>
  <c r="H144" i="251" s="1"/>
  <c r="O50" i="237"/>
  <c r="Y17" i="243"/>
  <c r="Z17" i="253"/>
  <c r="Y17" i="244"/>
  <c r="Y17" i="237"/>
  <c r="R23" i="251"/>
  <c r="R144" i="251" s="1"/>
  <c r="L38" i="262"/>
  <c r="L39" i="262" s="1"/>
  <c r="Y17" i="242"/>
  <c r="S23" i="251"/>
  <c r="S31" i="251" s="1"/>
  <c r="U24" i="252" s="1"/>
  <c r="U26" i="252" s="1"/>
  <c r="T38" i="262"/>
  <c r="T39" i="262" s="1"/>
  <c r="Q56" i="242"/>
  <c r="J23" i="251"/>
  <c r="J144" i="251" s="1"/>
  <c r="W17" i="242"/>
  <c r="W17" i="243"/>
  <c r="W17" i="237"/>
  <c r="X17" i="253"/>
  <c r="Z17" i="245"/>
  <c r="AA17" i="245" s="1"/>
  <c r="AB17" i="245" s="1"/>
  <c r="AC17" i="245" s="1"/>
  <c r="AD17" i="245" s="1"/>
  <c r="AE17" i="245" s="1"/>
  <c r="AF17" i="245" s="1"/>
  <c r="AG17" i="245" s="1"/>
  <c r="AH17" i="245" s="1"/>
  <c r="AI17" i="245" s="1"/>
  <c r="AJ17" i="245" s="1"/>
  <c r="AK17" i="245" s="1"/>
  <c r="AL17" i="245" s="1"/>
  <c r="V17" i="245"/>
  <c r="O38" i="262"/>
  <c r="O39" i="262" s="1"/>
  <c r="R38" i="262"/>
  <c r="R39" i="262" s="1"/>
  <c r="Z17" i="244"/>
  <c r="AA17" i="244" s="1"/>
  <c r="AB17" i="244" s="1"/>
  <c r="AC17" i="244" s="1"/>
  <c r="AD17" i="244" s="1"/>
  <c r="AE17" i="244" s="1"/>
  <c r="AF17" i="244" s="1"/>
  <c r="AG17" i="244" s="1"/>
  <c r="AH17" i="244" s="1"/>
  <c r="AI17" i="244" s="1"/>
  <c r="AJ17" i="244" s="1"/>
  <c r="AK17" i="244" s="1"/>
  <c r="AL17" i="244" s="1"/>
  <c r="Z17" i="246"/>
  <c r="AA17" i="246" s="1"/>
  <c r="AB17" i="246" s="1"/>
  <c r="AC17" i="246" s="1"/>
  <c r="AD17" i="246" s="1"/>
  <c r="AE17" i="246" s="1"/>
  <c r="AF17" i="246" s="1"/>
  <c r="AG17" i="246" s="1"/>
  <c r="AH17" i="246" s="1"/>
  <c r="AI17" i="246" s="1"/>
  <c r="AJ17" i="246" s="1"/>
  <c r="AK17" i="246" s="1"/>
  <c r="AL17" i="246" s="1"/>
  <c r="Q50" i="237"/>
  <c r="V17" i="243"/>
  <c r="P50" i="244"/>
  <c r="Z17" i="242"/>
  <c r="AA17" i="242" s="1"/>
  <c r="AB17" i="242" s="1"/>
  <c r="AC17" i="242" s="1"/>
  <c r="AD17" i="242" s="1"/>
  <c r="AE17" i="242" s="1"/>
  <c r="AF17" i="242" s="1"/>
  <c r="AG17" i="242" s="1"/>
  <c r="AH17" i="242" s="1"/>
  <c r="AI17" i="242" s="1"/>
  <c r="AJ17" i="242" s="1"/>
  <c r="AK17" i="242" s="1"/>
  <c r="AL17" i="242" s="1"/>
  <c r="P18" i="245"/>
  <c r="BA18" i="245" s="1"/>
  <c r="R50" i="243"/>
  <c r="E45" i="237"/>
  <c r="E33" i="237"/>
  <c r="E16" i="237"/>
  <c r="AP16" i="237" s="1"/>
  <c r="E22" i="237"/>
  <c r="F110" i="251"/>
  <c r="AP13" i="237"/>
  <c r="F137" i="251"/>
  <c r="E23" i="237"/>
  <c r="E39" i="237"/>
  <c r="AY24" i="245"/>
  <c r="N30" i="245"/>
  <c r="AY18" i="245"/>
  <c r="AF18" i="245"/>
  <c r="N19" i="245"/>
  <c r="AF19" i="245" s="1"/>
  <c r="G33" i="237"/>
  <c r="AR13" i="237"/>
  <c r="H137" i="251"/>
  <c r="G45" i="237"/>
  <c r="G23" i="237"/>
  <c r="G22" i="237"/>
  <c r="G16" i="237"/>
  <c r="AR16" i="237" s="1"/>
  <c r="H110" i="251"/>
  <c r="G39" i="237"/>
  <c r="X17" i="244"/>
  <c r="W15" i="242"/>
  <c r="Y15" i="242"/>
  <c r="T45" i="253"/>
  <c r="T59" i="253"/>
  <c r="T23" i="253"/>
  <c r="T16" i="253"/>
  <c r="BI16" i="253" s="1"/>
  <c r="T33" i="253"/>
  <c r="T22" i="253"/>
  <c r="BI13" i="253"/>
  <c r="T39" i="253"/>
  <c r="L70" i="253"/>
  <c r="BA21" i="253"/>
  <c r="AF21" i="253"/>
  <c r="L12" i="253"/>
  <c r="AX33" i="245"/>
  <c r="M35" i="245"/>
  <c r="AX35" i="245" s="1"/>
  <c r="M34" i="245"/>
  <c r="I45" i="242"/>
  <c r="I52" i="242" s="1"/>
  <c r="I53" i="242" s="1"/>
  <c r="I22" i="242"/>
  <c r="J138" i="251"/>
  <c r="I23" i="242"/>
  <c r="I16" i="242"/>
  <c r="AT16" i="242" s="1"/>
  <c r="AT13" i="242"/>
  <c r="I33" i="242"/>
  <c r="I39" i="242"/>
  <c r="J111" i="251"/>
  <c r="Q38" i="262"/>
  <c r="Q39" i="262" s="1"/>
  <c r="P42" i="242"/>
  <c r="BA40" i="242"/>
  <c r="BA42" i="242" s="1"/>
  <c r="P33" i="237"/>
  <c r="BA13" i="237"/>
  <c r="P39" i="237"/>
  <c r="P45" i="237"/>
  <c r="P16" i="237"/>
  <c r="BA16" i="237" s="1"/>
  <c r="Q137" i="251"/>
  <c r="Q110" i="251"/>
  <c r="Q109" i="251" s="1"/>
  <c r="P22" i="237"/>
  <c r="P23" i="237"/>
  <c r="AQ13" i="242"/>
  <c r="G138" i="251"/>
  <c r="F33" i="242"/>
  <c r="F39" i="242"/>
  <c r="F22" i="242"/>
  <c r="F23" i="242"/>
  <c r="F45" i="242"/>
  <c r="F52" i="242" s="1"/>
  <c r="F53" i="242" s="1"/>
  <c r="F16" i="242"/>
  <c r="AQ16" i="242" s="1"/>
  <c r="G111" i="251"/>
  <c r="G137" i="251"/>
  <c r="F39" i="237"/>
  <c r="F22" i="237"/>
  <c r="F33" i="237"/>
  <c r="AQ13" i="237"/>
  <c r="G110" i="251"/>
  <c r="F16" i="237"/>
  <c r="AQ16" i="237" s="1"/>
  <c r="F45" i="237"/>
  <c r="F23" i="237"/>
  <c r="AI18" i="237"/>
  <c r="BB18" i="237"/>
  <c r="Q19" i="237"/>
  <c r="AI19" i="237" s="1"/>
  <c r="N30" i="242"/>
  <c r="N31" i="242" s="1"/>
  <c r="AF31" i="242" s="1"/>
  <c r="AY24" i="242"/>
  <c r="E137" i="251"/>
  <c r="E110" i="251"/>
  <c r="D39" i="237"/>
  <c r="D33" i="237"/>
  <c r="D22" i="237"/>
  <c r="D45" i="237"/>
  <c r="D16" i="237"/>
  <c r="AO16" i="237" s="1"/>
  <c r="AO13" i="237"/>
  <c r="D23" i="237"/>
  <c r="E23" i="251"/>
  <c r="J33" i="242"/>
  <c r="J16" i="242"/>
  <c r="AU16" i="242" s="1"/>
  <c r="J22" i="242"/>
  <c r="J39" i="242"/>
  <c r="AU13" i="242"/>
  <c r="K138" i="251"/>
  <c r="J45" i="242"/>
  <c r="J52" i="242" s="1"/>
  <c r="J53" i="242" s="1"/>
  <c r="K111" i="251"/>
  <c r="J23" i="242"/>
  <c r="Z15" i="243"/>
  <c r="AA15" i="243" s="1"/>
  <c r="AB15" i="243" s="1"/>
  <c r="AC15" i="243" s="1"/>
  <c r="AD15" i="243" s="1"/>
  <c r="AE15" i="243" s="1"/>
  <c r="AF15" i="243" s="1"/>
  <c r="AG15" i="243" s="1"/>
  <c r="AH15" i="243" s="1"/>
  <c r="AI15" i="243" s="1"/>
  <c r="AJ15" i="243" s="1"/>
  <c r="AK15" i="243" s="1"/>
  <c r="AL15" i="243" s="1"/>
  <c r="W15" i="244"/>
  <c r="D139" i="251"/>
  <c r="D22" i="243"/>
  <c r="D33" i="243"/>
  <c r="D23" i="243"/>
  <c r="D45" i="243"/>
  <c r="D39" i="243"/>
  <c r="AO13" i="243"/>
  <c r="D16" i="243"/>
  <c r="AO16" i="243" s="1"/>
  <c r="R141" i="251"/>
  <c r="R45" i="245"/>
  <c r="R16" i="245"/>
  <c r="BC16" i="245" s="1"/>
  <c r="R23" i="245"/>
  <c r="R22" i="245"/>
  <c r="R33" i="245"/>
  <c r="BC13" i="245"/>
  <c r="R39" i="245"/>
  <c r="J45" i="245"/>
  <c r="J141" i="251"/>
  <c r="J22" i="245"/>
  <c r="J16" i="245"/>
  <c r="AU16" i="245" s="1"/>
  <c r="J39" i="245"/>
  <c r="J33" i="245"/>
  <c r="J23" i="245"/>
  <c r="AU13" i="245"/>
  <c r="P33" i="253"/>
  <c r="P59" i="253"/>
  <c r="P16" i="253"/>
  <c r="BE16" i="253" s="1"/>
  <c r="P23" i="253"/>
  <c r="P39" i="253"/>
  <c r="BE13" i="253"/>
  <c r="P45" i="253"/>
  <c r="P22" i="253"/>
  <c r="AS13" i="242"/>
  <c r="H23" i="242"/>
  <c r="I111" i="251"/>
  <c r="H45" i="242"/>
  <c r="H52" i="242" s="1"/>
  <c r="H53" i="242" s="1"/>
  <c r="H39" i="242"/>
  <c r="H33" i="242"/>
  <c r="H22" i="242"/>
  <c r="H16" i="242"/>
  <c r="AS16" i="242" s="1"/>
  <c r="I138" i="251"/>
  <c r="W15" i="237"/>
  <c r="M23" i="253"/>
  <c r="M45" i="253"/>
  <c r="M22" i="253"/>
  <c r="M16" i="253"/>
  <c r="BB16" i="253" s="1"/>
  <c r="BB13" i="253"/>
  <c r="M59" i="253"/>
  <c r="M33" i="253"/>
  <c r="M39" i="253"/>
  <c r="J38" i="262"/>
  <c r="J39" i="262" s="1"/>
  <c r="AS13" i="245"/>
  <c r="H23" i="245"/>
  <c r="H45" i="245"/>
  <c r="H141" i="251"/>
  <c r="H33" i="245"/>
  <c r="H39" i="245"/>
  <c r="H22" i="245"/>
  <c r="H16" i="245"/>
  <c r="AS16" i="245" s="1"/>
  <c r="Q42" i="253"/>
  <c r="BF40" i="253"/>
  <c r="BF42" i="253" s="1"/>
  <c r="E33" i="243"/>
  <c r="E23" i="243"/>
  <c r="E16" i="243"/>
  <c r="AP16" i="243" s="1"/>
  <c r="AP13" i="243"/>
  <c r="E45" i="243"/>
  <c r="E139" i="251"/>
  <c r="E22" i="243"/>
  <c r="E39" i="243"/>
  <c r="G22" i="253"/>
  <c r="G45" i="253"/>
  <c r="G39" i="253"/>
  <c r="AV13" i="253"/>
  <c r="G59" i="253"/>
  <c r="G23" i="253"/>
  <c r="G16" i="253"/>
  <c r="AV16" i="253" s="1"/>
  <c r="G33" i="253"/>
  <c r="E33" i="246"/>
  <c r="E23" i="246"/>
  <c r="E22" i="246"/>
  <c r="E45" i="246"/>
  <c r="E16" i="246"/>
  <c r="AP16" i="246" s="1"/>
  <c r="E39" i="246"/>
  <c r="F142" i="251"/>
  <c r="AP13" i="246"/>
  <c r="M27" i="245"/>
  <c r="M25" i="245"/>
  <c r="M29" i="245"/>
  <c r="K38" i="262"/>
  <c r="J59" i="253"/>
  <c r="J39" i="253"/>
  <c r="J45" i="253"/>
  <c r="AY13" i="253"/>
  <c r="J16" i="253"/>
  <c r="AY16" i="253" s="1"/>
  <c r="J22" i="253"/>
  <c r="J23" i="253"/>
  <c r="J33" i="253"/>
  <c r="AW24" i="246"/>
  <c r="L30" i="246"/>
  <c r="L31" i="246" s="1"/>
  <c r="AD31" i="246" s="1"/>
  <c r="X17" i="242"/>
  <c r="P35" i="245"/>
  <c r="BA35" i="245" s="1"/>
  <c r="P34" i="245"/>
  <c r="BA33" i="245"/>
  <c r="Q39" i="243"/>
  <c r="Q33" i="243"/>
  <c r="Q139" i="251"/>
  <c r="Q45" i="243"/>
  <c r="Q23" i="243"/>
  <c r="Q16" i="243"/>
  <c r="BB16" i="243" s="1"/>
  <c r="BB13" i="243"/>
  <c r="Q22" i="243"/>
  <c r="I38" i="262"/>
  <c r="I39" i="262" s="1"/>
  <c r="X17" i="237"/>
  <c r="N39" i="237"/>
  <c r="O110" i="251"/>
  <c r="O109" i="251" s="1"/>
  <c r="N23" i="237"/>
  <c r="AY13" i="237"/>
  <c r="N45" i="237"/>
  <c r="N16" i="237"/>
  <c r="AY16" i="237" s="1"/>
  <c r="O137" i="251"/>
  <c r="N22" i="237"/>
  <c r="N33" i="237"/>
  <c r="V15" i="237"/>
  <c r="D45" i="245"/>
  <c r="D23" i="245"/>
  <c r="D16" i="245"/>
  <c r="AO16" i="245" s="1"/>
  <c r="D22" i="245"/>
  <c r="D141" i="251"/>
  <c r="D33" i="245"/>
  <c r="AO13" i="245"/>
  <c r="D39" i="245"/>
  <c r="BA34" i="253"/>
  <c r="L36" i="253"/>
  <c r="K39" i="246"/>
  <c r="K33" i="246"/>
  <c r="AV13" i="246"/>
  <c r="K45" i="246"/>
  <c r="L142" i="251"/>
  <c r="K22" i="246"/>
  <c r="K16" i="246"/>
  <c r="AV16" i="246" s="1"/>
  <c r="K23" i="246"/>
  <c r="K16" i="253"/>
  <c r="AZ16" i="253" s="1"/>
  <c r="K33" i="253"/>
  <c r="K59" i="253"/>
  <c r="AZ13" i="253"/>
  <c r="K39" i="253"/>
  <c r="K22" i="253"/>
  <c r="K45" i="253"/>
  <c r="K23" i="253"/>
  <c r="J23" i="243"/>
  <c r="J22" i="243"/>
  <c r="J45" i="243"/>
  <c r="AU13" i="243"/>
  <c r="J39" i="243"/>
  <c r="J139" i="251"/>
  <c r="J33" i="243"/>
  <c r="J16" i="243"/>
  <c r="AU16" i="243" s="1"/>
  <c r="W17" i="244"/>
  <c r="V15" i="243"/>
  <c r="D18" i="243"/>
  <c r="N42" i="245"/>
  <c r="AY40" i="245"/>
  <c r="AY42" i="245" s="1"/>
  <c r="AI21" i="242"/>
  <c r="BB21" i="242"/>
  <c r="Q12" i="242"/>
  <c r="AG21" i="237"/>
  <c r="AZ21" i="237"/>
  <c r="O12" i="237"/>
  <c r="BA18" i="244"/>
  <c r="AH18" i="244"/>
  <c r="P19" i="244"/>
  <c r="AH19" i="244" s="1"/>
  <c r="AF21" i="245"/>
  <c r="N12" i="245"/>
  <c r="G23" i="245"/>
  <c r="G39" i="245"/>
  <c r="G33" i="245"/>
  <c r="AR13" i="245"/>
  <c r="G22" i="245"/>
  <c r="G141" i="251"/>
  <c r="G16" i="245"/>
  <c r="AR16" i="245" s="1"/>
  <c r="G45" i="245"/>
  <c r="K23" i="244"/>
  <c r="K45" i="244"/>
  <c r="K39" i="244"/>
  <c r="K140" i="251"/>
  <c r="K33" i="244"/>
  <c r="K16" i="244"/>
  <c r="AV16" i="244" s="1"/>
  <c r="K22" i="244"/>
  <c r="AV13" i="244"/>
  <c r="W15" i="243"/>
  <c r="P42" i="243"/>
  <c r="BA40" i="243"/>
  <c r="BA42" i="243" s="1"/>
  <c r="F23" i="251"/>
  <c r="D45" i="242"/>
  <c r="D52" i="242" s="1"/>
  <c r="D53" i="242" s="1"/>
  <c r="D33" i="242"/>
  <c r="AO13" i="242"/>
  <c r="E111" i="251"/>
  <c r="E138" i="251"/>
  <c r="D39" i="242"/>
  <c r="D16" i="242"/>
  <c r="AO16" i="242" s="1"/>
  <c r="D23" i="242"/>
  <c r="D22" i="242"/>
  <c r="AH21" i="244"/>
  <c r="BA21" i="244"/>
  <c r="P12" i="244"/>
  <c r="J45" i="246"/>
  <c r="J22" i="246"/>
  <c r="K142" i="251"/>
  <c r="J23" i="246"/>
  <c r="J33" i="246"/>
  <c r="AU13" i="246"/>
  <c r="J39" i="246"/>
  <c r="J16" i="246"/>
  <c r="AU16" i="246" s="1"/>
  <c r="Z15" i="246"/>
  <c r="AA15" i="246" s="1"/>
  <c r="AB15" i="246" s="1"/>
  <c r="AC15" i="246" s="1"/>
  <c r="AD15" i="246" s="1"/>
  <c r="AE15" i="246" s="1"/>
  <c r="AF15" i="246" s="1"/>
  <c r="AG15" i="246" s="1"/>
  <c r="AH15" i="246" s="1"/>
  <c r="AI15" i="246" s="1"/>
  <c r="AJ15" i="246" s="1"/>
  <c r="AK15" i="246" s="1"/>
  <c r="AL15" i="246" s="1"/>
  <c r="G23" i="251"/>
  <c r="X15" i="237"/>
  <c r="AF21" i="242"/>
  <c r="AY21" i="242"/>
  <c r="N12" i="242"/>
  <c r="K23" i="243"/>
  <c r="K22" i="243"/>
  <c r="K39" i="243"/>
  <c r="AV13" i="243"/>
  <c r="K139" i="251"/>
  <c r="K33" i="243"/>
  <c r="K16" i="243"/>
  <c r="AV16" i="243" s="1"/>
  <c r="K45" i="243"/>
  <c r="V15" i="245"/>
  <c r="AH18" i="243"/>
  <c r="BA18" i="243"/>
  <c r="P19" i="243"/>
  <c r="AH19" i="243" s="1"/>
  <c r="F22" i="243"/>
  <c r="AQ13" i="243"/>
  <c r="F139" i="251"/>
  <c r="F23" i="243"/>
  <c r="F16" i="243"/>
  <c r="AQ16" i="243" s="1"/>
  <c r="F33" i="243"/>
  <c r="F45" i="243"/>
  <c r="F39" i="243"/>
  <c r="E22" i="245"/>
  <c r="E39" i="245"/>
  <c r="AP13" i="245"/>
  <c r="E141" i="251"/>
  <c r="E45" i="245"/>
  <c r="E33" i="245"/>
  <c r="E16" i="245"/>
  <c r="AP16" i="245" s="1"/>
  <c r="E23" i="245"/>
  <c r="AY34" i="242"/>
  <c r="N36" i="242"/>
  <c r="Z15" i="242"/>
  <c r="AA15" i="242" s="1"/>
  <c r="AB15" i="242" s="1"/>
  <c r="AC15" i="242" s="1"/>
  <c r="AD15" i="242" s="1"/>
  <c r="AE15" i="242" s="1"/>
  <c r="AF15" i="242" s="1"/>
  <c r="AG15" i="242" s="1"/>
  <c r="AH15" i="242" s="1"/>
  <c r="AI15" i="242" s="1"/>
  <c r="AJ15" i="242" s="1"/>
  <c r="AK15" i="242" s="1"/>
  <c r="AL15" i="242" s="1"/>
  <c r="N111" i="251"/>
  <c r="N138" i="251"/>
  <c r="M22" i="242"/>
  <c r="M33" i="242"/>
  <c r="M23" i="242"/>
  <c r="M16" i="242"/>
  <c r="AX16" i="242" s="1"/>
  <c r="AX13" i="242"/>
  <c r="M39" i="242"/>
  <c r="M45" i="242"/>
  <c r="M52" i="242" s="1"/>
  <c r="M53" i="242" s="1"/>
  <c r="AF18" i="242"/>
  <c r="AY18" i="242"/>
  <c r="N19" i="242"/>
  <c r="AF19" i="242" s="1"/>
  <c r="G16" i="243"/>
  <c r="AR16" i="243" s="1"/>
  <c r="G22" i="243"/>
  <c r="G45" i="243"/>
  <c r="G23" i="243"/>
  <c r="G39" i="243"/>
  <c r="G33" i="243"/>
  <c r="G139" i="251"/>
  <c r="AR13" i="243"/>
  <c r="AU13" i="253"/>
  <c r="F23" i="253"/>
  <c r="F59" i="253"/>
  <c r="F16" i="253"/>
  <c r="AU16" i="253" s="1"/>
  <c r="F22" i="253"/>
  <c r="F39" i="253"/>
  <c r="F45" i="253"/>
  <c r="F33" i="253"/>
  <c r="Y15" i="237"/>
  <c r="AB15" i="253"/>
  <c r="AC15" i="253" s="1"/>
  <c r="AD15" i="253" s="1"/>
  <c r="AE15" i="253" s="1"/>
  <c r="AF15" i="253" s="1"/>
  <c r="AG15" i="253" s="1"/>
  <c r="AH15" i="253" s="1"/>
  <c r="AI15" i="253" s="1"/>
  <c r="AJ15" i="253" s="1"/>
  <c r="AK15" i="253" s="1"/>
  <c r="AL15" i="253" s="1"/>
  <c r="AM15" i="253" s="1"/>
  <c r="AN15" i="253" s="1"/>
  <c r="AO15" i="253" s="1"/>
  <c r="AP15" i="253" s="1"/>
  <c r="Z15" i="245"/>
  <c r="AA15" i="245" s="1"/>
  <c r="AB15" i="245" s="1"/>
  <c r="AC15" i="245" s="1"/>
  <c r="AD15" i="245" s="1"/>
  <c r="AE15" i="245" s="1"/>
  <c r="AF15" i="245" s="1"/>
  <c r="AG15" i="245" s="1"/>
  <c r="AH15" i="245" s="1"/>
  <c r="AI15" i="245" s="1"/>
  <c r="AJ15" i="245" s="1"/>
  <c r="AK15" i="245" s="1"/>
  <c r="AL15" i="245" s="1"/>
  <c r="AI21" i="244"/>
  <c r="BB21" i="244"/>
  <c r="Q12" i="244"/>
  <c r="AA15" i="253"/>
  <c r="H23" i="244"/>
  <c r="H39" i="244"/>
  <c r="H16" i="244"/>
  <c r="AS16" i="244" s="1"/>
  <c r="H140" i="251"/>
  <c r="H33" i="244"/>
  <c r="H45" i="244"/>
  <c r="AS13" i="244"/>
  <c r="H22" i="244"/>
  <c r="W15" i="246"/>
  <c r="V15" i="242"/>
  <c r="M28" i="245"/>
  <c r="AX28" i="245" s="1"/>
  <c r="M21" i="245"/>
  <c r="M24" i="245"/>
  <c r="AX22" i="245"/>
  <c r="M26" i="245"/>
  <c r="AX26" i="245" s="1"/>
  <c r="AX13" i="244"/>
  <c r="M140" i="251"/>
  <c r="M23" i="244"/>
  <c r="M45" i="244"/>
  <c r="M39" i="244"/>
  <c r="M22" i="244"/>
  <c r="M33" i="244"/>
  <c r="M16" i="244"/>
  <c r="AX16" i="244" s="1"/>
  <c r="BF21" i="253"/>
  <c r="AK21" i="253"/>
  <c r="Q70" i="253"/>
  <c r="Q12" i="253"/>
  <c r="BA24" i="244"/>
  <c r="P30" i="244"/>
  <c r="I23" i="251"/>
  <c r="BA21" i="242"/>
  <c r="AH21" i="242"/>
  <c r="P12" i="242"/>
  <c r="X15" i="242"/>
  <c r="L36" i="246"/>
  <c r="AW34" i="246"/>
  <c r="AI21" i="237"/>
  <c r="BB21" i="237"/>
  <c r="Q12" i="237"/>
  <c r="N42" i="242"/>
  <c r="AY40" i="242"/>
  <c r="AY42" i="242" s="1"/>
  <c r="L23" i="251"/>
  <c r="H39" i="237"/>
  <c r="I137" i="251"/>
  <c r="AS13" i="237"/>
  <c r="H23" i="237"/>
  <c r="H45" i="237"/>
  <c r="H16" i="237"/>
  <c r="AS16" i="237" s="1"/>
  <c r="H22" i="237"/>
  <c r="I110" i="251"/>
  <c r="I109" i="251" s="1"/>
  <c r="H33" i="237"/>
  <c r="F38" i="262"/>
  <c r="F39" i="262" s="1"/>
  <c r="X15" i="243"/>
  <c r="W17" i="245"/>
  <c r="BA24" i="243"/>
  <c r="P30" i="243"/>
  <c r="AW13" i="243"/>
  <c r="L23" i="243"/>
  <c r="L16" i="243"/>
  <c r="AW16" i="243" s="1"/>
  <c r="L33" i="243"/>
  <c r="L139" i="251"/>
  <c r="L22" i="243"/>
  <c r="L39" i="243"/>
  <c r="L45" i="243"/>
  <c r="BC21" i="242"/>
  <c r="AJ21" i="242"/>
  <c r="R12" i="242"/>
  <c r="L50" i="246"/>
  <c r="BA34" i="244"/>
  <c r="P36" i="244"/>
  <c r="R112" i="251"/>
  <c r="R115" i="251"/>
  <c r="R114" i="251"/>
  <c r="N33" i="253"/>
  <c r="N23" i="253"/>
  <c r="N45" i="253"/>
  <c r="N59" i="253"/>
  <c r="N16" i="253"/>
  <c r="BC16" i="253" s="1"/>
  <c r="N22" i="253"/>
  <c r="N39" i="253"/>
  <c r="BC13" i="253"/>
  <c r="I23" i="244"/>
  <c r="I45" i="244"/>
  <c r="I22" i="244"/>
  <c r="I140" i="251"/>
  <c r="I16" i="244"/>
  <c r="AT16" i="244" s="1"/>
  <c r="I39" i="244"/>
  <c r="AT13" i="244"/>
  <c r="I33" i="244"/>
  <c r="Y17" i="245"/>
  <c r="Q42" i="237"/>
  <c r="BB40" i="237"/>
  <c r="BB42" i="237" s="1"/>
  <c r="J142" i="251"/>
  <c r="I33" i="246"/>
  <c r="I39" i="246"/>
  <c r="I23" i="246"/>
  <c r="I45" i="246"/>
  <c r="I16" i="246"/>
  <c r="AT16" i="246" s="1"/>
  <c r="I22" i="246"/>
  <c r="AT13" i="246"/>
  <c r="R42" i="243"/>
  <c r="BC40" i="243"/>
  <c r="BC42" i="243" s="1"/>
  <c r="F16" i="244"/>
  <c r="AQ16" i="244" s="1"/>
  <c r="AQ13" i="244"/>
  <c r="F39" i="244"/>
  <c r="F140" i="251"/>
  <c r="F33" i="244"/>
  <c r="F22" i="244"/>
  <c r="F45" i="244"/>
  <c r="F23" i="244"/>
  <c r="I59" i="253"/>
  <c r="I33" i="253"/>
  <c r="I23" i="253"/>
  <c r="AX13" i="253"/>
  <c r="I39" i="253"/>
  <c r="I16" i="253"/>
  <c r="AX16" i="253" s="1"/>
  <c r="I22" i="253"/>
  <c r="I45" i="253"/>
  <c r="H38" i="262"/>
  <c r="H39" i="262" s="1"/>
  <c r="V17" i="242"/>
  <c r="M41" i="245"/>
  <c r="AX41" i="245" s="1"/>
  <c r="M40" i="245"/>
  <c r="AX39" i="245"/>
  <c r="M38" i="262"/>
  <c r="M39" i="262" s="1"/>
  <c r="I39" i="245"/>
  <c r="AT13" i="245"/>
  <c r="I141" i="251"/>
  <c r="I22" i="245"/>
  <c r="I45" i="245"/>
  <c r="I16" i="245"/>
  <c r="AT16" i="245" s="1"/>
  <c r="I33" i="245"/>
  <c r="I23" i="245"/>
  <c r="L30" i="253"/>
  <c r="BA24" i="253"/>
  <c r="BC34" i="242"/>
  <c r="R36" i="242"/>
  <c r="Q19" i="253"/>
  <c r="AK18" i="253"/>
  <c r="BF18" i="253"/>
  <c r="Q62" i="253"/>
  <c r="P21" i="245"/>
  <c r="P28" i="245"/>
  <c r="BA28" i="245" s="1"/>
  <c r="P24" i="245"/>
  <c r="P26" i="245"/>
  <c r="BA26" i="245" s="1"/>
  <c r="BA22" i="245"/>
  <c r="AZ18" i="237"/>
  <c r="AG18" i="237"/>
  <c r="O19" i="237"/>
  <c r="AG19" i="237" s="1"/>
  <c r="D22" i="246"/>
  <c r="D45" i="246"/>
  <c r="D39" i="246"/>
  <c r="AO13" i="246"/>
  <c r="E142" i="251"/>
  <c r="D33" i="246"/>
  <c r="D16" i="246"/>
  <c r="AO16" i="246" s="1"/>
  <c r="D23" i="246"/>
  <c r="AQ13" i="245"/>
  <c r="F45" i="245"/>
  <c r="F33" i="245"/>
  <c r="F16" i="245"/>
  <c r="AQ16" i="245" s="1"/>
  <c r="F22" i="245"/>
  <c r="F39" i="245"/>
  <c r="F141" i="251"/>
  <c r="F23" i="245"/>
  <c r="H22" i="243"/>
  <c r="H45" i="243"/>
  <c r="H16" i="243"/>
  <c r="AS16" i="243" s="1"/>
  <c r="H33" i="243"/>
  <c r="H39" i="243"/>
  <c r="H139" i="251"/>
  <c r="H23" i="243"/>
  <c r="AS13" i="243"/>
  <c r="N45" i="244"/>
  <c r="N39" i="244"/>
  <c r="N23" i="244"/>
  <c r="AY13" i="244"/>
  <c r="N140" i="251"/>
  <c r="N33" i="244"/>
  <c r="N22" i="244"/>
  <c r="N16" i="244"/>
  <c r="AY16" i="244" s="1"/>
  <c r="D23" i="251"/>
  <c r="AJ18" i="243"/>
  <c r="BC18" i="243"/>
  <c r="R19" i="243"/>
  <c r="AJ19" i="243" s="1"/>
  <c r="X17" i="243"/>
  <c r="Q36" i="242"/>
  <c r="BB34" i="242"/>
  <c r="W15" i="245"/>
  <c r="BC24" i="243"/>
  <c r="R30" i="243"/>
  <c r="D23" i="244"/>
  <c r="D33" i="244"/>
  <c r="D22" i="244"/>
  <c r="D39" i="244"/>
  <c r="AO13" i="244"/>
  <c r="D16" i="244"/>
  <c r="AO16" i="244" s="1"/>
  <c r="D140" i="251"/>
  <c r="D45" i="244"/>
  <c r="BA21" i="243"/>
  <c r="AH21" i="243"/>
  <c r="P12" i="243"/>
  <c r="N45" i="243"/>
  <c r="N33" i="243"/>
  <c r="N23" i="243"/>
  <c r="N139" i="251"/>
  <c r="N39" i="243"/>
  <c r="N16" i="243"/>
  <c r="AY16" i="243" s="1"/>
  <c r="AY13" i="243"/>
  <c r="N22" i="243"/>
  <c r="R56" i="242"/>
  <c r="BC24" i="242"/>
  <c r="R30" i="242"/>
  <c r="L19" i="246"/>
  <c r="AD19" i="246" s="1"/>
  <c r="AW18" i="246"/>
  <c r="AD18" i="246"/>
  <c r="Q30" i="242"/>
  <c r="BB24" i="242"/>
  <c r="Q42" i="244"/>
  <c r="BB40" i="244"/>
  <c r="BB42" i="244" s="1"/>
  <c r="N23" i="251"/>
  <c r="Y15" i="245"/>
  <c r="BB34" i="244"/>
  <c r="Q36" i="244"/>
  <c r="Z15" i="253"/>
  <c r="O59" i="253"/>
  <c r="O16" i="253"/>
  <c r="BD16" i="253" s="1"/>
  <c r="O45" i="253"/>
  <c r="O33" i="253"/>
  <c r="O23" i="253"/>
  <c r="BD13" i="253"/>
  <c r="O22" i="253"/>
  <c r="O39" i="253"/>
  <c r="X15" i="244"/>
  <c r="Q30" i="244"/>
  <c r="BB24" i="244"/>
  <c r="Q50" i="244"/>
  <c r="AA17" i="253"/>
  <c r="M18" i="245"/>
  <c r="W17" i="246"/>
  <c r="Q33" i="245"/>
  <c r="Q16" i="245"/>
  <c r="BB16" i="245" s="1"/>
  <c r="BB13" i="245"/>
  <c r="Q23" i="245"/>
  <c r="Q22" i="245"/>
  <c r="Q141" i="251"/>
  <c r="Q39" i="245"/>
  <c r="Q45" i="245"/>
  <c r="J45" i="237"/>
  <c r="K137" i="251"/>
  <c r="J23" i="237"/>
  <c r="J39" i="237"/>
  <c r="J33" i="237"/>
  <c r="J16" i="237"/>
  <c r="AU16" i="237" s="1"/>
  <c r="AU13" i="237"/>
  <c r="J22" i="237"/>
  <c r="K110" i="251"/>
  <c r="J18" i="253"/>
  <c r="J19" i="253" s="1"/>
  <c r="O142" i="251"/>
  <c r="N39" i="246"/>
  <c r="N45" i="246"/>
  <c r="N33" i="246"/>
  <c r="N22" i="246"/>
  <c r="N23" i="246"/>
  <c r="N16" i="246"/>
  <c r="AY16" i="246" s="1"/>
  <c r="AY13" i="246"/>
  <c r="BA24" i="242"/>
  <c r="P30" i="242"/>
  <c r="AV13" i="242"/>
  <c r="L138" i="251"/>
  <c r="K33" i="242"/>
  <c r="K23" i="242"/>
  <c r="K22" i="242"/>
  <c r="L111" i="251"/>
  <c r="K39" i="242"/>
  <c r="K16" i="242"/>
  <c r="AV16" i="242" s="1"/>
  <c r="K45" i="242"/>
  <c r="K52" i="242" s="1"/>
  <c r="K53" i="242" s="1"/>
  <c r="S22" i="242"/>
  <c r="T111" i="251"/>
  <c r="S16" i="242"/>
  <c r="BD16" i="242" s="1"/>
  <c r="S39" i="242"/>
  <c r="BD13" i="242"/>
  <c r="T138" i="251"/>
  <c r="S33" i="242"/>
  <c r="S23" i="242"/>
  <c r="S45" i="242"/>
  <c r="S52" i="242" s="1"/>
  <c r="S53" i="242" s="1"/>
  <c r="P40" i="245"/>
  <c r="P41" i="245"/>
  <c r="BA41" i="245" s="1"/>
  <c r="BA39" i="245"/>
  <c r="P56" i="242"/>
  <c r="G38" i="262"/>
  <c r="G39" i="262" s="1"/>
  <c r="P36" i="242"/>
  <c r="BA34" i="242"/>
  <c r="AI18" i="244"/>
  <c r="BB18" i="244"/>
  <c r="Q19" i="244"/>
  <c r="AI19" i="244" s="1"/>
  <c r="Q36" i="253"/>
  <c r="BF34" i="253"/>
  <c r="Z17" i="243"/>
  <c r="AA17" i="243" s="1"/>
  <c r="AB17" i="243" s="1"/>
  <c r="AC17" i="243" s="1"/>
  <c r="AD17" i="243" s="1"/>
  <c r="AE17" i="243" s="1"/>
  <c r="AF17" i="243" s="1"/>
  <c r="AG17" i="243" s="1"/>
  <c r="AH17" i="243" s="1"/>
  <c r="AI17" i="243" s="1"/>
  <c r="AJ17" i="243" s="1"/>
  <c r="AK17" i="243" s="1"/>
  <c r="AL17" i="243" s="1"/>
  <c r="N38" i="262"/>
  <c r="N39" i="262" s="1"/>
  <c r="BA34" i="243"/>
  <c r="P36" i="243"/>
  <c r="R19" i="242"/>
  <c r="AJ19" i="242" s="1"/>
  <c r="BC18" i="242"/>
  <c r="AJ18" i="242"/>
  <c r="I45" i="237"/>
  <c r="I22" i="237"/>
  <c r="AT13" i="237"/>
  <c r="I23" i="237"/>
  <c r="J137" i="251"/>
  <c r="I16" i="237"/>
  <c r="AT16" i="237" s="1"/>
  <c r="I39" i="237"/>
  <c r="I33" i="237"/>
  <c r="J110" i="251"/>
  <c r="O23" i="243"/>
  <c r="O16" i="243"/>
  <c r="AZ16" i="243" s="1"/>
  <c r="O139" i="251"/>
  <c r="O22" i="243"/>
  <c r="O39" i="243"/>
  <c r="AZ13" i="243"/>
  <c r="O33" i="243"/>
  <c r="O45" i="243"/>
  <c r="G140" i="251"/>
  <c r="G22" i="244"/>
  <c r="G45" i="244"/>
  <c r="G16" i="244"/>
  <c r="AR16" i="244" s="1"/>
  <c r="G39" i="244"/>
  <c r="G33" i="244"/>
  <c r="AR13" i="244"/>
  <c r="G23" i="244"/>
  <c r="M45" i="243"/>
  <c r="M22" i="243"/>
  <c r="M16" i="243"/>
  <c r="AX16" i="243" s="1"/>
  <c r="M33" i="243"/>
  <c r="M23" i="243"/>
  <c r="M139" i="251"/>
  <c r="AX13" i="243"/>
  <c r="M39" i="243"/>
  <c r="BC21" i="243"/>
  <c r="AJ21" i="243"/>
  <c r="R12" i="243"/>
  <c r="BA18" i="253"/>
  <c r="AF18" i="253"/>
  <c r="L62" i="253"/>
  <c r="L19" i="253"/>
  <c r="D45" i="253"/>
  <c r="D16" i="253"/>
  <c r="AS16" i="253" s="1"/>
  <c r="AS13" i="253"/>
  <c r="D59" i="253"/>
  <c r="D23" i="253"/>
  <c r="D39" i="253"/>
  <c r="D33" i="253"/>
  <c r="D22" i="253"/>
  <c r="BA40" i="253"/>
  <c r="BA42" i="253" s="1"/>
  <c r="L42" i="253"/>
  <c r="BC40" i="242"/>
  <c r="BC42" i="242" s="1"/>
  <c r="R42" i="242"/>
  <c r="M23" i="246"/>
  <c r="AX13" i="246"/>
  <c r="M45" i="246"/>
  <c r="M16" i="246"/>
  <c r="AX16" i="246" s="1"/>
  <c r="M22" i="246"/>
  <c r="M33" i="246"/>
  <c r="M39" i="246"/>
  <c r="N142" i="251"/>
  <c r="I45" i="243"/>
  <c r="I22" i="243"/>
  <c r="I16" i="243"/>
  <c r="AT16" i="243" s="1"/>
  <c r="I139" i="251"/>
  <c r="I39" i="243"/>
  <c r="I33" i="243"/>
  <c r="AT13" i="243"/>
  <c r="I23" i="243"/>
  <c r="G16" i="246"/>
  <c r="AR16" i="246" s="1"/>
  <c r="H142" i="251"/>
  <c r="G33" i="246"/>
  <c r="AR13" i="246"/>
  <c r="G39" i="246"/>
  <c r="G22" i="246"/>
  <c r="G23" i="246"/>
  <c r="G45" i="246"/>
  <c r="E39" i="242"/>
  <c r="E45" i="242"/>
  <c r="E52" i="242" s="1"/>
  <c r="E53" i="242" s="1"/>
  <c r="E23" i="242"/>
  <c r="E22" i="242"/>
  <c r="AP13" i="242"/>
  <c r="F111" i="251"/>
  <c r="F138" i="251"/>
  <c r="E16" i="242"/>
  <c r="AP16" i="242" s="1"/>
  <c r="E33" i="242"/>
  <c r="H111" i="251"/>
  <c r="G22" i="242"/>
  <c r="G16" i="242"/>
  <c r="AR16" i="242" s="1"/>
  <c r="AR13" i="242"/>
  <c r="G33" i="242"/>
  <c r="G39" i="242"/>
  <c r="H138" i="251"/>
  <c r="G45" i="242"/>
  <c r="G52" i="242" s="1"/>
  <c r="G53" i="242" s="1"/>
  <c r="G23" i="242"/>
  <c r="L39" i="242"/>
  <c r="L45" i="242"/>
  <c r="L52" i="242" s="1"/>
  <c r="L53" i="242" s="1"/>
  <c r="L33" i="242"/>
  <c r="L22" i="242"/>
  <c r="L23" i="242"/>
  <c r="L16" i="242"/>
  <c r="AW16" i="242" s="1"/>
  <c r="M111" i="251"/>
  <c r="AW13" i="242"/>
  <c r="M138" i="251"/>
  <c r="L16" i="237"/>
  <c r="AW16" i="237" s="1"/>
  <c r="L33" i="237"/>
  <c r="L39" i="237"/>
  <c r="L22" i="237"/>
  <c r="L23" i="237"/>
  <c r="M137" i="251"/>
  <c r="AW13" i="237"/>
  <c r="M110" i="251"/>
  <c r="L45" i="237"/>
  <c r="Q42" i="242"/>
  <c r="BB40" i="242"/>
  <c r="BB42" i="242" s="1"/>
  <c r="K23" i="251"/>
  <c r="Q30" i="253"/>
  <c r="BF24" i="253"/>
  <c r="R22" i="253"/>
  <c r="R39" i="253"/>
  <c r="R33" i="253"/>
  <c r="R23" i="253"/>
  <c r="R45" i="253"/>
  <c r="BG13" i="253"/>
  <c r="R16" i="253"/>
  <c r="BG16" i="253" s="1"/>
  <c r="R59" i="253"/>
  <c r="BC34" i="243"/>
  <c r="R36" i="243"/>
  <c r="F23" i="246"/>
  <c r="G142" i="251"/>
  <c r="F45" i="246"/>
  <c r="F39" i="246"/>
  <c r="F16" i="246"/>
  <c r="AQ16" i="246" s="1"/>
  <c r="F22" i="246"/>
  <c r="AQ13" i="246"/>
  <c r="F33" i="246"/>
  <c r="BA18" i="242"/>
  <c r="AH18" i="242"/>
  <c r="P19" i="242"/>
  <c r="AH19" i="242" s="1"/>
  <c r="E23" i="253"/>
  <c r="E45" i="253"/>
  <c r="E16" i="253"/>
  <c r="AT16" i="253" s="1"/>
  <c r="E22" i="253"/>
  <c r="E33" i="253"/>
  <c r="AT13" i="253"/>
  <c r="E39" i="253"/>
  <c r="E59" i="253"/>
  <c r="V17" i="246"/>
  <c r="X15" i="245"/>
  <c r="N36" i="245"/>
  <c r="AY34" i="245"/>
  <c r="R39" i="237"/>
  <c r="R16" i="237"/>
  <c r="BC16" i="237" s="1"/>
  <c r="S137" i="251"/>
  <c r="S110" i="251"/>
  <c r="S109" i="251" s="1"/>
  <c r="R22" i="237"/>
  <c r="R33" i="237"/>
  <c r="R23" i="237"/>
  <c r="R45" i="237"/>
  <c r="BC13" i="237"/>
  <c r="P42" i="244"/>
  <c r="BA40" i="244"/>
  <c r="BA42" i="244" s="1"/>
  <c r="J16" i="244"/>
  <c r="AU16" i="244" s="1"/>
  <c r="J39" i="244"/>
  <c r="J22" i="244"/>
  <c r="J33" i="244"/>
  <c r="J140" i="251"/>
  <c r="J23" i="244"/>
  <c r="AU13" i="244"/>
  <c r="J45" i="244"/>
  <c r="Z15" i="237"/>
  <c r="AA15" i="237" s="1"/>
  <c r="AB15" i="237" s="1"/>
  <c r="AC15" i="237" s="1"/>
  <c r="AD15" i="237" s="1"/>
  <c r="AE15" i="237" s="1"/>
  <c r="AF15" i="237" s="1"/>
  <c r="AG15" i="237" s="1"/>
  <c r="AH15" i="237" s="1"/>
  <c r="AI15" i="237" s="1"/>
  <c r="AJ15" i="237" s="1"/>
  <c r="AK15" i="237" s="1"/>
  <c r="AL15" i="237" s="1"/>
  <c r="E23" i="244"/>
  <c r="E33" i="244"/>
  <c r="E45" i="244"/>
  <c r="AP13" i="244"/>
  <c r="E39" i="244"/>
  <c r="E140" i="251"/>
  <c r="E16" i="244"/>
  <c r="AP16" i="244" s="1"/>
  <c r="E22" i="244"/>
  <c r="L23" i="245"/>
  <c r="L33" i="245"/>
  <c r="L141" i="251"/>
  <c r="L22" i="245"/>
  <c r="AW13" i="245"/>
  <c r="L39" i="245"/>
  <c r="L16" i="245"/>
  <c r="AW16" i="245" s="1"/>
  <c r="L45" i="245"/>
  <c r="AZ34" i="237"/>
  <c r="O36" i="237"/>
  <c r="V15" i="244"/>
  <c r="O16" i="242"/>
  <c r="AZ16" i="242" s="1"/>
  <c r="O33" i="242"/>
  <c r="O23" i="242"/>
  <c r="P111" i="251"/>
  <c r="P109" i="251" s="1"/>
  <c r="O22" i="242"/>
  <c r="O39" i="242"/>
  <c r="AZ13" i="242"/>
  <c r="O45" i="242"/>
  <c r="O52" i="242" s="1"/>
  <c r="O53" i="242" s="1"/>
  <c r="P138" i="251"/>
  <c r="P143" i="251" s="1"/>
  <c r="L110" i="251"/>
  <c r="K45" i="237"/>
  <c r="K33" i="237"/>
  <c r="K22" i="237"/>
  <c r="K39" i="237"/>
  <c r="AV13" i="237"/>
  <c r="K23" i="237"/>
  <c r="K16" i="237"/>
  <c r="AV16" i="237" s="1"/>
  <c r="L137" i="251"/>
  <c r="S33" i="253"/>
  <c r="S45" i="253"/>
  <c r="BH13" i="253"/>
  <c r="S22" i="253"/>
  <c r="S23" i="253"/>
  <c r="S16" i="253"/>
  <c r="BH16" i="253" s="1"/>
  <c r="S39" i="253"/>
  <c r="S59" i="253"/>
  <c r="AZ24" i="237"/>
  <c r="O30" i="237"/>
  <c r="X15" i="253"/>
  <c r="P38" i="262"/>
  <c r="P39" i="262" s="1"/>
  <c r="N50" i="245"/>
  <c r="Y15" i="246"/>
  <c r="Y15" i="243"/>
  <c r="T139" i="251"/>
  <c r="T45" i="243"/>
  <c r="T39" i="243"/>
  <c r="T16" i="243"/>
  <c r="BE16" i="243" s="1"/>
  <c r="T33" i="243"/>
  <c r="T22" i="243"/>
  <c r="T23" i="243"/>
  <c r="BE13" i="243"/>
  <c r="H22" i="253"/>
  <c r="H39" i="253"/>
  <c r="AW13" i="253"/>
  <c r="H59" i="253"/>
  <c r="H16" i="253"/>
  <c r="AW16" i="253" s="1"/>
  <c r="H45" i="253"/>
  <c r="H33" i="253"/>
  <c r="H23" i="253"/>
  <c r="O16" i="244"/>
  <c r="AZ16" i="244" s="1"/>
  <c r="O39" i="244"/>
  <c r="O33" i="244"/>
  <c r="O23" i="244"/>
  <c r="O45" i="244"/>
  <c r="AZ13" i="244"/>
  <c r="O140" i="251"/>
  <c r="O22" i="244"/>
  <c r="Q36" i="237"/>
  <c r="BB34" i="237"/>
  <c r="Z15" i="244"/>
  <c r="AA15" i="244" s="1"/>
  <c r="AB15" i="244" s="1"/>
  <c r="AC15" i="244" s="1"/>
  <c r="AD15" i="244" s="1"/>
  <c r="AE15" i="244" s="1"/>
  <c r="AF15" i="244" s="1"/>
  <c r="AG15" i="244" s="1"/>
  <c r="AH15" i="244" s="1"/>
  <c r="AI15" i="244" s="1"/>
  <c r="AJ15" i="244" s="1"/>
  <c r="AK15" i="244" s="1"/>
  <c r="AL15" i="244" s="1"/>
  <c r="H45" i="246"/>
  <c r="H22" i="246"/>
  <c r="AS13" i="246"/>
  <c r="I142" i="251"/>
  <c r="H23" i="246"/>
  <c r="H39" i="246"/>
  <c r="H16" i="246"/>
  <c r="AS16" i="246" s="1"/>
  <c r="H33" i="246"/>
  <c r="AD21" i="246"/>
  <c r="L12" i="246"/>
  <c r="O23" i="251"/>
  <c r="R140" i="251"/>
  <c r="BC13" i="244"/>
  <c r="R23" i="244"/>
  <c r="R33" i="244"/>
  <c r="R45" i="244"/>
  <c r="R39" i="244"/>
  <c r="R16" i="244"/>
  <c r="BC16" i="244" s="1"/>
  <c r="R22" i="244"/>
  <c r="P25" i="245"/>
  <c r="P27" i="245"/>
  <c r="P29" i="245"/>
  <c r="X15" i="246"/>
  <c r="S39" i="243"/>
  <c r="S139" i="251"/>
  <c r="S16" i="243"/>
  <c r="BD16" i="243" s="1"/>
  <c r="S22" i="243"/>
  <c r="S33" i="243"/>
  <c r="S23" i="243"/>
  <c r="BD13" i="243"/>
  <c r="S45" i="243"/>
  <c r="Y15" i="253"/>
  <c r="Q30" i="237"/>
  <c r="BB24" i="237"/>
  <c r="O42" i="237"/>
  <c r="AZ40" i="237"/>
  <c r="AZ42" i="237" s="1"/>
  <c r="N110" i="251"/>
  <c r="AX13" i="237"/>
  <c r="M33" i="237"/>
  <c r="N137" i="251"/>
  <c r="M22" i="237"/>
  <c r="M16" i="237"/>
  <c r="AX16" i="237" s="1"/>
  <c r="M45" i="237"/>
  <c r="M23" i="237"/>
  <c r="M39" i="237"/>
  <c r="V15" i="246"/>
  <c r="K45" i="245"/>
  <c r="K39" i="245"/>
  <c r="K16" i="245"/>
  <c r="AV16" i="245" s="1"/>
  <c r="K23" i="245"/>
  <c r="K33" i="245"/>
  <c r="K22" i="245"/>
  <c r="K141" i="251"/>
  <c r="AV13" i="245"/>
  <c r="X17" i="245"/>
  <c r="AW13" i="244"/>
  <c r="L33" i="244"/>
  <c r="L140" i="251"/>
  <c r="L39" i="244"/>
  <c r="L23" i="244"/>
  <c r="L45" i="244"/>
  <c r="L16" i="244"/>
  <c r="AW16" i="244" s="1"/>
  <c r="L22" i="244"/>
  <c r="Z17" i="237"/>
  <c r="AA17" i="237" s="1"/>
  <c r="AB17" i="237" s="1"/>
  <c r="AC17" i="237" s="1"/>
  <c r="AD17" i="237" s="1"/>
  <c r="AE17" i="237" s="1"/>
  <c r="AF17" i="237" s="1"/>
  <c r="AG17" i="237" s="1"/>
  <c r="AH17" i="237" s="1"/>
  <c r="AI17" i="237" s="1"/>
  <c r="AJ17" i="237" s="1"/>
  <c r="AK17" i="237" s="1"/>
  <c r="AL17" i="237" s="1"/>
  <c r="BB18" i="242"/>
  <c r="Q19" i="242"/>
  <c r="AI19" i="242" s="1"/>
  <c r="AI18" i="242"/>
  <c r="Y15" i="244"/>
  <c r="L42" i="246"/>
  <c r="AW40" i="246"/>
  <c r="AW42" i="246" s="1"/>
  <c r="O22" i="245"/>
  <c r="O39" i="245"/>
  <c r="O45" i="245"/>
  <c r="O33" i="245"/>
  <c r="O23" i="245"/>
  <c r="AZ13" i="245"/>
  <c r="O141" i="251"/>
  <c r="O16" i="245"/>
  <c r="AZ16" i="245" s="1"/>
  <c r="S16" i="237"/>
  <c r="BD16" i="237" s="1"/>
  <c r="BD13" i="237"/>
  <c r="S33" i="237"/>
  <c r="S22" i="237"/>
  <c r="T137" i="251"/>
  <c r="S39" i="237"/>
  <c r="S45" i="237"/>
  <c r="T110" i="251"/>
  <c r="S23" i="237"/>
  <c r="AJ8" i="223"/>
  <c r="AJ9" i="223" s="1"/>
  <c r="AK4" i="223"/>
  <c r="AJ5" i="223"/>
  <c r="S19" i="245"/>
  <c r="AK19" i="245" s="1"/>
  <c r="BD18" i="245"/>
  <c r="AF26" i="198"/>
  <c r="AG25" i="223"/>
  <c r="F118" i="229"/>
  <c r="V116" i="229"/>
  <c r="V117" i="229" s="1"/>
  <c r="F140" i="229"/>
  <c r="V138" i="229"/>
  <c r="V139" i="229" s="1"/>
  <c r="M53" i="228"/>
  <c r="J37" i="224" s="1"/>
  <c r="F48" i="228"/>
  <c r="F50" i="228" s="1"/>
  <c r="J53" i="228"/>
  <c r="L53" i="228"/>
  <c r="V160" i="229"/>
  <c r="V161" i="229" s="1"/>
  <c r="F162" i="229"/>
  <c r="F52" i="229"/>
  <c r="V50" i="229"/>
  <c r="V51" i="229" s="1"/>
  <c r="B34" i="204"/>
  <c r="G64" i="260"/>
  <c r="I64" i="260" s="1"/>
  <c r="E64" i="228"/>
  <c r="G64" i="228" s="1"/>
  <c r="F10" i="229" s="1"/>
  <c r="H10" i="229" s="1"/>
  <c r="BE18" i="242"/>
  <c r="F184" i="229"/>
  <c r="V182" i="229"/>
  <c r="V183" i="229" s="1"/>
  <c r="F85" i="229"/>
  <c r="Z83" i="229"/>
  <c r="Z84" i="229" s="1"/>
  <c r="F151" i="229"/>
  <c r="V149" i="229"/>
  <c r="V150" i="229" s="1"/>
  <c r="H4" i="229"/>
  <c r="AL18" i="242"/>
  <c r="AG24" i="223"/>
  <c r="AE13" i="204"/>
  <c r="V72" i="229"/>
  <c r="V73" i="229" s="1"/>
  <c r="F74" i="229"/>
  <c r="F41" i="229"/>
  <c r="Z39" i="229"/>
  <c r="Z40" i="229" s="1"/>
  <c r="V171" i="229"/>
  <c r="V172" i="229" s="1"/>
  <c r="F173" i="229"/>
  <c r="F129" i="229"/>
  <c r="V127" i="229"/>
  <c r="V128" i="229" s="1"/>
  <c r="F107" i="229"/>
  <c r="V105" i="229"/>
  <c r="V106" i="229" s="1"/>
  <c r="V61" i="229"/>
  <c r="F63" i="229"/>
  <c r="I54" i="260"/>
  <c r="V18" i="253"/>
  <c r="V19" i="253" s="1"/>
  <c r="V65" i="253" s="1"/>
  <c r="AK18" i="244"/>
  <c r="S19" i="244"/>
  <c r="AK19" i="244" s="1"/>
  <c r="BJ34" i="253"/>
  <c r="U36" i="253"/>
  <c r="S36" i="245"/>
  <c r="BD34" i="245"/>
  <c r="T30" i="242"/>
  <c r="T31" i="242" s="1"/>
  <c r="AL31" i="242" s="1"/>
  <c r="BE24" i="242"/>
  <c r="T56" i="242"/>
  <c r="T19" i="237"/>
  <c r="AL19" i="237" s="1"/>
  <c r="AL18" i="237"/>
  <c r="BE18" i="237"/>
  <c r="AK21" i="244"/>
  <c r="BD21" i="244"/>
  <c r="S12" i="244"/>
  <c r="T34" i="245"/>
  <c r="BE33" i="245"/>
  <c r="T35" i="245"/>
  <c r="BE35" i="245" s="1"/>
  <c r="Q22" i="246"/>
  <c r="Q23" i="246"/>
  <c r="Q39" i="246"/>
  <c r="Q16" i="246"/>
  <c r="BB16" i="246" s="1"/>
  <c r="Q33" i="246"/>
  <c r="Q45" i="246"/>
  <c r="BB13" i="246"/>
  <c r="R142" i="251"/>
  <c r="AO18" i="253"/>
  <c r="U62" i="253"/>
  <c r="BJ18" i="253"/>
  <c r="U19" i="253"/>
  <c r="BE40" i="242"/>
  <c r="BE42" i="242" s="1"/>
  <c r="T42" i="242"/>
  <c r="BE40" i="237"/>
  <c r="BE42" i="237" s="1"/>
  <c r="T42" i="237"/>
  <c r="BJ40" i="253"/>
  <c r="BJ42" i="253" s="1"/>
  <c r="U42" i="253"/>
  <c r="P18" i="246"/>
  <c r="BA16" i="246"/>
  <c r="T18" i="244"/>
  <c r="T41" i="244"/>
  <c r="BE41" i="244" s="1"/>
  <c r="BE39" i="244"/>
  <c r="T40" i="244"/>
  <c r="T28" i="245"/>
  <c r="BE28" i="245" s="1"/>
  <c r="BE22" i="245"/>
  <c r="T24" i="245"/>
  <c r="T21" i="245"/>
  <c r="T26" i="245"/>
  <c r="BE26" i="245" s="1"/>
  <c r="P29" i="246"/>
  <c r="P27" i="246"/>
  <c r="P25" i="246"/>
  <c r="O36" i="246"/>
  <c r="AZ34" i="246"/>
  <c r="P40" i="246"/>
  <c r="BA39" i="246"/>
  <c r="P41" i="246"/>
  <c r="BA41" i="246" s="1"/>
  <c r="P34" i="246"/>
  <c r="P35" i="246"/>
  <c r="BA35" i="246" s="1"/>
  <c r="BA33" i="246"/>
  <c r="T27" i="244"/>
  <c r="T25" i="244"/>
  <c r="T29" i="244"/>
  <c r="BD24" i="244"/>
  <c r="S30" i="244"/>
  <c r="S50" i="244"/>
  <c r="U30" i="253"/>
  <c r="U31" i="253" s="1"/>
  <c r="AO31" i="253" s="1"/>
  <c r="BJ24" i="253"/>
  <c r="O50" i="246"/>
  <c r="S36" i="244"/>
  <c r="BD34" i="244"/>
  <c r="T36" i="242"/>
  <c r="BE34" i="242"/>
  <c r="T36" i="237"/>
  <c r="BE34" i="237"/>
  <c r="AG21" i="246"/>
  <c r="O12" i="246"/>
  <c r="V35" i="253"/>
  <c r="BK35" i="253" s="1"/>
  <c r="V34" i="253"/>
  <c r="BK33" i="253"/>
  <c r="T18" i="245"/>
  <c r="P26" i="246"/>
  <c r="BA26" i="246" s="1"/>
  <c r="P21" i="246"/>
  <c r="P28" i="246"/>
  <c r="BA28" i="246" s="1"/>
  <c r="BA22" i="246"/>
  <c r="P24" i="246"/>
  <c r="S42" i="244"/>
  <c r="BD40" i="244"/>
  <c r="BD42" i="244" s="1"/>
  <c r="AZ24" i="246"/>
  <c r="O30" i="246"/>
  <c r="O31" i="246" s="1"/>
  <c r="AG31" i="246" s="1"/>
  <c r="T24" i="244"/>
  <c r="T21" i="244"/>
  <c r="T26" i="244"/>
  <c r="BE26" i="244" s="1"/>
  <c r="T28" i="244"/>
  <c r="BE28" i="244" s="1"/>
  <c r="BE22" i="244"/>
  <c r="BE21" i="242"/>
  <c r="AL21" i="242"/>
  <c r="T12" i="242"/>
  <c r="S30" i="245"/>
  <c r="S31" i="245" s="1"/>
  <c r="AK31" i="245" s="1"/>
  <c r="BD24" i="245"/>
  <c r="S50" i="245"/>
  <c r="U70" i="253"/>
  <c r="AO21" i="253"/>
  <c r="BJ21" i="253"/>
  <c r="U12" i="253"/>
  <c r="BE24" i="237"/>
  <c r="T30" i="237"/>
  <c r="T50" i="237"/>
  <c r="T41" i="245"/>
  <c r="BE41" i="245" s="1"/>
  <c r="T40" i="245"/>
  <c r="BE39" i="245"/>
  <c r="AZ18" i="246"/>
  <c r="AG18" i="246"/>
  <c r="O19" i="246"/>
  <c r="AG19" i="246" s="1"/>
  <c r="V40" i="253"/>
  <c r="V41" i="253"/>
  <c r="BK41" i="253" s="1"/>
  <c r="BK39" i="253"/>
  <c r="R23" i="246"/>
  <c r="R33" i="246"/>
  <c r="R39" i="246"/>
  <c r="R22" i="246"/>
  <c r="R16" i="246"/>
  <c r="BC16" i="246" s="1"/>
  <c r="S142" i="251"/>
  <c r="R45" i="246"/>
  <c r="BC13" i="246"/>
  <c r="S42" i="245"/>
  <c r="BD40" i="245"/>
  <c r="BD42" i="245" s="1"/>
  <c r="T34" i="244"/>
  <c r="T35" i="244"/>
  <c r="BE35" i="244" s="1"/>
  <c r="BE33" i="244"/>
  <c r="O42" i="246"/>
  <c r="AZ40" i="246"/>
  <c r="AZ42" i="246" s="1"/>
  <c r="AK21" i="245"/>
  <c r="S12" i="245"/>
  <c r="AL21" i="237"/>
  <c r="BE21" i="237"/>
  <c r="T12" i="237"/>
  <c r="S9" i="246"/>
  <c r="AK10" i="246"/>
  <c r="V25" i="253"/>
  <c r="V21" i="253"/>
  <c r="V27" i="253"/>
  <c r="V29" i="253"/>
  <c r="T25" i="245"/>
  <c r="T29" i="245"/>
  <c r="T27" i="245"/>
  <c r="AB20" i="231"/>
  <c r="AA97" i="231"/>
  <c r="T10" i="246" s="1"/>
  <c r="V24" i="253"/>
  <c r="V28" i="253"/>
  <c r="BK28" i="253" s="1"/>
  <c r="BK22" i="253"/>
  <c r="V26" i="253"/>
  <c r="BK26" i="253" s="1"/>
  <c r="P228" i="229"/>
  <c r="R51" i="229"/>
  <c r="R52" i="229" s="1"/>
  <c r="R198" i="229" s="1"/>
  <c r="R139" i="229"/>
  <c r="R140" i="229" s="1"/>
  <c r="R206" i="229" s="1"/>
  <c r="O222" i="229"/>
  <c r="I284" i="229" s="1"/>
  <c r="I328" i="229" s="1"/>
  <c r="I336" i="229" s="1"/>
  <c r="E22" i="224" s="1"/>
  <c r="P42" i="229"/>
  <c r="Q40" i="229" s="1"/>
  <c r="Q152" i="229"/>
  <c r="R150" i="229" s="1"/>
  <c r="P185" i="229"/>
  <c r="Q183" i="229" s="1"/>
  <c r="Q30" i="229"/>
  <c r="Q196" i="229" s="1"/>
  <c r="Q173" i="229"/>
  <c r="Q209" i="229" s="1"/>
  <c r="Q74" i="229"/>
  <c r="Q200" i="229" s="1"/>
  <c r="P119" i="229"/>
  <c r="P130" i="229"/>
  <c r="Q85" i="229"/>
  <c r="Q201" i="229" s="1"/>
  <c r="P62" i="229"/>
  <c r="O218" i="229"/>
  <c r="I280" i="229" s="1"/>
  <c r="I324" i="229" s="1"/>
  <c r="I320" i="229" s="1"/>
  <c r="AD221" i="229"/>
  <c r="AE95" i="229"/>
  <c r="AD98" i="229"/>
  <c r="AD100" i="229" s="1"/>
  <c r="AD240" i="229" s="1"/>
  <c r="Q97" i="229"/>
  <c r="P107" i="229"/>
  <c r="P203" i="229" s="1"/>
  <c r="P162" i="229"/>
  <c r="P208" i="229" s="1"/>
  <c r="N109" i="251" l="1"/>
  <c r="N114" i="251" s="1"/>
  <c r="G76" i="260"/>
  <c r="I76" i="260" s="1"/>
  <c r="H18" i="244"/>
  <c r="H19" i="244" s="1"/>
  <c r="Z19" i="244" s="1"/>
  <c r="K18" i="246"/>
  <c r="K19" i="246" s="1"/>
  <c r="AC19" i="246" s="1"/>
  <c r="D18" i="246"/>
  <c r="AO18" i="246" s="1"/>
  <c r="H41" i="234" s="1"/>
  <c r="G39" i="265" s="1"/>
  <c r="Q31" i="251"/>
  <c r="S24" i="252" s="1"/>
  <c r="S26" i="252" s="1"/>
  <c r="Q16" i="257" s="1"/>
  <c r="Q18" i="257" s="1"/>
  <c r="Q19" i="257" s="1"/>
  <c r="H18" i="242"/>
  <c r="AS18" i="242" s="1"/>
  <c r="L37" i="234" s="1"/>
  <c r="J109" i="251"/>
  <c r="J115" i="251" s="1"/>
  <c r="D18" i="242"/>
  <c r="D19" i="242" s="1"/>
  <c r="V19" i="242" s="1"/>
  <c r="AE12" i="204"/>
  <c r="AF11" i="204" s="1"/>
  <c r="AE8" i="204"/>
  <c r="AE14" i="204"/>
  <c r="F18" i="253"/>
  <c r="F19" i="253" s="1"/>
  <c r="Z19" i="253" s="1"/>
  <c r="L109" i="251"/>
  <c r="L115" i="251" s="1"/>
  <c r="Q18" i="243"/>
  <c r="Q19" i="243" s="1"/>
  <c r="AI19" i="243" s="1"/>
  <c r="G18" i="244"/>
  <c r="AR18" i="244" s="1"/>
  <c r="M31" i="251"/>
  <c r="O24" i="252" s="1"/>
  <c r="O26" i="252" s="1"/>
  <c r="R31" i="251"/>
  <c r="AK31" i="251" s="1"/>
  <c r="P18" i="237"/>
  <c r="BA18" i="237" s="1"/>
  <c r="S144" i="251"/>
  <c r="H31" i="251"/>
  <c r="J24" i="252" s="1"/>
  <c r="J26" i="252" s="1"/>
  <c r="E18" i="237"/>
  <c r="E19" i="237" s="1"/>
  <c r="W19" i="237" s="1"/>
  <c r="E18" i="243"/>
  <c r="E19" i="243" s="1"/>
  <c r="W19" i="243" s="1"/>
  <c r="N18" i="253"/>
  <c r="N19" i="253" s="1"/>
  <c r="N65" i="253" s="1"/>
  <c r="K109" i="251"/>
  <c r="K112" i="251" s="1"/>
  <c r="B19" i="229"/>
  <c r="B313" i="229" s="1"/>
  <c r="R143" i="251"/>
  <c r="R145" i="251" s="1"/>
  <c r="O18" i="253"/>
  <c r="O62" i="253" s="1"/>
  <c r="P144" i="251"/>
  <c r="P145" i="251" s="1"/>
  <c r="J18" i="245"/>
  <c r="J19" i="245" s="1"/>
  <c r="AB19" i="245" s="1"/>
  <c r="K18" i="243"/>
  <c r="K19" i="243" s="1"/>
  <c r="AC19" i="243" s="1"/>
  <c r="F19" i="229"/>
  <c r="F20" i="229" s="1"/>
  <c r="S143" i="251"/>
  <c r="N18" i="246"/>
  <c r="N19" i="246" s="1"/>
  <c r="AF19" i="246" s="1"/>
  <c r="E18" i="246"/>
  <c r="E19" i="246" s="1"/>
  <c r="W19" i="246" s="1"/>
  <c r="M18" i="244"/>
  <c r="M19" i="244" s="1"/>
  <c r="AE19" i="244" s="1"/>
  <c r="D18" i="253"/>
  <c r="D19" i="253" s="1"/>
  <c r="D65" i="253" s="1"/>
  <c r="M18" i="253"/>
  <c r="M19" i="253" s="1"/>
  <c r="AG19" i="253" s="1"/>
  <c r="D18" i="244"/>
  <c r="D19" i="244" s="1"/>
  <c r="V19" i="244" s="1"/>
  <c r="M18" i="242"/>
  <c r="M19" i="242" s="1"/>
  <c r="AE19" i="242" s="1"/>
  <c r="N18" i="244"/>
  <c r="N19" i="244" s="1"/>
  <c r="AF19" i="244" s="1"/>
  <c r="T18" i="253"/>
  <c r="T62" i="253" s="1"/>
  <c r="F18" i="242"/>
  <c r="F19" i="242" s="1"/>
  <c r="X19" i="242" s="1"/>
  <c r="F18" i="244"/>
  <c r="F19" i="244" s="1"/>
  <c r="X19" i="244" s="1"/>
  <c r="J18" i="242"/>
  <c r="AU18" i="242" s="1"/>
  <c r="I18" i="242"/>
  <c r="AT18" i="242" s="1"/>
  <c r="S18" i="242"/>
  <c r="BD18" i="242" s="1"/>
  <c r="H18" i="237"/>
  <c r="H19" i="237" s="1"/>
  <c r="Z19" i="237" s="1"/>
  <c r="I18" i="253"/>
  <c r="I19" i="253" s="1"/>
  <c r="I65" i="253" s="1"/>
  <c r="E18" i="253"/>
  <c r="E19" i="253" s="1"/>
  <c r="Y19" i="253" s="1"/>
  <c r="G18" i="253"/>
  <c r="G62" i="253" s="1"/>
  <c r="AP18" i="253"/>
  <c r="M18" i="243"/>
  <c r="AE18" i="243" s="1"/>
  <c r="L18" i="243"/>
  <c r="AW18" i="243" s="1"/>
  <c r="E18" i="245"/>
  <c r="E19" i="245" s="1"/>
  <c r="W19" i="245" s="1"/>
  <c r="G143" i="251"/>
  <c r="K18" i="242"/>
  <c r="K19" i="242" s="1"/>
  <c r="AC19" i="242" s="1"/>
  <c r="H18" i="245"/>
  <c r="H19" i="245" s="1"/>
  <c r="Z19" i="245" s="1"/>
  <c r="J18" i="243"/>
  <c r="J19" i="243" s="1"/>
  <c r="AB19" i="243" s="1"/>
  <c r="I18" i="246"/>
  <c r="I19" i="246" s="1"/>
  <c r="AA19" i="246" s="1"/>
  <c r="F18" i="243"/>
  <c r="F19" i="243" s="1"/>
  <c r="X19" i="243" s="1"/>
  <c r="D18" i="237"/>
  <c r="AO18" i="237" s="1"/>
  <c r="H36" i="234" s="1"/>
  <c r="G34" i="265" s="1"/>
  <c r="F18" i="246"/>
  <c r="AQ18" i="246" s="1"/>
  <c r="J41" i="234" s="1"/>
  <c r="I39" i="265" s="1"/>
  <c r="G18" i="246"/>
  <c r="G19" i="246" s="1"/>
  <c r="Y19" i="246" s="1"/>
  <c r="F18" i="245"/>
  <c r="AQ18" i="245" s="1"/>
  <c r="J40" i="234" s="1"/>
  <c r="I38" i="265" s="1"/>
  <c r="I18" i="244"/>
  <c r="AA18" i="244" s="1"/>
  <c r="K18" i="244"/>
  <c r="AC18" i="244" s="1"/>
  <c r="F18" i="237"/>
  <c r="F19" i="237" s="1"/>
  <c r="X19" i="237" s="1"/>
  <c r="J31" i="251"/>
  <c r="L24" i="252" s="1"/>
  <c r="L26" i="252" s="1"/>
  <c r="D18" i="245"/>
  <c r="V18" i="245" s="1"/>
  <c r="M40" i="234" s="1"/>
  <c r="L38" i="265" s="1"/>
  <c r="T109" i="251"/>
  <c r="T115" i="251" s="1"/>
  <c r="G18" i="243"/>
  <c r="G19" i="243" s="1"/>
  <c r="Y19" i="243" s="1"/>
  <c r="J18" i="246"/>
  <c r="J19" i="246" s="1"/>
  <c r="AB19" i="246" s="1"/>
  <c r="G18" i="237"/>
  <c r="G19" i="237" s="1"/>
  <c r="Y19" i="237" s="1"/>
  <c r="AH18" i="245"/>
  <c r="R18" i="245"/>
  <c r="AJ18" i="245" s="1"/>
  <c r="P19" i="245"/>
  <c r="AH19" i="245" s="1"/>
  <c r="M143" i="251"/>
  <c r="M145" i="251" s="1"/>
  <c r="K18" i="253"/>
  <c r="K62" i="253" s="1"/>
  <c r="P18" i="253"/>
  <c r="AJ18" i="253" s="1"/>
  <c r="V62" i="253"/>
  <c r="N18" i="237"/>
  <c r="N19" i="237" s="1"/>
  <c r="AF19" i="237" s="1"/>
  <c r="G18" i="245"/>
  <c r="G19" i="245" s="1"/>
  <c r="Y19" i="245" s="1"/>
  <c r="I143" i="251"/>
  <c r="Q143" i="251"/>
  <c r="Q145" i="251" s="1"/>
  <c r="H143" i="251"/>
  <c r="H145" i="251" s="1"/>
  <c r="AD19" i="253"/>
  <c r="J65" i="253"/>
  <c r="O40" i="245"/>
  <c r="O41" i="245"/>
  <c r="AZ41" i="245" s="1"/>
  <c r="AZ39" i="245"/>
  <c r="K25" i="245"/>
  <c r="K27" i="245"/>
  <c r="K29" i="245"/>
  <c r="R29" i="244"/>
  <c r="R27" i="244"/>
  <c r="R25" i="244"/>
  <c r="H21" i="246"/>
  <c r="H28" i="246"/>
  <c r="AS28" i="246" s="1"/>
  <c r="AS22" i="246"/>
  <c r="H24" i="246"/>
  <c r="H26" i="246"/>
  <c r="AS26" i="246" s="1"/>
  <c r="O21" i="244"/>
  <c r="O26" i="244"/>
  <c r="AZ26" i="244" s="1"/>
  <c r="O24" i="244"/>
  <c r="O28" i="244"/>
  <c r="AZ28" i="244" s="1"/>
  <c r="AZ22" i="244"/>
  <c r="AW22" i="253"/>
  <c r="H28" i="253"/>
  <c r="AW28" i="253" s="1"/>
  <c r="H26" i="253"/>
  <c r="AW26" i="253" s="1"/>
  <c r="H24" i="253"/>
  <c r="P115" i="251"/>
  <c r="P112" i="251"/>
  <c r="P114" i="251"/>
  <c r="L26" i="245"/>
  <c r="AW26" i="245" s="1"/>
  <c r="L24" i="245"/>
  <c r="L28" i="245"/>
  <c r="AW28" i="245" s="1"/>
  <c r="L21" i="245"/>
  <c r="AW22" i="245"/>
  <c r="J28" i="244"/>
  <c r="AU28" i="244" s="1"/>
  <c r="J21" i="244"/>
  <c r="J24" i="244"/>
  <c r="AU22" i="244"/>
  <c r="J26" i="244"/>
  <c r="AU26" i="244" s="1"/>
  <c r="F41" i="246"/>
  <c r="AQ41" i="246" s="1"/>
  <c r="F40" i="246"/>
  <c r="AQ39" i="246"/>
  <c r="L21" i="242"/>
  <c r="AW22" i="242"/>
  <c r="L26" i="242"/>
  <c r="AW26" i="242" s="1"/>
  <c r="L24" i="242"/>
  <c r="L28" i="242"/>
  <c r="AW28" i="242" s="1"/>
  <c r="G40" i="242"/>
  <c r="G41" i="242"/>
  <c r="AR41" i="242" s="1"/>
  <c r="AR39" i="242"/>
  <c r="I28" i="243"/>
  <c r="AT28" i="243" s="1"/>
  <c r="AT22" i="243"/>
  <c r="I21" i="243"/>
  <c r="I26" i="243"/>
  <c r="AT26" i="243" s="1"/>
  <c r="I24" i="243"/>
  <c r="U14" i="255"/>
  <c r="R35" i="251"/>
  <c r="BC12" i="243"/>
  <c r="AJ38" i="243"/>
  <c r="AJ32" i="243"/>
  <c r="M29" i="243"/>
  <c r="AX23" i="243"/>
  <c r="M25" i="243"/>
  <c r="M27" i="243"/>
  <c r="G35" i="244"/>
  <c r="AR35" i="244" s="1"/>
  <c r="AR33" i="244"/>
  <c r="G34" i="244"/>
  <c r="BD22" i="242"/>
  <c r="S21" i="242"/>
  <c r="S26" i="242"/>
  <c r="BD26" i="242" s="1"/>
  <c r="S24" i="242"/>
  <c r="S28" i="242"/>
  <c r="BD28" i="242" s="1"/>
  <c r="K25" i="242"/>
  <c r="AV23" i="242"/>
  <c r="K29" i="242"/>
  <c r="K27" i="242"/>
  <c r="N29" i="246"/>
  <c r="N25" i="246"/>
  <c r="N27" i="246"/>
  <c r="Q25" i="245"/>
  <c r="Q27" i="245"/>
  <c r="Q29" i="245"/>
  <c r="N31" i="251"/>
  <c r="N144" i="251"/>
  <c r="AO22" i="244"/>
  <c r="D28" i="244"/>
  <c r="AO28" i="244" s="1"/>
  <c r="D26" i="244"/>
  <c r="AO26" i="244" s="1"/>
  <c r="D21" i="244"/>
  <c r="D24" i="244"/>
  <c r="H35" i="243"/>
  <c r="AS35" i="243" s="1"/>
  <c r="H34" i="243"/>
  <c r="AS33" i="243"/>
  <c r="AQ39" i="245"/>
  <c r="F41" i="245"/>
  <c r="AQ41" i="245" s="1"/>
  <c r="F40" i="245"/>
  <c r="D29" i="246"/>
  <c r="D25" i="246"/>
  <c r="D27" i="246"/>
  <c r="I34" i="253"/>
  <c r="AX33" i="253"/>
  <c r="I35" i="253"/>
  <c r="AX35" i="253" s="1"/>
  <c r="N34" i="253"/>
  <c r="BC33" i="253"/>
  <c r="N35" i="253"/>
  <c r="BC35" i="253" s="1"/>
  <c r="H29" i="237"/>
  <c r="H27" i="237"/>
  <c r="H25" i="237"/>
  <c r="AS23" i="237"/>
  <c r="M24" i="244"/>
  <c r="M28" i="244"/>
  <c r="AX28" i="244" s="1"/>
  <c r="M21" i="244"/>
  <c r="M26" i="244"/>
  <c r="AX26" i="244" s="1"/>
  <c r="AX22" i="244"/>
  <c r="F26" i="253"/>
  <c r="AU26" i="253" s="1"/>
  <c r="AU22" i="253"/>
  <c r="F24" i="253"/>
  <c r="F28" i="253"/>
  <c r="AU28" i="253" s="1"/>
  <c r="AR33" i="243"/>
  <c r="G35" i="243"/>
  <c r="AR35" i="243" s="1"/>
  <c r="G34" i="243"/>
  <c r="M35" i="242"/>
  <c r="AX35" i="242" s="1"/>
  <c r="AX33" i="242"/>
  <c r="M34" i="242"/>
  <c r="S18" i="253"/>
  <c r="AV33" i="243"/>
  <c r="K35" i="243"/>
  <c r="AV35" i="243" s="1"/>
  <c r="K34" i="243"/>
  <c r="J35" i="246"/>
  <c r="AU35" i="246" s="1"/>
  <c r="AU33" i="246"/>
  <c r="J34" i="246"/>
  <c r="K27" i="244"/>
  <c r="K29" i="244"/>
  <c r="K25" i="244"/>
  <c r="K18" i="237"/>
  <c r="O18" i="243"/>
  <c r="J27" i="243"/>
  <c r="AU23" i="243"/>
  <c r="J25" i="243"/>
  <c r="J29" i="243"/>
  <c r="D27" i="245"/>
  <c r="D25" i="245"/>
  <c r="D29" i="245"/>
  <c r="J29" i="253"/>
  <c r="J25" i="253"/>
  <c r="J27" i="253"/>
  <c r="J21" i="253"/>
  <c r="G21" i="253"/>
  <c r="G27" i="253"/>
  <c r="G29" i="253"/>
  <c r="G25" i="253"/>
  <c r="E21" i="243"/>
  <c r="E24" i="243"/>
  <c r="E28" i="243"/>
  <c r="AP28" i="243" s="1"/>
  <c r="AP22" i="243"/>
  <c r="E26" i="243"/>
  <c r="AP26" i="243" s="1"/>
  <c r="O18" i="244"/>
  <c r="BB33" i="253"/>
  <c r="M35" i="253"/>
  <c r="BB35" i="253" s="1"/>
  <c r="M34" i="253"/>
  <c r="R27" i="245"/>
  <c r="R25" i="245"/>
  <c r="R29" i="245"/>
  <c r="D41" i="243"/>
  <c r="AO41" i="243" s="1"/>
  <c r="AO39" i="243"/>
  <c r="D40" i="243"/>
  <c r="J18" i="237"/>
  <c r="I25" i="242"/>
  <c r="I27" i="242"/>
  <c r="I29" i="242"/>
  <c r="AT23" i="242"/>
  <c r="T35" i="253"/>
  <c r="BI35" i="253" s="1"/>
  <c r="BI33" i="253"/>
  <c r="T34" i="253"/>
  <c r="G28" i="237"/>
  <c r="AR28" i="237" s="1"/>
  <c r="G24" i="237"/>
  <c r="G26" i="237"/>
  <c r="AR26" i="237" s="1"/>
  <c r="AR22" i="237"/>
  <c r="G21" i="237"/>
  <c r="F109" i="251"/>
  <c r="S41" i="237"/>
  <c r="BD41" i="237" s="1"/>
  <c r="BD39" i="237"/>
  <c r="S40" i="237"/>
  <c r="O21" i="245"/>
  <c r="O28" i="245"/>
  <c r="AZ28" i="245" s="1"/>
  <c r="O26" i="245"/>
  <c r="AZ26" i="245" s="1"/>
  <c r="O24" i="245"/>
  <c r="AZ22" i="245"/>
  <c r="AW22" i="244"/>
  <c r="L26" i="244"/>
  <c r="AW26" i="244" s="1"/>
  <c r="L24" i="244"/>
  <c r="L21" i="244"/>
  <c r="L28" i="244"/>
  <c r="AW28" i="244" s="1"/>
  <c r="M41" i="237"/>
  <c r="AX41" i="237" s="1"/>
  <c r="AX39" i="237"/>
  <c r="M40" i="237"/>
  <c r="N112" i="251"/>
  <c r="H25" i="253"/>
  <c r="H21" i="253"/>
  <c r="H27" i="253"/>
  <c r="H29" i="253"/>
  <c r="S27" i="253"/>
  <c r="S21" i="253"/>
  <c r="S29" i="253"/>
  <c r="S25" i="253"/>
  <c r="O27" i="242"/>
  <c r="AZ23" i="242"/>
  <c r="O29" i="242"/>
  <c r="O25" i="242"/>
  <c r="AZ36" i="237"/>
  <c r="AG36" i="237"/>
  <c r="O37" i="237"/>
  <c r="AG37" i="237" s="1"/>
  <c r="AP39" i="244"/>
  <c r="E41" i="244"/>
  <c r="AP41" i="244" s="1"/>
  <c r="E40" i="244"/>
  <c r="AU39" i="244"/>
  <c r="J41" i="244"/>
  <c r="AU41" i="244" s="1"/>
  <c r="J40" i="244"/>
  <c r="BC23" i="237"/>
  <c r="R29" i="237"/>
  <c r="R25" i="237"/>
  <c r="R27" i="237"/>
  <c r="AF36" i="245"/>
  <c r="AY36" i="245"/>
  <c r="N37" i="245"/>
  <c r="AF37" i="245" s="1"/>
  <c r="AT39" i="253"/>
  <c r="E40" i="253"/>
  <c r="E41" i="253"/>
  <c r="AT41" i="253" s="1"/>
  <c r="Q31" i="253"/>
  <c r="AK31" i="253" s="1"/>
  <c r="Q73" i="253"/>
  <c r="Q72" i="253" s="1"/>
  <c r="AK30" i="253"/>
  <c r="BF30" i="253"/>
  <c r="M109" i="251"/>
  <c r="L35" i="242"/>
  <c r="AW35" i="242" s="1"/>
  <c r="L34" i="242"/>
  <c r="AW33" i="242"/>
  <c r="G35" i="242"/>
  <c r="AR35" i="242" s="1"/>
  <c r="G34" i="242"/>
  <c r="AR33" i="242"/>
  <c r="E34" i="242"/>
  <c r="AP33" i="242"/>
  <c r="E35" i="242"/>
  <c r="AP35" i="242" s="1"/>
  <c r="AP39" i="242"/>
  <c r="E41" i="242"/>
  <c r="AP41" i="242" s="1"/>
  <c r="E40" i="242"/>
  <c r="G27" i="246"/>
  <c r="G29" i="246"/>
  <c r="G25" i="246"/>
  <c r="AX33" i="243"/>
  <c r="M34" i="243"/>
  <c r="M35" i="243"/>
  <c r="AX35" i="243" s="1"/>
  <c r="G40" i="244"/>
  <c r="G41" i="244"/>
  <c r="AR41" i="244" s="1"/>
  <c r="AR39" i="244"/>
  <c r="O34" i="243"/>
  <c r="O35" i="243"/>
  <c r="AZ35" i="243" s="1"/>
  <c r="AZ33" i="243"/>
  <c r="AT22" i="237"/>
  <c r="I21" i="237"/>
  <c r="I28" i="237"/>
  <c r="AT28" i="237" s="1"/>
  <c r="I26" i="237"/>
  <c r="AT26" i="237" s="1"/>
  <c r="I24" i="237"/>
  <c r="S29" i="242"/>
  <c r="S27" i="242"/>
  <c r="BD23" i="242"/>
  <c r="S25" i="242"/>
  <c r="AV33" i="242"/>
  <c r="K34" i="242"/>
  <c r="K35" i="242"/>
  <c r="AV35" i="242" s="1"/>
  <c r="N21" i="246"/>
  <c r="AY22" i="246"/>
  <c r="N28" i="246"/>
  <c r="AY28" i="246" s="1"/>
  <c r="N26" i="246"/>
  <c r="AY26" i="246" s="1"/>
  <c r="N24" i="246"/>
  <c r="AI30" i="244"/>
  <c r="BB30" i="244"/>
  <c r="Q31" i="244"/>
  <c r="AI31" i="244" s="1"/>
  <c r="O29" i="253"/>
  <c r="O27" i="253"/>
  <c r="O21" i="253"/>
  <c r="O25" i="253"/>
  <c r="R31" i="242"/>
  <c r="AJ31" i="242" s="1"/>
  <c r="AJ30" i="242"/>
  <c r="BC30" i="242"/>
  <c r="AY39" i="243"/>
  <c r="N40" i="243"/>
  <c r="N41" i="243"/>
  <c r="AY41" i="243" s="1"/>
  <c r="D34" i="244"/>
  <c r="AO33" i="244"/>
  <c r="D35" i="244"/>
  <c r="AO35" i="244" s="1"/>
  <c r="AI36" i="242"/>
  <c r="BB36" i="242"/>
  <c r="Q37" i="242"/>
  <c r="AI37" i="242" s="1"/>
  <c r="N21" i="244"/>
  <c r="AY22" i="244"/>
  <c r="N28" i="244"/>
  <c r="AY28" i="244" s="1"/>
  <c r="N24" i="244"/>
  <c r="N26" i="244"/>
  <c r="AY26" i="244" s="1"/>
  <c r="F28" i="245"/>
  <c r="AQ28" i="245" s="1"/>
  <c r="F24" i="245"/>
  <c r="F26" i="245"/>
  <c r="AQ26" i="245" s="1"/>
  <c r="F21" i="245"/>
  <c r="AQ22" i="245"/>
  <c r="AH21" i="245"/>
  <c r="P12" i="245"/>
  <c r="L31" i="253"/>
  <c r="AF31" i="253" s="1"/>
  <c r="AF30" i="253"/>
  <c r="L73" i="253"/>
  <c r="L72" i="253" s="1"/>
  <c r="BA30" i="253"/>
  <c r="AQ39" i="244"/>
  <c r="F40" i="244"/>
  <c r="F41" i="244"/>
  <c r="AQ41" i="244" s="1"/>
  <c r="AT22" i="246"/>
  <c r="I24" i="246"/>
  <c r="I21" i="246"/>
  <c r="I28" i="246"/>
  <c r="AT28" i="246" s="1"/>
  <c r="I26" i="246"/>
  <c r="AT26" i="246" s="1"/>
  <c r="Q46" i="237"/>
  <c r="Q47" i="237" s="1"/>
  <c r="Q43" i="237"/>
  <c r="AI43" i="237" s="1"/>
  <c r="AI42" i="237"/>
  <c r="R113" i="251"/>
  <c r="R56" i="251" s="1"/>
  <c r="L29" i="243"/>
  <c r="AW23" i="243"/>
  <c r="L27" i="243"/>
  <c r="L25" i="243"/>
  <c r="R33" i="251"/>
  <c r="U12" i="255"/>
  <c r="BB12" i="237"/>
  <c r="AI38" i="237"/>
  <c r="AI32" i="237"/>
  <c r="BA12" i="242"/>
  <c r="Q34" i="251"/>
  <c r="T13" i="255"/>
  <c r="AH38" i="242"/>
  <c r="AH32" i="242"/>
  <c r="AK38" i="253"/>
  <c r="M40" i="244"/>
  <c r="M41" i="244"/>
  <c r="AX41" i="244" s="1"/>
  <c r="AX39" i="244"/>
  <c r="G41" i="243"/>
  <c r="AR41" i="243" s="1"/>
  <c r="AR39" i="243"/>
  <c r="G40" i="243"/>
  <c r="M21" i="242"/>
  <c r="M28" i="242"/>
  <c r="AX28" i="242" s="1"/>
  <c r="AX22" i="242"/>
  <c r="M26" i="242"/>
  <c r="AX26" i="242" s="1"/>
  <c r="M24" i="242"/>
  <c r="AF36" i="242"/>
  <c r="AY36" i="242"/>
  <c r="N37" i="242"/>
  <c r="AF37" i="242" s="1"/>
  <c r="AQ33" i="243"/>
  <c r="F34" i="243"/>
  <c r="F35" i="243"/>
  <c r="AQ35" i="243" s="1"/>
  <c r="H18" i="246"/>
  <c r="J29" i="246"/>
  <c r="J27" i="246"/>
  <c r="J25" i="246"/>
  <c r="AA18" i="242"/>
  <c r="AO39" i="242"/>
  <c r="D41" i="242"/>
  <c r="AO41" i="242" s="1"/>
  <c r="D40" i="242"/>
  <c r="P46" i="243"/>
  <c r="P47" i="243" s="1"/>
  <c r="AH42" i="243"/>
  <c r="P43" i="243"/>
  <c r="AH43" i="243" s="1"/>
  <c r="T18" i="243"/>
  <c r="G35" i="245"/>
  <c r="AR35" i="245" s="1"/>
  <c r="AR33" i="245"/>
  <c r="G34" i="245"/>
  <c r="S12" i="255"/>
  <c r="P33" i="251"/>
  <c r="AZ12" i="237"/>
  <c r="AG38" i="237"/>
  <c r="AG32" i="237"/>
  <c r="AZ33" i="253"/>
  <c r="K35" i="253"/>
  <c r="AZ35" i="253" s="1"/>
  <c r="K34" i="253"/>
  <c r="BB33" i="243"/>
  <c r="Q34" i="243"/>
  <c r="Q35" i="243"/>
  <c r="BB35" i="243" s="1"/>
  <c r="J24" i="253"/>
  <c r="AY22" i="253"/>
  <c r="J26" i="253"/>
  <c r="AY26" i="253" s="1"/>
  <c r="J28" i="253"/>
  <c r="AY28" i="253" s="1"/>
  <c r="E21" i="246"/>
  <c r="E26" i="246"/>
  <c r="AP26" i="246" s="1"/>
  <c r="AP22" i="246"/>
  <c r="E24" i="246"/>
  <c r="E28" i="246"/>
  <c r="AP28" i="246" s="1"/>
  <c r="S18" i="237"/>
  <c r="P40" i="253"/>
  <c r="BE39" i="253"/>
  <c r="P41" i="253"/>
  <c r="BE41" i="253" s="1"/>
  <c r="J27" i="242"/>
  <c r="J29" i="242"/>
  <c r="J25" i="242"/>
  <c r="AU23" i="242"/>
  <c r="J34" i="242"/>
  <c r="AU33" i="242"/>
  <c r="J35" i="242"/>
  <c r="AU35" i="242" s="1"/>
  <c r="D24" i="237"/>
  <c r="D21" i="237"/>
  <c r="AO22" i="237"/>
  <c r="D26" i="237"/>
  <c r="AO26" i="237" s="1"/>
  <c r="D28" i="237"/>
  <c r="AO28" i="237" s="1"/>
  <c r="F34" i="237"/>
  <c r="F35" i="237"/>
  <c r="AQ35" i="237" s="1"/>
  <c r="AQ33" i="237"/>
  <c r="F27" i="242"/>
  <c r="F25" i="242"/>
  <c r="F29" i="242"/>
  <c r="AQ23" i="242"/>
  <c r="P29" i="237"/>
  <c r="P25" i="237"/>
  <c r="P27" i="237"/>
  <c r="BA23" i="237"/>
  <c r="P35" i="237"/>
  <c r="BA35" i="237" s="1"/>
  <c r="BA33" i="237"/>
  <c r="P34" i="237"/>
  <c r="AF38" i="253"/>
  <c r="E18" i="242"/>
  <c r="G29" i="237"/>
  <c r="G27" i="237"/>
  <c r="AR23" i="237"/>
  <c r="G25" i="237"/>
  <c r="N31" i="245"/>
  <c r="AF31" i="245" s="1"/>
  <c r="AF30" i="245"/>
  <c r="AY30" i="245"/>
  <c r="E21" i="237"/>
  <c r="E24" i="237"/>
  <c r="E26" i="237"/>
  <c r="AP26" i="237" s="1"/>
  <c r="AP22" i="237"/>
  <c r="E28" i="237"/>
  <c r="AP28" i="237" s="1"/>
  <c r="K40" i="245"/>
  <c r="AV39" i="245"/>
  <c r="K41" i="245"/>
  <c r="AV41" i="245" s="1"/>
  <c r="M29" i="237"/>
  <c r="M27" i="237"/>
  <c r="AX23" i="237"/>
  <c r="M25" i="237"/>
  <c r="S40" i="243"/>
  <c r="S41" i="243"/>
  <c r="BD41" i="243" s="1"/>
  <c r="BD39" i="243"/>
  <c r="H35" i="246"/>
  <c r="AS35" i="246" s="1"/>
  <c r="H34" i="246"/>
  <c r="AS33" i="246"/>
  <c r="H35" i="253"/>
  <c r="AW35" i="253" s="1"/>
  <c r="H34" i="253"/>
  <c r="AW33" i="253"/>
  <c r="BE23" i="243"/>
  <c r="T25" i="243"/>
  <c r="T29" i="243"/>
  <c r="T27" i="243"/>
  <c r="O31" i="237"/>
  <c r="AG31" i="237" s="1"/>
  <c r="AZ30" i="237"/>
  <c r="AG30" i="237"/>
  <c r="S24" i="253"/>
  <c r="S28" i="253"/>
  <c r="BH28" i="253" s="1"/>
  <c r="S26" i="253"/>
  <c r="BH26" i="253" s="1"/>
  <c r="BH22" i="253"/>
  <c r="K27" i="237"/>
  <c r="K29" i="237"/>
  <c r="AV23" i="237"/>
  <c r="K25" i="237"/>
  <c r="AZ33" i="242"/>
  <c r="O34" i="242"/>
  <c r="O35" i="242"/>
  <c r="AZ35" i="242" s="1"/>
  <c r="L34" i="245"/>
  <c r="L35" i="245"/>
  <c r="AW35" i="245" s="1"/>
  <c r="AW33" i="245"/>
  <c r="R35" i="237"/>
  <c r="BC35" i="237" s="1"/>
  <c r="R34" i="237"/>
  <c r="BC33" i="237"/>
  <c r="G24" i="246"/>
  <c r="G21" i="246"/>
  <c r="AR22" i="246"/>
  <c r="G28" i="246"/>
  <c r="AR28" i="246" s="1"/>
  <c r="G26" i="246"/>
  <c r="AR26" i="246" s="1"/>
  <c r="I25" i="243"/>
  <c r="I27" i="243"/>
  <c r="I29" i="243"/>
  <c r="AT23" i="243"/>
  <c r="D28" i="253"/>
  <c r="AS28" i="253" s="1"/>
  <c r="D24" i="253"/>
  <c r="AS22" i="253"/>
  <c r="D26" i="253"/>
  <c r="AS26" i="253" s="1"/>
  <c r="L65" i="253"/>
  <c r="AF19" i="253"/>
  <c r="AH36" i="242"/>
  <c r="BA36" i="242"/>
  <c r="P37" i="242"/>
  <c r="AH37" i="242" s="1"/>
  <c r="S18" i="243"/>
  <c r="S35" i="242"/>
  <c r="BD35" i="242" s="1"/>
  <c r="S34" i="242"/>
  <c r="BD33" i="242"/>
  <c r="N35" i="246"/>
  <c r="AY35" i="246" s="1"/>
  <c r="AY33" i="246"/>
  <c r="N34" i="246"/>
  <c r="AU22" i="237"/>
  <c r="J24" i="237"/>
  <c r="J26" i="237"/>
  <c r="AU26" i="237" s="1"/>
  <c r="J28" i="237"/>
  <c r="AU28" i="237" s="1"/>
  <c r="J21" i="237"/>
  <c r="BD33" i="253"/>
  <c r="O34" i="253"/>
  <c r="O35" i="253"/>
  <c r="BD35" i="253" s="1"/>
  <c r="Q46" i="244"/>
  <c r="Q43" i="244"/>
  <c r="AI43" i="244" s="1"/>
  <c r="AI42" i="244"/>
  <c r="D25" i="244"/>
  <c r="D27" i="244"/>
  <c r="D29" i="244"/>
  <c r="N35" i="244"/>
  <c r="AY35" i="244" s="1"/>
  <c r="N34" i="244"/>
  <c r="AY33" i="244"/>
  <c r="D35" i="246"/>
  <c r="AO35" i="246" s="1"/>
  <c r="AO33" i="246"/>
  <c r="D34" i="246"/>
  <c r="I21" i="245"/>
  <c r="I28" i="245"/>
  <c r="AT28" i="245" s="1"/>
  <c r="I24" i="245"/>
  <c r="AT22" i="245"/>
  <c r="I26" i="245"/>
  <c r="AT26" i="245" s="1"/>
  <c r="AT22" i="244"/>
  <c r="I26" i="244"/>
  <c r="AT26" i="244" s="1"/>
  <c r="I24" i="244"/>
  <c r="I21" i="244"/>
  <c r="I28" i="244"/>
  <c r="AT28" i="244" s="1"/>
  <c r="N40" i="253"/>
  <c r="N41" i="253"/>
  <c r="BC41" i="253" s="1"/>
  <c r="BC39" i="253"/>
  <c r="Q69" i="253"/>
  <c r="AX24" i="245"/>
  <c r="M30" i="245"/>
  <c r="M31" i="245" s="1"/>
  <c r="AE31" i="245" s="1"/>
  <c r="M50" i="245"/>
  <c r="H40" i="244"/>
  <c r="H41" i="244"/>
  <c r="AS41" i="244" s="1"/>
  <c r="AS39" i="244"/>
  <c r="AR23" i="243"/>
  <c r="G25" i="243"/>
  <c r="G29" i="243"/>
  <c r="G27" i="243"/>
  <c r="K143" i="251"/>
  <c r="K28" i="244"/>
  <c r="AV28" i="244" s="1"/>
  <c r="K24" i="244"/>
  <c r="AV22" i="244"/>
  <c r="K26" i="244"/>
  <c r="AV26" i="244" s="1"/>
  <c r="K21" i="244"/>
  <c r="AR39" i="245"/>
  <c r="G40" i="245"/>
  <c r="G41" i="245"/>
  <c r="AR41" i="245" s="1"/>
  <c r="O18" i="242"/>
  <c r="N46" i="245"/>
  <c r="N47" i="245" s="1"/>
  <c r="AF42" i="245"/>
  <c r="N43" i="245"/>
  <c r="AF43" i="245" s="1"/>
  <c r="J34" i="243"/>
  <c r="AU33" i="243"/>
  <c r="J35" i="243"/>
  <c r="AU35" i="243" s="1"/>
  <c r="K34" i="246"/>
  <c r="K35" i="246"/>
  <c r="AV35" i="246" s="1"/>
  <c r="AV33" i="246"/>
  <c r="AO39" i="245"/>
  <c r="D40" i="245"/>
  <c r="D41" i="245"/>
  <c r="AO41" i="245" s="1"/>
  <c r="BB39" i="243"/>
  <c r="Q40" i="243"/>
  <c r="Q41" i="243"/>
  <c r="BB41" i="243" s="1"/>
  <c r="E27" i="246"/>
  <c r="E29" i="246"/>
  <c r="E25" i="246"/>
  <c r="AK42" i="253"/>
  <c r="Q46" i="253"/>
  <c r="AK46" i="253" s="1"/>
  <c r="Q43" i="253"/>
  <c r="AK43" i="253" s="1"/>
  <c r="H25" i="245"/>
  <c r="H27" i="245"/>
  <c r="H29" i="245"/>
  <c r="M18" i="246"/>
  <c r="H24" i="242"/>
  <c r="H21" i="242"/>
  <c r="AS22" i="242"/>
  <c r="H26" i="242"/>
  <c r="AS26" i="242" s="1"/>
  <c r="H28" i="242"/>
  <c r="AS28" i="242" s="1"/>
  <c r="P21" i="253"/>
  <c r="P25" i="253"/>
  <c r="P29" i="253"/>
  <c r="P27" i="253"/>
  <c r="AO23" i="243"/>
  <c r="D29" i="243"/>
  <c r="D27" i="243"/>
  <c r="D25" i="243"/>
  <c r="H18" i="243"/>
  <c r="E31" i="251"/>
  <c r="E144" i="251"/>
  <c r="AO33" i="237"/>
  <c r="AO32" i="237" s="1"/>
  <c r="D34" i="237"/>
  <c r="D35" i="237"/>
  <c r="AO35" i="237" s="1"/>
  <c r="F24" i="237"/>
  <c r="F26" i="237"/>
  <c r="AQ26" i="237" s="1"/>
  <c r="F28" i="237"/>
  <c r="AQ28" i="237" s="1"/>
  <c r="F21" i="237"/>
  <c r="AQ22" i="237"/>
  <c r="F24" i="242"/>
  <c r="AQ22" i="242"/>
  <c r="F21" i="242"/>
  <c r="F28" i="242"/>
  <c r="AQ28" i="242" s="1"/>
  <c r="F26" i="242"/>
  <c r="AQ26" i="242" s="1"/>
  <c r="P28" i="237"/>
  <c r="BA28" i="237" s="1"/>
  <c r="P26" i="237"/>
  <c r="BA26" i="237" s="1"/>
  <c r="P21" i="237"/>
  <c r="P24" i="237"/>
  <c r="BA22" i="237"/>
  <c r="I21" i="242"/>
  <c r="I28" i="242"/>
  <c r="AT28" i="242" s="1"/>
  <c r="AT22" i="242"/>
  <c r="I24" i="242"/>
  <c r="I26" i="242"/>
  <c r="AT26" i="242" s="1"/>
  <c r="T27" i="253"/>
  <c r="T21" i="253"/>
  <c r="T25" i="253"/>
  <c r="T29" i="253"/>
  <c r="S24" i="237"/>
  <c r="S21" i="237"/>
  <c r="S28" i="237"/>
  <c r="BD28" i="237" s="1"/>
  <c r="S26" i="237"/>
  <c r="BD26" i="237" s="1"/>
  <c r="BD22" i="237"/>
  <c r="L43" i="246"/>
  <c r="AD43" i="246" s="1"/>
  <c r="AD42" i="246"/>
  <c r="L46" i="246"/>
  <c r="AG42" i="237"/>
  <c r="O46" i="237"/>
  <c r="O43" i="237"/>
  <c r="AG43" i="237" s="1"/>
  <c r="R28" i="244"/>
  <c r="BC28" i="244" s="1"/>
  <c r="R21" i="244"/>
  <c r="R24" i="244"/>
  <c r="BC22" i="244"/>
  <c r="R26" i="244"/>
  <c r="BC26" i="244" s="1"/>
  <c r="T21" i="243"/>
  <c r="T24" i="243"/>
  <c r="BE22" i="243"/>
  <c r="T28" i="243"/>
  <c r="BE28" i="243" s="1"/>
  <c r="T26" i="243"/>
  <c r="BE26" i="243" s="1"/>
  <c r="L29" i="245"/>
  <c r="L27" i="245"/>
  <c r="L25" i="245"/>
  <c r="R26" i="237"/>
  <c r="BC26" i="237" s="1"/>
  <c r="BC22" i="237"/>
  <c r="R21" i="237"/>
  <c r="R28" i="237"/>
  <c r="BC28" i="237" s="1"/>
  <c r="R24" i="237"/>
  <c r="E34" i="253"/>
  <c r="E35" i="253"/>
  <c r="AT35" i="253" s="1"/>
  <c r="AT33" i="253"/>
  <c r="F25" i="246"/>
  <c r="F27" i="246"/>
  <c r="F29" i="246"/>
  <c r="R27" i="253"/>
  <c r="R25" i="253"/>
  <c r="R29" i="253"/>
  <c r="R21" i="253"/>
  <c r="K144" i="251"/>
  <c r="K31" i="251"/>
  <c r="AW39" i="242"/>
  <c r="L40" i="242"/>
  <c r="L41" i="242"/>
  <c r="AW41" i="242" s="1"/>
  <c r="G41" i="246"/>
  <c r="AR41" i="246" s="1"/>
  <c r="AR39" i="246"/>
  <c r="G40" i="246"/>
  <c r="M25" i="246"/>
  <c r="M29" i="246"/>
  <c r="M27" i="246"/>
  <c r="D34" i="253"/>
  <c r="AS33" i="253"/>
  <c r="D35" i="253"/>
  <c r="AS35" i="253" s="1"/>
  <c r="AX22" i="243"/>
  <c r="M21" i="243"/>
  <c r="M26" i="243"/>
  <c r="AX26" i="243" s="1"/>
  <c r="M28" i="243"/>
  <c r="AX28" i="243" s="1"/>
  <c r="M24" i="243"/>
  <c r="O41" i="243"/>
  <c r="AZ41" i="243" s="1"/>
  <c r="O40" i="243"/>
  <c r="AZ39" i="243"/>
  <c r="AT33" i="237"/>
  <c r="I34" i="237"/>
  <c r="I35" i="237"/>
  <c r="AT35" i="237" s="1"/>
  <c r="Q35" i="245"/>
  <c r="BB35" i="245" s="1"/>
  <c r="Q34" i="245"/>
  <c r="BB33" i="245"/>
  <c r="BB36" i="244"/>
  <c r="AI36" i="244"/>
  <c r="Q37" i="244"/>
  <c r="AI37" i="244" s="1"/>
  <c r="N29" i="243"/>
  <c r="N25" i="243"/>
  <c r="AY23" i="243"/>
  <c r="N27" i="243"/>
  <c r="R31" i="243"/>
  <c r="AJ31" i="243" s="1"/>
  <c r="AJ30" i="243"/>
  <c r="BC30" i="243"/>
  <c r="H28" i="243"/>
  <c r="AS28" i="243" s="1"/>
  <c r="H21" i="243"/>
  <c r="AS22" i="243"/>
  <c r="H24" i="243"/>
  <c r="H26" i="243"/>
  <c r="AS26" i="243" s="1"/>
  <c r="F34" i="245"/>
  <c r="AQ33" i="245"/>
  <c r="F35" i="245"/>
  <c r="AQ35" i="245" s="1"/>
  <c r="E143" i="251"/>
  <c r="I28" i="253"/>
  <c r="AX28" i="253" s="1"/>
  <c r="I24" i="253"/>
  <c r="AX22" i="253"/>
  <c r="I26" i="253"/>
  <c r="AX26" i="253" s="1"/>
  <c r="BC22" i="253"/>
  <c r="N26" i="253"/>
  <c r="BC26" i="253" s="1"/>
  <c r="N24" i="253"/>
  <c r="N28" i="253"/>
  <c r="BC28" i="253" s="1"/>
  <c r="P31" i="243"/>
  <c r="AH31" i="243" s="1"/>
  <c r="AH30" i="243"/>
  <c r="BA30" i="243"/>
  <c r="H34" i="237"/>
  <c r="H35" i="237"/>
  <c r="AS35" i="237" s="1"/>
  <c r="AS33" i="237"/>
  <c r="H40" i="237"/>
  <c r="AS39" i="237"/>
  <c r="H41" i="237"/>
  <c r="AS41" i="237" s="1"/>
  <c r="M25" i="244"/>
  <c r="M29" i="244"/>
  <c r="M27" i="244"/>
  <c r="AE21" i="245"/>
  <c r="M12" i="245"/>
  <c r="H27" i="244"/>
  <c r="H29" i="244"/>
  <c r="H25" i="244"/>
  <c r="F27" i="253"/>
  <c r="F25" i="253"/>
  <c r="F21" i="253"/>
  <c r="F29" i="253"/>
  <c r="AP39" i="245"/>
  <c r="E40" i="245"/>
  <c r="E41" i="245"/>
  <c r="AP41" i="245" s="1"/>
  <c r="F27" i="243"/>
  <c r="F29" i="243"/>
  <c r="AQ23" i="243"/>
  <c r="F25" i="243"/>
  <c r="J18" i="244"/>
  <c r="M18" i="237"/>
  <c r="K41" i="243"/>
  <c r="AV41" i="243" s="1"/>
  <c r="K40" i="243"/>
  <c r="AV39" i="243"/>
  <c r="AU22" i="246"/>
  <c r="J26" i="246"/>
  <c r="AU26" i="246" s="1"/>
  <c r="J21" i="246"/>
  <c r="J24" i="246"/>
  <c r="J28" i="246"/>
  <c r="AU28" i="246" s="1"/>
  <c r="L18" i="237"/>
  <c r="L18" i="242"/>
  <c r="G29" i="245"/>
  <c r="G27" i="245"/>
  <c r="G25" i="245"/>
  <c r="V18" i="243"/>
  <c r="M38" i="234" s="1"/>
  <c r="L36" i="265" s="1"/>
  <c r="AO18" i="243"/>
  <c r="H38" i="234" s="1"/>
  <c r="G36" i="265" s="1"/>
  <c r="K25" i="253"/>
  <c r="K29" i="253"/>
  <c r="K21" i="253"/>
  <c r="K27" i="253"/>
  <c r="K40" i="246"/>
  <c r="K41" i="246"/>
  <c r="AV41" i="246" s="1"/>
  <c r="AV39" i="246"/>
  <c r="Q28" i="243"/>
  <c r="BB28" i="243" s="1"/>
  <c r="Q24" i="243"/>
  <c r="Q26" i="243"/>
  <c r="BB26" i="243" s="1"/>
  <c r="Q21" i="243"/>
  <c r="BB22" i="243"/>
  <c r="AD30" i="246"/>
  <c r="AW30" i="246"/>
  <c r="E34" i="246"/>
  <c r="E35" i="246"/>
  <c r="AP35" i="246" s="1"/>
  <c r="AP33" i="246"/>
  <c r="AV39" i="253"/>
  <c r="G41" i="253"/>
  <c r="AV41" i="253" s="1"/>
  <c r="G40" i="253"/>
  <c r="H34" i="242"/>
  <c r="AS33" i="242"/>
  <c r="H35" i="242"/>
  <c r="AS35" i="242" s="1"/>
  <c r="O18" i="245"/>
  <c r="J27" i="245"/>
  <c r="J29" i="245"/>
  <c r="J25" i="245"/>
  <c r="I18" i="237"/>
  <c r="D34" i="243"/>
  <c r="D35" i="243"/>
  <c r="AO35" i="243" s="1"/>
  <c r="AO33" i="243"/>
  <c r="AO32" i="243" s="1"/>
  <c r="D41" i="237"/>
  <c r="AO41" i="237" s="1"/>
  <c r="D40" i="237"/>
  <c r="AO39" i="237"/>
  <c r="F40" i="237"/>
  <c r="AQ39" i="237"/>
  <c r="F41" i="237"/>
  <c r="AQ41" i="237" s="1"/>
  <c r="F41" i="242"/>
  <c r="AQ41" i="242" s="1"/>
  <c r="F40" i="242"/>
  <c r="AQ39" i="242"/>
  <c r="Q114" i="251"/>
  <c r="Q115" i="251"/>
  <c r="Q112" i="251"/>
  <c r="P46" i="242"/>
  <c r="AH42" i="242"/>
  <c r="P43" i="242"/>
  <c r="AH43" i="242" s="1"/>
  <c r="AP33" i="237"/>
  <c r="E34" i="237"/>
  <c r="E35" i="237"/>
  <c r="AP35" i="237" s="1"/>
  <c r="BD33" i="237"/>
  <c r="S35" i="237"/>
  <c r="BD35" i="237" s="1"/>
  <c r="S34" i="237"/>
  <c r="L25" i="244"/>
  <c r="L29" i="244"/>
  <c r="L27" i="244"/>
  <c r="H41" i="246"/>
  <c r="AS41" i="246" s="1"/>
  <c r="H40" i="246"/>
  <c r="AS39" i="246"/>
  <c r="O25" i="244"/>
  <c r="O29" i="244"/>
  <c r="O27" i="244"/>
  <c r="T34" i="243"/>
  <c r="T35" i="243"/>
  <c r="BE35" i="243" s="1"/>
  <c r="BE33" i="243"/>
  <c r="AV39" i="237"/>
  <c r="K40" i="237"/>
  <c r="K41" i="237"/>
  <c r="AV41" i="237" s="1"/>
  <c r="E34" i="244"/>
  <c r="E35" i="244"/>
  <c r="AP35" i="244" s="1"/>
  <c r="AP33" i="244"/>
  <c r="P46" i="244"/>
  <c r="AH42" i="244"/>
  <c r="P43" i="244"/>
  <c r="AH43" i="244" s="1"/>
  <c r="S114" i="251"/>
  <c r="S115" i="251"/>
  <c r="S112" i="251"/>
  <c r="E24" i="253"/>
  <c r="E28" i="253"/>
  <c r="AT28" i="253" s="1"/>
  <c r="E26" i="253"/>
  <c r="AT26" i="253" s="1"/>
  <c r="AT22" i="253"/>
  <c r="AQ33" i="246"/>
  <c r="F34" i="246"/>
  <c r="F35" i="246"/>
  <c r="AQ35" i="246" s="1"/>
  <c r="BC36" i="243"/>
  <c r="AJ36" i="243"/>
  <c r="R37" i="243"/>
  <c r="AJ37" i="243" s="1"/>
  <c r="BG33" i="253"/>
  <c r="R35" i="253"/>
  <c r="BG35" i="253" s="1"/>
  <c r="R34" i="253"/>
  <c r="L27" i="237"/>
  <c r="L29" i="237"/>
  <c r="AW23" i="237"/>
  <c r="L25" i="237"/>
  <c r="G28" i="242"/>
  <c r="AR28" i="242" s="1"/>
  <c r="AR22" i="242"/>
  <c r="G26" i="242"/>
  <c r="AR26" i="242" s="1"/>
  <c r="G21" i="242"/>
  <c r="G24" i="242"/>
  <c r="I35" i="243"/>
  <c r="AT35" i="243" s="1"/>
  <c r="I34" i="243"/>
  <c r="AT33" i="243"/>
  <c r="N143" i="251"/>
  <c r="R46" i="242"/>
  <c r="AJ42" i="242"/>
  <c r="R43" i="242"/>
  <c r="AJ43" i="242" s="1"/>
  <c r="D40" i="253"/>
  <c r="D41" i="253"/>
  <c r="AS41" i="253" s="1"/>
  <c r="AS39" i="253"/>
  <c r="G28" i="244"/>
  <c r="AR28" i="244" s="1"/>
  <c r="AR22" i="244"/>
  <c r="G24" i="244"/>
  <c r="G21" i="244"/>
  <c r="G26" i="244"/>
  <c r="AR26" i="244" s="1"/>
  <c r="O21" i="243"/>
  <c r="O24" i="243"/>
  <c r="AZ22" i="243"/>
  <c r="O26" i="243"/>
  <c r="AZ26" i="243" s="1"/>
  <c r="O28" i="243"/>
  <c r="AZ28" i="243" s="1"/>
  <c r="AT39" i="237"/>
  <c r="I41" i="237"/>
  <c r="AT41" i="237" s="1"/>
  <c r="I40" i="237"/>
  <c r="P31" i="242"/>
  <c r="AH31" i="242" s="1"/>
  <c r="BA30" i="242"/>
  <c r="AH30" i="242"/>
  <c r="N40" i="246"/>
  <c r="N41" i="246"/>
  <c r="AY41" i="246" s="1"/>
  <c r="AY39" i="246"/>
  <c r="N34" i="243"/>
  <c r="N35" i="243"/>
  <c r="AY35" i="243" s="1"/>
  <c r="AY33" i="243"/>
  <c r="M42" i="245"/>
  <c r="AX40" i="245"/>
  <c r="AX42" i="245" s="1"/>
  <c r="F27" i="244"/>
  <c r="F29" i="244"/>
  <c r="F25" i="244"/>
  <c r="I29" i="246"/>
  <c r="I25" i="246"/>
  <c r="I27" i="246"/>
  <c r="I25" i="244"/>
  <c r="I27" i="244"/>
  <c r="I29" i="244"/>
  <c r="BA36" i="244"/>
  <c r="AH36" i="244"/>
  <c r="P37" i="244"/>
  <c r="AH37" i="244" s="1"/>
  <c r="AW39" i="243"/>
  <c r="L41" i="243"/>
  <c r="AW41" i="243" s="1"/>
  <c r="L40" i="243"/>
  <c r="I115" i="251"/>
  <c r="I114" i="251"/>
  <c r="I112" i="251"/>
  <c r="L31" i="251"/>
  <c r="L144" i="251"/>
  <c r="I31" i="251"/>
  <c r="I144" i="251"/>
  <c r="H28" i="244"/>
  <c r="AS28" i="244" s="1"/>
  <c r="AS22" i="244"/>
  <c r="H21" i="244"/>
  <c r="H24" i="244"/>
  <c r="H26" i="244"/>
  <c r="AS26" i="244" s="1"/>
  <c r="G24" i="243"/>
  <c r="G26" i="243"/>
  <c r="AR26" i="243" s="1"/>
  <c r="G21" i="243"/>
  <c r="AR22" i="243"/>
  <c r="G28" i="243"/>
  <c r="AR28" i="243" s="1"/>
  <c r="M40" i="242"/>
  <c r="M41" i="242"/>
  <c r="AX41" i="242" s="1"/>
  <c r="AX39" i="242"/>
  <c r="E26" i="245"/>
  <c r="AP26" i="245" s="1"/>
  <c r="E21" i="245"/>
  <c r="AP22" i="245"/>
  <c r="E24" i="245"/>
  <c r="E28" i="245"/>
  <c r="AP28" i="245" s="1"/>
  <c r="K26" i="243"/>
  <c r="AV26" i="243" s="1"/>
  <c r="K21" i="243"/>
  <c r="K28" i="243"/>
  <c r="AV28" i="243" s="1"/>
  <c r="AV22" i="243"/>
  <c r="K24" i="243"/>
  <c r="K35" i="244"/>
  <c r="AV35" i="244" s="1"/>
  <c r="AV33" i="244"/>
  <c r="K34" i="244"/>
  <c r="N37" i="251"/>
  <c r="AY12" i="245"/>
  <c r="Q16" i="255"/>
  <c r="AF38" i="245"/>
  <c r="AF32" i="245"/>
  <c r="U13" i="255"/>
  <c r="R34" i="251"/>
  <c r="BB12" i="242"/>
  <c r="AI38" i="242"/>
  <c r="AI32" i="242"/>
  <c r="J40" i="243"/>
  <c r="J41" i="243"/>
  <c r="AU41" i="243" s="1"/>
  <c r="AU39" i="243"/>
  <c r="K27" i="246"/>
  <c r="K25" i="246"/>
  <c r="K29" i="246"/>
  <c r="D34" i="245"/>
  <c r="D35" i="245"/>
  <c r="AO35" i="245" s="1"/>
  <c r="AO33" i="245"/>
  <c r="N25" i="237"/>
  <c r="N27" i="237"/>
  <c r="AY23" i="237"/>
  <c r="N29" i="237"/>
  <c r="M24" i="253"/>
  <c r="BB22" i="253"/>
  <c r="M26" i="253"/>
  <c r="BB26" i="253" s="1"/>
  <c r="M28" i="253"/>
  <c r="BB28" i="253" s="1"/>
  <c r="H40" i="242"/>
  <c r="AS39" i="242"/>
  <c r="H41" i="242"/>
  <c r="AS41" i="242" s="1"/>
  <c r="J34" i="245"/>
  <c r="J35" i="245"/>
  <c r="AU35" i="245" s="1"/>
  <c r="AU33" i="245"/>
  <c r="BC39" i="245"/>
  <c r="R41" i="245"/>
  <c r="BC41" i="245" s="1"/>
  <c r="R40" i="245"/>
  <c r="D19" i="243"/>
  <c r="V19" i="243" s="1"/>
  <c r="AO22" i="243"/>
  <c r="D26" i="243"/>
  <c r="AO26" i="243" s="1"/>
  <c r="D28" i="243"/>
  <c r="AO28" i="243" s="1"/>
  <c r="D21" i="243"/>
  <c r="D24" i="243"/>
  <c r="E109" i="251"/>
  <c r="F27" i="237"/>
  <c r="F29" i="237"/>
  <c r="AQ23" i="237"/>
  <c r="F25" i="237"/>
  <c r="F35" i="242"/>
  <c r="AQ35" i="242" s="1"/>
  <c r="F34" i="242"/>
  <c r="AQ33" i="242"/>
  <c r="I40" i="242"/>
  <c r="AT39" i="242"/>
  <c r="I41" i="242"/>
  <c r="AT41" i="242" s="1"/>
  <c r="L69" i="253"/>
  <c r="E41" i="237"/>
  <c r="AP41" i="237" s="1"/>
  <c r="AP39" i="237"/>
  <c r="E40" i="237"/>
  <c r="O29" i="245"/>
  <c r="O27" i="245"/>
  <c r="O25" i="245"/>
  <c r="L41" i="244"/>
  <c r="AW41" i="244" s="1"/>
  <c r="L40" i="244"/>
  <c r="AW39" i="244"/>
  <c r="AX22" i="237"/>
  <c r="M24" i="237"/>
  <c r="M26" i="237"/>
  <c r="AX26" i="237" s="1"/>
  <c r="M28" i="237"/>
  <c r="AX28" i="237" s="1"/>
  <c r="M21" i="237"/>
  <c r="Q31" i="237"/>
  <c r="AI31" i="237" s="1"/>
  <c r="AI30" i="237"/>
  <c r="BB30" i="237"/>
  <c r="BD23" i="243"/>
  <c r="S25" i="243"/>
  <c r="S27" i="243"/>
  <c r="S29" i="243"/>
  <c r="R40" i="244"/>
  <c r="R41" i="244"/>
  <c r="BC41" i="244" s="1"/>
  <c r="BC39" i="244"/>
  <c r="O31" i="251"/>
  <c r="AH31" i="251" s="1"/>
  <c r="O144" i="251"/>
  <c r="H27" i="246"/>
  <c r="H29" i="246"/>
  <c r="H25" i="246"/>
  <c r="O34" i="244"/>
  <c r="AZ33" i="244"/>
  <c r="O35" i="244"/>
  <c r="AZ35" i="244" s="1"/>
  <c r="D62" i="253"/>
  <c r="BH33" i="253"/>
  <c r="S35" i="253"/>
  <c r="BH35" i="253" s="1"/>
  <c r="S34" i="253"/>
  <c r="K21" i="237"/>
  <c r="K28" i="237"/>
  <c r="AV28" i="237" s="1"/>
  <c r="K26" i="237"/>
  <c r="AV26" i="237" s="1"/>
  <c r="K24" i="237"/>
  <c r="AV22" i="237"/>
  <c r="E25" i="244"/>
  <c r="E27" i="244"/>
  <c r="E29" i="244"/>
  <c r="J25" i="244"/>
  <c r="J27" i="244"/>
  <c r="J29" i="244"/>
  <c r="R41" i="253"/>
  <c r="BG41" i="253" s="1"/>
  <c r="BG39" i="253"/>
  <c r="R40" i="253"/>
  <c r="Q46" i="242"/>
  <c r="Q43" i="242"/>
  <c r="AI43" i="242" s="1"/>
  <c r="AI42" i="242"/>
  <c r="AW22" i="237"/>
  <c r="L28" i="237"/>
  <c r="AW28" i="237" s="1"/>
  <c r="L21" i="237"/>
  <c r="L26" i="237"/>
  <c r="AW26" i="237" s="1"/>
  <c r="L24" i="237"/>
  <c r="G27" i="242"/>
  <c r="G25" i="242"/>
  <c r="AR23" i="242"/>
  <c r="G29" i="242"/>
  <c r="G35" i="246"/>
  <c r="AR35" i="246" s="1"/>
  <c r="AR33" i="246"/>
  <c r="G34" i="246"/>
  <c r="I41" i="243"/>
  <c r="AT41" i="243" s="1"/>
  <c r="I40" i="243"/>
  <c r="AT39" i="243"/>
  <c r="AX39" i="246"/>
  <c r="M40" i="246"/>
  <c r="M41" i="246"/>
  <c r="AX41" i="246" s="1"/>
  <c r="D21" i="253"/>
  <c r="D29" i="253"/>
  <c r="D27" i="253"/>
  <c r="D25" i="253"/>
  <c r="M40" i="243"/>
  <c r="AX39" i="243"/>
  <c r="M41" i="243"/>
  <c r="AX41" i="243" s="1"/>
  <c r="AK36" i="253"/>
  <c r="BF36" i="253"/>
  <c r="Q37" i="253"/>
  <c r="AK37" i="253" s="1"/>
  <c r="S41" i="242"/>
  <c r="BD41" i="242" s="1"/>
  <c r="S40" i="242"/>
  <c r="BD39" i="242"/>
  <c r="K41" i="242"/>
  <c r="AV41" i="242" s="1"/>
  <c r="AV39" i="242"/>
  <c r="K40" i="242"/>
  <c r="O143" i="251"/>
  <c r="J35" i="237"/>
  <c r="AU35" i="237" s="1"/>
  <c r="AU33" i="237"/>
  <c r="J34" i="237"/>
  <c r="Q41" i="245"/>
  <c r="BB41" i="245" s="1"/>
  <c r="BB39" i="245"/>
  <c r="Q40" i="245"/>
  <c r="AE18" i="245"/>
  <c r="AX18" i="245"/>
  <c r="M19" i="245"/>
  <c r="AE19" i="245" s="1"/>
  <c r="Q31" i="242"/>
  <c r="AI31" i="242" s="1"/>
  <c r="BB30" i="242"/>
  <c r="AI30" i="242"/>
  <c r="N27" i="244"/>
  <c r="N25" i="244"/>
  <c r="N29" i="244"/>
  <c r="H27" i="243"/>
  <c r="AS23" i="243"/>
  <c r="H29" i="243"/>
  <c r="H25" i="243"/>
  <c r="D41" i="246"/>
  <c r="AO41" i="246" s="1"/>
  <c r="D40" i="246"/>
  <c r="AO39" i="246"/>
  <c r="AK19" i="253"/>
  <c r="Q65" i="253"/>
  <c r="AT39" i="245"/>
  <c r="I40" i="245"/>
  <c r="I41" i="245"/>
  <c r="AT41" i="245" s="1"/>
  <c r="I41" i="253"/>
  <c r="AX41" i="253" s="1"/>
  <c r="AX39" i="253"/>
  <c r="I40" i="253"/>
  <c r="R43" i="243"/>
  <c r="AJ43" i="243" s="1"/>
  <c r="R46" i="243"/>
  <c r="AJ42" i="243"/>
  <c r="AT39" i="246"/>
  <c r="I40" i="246"/>
  <c r="I41" i="246"/>
  <c r="AT41" i="246" s="1"/>
  <c r="I34" i="244"/>
  <c r="AT33" i="244"/>
  <c r="I35" i="244"/>
  <c r="AT35" i="244" s="1"/>
  <c r="L21" i="243"/>
  <c r="L28" i="243"/>
  <c r="AW28" i="243" s="1"/>
  <c r="L26" i="243"/>
  <c r="AW26" i="243" s="1"/>
  <c r="AW22" i="243"/>
  <c r="L24" i="243"/>
  <c r="H26" i="237"/>
  <c r="AS26" i="237" s="1"/>
  <c r="H21" i="237"/>
  <c r="AS22" i="237"/>
  <c r="H28" i="237"/>
  <c r="AS28" i="237" s="1"/>
  <c r="H24" i="237"/>
  <c r="AD36" i="246"/>
  <c r="AW36" i="246"/>
  <c r="L37" i="246"/>
  <c r="AD37" i="246" s="1"/>
  <c r="F35" i="253"/>
  <c r="AU35" i="253" s="1"/>
  <c r="F34" i="253"/>
  <c r="AU33" i="253"/>
  <c r="E27" i="245"/>
  <c r="E29" i="245"/>
  <c r="E25" i="245"/>
  <c r="K29" i="243"/>
  <c r="K25" i="243"/>
  <c r="AV23" i="243"/>
  <c r="K27" i="243"/>
  <c r="G31" i="251"/>
  <c r="G144" i="251"/>
  <c r="AH32" i="244"/>
  <c r="P36" i="251"/>
  <c r="BA12" i="244"/>
  <c r="AH38" i="244"/>
  <c r="D34" i="242"/>
  <c r="D35" i="242"/>
  <c r="AO35" i="242" s="1"/>
  <c r="AO33" i="242"/>
  <c r="AO32" i="242" s="1"/>
  <c r="I18" i="243"/>
  <c r="AZ22" i="253"/>
  <c r="K24" i="253"/>
  <c r="K28" i="253"/>
  <c r="AZ28" i="253" s="1"/>
  <c r="K26" i="253"/>
  <c r="AZ26" i="253" s="1"/>
  <c r="K18" i="245"/>
  <c r="O114" i="251"/>
  <c r="O115" i="251"/>
  <c r="O112" i="251"/>
  <c r="AY39" i="253"/>
  <c r="J40" i="253"/>
  <c r="J41" i="253"/>
  <c r="AY41" i="253" s="1"/>
  <c r="F143" i="251"/>
  <c r="G24" i="253"/>
  <c r="AV22" i="253"/>
  <c r="G26" i="253"/>
  <c r="AV26" i="253" s="1"/>
  <c r="G28" i="253"/>
  <c r="AV28" i="253" s="1"/>
  <c r="AP23" i="243"/>
  <c r="E29" i="243"/>
  <c r="E27" i="243"/>
  <c r="E25" i="243"/>
  <c r="H28" i="245"/>
  <c r="AS28" i="245" s="1"/>
  <c r="AS22" i="245"/>
  <c r="H24" i="245"/>
  <c r="H26" i="245"/>
  <c r="AS26" i="245" s="1"/>
  <c r="H21" i="245"/>
  <c r="BE33" i="253"/>
  <c r="P34" i="253"/>
  <c r="P35" i="253"/>
  <c r="BE35" i="253" s="1"/>
  <c r="J41" i="245"/>
  <c r="AU41" i="245" s="1"/>
  <c r="AU39" i="245"/>
  <c r="J40" i="245"/>
  <c r="D143" i="251"/>
  <c r="L18" i="244"/>
  <c r="D29" i="237"/>
  <c r="AO23" i="237"/>
  <c r="D27" i="237"/>
  <c r="D25" i="237"/>
  <c r="AT33" i="242"/>
  <c r="I34" i="242"/>
  <c r="I35" i="242"/>
  <c r="AT35" i="242" s="1"/>
  <c r="BI39" i="253"/>
  <c r="T40" i="253"/>
  <c r="T41" i="253"/>
  <c r="BI41" i="253" s="1"/>
  <c r="G40" i="237"/>
  <c r="AR39" i="237"/>
  <c r="G41" i="237"/>
  <c r="AR41" i="237" s="1"/>
  <c r="G35" i="237"/>
  <c r="AR35" i="237" s="1"/>
  <c r="AR33" i="237"/>
  <c r="G34" i="237"/>
  <c r="E27" i="237"/>
  <c r="AP23" i="237"/>
  <c r="E29" i="237"/>
  <c r="E25" i="237"/>
  <c r="O35" i="245"/>
  <c r="AZ35" i="245" s="1"/>
  <c r="O34" i="245"/>
  <c r="AZ33" i="245"/>
  <c r="K24" i="245"/>
  <c r="K28" i="245"/>
  <c r="AV28" i="245" s="1"/>
  <c r="AV22" i="245"/>
  <c r="K26" i="245"/>
  <c r="AV26" i="245" s="1"/>
  <c r="K21" i="245"/>
  <c r="BD33" i="243"/>
  <c r="S35" i="243"/>
  <c r="BD35" i="243" s="1"/>
  <c r="S34" i="243"/>
  <c r="AI36" i="237"/>
  <c r="Q37" i="237"/>
  <c r="AI37" i="237" s="1"/>
  <c r="BB36" i="237"/>
  <c r="AZ39" i="244"/>
  <c r="O40" i="244"/>
  <c r="O41" i="244"/>
  <c r="AZ41" i="244" s="1"/>
  <c r="T41" i="243"/>
  <c r="BE41" i="243" s="1"/>
  <c r="BE39" i="243"/>
  <c r="T40" i="243"/>
  <c r="K34" i="237"/>
  <c r="AV33" i="237"/>
  <c r="K35" i="237"/>
  <c r="AV35" i="237" s="1"/>
  <c r="O40" i="242"/>
  <c r="AZ39" i="242"/>
  <c r="O41" i="242"/>
  <c r="AZ41" i="242" s="1"/>
  <c r="AW39" i="245"/>
  <c r="L41" i="245"/>
  <c r="AW41" i="245" s="1"/>
  <c r="L40" i="245"/>
  <c r="AP22" i="244"/>
  <c r="E21" i="244"/>
  <c r="E26" i="244"/>
  <c r="AP26" i="244" s="1"/>
  <c r="E24" i="244"/>
  <c r="E28" i="244"/>
  <c r="AP28" i="244" s="1"/>
  <c r="F28" i="246"/>
  <c r="AQ28" i="246" s="1"/>
  <c r="F21" i="246"/>
  <c r="F24" i="246"/>
  <c r="AQ22" i="246"/>
  <c r="F26" i="246"/>
  <c r="AQ26" i="246" s="1"/>
  <c r="R24" i="253"/>
  <c r="BG22" i="253"/>
  <c r="R28" i="253"/>
  <c r="BG28" i="253" s="1"/>
  <c r="R26" i="253"/>
  <c r="BG26" i="253" s="1"/>
  <c r="L40" i="237"/>
  <c r="AW39" i="237"/>
  <c r="L41" i="237"/>
  <c r="AW41" i="237" s="1"/>
  <c r="AP22" i="242"/>
  <c r="E26" i="242"/>
  <c r="AP26" i="242" s="1"/>
  <c r="E24" i="242"/>
  <c r="E28" i="242"/>
  <c r="AP28" i="242" s="1"/>
  <c r="E21" i="242"/>
  <c r="AX33" i="246"/>
  <c r="M34" i="246"/>
  <c r="M35" i="246"/>
  <c r="AX35" i="246" s="1"/>
  <c r="L46" i="253"/>
  <c r="AF46" i="253" s="1"/>
  <c r="AF42" i="253"/>
  <c r="L43" i="253"/>
  <c r="AF43" i="253" s="1"/>
  <c r="G29" i="244"/>
  <c r="G25" i="244"/>
  <c r="G27" i="244"/>
  <c r="AH36" i="243"/>
  <c r="BA36" i="243"/>
  <c r="P37" i="243"/>
  <c r="AH37" i="243" s="1"/>
  <c r="J40" i="237"/>
  <c r="J41" i="237"/>
  <c r="AU41" i="237" s="1"/>
  <c r="AU39" i="237"/>
  <c r="O41" i="253"/>
  <c r="BD41" i="253" s="1"/>
  <c r="BD39" i="253"/>
  <c r="O40" i="253"/>
  <c r="N21" i="243"/>
  <c r="N26" i="243"/>
  <c r="AY26" i="243" s="1"/>
  <c r="N24" i="243"/>
  <c r="AY22" i="243"/>
  <c r="N28" i="243"/>
  <c r="AY28" i="243" s="1"/>
  <c r="S14" i="255"/>
  <c r="BA12" i="243"/>
  <c r="P35" i="251"/>
  <c r="AH32" i="243"/>
  <c r="AH38" i="243"/>
  <c r="D31" i="251"/>
  <c r="F24" i="252" s="1"/>
  <c r="F26" i="252" s="1"/>
  <c r="D144" i="251"/>
  <c r="N40" i="244"/>
  <c r="AY39" i="244"/>
  <c r="N41" i="244"/>
  <c r="AY41" i="244" s="1"/>
  <c r="F25" i="245"/>
  <c r="F27" i="245"/>
  <c r="F29" i="245"/>
  <c r="D19" i="246"/>
  <c r="V19" i="246" s="1"/>
  <c r="BC36" i="242"/>
  <c r="AJ36" i="242"/>
  <c r="R37" i="242"/>
  <c r="AJ37" i="242" s="1"/>
  <c r="I29" i="245"/>
  <c r="I27" i="245"/>
  <c r="I25" i="245"/>
  <c r="F21" i="244"/>
  <c r="AQ22" i="244"/>
  <c r="F28" i="244"/>
  <c r="AQ28" i="244" s="1"/>
  <c r="F24" i="244"/>
  <c r="F26" i="244"/>
  <c r="AQ26" i="244" s="1"/>
  <c r="I35" i="246"/>
  <c r="AT35" i="246" s="1"/>
  <c r="I34" i="246"/>
  <c r="AT33" i="246"/>
  <c r="N46" i="242"/>
  <c r="N47" i="242" s="1"/>
  <c r="AF42" i="242"/>
  <c r="N43" i="242"/>
  <c r="AF43" i="242" s="1"/>
  <c r="H18" i="253"/>
  <c r="F26" i="243"/>
  <c r="AQ26" i="243" s="1"/>
  <c r="F21" i="243"/>
  <c r="AQ22" i="243"/>
  <c r="F28" i="243"/>
  <c r="AQ28" i="243" s="1"/>
  <c r="F24" i="243"/>
  <c r="R13" i="255"/>
  <c r="O34" i="251"/>
  <c r="AY12" i="242"/>
  <c r="AF38" i="242"/>
  <c r="AF32" i="242"/>
  <c r="AU39" i="246"/>
  <c r="J41" i="246"/>
  <c r="AU41" i="246" s="1"/>
  <c r="J40" i="246"/>
  <c r="D28" i="242"/>
  <c r="AO28" i="242" s="1"/>
  <c r="AO22" i="242"/>
  <c r="D26" i="242"/>
  <c r="AO26" i="242" s="1"/>
  <c r="D21" i="242"/>
  <c r="D24" i="242"/>
  <c r="K41" i="244"/>
  <c r="AV41" i="244" s="1"/>
  <c r="AV39" i="244"/>
  <c r="K40" i="244"/>
  <c r="K40" i="253"/>
  <c r="K41" i="253"/>
  <c r="AZ41" i="253" s="1"/>
  <c r="AZ39" i="253"/>
  <c r="AV22" i="246"/>
  <c r="K28" i="246"/>
  <c r="AV28" i="246" s="1"/>
  <c r="K26" i="246"/>
  <c r="AV26" i="246" s="1"/>
  <c r="K21" i="246"/>
  <c r="K24" i="246"/>
  <c r="BA36" i="253"/>
  <c r="AF36" i="253"/>
  <c r="L37" i="253"/>
  <c r="AF37" i="253" s="1"/>
  <c r="D26" i="245"/>
  <c r="AO26" i="245" s="1"/>
  <c r="D28" i="245"/>
  <c r="AO28" i="245" s="1"/>
  <c r="AO22" i="245"/>
  <c r="D21" i="245"/>
  <c r="D24" i="245"/>
  <c r="N35" i="237"/>
  <c r="AY35" i="237" s="1"/>
  <c r="N34" i="237"/>
  <c r="AY33" i="237"/>
  <c r="N40" i="237"/>
  <c r="N41" i="237"/>
  <c r="AY41" i="237" s="1"/>
  <c r="AY39" i="237"/>
  <c r="Q25" i="243"/>
  <c r="BB23" i="243"/>
  <c r="Q27" i="243"/>
  <c r="Q29" i="243"/>
  <c r="BA34" i="245"/>
  <c r="P36" i="245"/>
  <c r="AP39" i="246"/>
  <c r="E41" i="246"/>
  <c r="AP41" i="246" s="1"/>
  <c r="E40" i="246"/>
  <c r="AV33" i="253"/>
  <c r="G34" i="253"/>
  <c r="G35" i="253"/>
  <c r="AV35" i="253" s="1"/>
  <c r="AP33" i="243"/>
  <c r="E34" i="243"/>
  <c r="E35" i="243"/>
  <c r="AP35" i="243" s="1"/>
  <c r="H41" i="245"/>
  <c r="AS41" i="245" s="1"/>
  <c r="AS39" i="245"/>
  <c r="H40" i="245"/>
  <c r="M29" i="253"/>
  <c r="M21" i="253"/>
  <c r="M25" i="253"/>
  <c r="M27" i="253"/>
  <c r="P26" i="253"/>
  <c r="BE26" i="253" s="1"/>
  <c r="BE22" i="253"/>
  <c r="P28" i="253"/>
  <c r="BE28" i="253" s="1"/>
  <c r="P24" i="253"/>
  <c r="R34" i="245"/>
  <c r="R35" i="245"/>
  <c r="BC35" i="245" s="1"/>
  <c r="BC33" i="245"/>
  <c r="J40" i="242"/>
  <c r="J41" i="242"/>
  <c r="AU41" i="242" s="1"/>
  <c r="AU39" i="242"/>
  <c r="I18" i="245"/>
  <c r="M36" i="245"/>
  <c r="AX34" i="245"/>
  <c r="G18" i="242"/>
  <c r="H109" i="251"/>
  <c r="S25" i="237"/>
  <c r="BD23" i="237"/>
  <c r="S29" i="237"/>
  <c r="S27" i="237"/>
  <c r="BK18" i="253"/>
  <c r="L34" i="244"/>
  <c r="L35" i="244"/>
  <c r="AW35" i="244" s="1"/>
  <c r="AW33" i="244"/>
  <c r="K34" i="245"/>
  <c r="K35" i="245"/>
  <c r="AV35" i="245" s="1"/>
  <c r="AV33" i="245"/>
  <c r="M34" i="237"/>
  <c r="M35" i="237"/>
  <c r="AX35" i="237" s="1"/>
  <c r="AX33" i="237"/>
  <c r="BD22" i="243"/>
  <c r="S26" i="243"/>
  <c r="BD26" i="243" s="1"/>
  <c r="S24" i="243"/>
  <c r="S28" i="243"/>
  <c r="BD28" i="243" s="1"/>
  <c r="S21" i="243"/>
  <c r="BC33" i="244"/>
  <c r="R34" i="244"/>
  <c r="R35" i="244"/>
  <c r="BC35" i="244" s="1"/>
  <c r="P17" i="255"/>
  <c r="AD38" i="246"/>
  <c r="M38" i="251"/>
  <c r="AW12" i="246"/>
  <c r="AD32" i="246"/>
  <c r="H40" i="253"/>
  <c r="H41" i="253"/>
  <c r="AW41" i="253" s="1"/>
  <c r="AW39" i="253"/>
  <c r="S41" i="253"/>
  <c r="BH41" i="253" s="1"/>
  <c r="S40" i="253"/>
  <c r="BH39" i="253"/>
  <c r="O21" i="242"/>
  <c r="AZ22" i="242"/>
  <c r="O26" i="242"/>
  <c r="AZ26" i="242" s="1"/>
  <c r="O28" i="242"/>
  <c r="AZ28" i="242" s="1"/>
  <c r="O24" i="242"/>
  <c r="J35" i="244"/>
  <c r="AU35" i="244" s="1"/>
  <c r="AU33" i="244"/>
  <c r="J34" i="244"/>
  <c r="R41" i="237"/>
  <c r="BC41" i="237" s="1"/>
  <c r="R40" i="237"/>
  <c r="BC39" i="237"/>
  <c r="E29" i="253"/>
  <c r="E21" i="253"/>
  <c r="E27" i="253"/>
  <c r="E25" i="253"/>
  <c r="R18" i="244"/>
  <c r="L35" i="237"/>
  <c r="AW35" i="237" s="1"/>
  <c r="L34" i="237"/>
  <c r="AW33" i="237"/>
  <c r="L25" i="242"/>
  <c r="L27" i="242"/>
  <c r="AW23" i="242"/>
  <c r="L29" i="242"/>
  <c r="E29" i="242"/>
  <c r="AP23" i="242"/>
  <c r="E25" i="242"/>
  <c r="E27" i="242"/>
  <c r="M24" i="246"/>
  <c r="M26" i="246"/>
  <c r="AX26" i="246" s="1"/>
  <c r="M28" i="246"/>
  <c r="AX28" i="246" s="1"/>
  <c r="AX22" i="246"/>
  <c r="M21" i="246"/>
  <c r="N18" i="243"/>
  <c r="O25" i="243"/>
  <c r="AZ23" i="243"/>
  <c r="O27" i="243"/>
  <c r="O29" i="243"/>
  <c r="AT23" i="237"/>
  <c r="I29" i="237"/>
  <c r="I25" i="237"/>
  <c r="I27" i="237"/>
  <c r="BA40" i="245"/>
  <c r="BA42" i="245" s="1"/>
  <c r="P42" i="245"/>
  <c r="K24" i="242"/>
  <c r="K21" i="242"/>
  <c r="AV22" i="242"/>
  <c r="K28" i="242"/>
  <c r="AV28" i="242" s="1"/>
  <c r="K26" i="242"/>
  <c r="AV26" i="242" s="1"/>
  <c r="AD18" i="253"/>
  <c r="AY18" i="253"/>
  <c r="J62" i="253"/>
  <c r="AU23" i="237"/>
  <c r="J27" i="237"/>
  <c r="J25" i="237"/>
  <c r="J29" i="237"/>
  <c r="Q21" i="245"/>
  <c r="Q28" i="245"/>
  <c r="BB28" i="245" s="1"/>
  <c r="Q24" i="245"/>
  <c r="BB22" i="245"/>
  <c r="Q26" i="245"/>
  <c r="BB26" i="245" s="1"/>
  <c r="O24" i="253"/>
  <c r="BD22" i="253"/>
  <c r="O28" i="253"/>
  <c r="BD28" i="253" s="1"/>
  <c r="O26" i="253"/>
  <c r="BD26" i="253" s="1"/>
  <c r="F62" i="253"/>
  <c r="D40" i="244"/>
  <c r="AO39" i="244"/>
  <c r="D41" i="244"/>
  <c r="AO41" i="244" s="1"/>
  <c r="AS39" i="243"/>
  <c r="H40" i="243"/>
  <c r="H41" i="243"/>
  <c r="AS41" i="243" s="1"/>
  <c r="D28" i="246"/>
  <c r="AO28" i="246" s="1"/>
  <c r="D24" i="246"/>
  <c r="AO22" i="246"/>
  <c r="D26" i="246"/>
  <c r="AO26" i="246" s="1"/>
  <c r="D21" i="246"/>
  <c r="P30" i="245"/>
  <c r="BA24" i="245"/>
  <c r="P50" i="245"/>
  <c r="AT33" i="245"/>
  <c r="I34" i="245"/>
  <c r="I35" i="245"/>
  <c r="AT35" i="245" s="1"/>
  <c r="I29" i="253"/>
  <c r="I21" i="253"/>
  <c r="I27" i="253"/>
  <c r="I25" i="253"/>
  <c r="F35" i="244"/>
  <c r="AQ35" i="244" s="1"/>
  <c r="AQ33" i="244"/>
  <c r="F34" i="244"/>
  <c r="J143" i="251"/>
  <c r="J145" i="251" s="1"/>
  <c r="AT39" i="244"/>
  <c r="I40" i="244"/>
  <c r="I41" i="244"/>
  <c r="AT41" i="244" s="1"/>
  <c r="N29" i="253"/>
  <c r="N25" i="253"/>
  <c r="N21" i="253"/>
  <c r="N27" i="253"/>
  <c r="AJ38" i="242"/>
  <c r="AJ32" i="242"/>
  <c r="S34" i="251"/>
  <c r="BC12" i="242"/>
  <c r="V13" i="255"/>
  <c r="AW33" i="243"/>
  <c r="L34" i="243"/>
  <c r="L35" i="243"/>
  <c r="AW35" i="243" s="1"/>
  <c r="P31" i="244"/>
  <c r="AH31" i="244" s="1"/>
  <c r="BA30" i="244"/>
  <c r="AH30" i="244"/>
  <c r="AX33" i="244"/>
  <c r="M35" i="244"/>
  <c r="AX35" i="244" s="1"/>
  <c r="M34" i="244"/>
  <c r="Q18" i="245"/>
  <c r="H34" i="244"/>
  <c r="H35" i="244"/>
  <c r="AS35" i="244" s="1"/>
  <c r="AS33" i="244"/>
  <c r="BB12" i="244"/>
  <c r="AI32" i="244"/>
  <c r="AI38" i="244"/>
  <c r="Q36" i="251"/>
  <c r="F41" i="253"/>
  <c r="AU41" i="253" s="1"/>
  <c r="F40" i="253"/>
  <c r="AU39" i="253"/>
  <c r="AX23" i="242"/>
  <c r="M25" i="242"/>
  <c r="M27" i="242"/>
  <c r="M29" i="242"/>
  <c r="E34" i="245"/>
  <c r="E35" i="245"/>
  <c r="AP35" i="245" s="1"/>
  <c r="AP33" i="245"/>
  <c r="AQ39" i="243"/>
  <c r="F41" i="243"/>
  <c r="AQ41" i="243" s="1"/>
  <c r="F40" i="243"/>
  <c r="R18" i="253"/>
  <c r="D29" i="242"/>
  <c r="D25" i="242"/>
  <c r="AO23" i="242"/>
  <c r="D27" i="242"/>
  <c r="F31" i="251"/>
  <c r="F144" i="251"/>
  <c r="G26" i="245"/>
  <c r="AR26" i="245" s="1"/>
  <c r="G21" i="245"/>
  <c r="G24" i="245"/>
  <c r="AR22" i="245"/>
  <c r="G28" i="245"/>
  <c r="AR28" i="245" s="1"/>
  <c r="J28" i="243"/>
  <c r="AU28" i="243" s="1"/>
  <c r="J26" i="243"/>
  <c r="AU26" i="243" s="1"/>
  <c r="AU22" i="243"/>
  <c r="J24" i="243"/>
  <c r="J21" i="243"/>
  <c r="L143" i="251"/>
  <c r="N21" i="237"/>
  <c r="N26" i="237"/>
  <c r="AY26" i="237" s="1"/>
  <c r="N28" i="237"/>
  <c r="AY28" i="237" s="1"/>
  <c r="AY22" i="237"/>
  <c r="N24" i="237"/>
  <c r="AY33" i="253"/>
  <c r="J34" i="253"/>
  <c r="J35" i="253"/>
  <c r="AY35" i="253" s="1"/>
  <c r="K39" i="262"/>
  <c r="AP39" i="243"/>
  <c r="E41" i="243"/>
  <c r="AP41" i="243" s="1"/>
  <c r="E40" i="243"/>
  <c r="H35" i="245"/>
  <c r="AS35" i="245" s="1"/>
  <c r="AS33" i="245"/>
  <c r="H34" i="245"/>
  <c r="M40" i="253"/>
  <c r="BB39" i="253"/>
  <c r="M41" i="253"/>
  <c r="BB41" i="253" s="1"/>
  <c r="H27" i="242"/>
  <c r="H29" i="242"/>
  <c r="AS23" i="242"/>
  <c r="H25" i="242"/>
  <c r="L18" i="245"/>
  <c r="J26" i="245"/>
  <c r="AU26" i="245" s="1"/>
  <c r="J24" i="245"/>
  <c r="J21" i="245"/>
  <c r="AU22" i="245"/>
  <c r="J28" i="245"/>
  <c r="AU28" i="245" s="1"/>
  <c r="R24" i="245"/>
  <c r="R28" i="245"/>
  <c r="BC28" i="245" s="1"/>
  <c r="R21" i="245"/>
  <c r="R26" i="245"/>
  <c r="BC26" i="245" s="1"/>
  <c r="BC22" i="245"/>
  <c r="E18" i="244"/>
  <c r="R18" i="237"/>
  <c r="J28" i="242"/>
  <c r="AU28" i="242" s="1"/>
  <c r="J26" i="242"/>
  <c r="AU26" i="242" s="1"/>
  <c r="J21" i="242"/>
  <c r="J24" i="242"/>
  <c r="AU22" i="242"/>
  <c r="AF30" i="242"/>
  <c r="AY30" i="242"/>
  <c r="G109" i="251"/>
  <c r="BA39" i="237"/>
  <c r="P40" i="237"/>
  <c r="P41" i="237"/>
  <c r="BA41" i="237" s="1"/>
  <c r="T26" i="253"/>
  <c r="BI26" i="253" s="1"/>
  <c r="BI22" i="253"/>
  <c r="T28" i="253"/>
  <c r="BI28" i="253" s="1"/>
  <c r="T24" i="253"/>
  <c r="R24" i="252"/>
  <c r="R26" i="252" s="1"/>
  <c r="AP19" i="253"/>
  <c r="AK5" i="223"/>
  <c r="AL4" i="223"/>
  <c r="AK8" i="223"/>
  <c r="AK9" i="223" s="1"/>
  <c r="AG26" i="198"/>
  <c r="AH25" i="223"/>
  <c r="V140" i="229"/>
  <c r="V206" i="229" s="1"/>
  <c r="V107" i="229"/>
  <c r="V203" i="229" s="1"/>
  <c r="V151" i="229"/>
  <c r="V207" i="229" s="1"/>
  <c r="V74" i="229"/>
  <c r="V200" i="229" s="1"/>
  <c r="V118" i="229"/>
  <c r="V204" i="229" s="1"/>
  <c r="Z85" i="229"/>
  <c r="Z201" i="229" s="1"/>
  <c r="V162" i="229"/>
  <c r="V208" i="229" s="1"/>
  <c r="D28" i="229"/>
  <c r="H19" i="229"/>
  <c r="V129" i="229"/>
  <c r="V205" i="229" s="1"/>
  <c r="H13" i="257"/>
  <c r="AH24" i="223"/>
  <c r="AF13" i="204"/>
  <c r="P57" i="228"/>
  <c r="I37" i="224"/>
  <c r="Y34" i="204"/>
  <c r="Y33" i="204" s="1"/>
  <c r="AA34" i="204"/>
  <c r="AA33" i="204" s="1"/>
  <c r="M34" i="204"/>
  <c r="M33" i="204" s="1"/>
  <c r="Z34" i="204"/>
  <c r="Z33" i="204" s="1"/>
  <c r="T34" i="204"/>
  <c r="T33" i="204" s="1"/>
  <c r="W34" i="204"/>
  <c r="W33" i="204" s="1"/>
  <c r="S34" i="204"/>
  <c r="S33" i="204" s="1"/>
  <c r="K34" i="204"/>
  <c r="K33" i="204" s="1"/>
  <c r="H34" i="204"/>
  <c r="H33" i="204" s="1"/>
  <c r="Q34" i="204"/>
  <c r="Q33" i="204" s="1"/>
  <c r="L34" i="204"/>
  <c r="L33" i="204" s="1"/>
  <c r="AE34" i="204"/>
  <c r="AE33" i="204" s="1"/>
  <c r="P34" i="204"/>
  <c r="P33" i="204" s="1"/>
  <c r="O34" i="204"/>
  <c r="O33" i="204" s="1"/>
  <c r="AC34" i="204"/>
  <c r="AC33" i="204" s="1"/>
  <c r="V34" i="204"/>
  <c r="V33" i="204" s="1"/>
  <c r="N34" i="204"/>
  <c r="N33" i="204" s="1"/>
  <c r="U34" i="204"/>
  <c r="U33" i="204" s="1"/>
  <c r="AB34" i="204"/>
  <c r="AB33" i="204" s="1"/>
  <c r="I34" i="204"/>
  <c r="I33" i="204" s="1"/>
  <c r="R34" i="204"/>
  <c r="R33" i="204" s="1"/>
  <c r="J34" i="204"/>
  <c r="J33" i="204" s="1"/>
  <c r="AD34" i="204"/>
  <c r="AD33" i="204" s="1"/>
  <c r="X34" i="204"/>
  <c r="X33" i="204" s="1"/>
  <c r="X49" i="228"/>
  <c r="N57" i="228"/>
  <c r="G176" i="259"/>
  <c r="G178" i="259" s="1"/>
  <c r="G37" i="224"/>
  <c r="G175" i="224"/>
  <c r="F53" i="228"/>
  <c r="V52" i="229"/>
  <c r="V198" i="229" s="1"/>
  <c r="V173" i="229"/>
  <c r="V209" i="229" s="1"/>
  <c r="Z41" i="229"/>
  <c r="Z197" i="229" s="1"/>
  <c r="B210" i="229"/>
  <c r="V184" i="229"/>
  <c r="V210" i="229" s="1"/>
  <c r="J37" i="259"/>
  <c r="J115" i="259" s="1"/>
  <c r="J115" i="224"/>
  <c r="Q18" i="246"/>
  <c r="Q19" i="246" s="1"/>
  <c r="AI19" i="246" s="1"/>
  <c r="S37" i="251"/>
  <c r="BD12" i="245"/>
  <c r="V16" i="255"/>
  <c r="AK32" i="245"/>
  <c r="AK38" i="245"/>
  <c r="AH21" i="246"/>
  <c r="P12" i="246"/>
  <c r="BC39" i="246"/>
  <c r="R41" i="246"/>
  <c r="BC41" i="246" s="1"/>
  <c r="R40" i="246"/>
  <c r="X12" i="255"/>
  <c r="Y12" i="255"/>
  <c r="Z12" i="255"/>
  <c r="BE12" i="237"/>
  <c r="AL38" i="237"/>
  <c r="AL32" i="237"/>
  <c r="T36" i="244"/>
  <c r="BE34" i="244"/>
  <c r="R27" i="246"/>
  <c r="R29" i="246"/>
  <c r="R25" i="246"/>
  <c r="T31" i="237"/>
  <c r="AL31" i="237" s="1"/>
  <c r="AL30" i="237"/>
  <c r="BE30" i="237"/>
  <c r="BD30" i="245"/>
  <c r="AK30" i="245"/>
  <c r="T30" i="244"/>
  <c r="T31" i="244" s="1"/>
  <c r="AL31" i="244" s="1"/>
  <c r="BE24" i="244"/>
  <c r="T50" i="244"/>
  <c r="AO30" i="253"/>
  <c r="BJ30" i="253"/>
  <c r="U73" i="253"/>
  <c r="U72" i="253" s="1"/>
  <c r="T42" i="244"/>
  <c r="BE40" i="244"/>
  <c r="BE42" i="244" s="1"/>
  <c r="AH18" i="246"/>
  <c r="BA18" i="246"/>
  <c r="P19" i="246"/>
  <c r="AH19" i="246" s="1"/>
  <c r="AO42" i="253"/>
  <c r="U46" i="253"/>
  <c r="AO46" i="253" s="1"/>
  <c r="U43" i="253"/>
  <c r="AO43" i="253" s="1"/>
  <c r="T46" i="242"/>
  <c r="AL46" i="242" s="1"/>
  <c r="AL42" i="242"/>
  <c r="T43" i="242"/>
  <c r="AL43" i="242" s="1"/>
  <c r="Q34" i="246"/>
  <c r="BB33" i="246"/>
  <c r="Q35" i="246"/>
  <c r="BB35" i="246" s="1"/>
  <c r="S27" i="252"/>
  <c r="S17" i="255"/>
  <c r="P38" i="251"/>
  <c r="AZ12" i="246"/>
  <c r="AG32" i="246"/>
  <c r="AG38" i="246"/>
  <c r="BK21" i="253"/>
  <c r="AP21" i="253"/>
  <c r="V70" i="253"/>
  <c r="V12" i="253"/>
  <c r="AG42" i="246"/>
  <c r="O43" i="246"/>
  <c r="AG43" i="246" s="1"/>
  <c r="AO38" i="253"/>
  <c r="S46" i="244"/>
  <c r="S47" i="244" s="1"/>
  <c r="AK42" i="244"/>
  <c r="S43" i="244"/>
  <c r="AK43" i="244" s="1"/>
  <c r="AL30" i="242"/>
  <c r="BE30" i="242"/>
  <c r="X13" i="255"/>
  <c r="Y13" i="255"/>
  <c r="BE12" i="242"/>
  <c r="Z13" i="255"/>
  <c r="AL38" i="242"/>
  <c r="AL32" i="242"/>
  <c r="BA24" i="246"/>
  <c r="P30" i="246"/>
  <c r="P31" i="246" s="1"/>
  <c r="AH31" i="246" s="1"/>
  <c r="P50" i="246"/>
  <c r="BK34" i="253"/>
  <c r="V36" i="253"/>
  <c r="AL36" i="237"/>
  <c r="BE36" i="237"/>
  <c r="T37" i="237"/>
  <c r="AL37" i="237" s="1"/>
  <c r="BD30" i="244"/>
  <c r="AK30" i="244"/>
  <c r="Q40" i="246"/>
  <c r="Q41" i="246"/>
  <c r="BB41" i="246" s="1"/>
  <c r="BB39" i="246"/>
  <c r="BD12" i="244"/>
  <c r="S36" i="251"/>
  <c r="AK32" i="244"/>
  <c r="AK38" i="244"/>
  <c r="U69" i="253"/>
  <c r="AC20" i="231"/>
  <c r="AC97" i="231" s="1"/>
  <c r="AB97" i="231"/>
  <c r="AK36" i="244"/>
  <c r="BD36" i="244"/>
  <c r="S37" i="244"/>
  <c r="AK37" i="244" s="1"/>
  <c r="BA40" i="246"/>
  <c r="BA42" i="246" s="1"/>
  <c r="P42" i="246"/>
  <c r="BE18" i="244"/>
  <c r="AL18" i="244"/>
  <c r="T19" i="244"/>
  <c r="AL19" i="244" s="1"/>
  <c r="Q25" i="246"/>
  <c r="Q27" i="246"/>
  <c r="Q29" i="246"/>
  <c r="S31" i="244"/>
  <c r="AK31" i="244" s="1"/>
  <c r="T9" i="246"/>
  <c r="AL10" i="246"/>
  <c r="BC22" i="246"/>
  <c r="R24" i="246"/>
  <c r="R26" i="246"/>
  <c r="BC26" i="246" s="1"/>
  <c r="R21" i="246"/>
  <c r="R28" i="246"/>
  <c r="BC28" i="246" s="1"/>
  <c r="T42" i="245"/>
  <c r="BE40" i="245"/>
  <c r="BE42" i="245" s="1"/>
  <c r="BE36" i="242"/>
  <c r="AL36" i="242"/>
  <c r="T37" i="242"/>
  <c r="AL37" i="242" s="1"/>
  <c r="BK24" i="253"/>
  <c r="V30" i="253"/>
  <c r="S15" i="246"/>
  <c r="T29" i="251"/>
  <c r="T23" i="251" s="1"/>
  <c r="S17" i="246"/>
  <c r="S14" i="246"/>
  <c r="S46" i="245"/>
  <c r="AK42" i="245"/>
  <c r="S43" i="245"/>
  <c r="AK43" i="245" s="1"/>
  <c r="V42" i="253"/>
  <c r="BK40" i="253"/>
  <c r="BK42" i="253" s="1"/>
  <c r="O46" i="246"/>
  <c r="AG30" i="246"/>
  <c r="AZ30" i="246"/>
  <c r="AL21" i="245"/>
  <c r="T12" i="245"/>
  <c r="Q21" i="246"/>
  <c r="Q28" i="246"/>
  <c r="BB28" i="246" s="1"/>
  <c r="Q26" i="246"/>
  <c r="BB26" i="246" s="1"/>
  <c r="BB22" i="246"/>
  <c r="Q24" i="246"/>
  <c r="AO36" i="253"/>
  <c r="BJ36" i="253"/>
  <c r="U37" i="253"/>
  <c r="AO37" i="253" s="1"/>
  <c r="R18" i="246"/>
  <c r="BE24" i="245"/>
  <c r="T30" i="245"/>
  <c r="T31" i="245" s="1"/>
  <c r="AL31" i="245" s="1"/>
  <c r="T50" i="245"/>
  <c r="AL42" i="237"/>
  <c r="T46" i="237"/>
  <c r="AL46" i="237" s="1"/>
  <c r="T43" i="237"/>
  <c r="AL43" i="237" s="1"/>
  <c r="AK36" i="245"/>
  <c r="BD36" i="245"/>
  <c r="S37" i="245"/>
  <c r="AK37" i="245" s="1"/>
  <c r="U27" i="252"/>
  <c r="S16" i="257"/>
  <c r="S18" i="257" s="1"/>
  <c r="S19" i="257" s="1"/>
  <c r="BE34" i="245"/>
  <c r="T36" i="245"/>
  <c r="R34" i="246"/>
  <c r="R35" i="246"/>
  <c r="BC35" i="246" s="1"/>
  <c r="BC33" i="246"/>
  <c r="BE21" i="244"/>
  <c r="AL21" i="244"/>
  <c r="T12" i="244"/>
  <c r="S15" i="255" s="1"/>
  <c r="BE18" i="245"/>
  <c r="AL18" i="245"/>
  <c r="T19" i="245"/>
  <c r="AL19" i="245" s="1"/>
  <c r="BA34" i="246"/>
  <c r="P36" i="246"/>
  <c r="AZ36" i="246"/>
  <c r="AG36" i="246"/>
  <c r="O37" i="246"/>
  <c r="AG37" i="246" s="1"/>
  <c r="AO19" i="253"/>
  <c r="U65" i="253"/>
  <c r="Q226" i="229"/>
  <c r="P229" i="229"/>
  <c r="P216" i="229"/>
  <c r="P108" i="229"/>
  <c r="P222" i="229" s="1"/>
  <c r="Q75" i="229"/>
  <c r="Q219" i="229" s="1"/>
  <c r="Q31" i="229"/>
  <c r="R29" i="229" s="1"/>
  <c r="R141" i="229"/>
  <c r="Q128" i="229"/>
  <c r="P224" i="229"/>
  <c r="P223" i="229"/>
  <c r="Q117" i="229"/>
  <c r="Q41" i="229"/>
  <c r="Q197" i="229" s="1"/>
  <c r="E22" i="259"/>
  <c r="E23" i="259" s="1"/>
  <c r="E23" i="224"/>
  <c r="Q221" i="229"/>
  <c r="R95" i="229"/>
  <c r="R53" i="229"/>
  <c r="Q174" i="229"/>
  <c r="Q184" i="229"/>
  <c r="Q210" i="229" s="1"/>
  <c r="R151" i="229"/>
  <c r="R207" i="229" s="1"/>
  <c r="AE96" i="229"/>
  <c r="AE202" i="229" s="1"/>
  <c r="P63" i="229"/>
  <c r="P199" i="229" s="1"/>
  <c r="P163" i="229"/>
  <c r="Q86" i="229"/>
  <c r="Y18" i="243" l="1"/>
  <c r="P38" i="234" s="1"/>
  <c r="O36" i="265" s="1"/>
  <c r="N115" i="251"/>
  <c r="AC18" i="246"/>
  <c r="AV18" i="246"/>
  <c r="X18" i="253"/>
  <c r="M42" i="234" s="1"/>
  <c r="L40" i="265" s="1"/>
  <c r="V18" i="246"/>
  <c r="M41" i="234" s="1"/>
  <c r="L39" i="265" s="1"/>
  <c r="Z18" i="253"/>
  <c r="O42" i="234" s="1"/>
  <c r="N40" i="265" s="1"/>
  <c r="AU18" i="253"/>
  <c r="J42" i="234" s="1"/>
  <c r="I40" i="265" s="1"/>
  <c r="X18" i="243"/>
  <c r="O38" i="234" s="1"/>
  <c r="N36" i="265" s="1"/>
  <c r="AS18" i="253"/>
  <c r="H42" i="234" s="1"/>
  <c r="G40" i="265" s="1"/>
  <c r="M19" i="243"/>
  <c r="AE19" i="243" s="1"/>
  <c r="H19" i="242"/>
  <c r="Z19" i="242" s="1"/>
  <c r="Z18" i="242"/>
  <c r="Q37" i="234" s="1"/>
  <c r="P35" i="265" s="1"/>
  <c r="AI18" i="243"/>
  <c r="BB18" i="243"/>
  <c r="G19" i="244"/>
  <c r="Y19" i="244" s="1"/>
  <c r="AE31" i="251"/>
  <c r="AX18" i="253"/>
  <c r="V18" i="242"/>
  <c r="M37" i="234" s="1"/>
  <c r="L35" i="265" s="1"/>
  <c r="AC18" i="253"/>
  <c r="AO18" i="242"/>
  <c r="H37" i="234" s="1"/>
  <c r="G35" i="265" s="1"/>
  <c r="I62" i="253"/>
  <c r="Z18" i="244"/>
  <c r="Q39" i="234" s="1"/>
  <c r="P37" i="265" s="1"/>
  <c r="AS18" i="244"/>
  <c r="L39" i="234" s="1"/>
  <c r="F39" i="234" s="1"/>
  <c r="E37" i="265" s="1"/>
  <c r="AR18" i="246"/>
  <c r="K41" i="234" s="1"/>
  <c r="J39" i="265" s="1"/>
  <c r="Y18" i="244"/>
  <c r="BE18" i="253"/>
  <c r="J112" i="251"/>
  <c r="P19" i="253"/>
  <c r="AJ19" i="253" s="1"/>
  <c r="AR18" i="243"/>
  <c r="K38" i="234" s="1"/>
  <c r="J36" i="265" s="1"/>
  <c r="J114" i="251"/>
  <c r="J113" i="251" s="1"/>
  <c r="J56" i="251" s="1"/>
  <c r="Z18" i="237"/>
  <c r="Q36" i="234" s="1"/>
  <c r="P34" i="265" s="1"/>
  <c r="P62" i="253"/>
  <c r="Y18" i="246"/>
  <c r="P41" i="234" s="1"/>
  <c r="O39" i="265" s="1"/>
  <c r="AI31" i="251"/>
  <c r="L114" i="251"/>
  <c r="L113" i="251" s="1"/>
  <c r="L56" i="251" s="1"/>
  <c r="F65" i="253"/>
  <c r="B291" i="229"/>
  <c r="B229" i="229"/>
  <c r="B270" i="229"/>
  <c r="B335" i="229"/>
  <c r="B248" i="229"/>
  <c r="Y18" i="253"/>
  <c r="N42" i="234" s="1"/>
  <c r="M40" i="265" s="1"/>
  <c r="AB18" i="246"/>
  <c r="E65" i="253"/>
  <c r="AF18" i="246"/>
  <c r="X18" i="245"/>
  <c r="O40" i="234" s="1"/>
  <c r="N38" i="265" s="1"/>
  <c r="AY18" i="246"/>
  <c r="F19" i="245"/>
  <c r="X19" i="245" s="1"/>
  <c r="T19" i="253"/>
  <c r="T65" i="253" s="1"/>
  <c r="BI18" i="253"/>
  <c r="AJ31" i="251"/>
  <c r="T24" i="252"/>
  <c r="T26" i="252" s="1"/>
  <c r="R16" i="257" s="1"/>
  <c r="R18" i="257" s="1"/>
  <c r="R19" i="257" s="1"/>
  <c r="E62" i="253"/>
  <c r="AN18" i="253"/>
  <c r="AT18" i="253"/>
  <c r="I42" i="234" s="1"/>
  <c r="H40" i="265" s="1"/>
  <c r="V15" i="255"/>
  <c r="P39" i="234"/>
  <c r="O37" i="265" s="1"/>
  <c r="K39" i="234"/>
  <c r="J37" i="265" s="1"/>
  <c r="D15" i="255"/>
  <c r="D11" i="255" s="1"/>
  <c r="E15" i="255"/>
  <c r="E11" i="255" s="1"/>
  <c r="F15" i="255"/>
  <c r="F11" i="255" s="1"/>
  <c r="T15" i="255"/>
  <c r="R19" i="245"/>
  <c r="AJ19" i="245" s="1"/>
  <c r="J19" i="242"/>
  <c r="AB19" i="242" s="1"/>
  <c r="AQ18" i="237"/>
  <c r="J36" i="234" s="1"/>
  <c r="I34" i="265" s="1"/>
  <c r="X18" i="237"/>
  <c r="O36" i="234" s="1"/>
  <c r="N34" i="265" s="1"/>
  <c r="P19" i="237"/>
  <c r="AH19" i="237" s="1"/>
  <c r="AH18" i="237"/>
  <c r="Z31" i="251"/>
  <c r="M62" i="253"/>
  <c r="AQ18" i="243"/>
  <c r="J38" i="234" s="1"/>
  <c r="I36" i="265" s="1"/>
  <c r="L112" i="251"/>
  <c r="AD18" i="243"/>
  <c r="BB18" i="253"/>
  <c r="AU18" i="245"/>
  <c r="I19" i="242"/>
  <c r="AA19" i="242" s="1"/>
  <c r="L19" i="243"/>
  <c r="AD19" i="243" s="1"/>
  <c r="AG18" i="253"/>
  <c r="AB18" i="245"/>
  <c r="W18" i="237"/>
  <c r="N36" i="234" s="1"/>
  <c r="M34" i="265" s="1"/>
  <c r="AX18" i="243"/>
  <c r="AF12" i="204"/>
  <c r="AG11" i="204" s="1"/>
  <c r="AG13" i="204" s="1"/>
  <c r="AF8" i="204"/>
  <c r="AF14" i="204"/>
  <c r="AE18" i="244"/>
  <c r="W18" i="243"/>
  <c r="N38" i="234" s="1"/>
  <c r="M36" i="265" s="1"/>
  <c r="AP18" i="243"/>
  <c r="I38" i="234" s="1"/>
  <c r="H36" i="265" s="1"/>
  <c r="AB18" i="242"/>
  <c r="X19" i="253"/>
  <c r="N58" i="228"/>
  <c r="K58" i="228"/>
  <c r="L58" i="228"/>
  <c r="M58" i="228"/>
  <c r="O58" i="228"/>
  <c r="M65" i="253"/>
  <c r="T114" i="251"/>
  <c r="T113" i="251" s="1"/>
  <c r="T56" i="251" s="1"/>
  <c r="T112" i="251"/>
  <c r="N62" i="253"/>
  <c r="AH18" i="253"/>
  <c r="BC18" i="253"/>
  <c r="AH19" i="253"/>
  <c r="S145" i="251"/>
  <c r="AP18" i="237"/>
  <c r="I36" i="234" s="1"/>
  <c r="H34" i="265" s="1"/>
  <c r="AC18" i="242"/>
  <c r="AV18" i="242"/>
  <c r="K115" i="251"/>
  <c r="K114" i="251"/>
  <c r="L76" i="253"/>
  <c r="L75" i="253" s="1"/>
  <c r="AF18" i="237"/>
  <c r="AY18" i="237"/>
  <c r="AI18" i="253"/>
  <c r="AA18" i="253"/>
  <c r="P42" i="234" s="1"/>
  <c r="O40" i="265" s="1"/>
  <c r="O19" i="253"/>
  <c r="O65" i="253" s="1"/>
  <c r="AX18" i="244"/>
  <c r="W18" i="246"/>
  <c r="N41" i="234" s="1"/>
  <c r="M39" i="265" s="1"/>
  <c r="AU18" i="243"/>
  <c r="I19" i="244"/>
  <c r="AA19" i="244" s="1"/>
  <c r="AP18" i="246"/>
  <c r="I41" i="234" s="1"/>
  <c r="H39" i="265" s="1"/>
  <c r="BD18" i="253"/>
  <c r="V18" i="237"/>
  <c r="M36" i="234" s="1"/>
  <c r="L34" i="265" s="1"/>
  <c r="V18" i="244"/>
  <c r="AP18" i="245"/>
  <c r="I40" i="234" s="1"/>
  <c r="H38" i="265" s="1"/>
  <c r="AO18" i="244"/>
  <c r="W18" i="245"/>
  <c r="N40" i="234" s="1"/>
  <c r="M38" i="265" s="1"/>
  <c r="AC18" i="243"/>
  <c r="AV18" i="243"/>
  <c r="AK18" i="242"/>
  <c r="D19" i="237"/>
  <c r="V19" i="237" s="1"/>
  <c r="S19" i="242"/>
  <c r="AK19" i="242" s="1"/>
  <c r="AY18" i="244"/>
  <c r="AF18" i="244"/>
  <c r="AE18" i="253"/>
  <c r="AZ18" i="253"/>
  <c r="K19" i="253"/>
  <c r="K65" i="253" s="1"/>
  <c r="AC19" i="253"/>
  <c r="AS18" i="237"/>
  <c r="L36" i="234" s="1"/>
  <c r="F36" i="234" s="1"/>
  <c r="E34" i="265" s="1"/>
  <c r="F19" i="246"/>
  <c r="X19" i="246" s="1"/>
  <c r="Q76" i="253"/>
  <c r="Q75" i="253" s="1"/>
  <c r="AE18" i="242"/>
  <c r="AX18" i="242"/>
  <c r="G145" i="251"/>
  <c r="F37" i="234"/>
  <c r="E35" i="265" s="1"/>
  <c r="K35" i="265"/>
  <c r="AQ18" i="242"/>
  <c r="J37" i="234" s="1"/>
  <c r="I35" i="265" s="1"/>
  <c r="X18" i="242"/>
  <c r="O37" i="234" s="1"/>
  <c r="N35" i="265" s="1"/>
  <c r="G19" i="253"/>
  <c r="G65" i="253" s="1"/>
  <c r="AV18" i="253"/>
  <c r="K42" i="234" s="1"/>
  <c r="J40" i="265" s="1"/>
  <c r="X18" i="244"/>
  <c r="D19" i="245"/>
  <c r="V19" i="245" s="1"/>
  <c r="AO18" i="245"/>
  <c r="H40" i="234" s="1"/>
  <c r="G38" i="265" s="1"/>
  <c r="AR18" i="237"/>
  <c r="K36" i="234" s="1"/>
  <c r="J34" i="265" s="1"/>
  <c r="AT18" i="244"/>
  <c r="X18" i="246"/>
  <c r="O41" i="234" s="1"/>
  <c r="N39" i="265" s="1"/>
  <c r="Y18" i="237"/>
  <c r="P36" i="234" s="1"/>
  <c r="O34" i="265" s="1"/>
  <c r="AQ18" i="244"/>
  <c r="AB18" i="243"/>
  <c r="Z18" i="245"/>
  <c r="Q40" i="234" s="1"/>
  <c r="P38" i="265" s="1"/>
  <c r="AS18" i="245"/>
  <c r="L40" i="234" s="1"/>
  <c r="AU18" i="246"/>
  <c r="K19" i="244"/>
  <c r="AC19" i="244" s="1"/>
  <c r="AA18" i="246"/>
  <c r="AT18" i="246"/>
  <c r="AV18" i="244"/>
  <c r="AR18" i="245"/>
  <c r="K40" i="234" s="1"/>
  <c r="J38" i="265" s="1"/>
  <c r="Y18" i="245"/>
  <c r="P40" i="234" s="1"/>
  <c r="O38" i="265" s="1"/>
  <c r="L145" i="251"/>
  <c r="I145" i="251"/>
  <c r="I147" i="251" s="1"/>
  <c r="C64" i="264" s="1"/>
  <c r="BC18" i="245"/>
  <c r="Q113" i="251"/>
  <c r="Q56" i="251" s="1"/>
  <c r="O113" i="251"/>
  <c r="O56" i="251" s="1"/>
  <c r="K145" i="251"/>
  <c r="O145" i="251"/>
  <c r="S113" i="251"/>
  <c r="S56" i="251" s="1"/>
  <c r="R36" i="245"/>
  <c r="BC34" i="245"/>
  <c r="X21" i="253"/>
  <c r="AS21" i="253"/>
  <c r="AS20" i="253" s="1"/>
  <c r="D70" i="253"/>
  <c r="D12" i="253"/>
  <c r="X20" i="253" s="1"/>
  <c r="F30" i="241" s="1"/>
  <c r="AX21" i="237"/>
  <c r="AE21" i="237"/>
  <c r="M12" i="237"/>
  <c r="R42" i="245"/>
  <c r="BC40" i="245"/>
  <c r="BC42" i="245" s="1"/>
  <c r="AT34" i="253"/>
  <c r="E36" i="253"/>
  <c r="I30" i="242"/>
  <c r="I31" i="242" s="1"/>
  <c r="AA31" i="242" s="1"/>
  <c r="AT24" i="242"/>
  <c r="I56" i="242"/>
  <c r="L27" i="252"/>
  <c r="J16" i="257"/>
  <c r="J18" i="257" s="1"/>
  <c r="J19" i="257" s="1"/>
  <c r="J21" i="257" s="1"/>
  <c r="J23" i="257" s="1"/>
  <c r="J24" i="257" s="1"/>
  <c r="BD18" i="237"/>
  <c r="AK18" i="237"/>
  <c r="S19" i="237"/>
  <c r="AK19" i="237" s="1"/>
  <c r="S16" i="255"/>
  <c r="BA12" i="245"/>
  <c r="P37" i="251"/>
  <c r="AH32" i="245"/>
  <c r="AH38" i="245"/>
  <c r="AT40" i="253"/>
  <c r="AT42" i="253" s="1"/>
  <c r="E42" i="253"/>
  <c r="BI34" i="253"/>
  <c r="T36" i="253"/>
  <c r="AR34" i="243"/>
  <c r="G36" i="243"/>
  <c r="AU24" i="245"/>
  <c r="J30" i="245"/>
  <c r="J50" i="245"/>
  <c r="AI18" i="245"/>
  <c r="BB18" i="245"/>
  <c r="Q19" i="245"/>
  <c r="AI19" i="245" s="1"/>
  <c r="BD24" i="253"/>
  <c r="O30" i="253"/>
  <c r="O31" i="253" s="1"/>
  <c r="AI31" i="253" s="1"/>
  <c r="AC21" i="242"/>
  <c r="AV21" i="242"/>
  <c r="K12" i="242"/>
  <c r="AE21" i="246"/>
  <c r="M12" i="246"/>
  <c r="BC34" i="244"/>
  <c r="R36" i="244"/>
  <c r="AW34" i="244"/>
  <c r="L36" i="244"/>
  <c r="P30" i="253"/>
  <c r="P31" i="253" s="1"/>
  <c r="AJ31" i="253" s="1"/>
  <c r="BE24" i="253"/>
  <c r="AP34" i="243"/>
  <c r="E36" i="243"/>
  <c r="AP40" i="246"/>
  <c r="AP42" i="246" s="1"/>
  <c r="E42" i="246"/>
  <c r="O42" i="251"/>
  <c r="AF46" i="242"/>
  <c r="J42" i="237"/>
  <c r="AU40" i="237"/>
  <c r="AU42" i="237" s="1"/>
  <c r="AV24" i="253"/>
  <c r="G30" i="253"/>
  <c r="AT18" i="243"/>
  <c r="AA18" i="243"/>
  <c r="I19" i="243"/>
  <c r="AA19" i="243" s="1"/>
  <c r="AO34" i="242"/>
  <c r="D36" i="242"/>
  <c r="BD40" i="242"/>
  <c r="BD42" i="242" s="1"/>
  <c r="S42" i="242"/>
  <c r="I42" i="243"/>
  <c r="AT40" i="243"/>
  <c r="AT42" i="243" s="1"/>
  <c r="AC21" i="237"/>
  <c r="AV21" i="237"/>
  <c r="K12" i="237"/>
  <c r="E112" i="251"/>
  <c r="E115" i="251"/>
  <c r="E114" i="251"/>
  <c r="E30" i="245"/>
  <c r="AP24" i="245"/>
  <c r="E50" i="245"/>
  <c r="M42" i="242"/>
  <c r="AX40" i="242"/>
  <c r="AX42" i="242" s="1"/>
  <c r="Z21" i="244"/>
  <c r="AS21" i="244"/>
  <c r="H12" i="244"/>
  <c r="I113" i="251"/>
  <c r="I56" i="251" s="1"/>
  <c r="N42" i="246"/>
  <c r="AY40" i="246"/>
  <c r="AY42" i="246" s="1"/>
  <c r="G30" i="244"/>
  <c r="G31" i="244" s="1"/>
  <c r="Y31" i="244" s="1"/>
  <c r="I90" i="241" s="1"/>
  <c r="AR24" i="244"/>
  <c r="G50" i="244"/>
  <c r="AV40" i="237"/>
  <c r="AV42" i="237" s="1"/>
  <c r="K42" i="237"/>
  <c r="AS40" i="246"/>
  <c r="AS42" i="246" s="1"/>
  <c r="H42" i="246"/>
  <c r="E36" i="237"/>
  <c r="AP34" i="237"/>
  <c r="H36" i="242"/>
  <c r="AS34" i="242"/>
  <c r="Q30" i="243"/>
  <c r="Q31" i="243" s="1"/>
  <c r="AI31" i="243" s="1"/>
  <c r="BB24" i="243"/>
  <c r="Q50" i="243"/>
  <c r="K42" i="246"/>
  <c r="AV40" i="246"/>
  <c r="AV42" i="246" s="1"/>
  <c r="K42" i="243"/>
  <c r="AV40" i="243"/>
  <c r="AV42" i="243" s="1"/>
  <c r="AX24" i="253"/>
  <c r="I30" i="253"/>
  <c r="I31" i="253" s="1"/>
  <c r="AC31" i="253" s="1"/>
  <c r="M30" i="243"/>
  <c r="AX24" i="243"/>
  <c r="M50" i="243"/>
  <c r="O47" i="237"/>
  <c r="P41" i="251"/>
  <c r="AG46" i="237"/>
  <c r="S12" i="237"/>
  <c r="BD21" i="237"/>
  <c r="AK21" i="237"/>
  <c r="G24" i="252"/>
  <c r="G26" i="252" s="1"/>
  <c r="W31" i="251"/>
  <c r="Q47" i="244"/>
  <c r="Q44" i="251"/>
  <c r="AI46" i="244"/>
  <c r="S36" i="242"/>
  <c r="BD34" i="242"/>
  <c r="L47" i="253"/>
  <c r="D30" i="237"/>
  <c r="AO24" i="237"/>
  <c r="D50" i="237"/>
  <c r="W21" i="246"/>
  <c r="E12" i="246"/>
  <c r="Q36" i="243"/>
  <c r="BB34" i="243"/>
  <c r="AQ34" i="243"/>
  <c r="F36" i="243"/>
  <c r="AY24" i="246"/>
  <c r="N30" i="246"/>
  <c r="N50" i="246"/>
  <c r="K36" i="242"/>
  <c r="AV34" i="242"/>
  <c r="AT24" i="237"/>
  <c r="I30" i="237"/>
  <c r="I31" i="237" s="1"/>
  <c r="AA31" i="237" s="1"/>
  <c r="I50" i="237"/>
  <c r="E36" i="242"/>
  <c r="AP34" i="242"/>
  <c r="O27" i="252"/>
  <c r="M16" i="257"/>
  <c r="M18" i="257" s="1"/>
  <c r="M19" i="257" s="1"/>
  <c r="M21" i="257" s="1"/>
  <c r="M23" i="257" s="1"/>
  <c r="M24" i="257" s="1"/>
  <c r="AE21" i="244"/>
  <c r="AX21" i="244"/>
  <c r="M12" i="244"/>
  <c r="H36" i="243"/>
  <c r="AS34" i="243"/>
  <c r="AF31" i="251"/>
  <c r="P24" i="252"/>
  <c r="P26" i="252" s="1"/>
  <c r="AT21" i="243"/>
  <c r="AA21" i="243"/>
  <c r="I12" i="243"/>
  <c r="AQ40" i="246"/>
  <c r="AQ42" i="246" s="1"/>
  <c r="F42" i="246"/>
  <c r="P113" i="251"/>
  <c r="P56" i="251" s="1"/>
  <c r="H30" i="246"/>
  <c r="AS24" i="246"/>
  <c r="H50" i="246"/>
  <c r="F27" i="252"/>
  <c r="D16" i="257"/>
  <c r="D18" i="257" s="1"/>
  <c r="D19" i="257" s="1"/>
  <c r="I42" i="245"/>
  <c r="AT40" i="245"/>
  <c r="AT42" i="245" s="1"/>
  <c r="AW24" i="237"/>
  <c r="L30" i="237"/>
  <c r="L50" i="237"/>
  <c r="BC40" i="244"/>
  <c r="BC42" i="244" s="1"/>
  <c r="R42" i="244"/>
  <c r="AV34" i="244"/>
  <c r="K36" i="244"/>
  <c r="D42" i="237"/>
  <c r="AO40" i="237"/>
  <c r="AO42" i="237" s="1"/>
  <c r="AB21" i="246"/>
  <c r="J12" i="246"/>
  <c r="AO21" i="237"/>
  <c r="AO20" i="237" s="1"/>
  <c r="V21" i="237"/>
  <c r="D12" i="237"/>
  <c r="G36" i="245"/>
  <c r="AR34" i="245"/>
  <c r="AF21" i="237"/>
  <c r="AY21" i="237"/>
  <c r="N12" i="237"/>
  <c r="L36" i="243"/>
  <c r="AW34" i="243"/>
  <c r="BC21" i="253"/>
  <c r="AH21" i="253"/>
  <c r="N70" i="253"/>
  <c r="N12" i="253"/>
  <c r="I70" i="253"/>
  <c r="AX21" i="253"/>
  <c r="AC21" i="253"/>
  <c r="I12" i="253"/>
  <c r="AO40" i="244"/>
  <c r="AO42" i="244" s="1"/>
  <c r="D42" i="244"/>
  <c r="K30" i="242"/>
  <c r="AV24" i="242"/>
  <c r="K56" i="242"/>
  <c r="AZ24" i="242"/>
  <c r="O30" i="242"/>
  <c r="O31" i="242" s="1"/>
  <c r="AG31" i="242" s="1"/>
  <c r="O56" i="242"/>
  <c r="BH40" i="253"/>
  <c r="BH42" i="253" s="1"/>
  <c r="S42" i="253"/>
  <c r="AW40" i="253"/>
  <c r="AW42" i="253" s="1"/>
  <c r="H42" i="253"/>
  <c r="X21" i="243"/>
  <c r="AQ21" i="243"/>
  <c r="F12" i="243"/>
  <c r="X20" i="243" s="1"/>
  <c r="H26" i="241" s="1"/>
  <c r="O42" i="253"/>
  <c r="BD40" i="253"/>
  <c r="BD42" i="253" s="1"/>
  <c r="W21" i="242"/>
  <c r="AP21" i="242"/>
  <c r="E12" i="242"/>
  <c r="W20" i="242" s="1"/>
  <c r="G25" i="241" s="1"/>
  <c r="F30" i="246"/>
  <c r="F31" i="246" s="1"/>
  <c r="X31" i="246" s="1"/>
  <c r="AQ24" i="246"/>
  <c r="F50" i="246"/>
  <c r="AP21" i="244"/>
  <c r="W21" i="244"/>
  <c r="E12" i="244"/>
  <c r="W20" i="244" s="1"/>
  <c r="G27" i="241" s="1"/>
  <c r="K36" i="237"/>
  <c r="AV34" i="237"/>
  <c r="AV24" i="245"/>
  <c r="K30" i="245"/>
  <c r="K50" i="245"/>
  <c r="AW18" i="244"/>
  <c r="AD18" i="244"/>
  <c r="L19" i="244"/>
  <c r="AD19" i="244" s="1"/>
  <c r="Z21" i="237"/>
  <c r="AS21" i="237"/>
  <c r="H12" i="237"/>
  <c r="Z20" i="237" s="1"/>
  <c r="J24" i="241" s="1"/>
  <c r="AX40" i="253"/>
  <c r="AX42" i="253" s="1"/>
  <c r="I42" i="253"/>
  <c r="Q42" i="245"/>
  <c r="BB40" i="245"/>
  <c r="BB42" i="245" s="1"/>
  <c r="AW21" i="237"/>
  <c r="AD21" i="237"/>
  <c r="L12" i="237"/>
  <c r="BG40" i="253"/>
  <c r="BG42" i="253" s="1"/>
  <c r="R42" i="253"/>
  <c r="L42" i="244"/>
  <c r="AW40" i="244"/>
  <c r="AW42" i="244" s="1"/>
  <c r="AO24" i="243"/>
  <c r="D30" i="243"/>
  <c r="D31" i="243" s="1"/>
  <c r="V31" i="243" s="1"/>
  <c r="F89" i="241" s="1"/>
  <c r="D50" i="243"/>
  <c r="N48" i="245"/>
  <c r="AF47" i="245"/>
  <c r="G30" i="242"/>
  <c r="G31" i="242" s="1"/>
  <c r="Y31" i="242" s="1"/>
  <c r="I88" i="241" s="1"/>
  <c r="AR24" i="242"/>
  <c r="G56" i="242"/>
  <c r="AT24" i="253"/>
  <c r="E30" i="253"/>
  <c r="E31" i="253" s="1"/>
  <c r="Y31" i="253" s="1"/>
  <c r="G93" i="241" s="1"/>
  <c r="BE34" i="243"/>
  <c r="T36" i="243"/>
  <c r="AS40" i="237"/>
  <c r="AS42" i="237" s="1"/>
  <c r="H42" i="237"/>
  <c r="H30" i="243"/>
  <c r="H31" i="243" s="1"/>
  <c r="Z31" i="243" s="1"/>
  <c r="J89" i="241" s="1"/>
  <c r="AS24" i="243"/>
  <c r="H50" i="243"/>
  <c r="AT34" i="237"/>
  <c r="I36" i="237"/>
  <c r="AR40" i="246"/>
  <c r="AR42" i="246" s="1"/>
  <c r="G42" i="246"/>
  <c r="AW40" i="242"/>
  <c r="AW42" i="242" s="1"/>
  <c r="L42" i="242"/>
  <c r="BD24" i="237"/>
  <c r="S30" i="237"/>
  <c r="S50" i="237"/>
  <c r="AQ24" i="237"/>
  <c r="F30" i="237"/>
  <c r="F50" i="237"/>
  <c r="Z18" i="243"/>
  <c r="Q38" i="234" s="1"/>
  <c r="P36" i="265" s="1"/>
  <c r="AS18" i="243"/>
  <c r="L38" i="234" s="1"/>
  <c r="H19" i="243"/>
  <c r="Z19" i="243" s="1"/>
  <c r="BE21" i="253"/>
  <c r="P70" i="253"/>
  <c r="AJ21" i="253"/>
  <c r="P12" i="253"/>
  <c r="K36" i="246"/>
  <c r="AV34" i="246"/>
  <c r="AF46" i="245"/>
  <c r="N45" i="251"/>
  <c r="J27" i="252"/>
  <c r="H16" i="257"/>
  <c r="H18" i="257" s="1"/>
  <c r="H19" i="257" s="1"/>
  <c r="H21" i="257" s="1"/>
  <c r="H23" i="257" s="1"/>
  <c r="H24" i="257" s="1"/>
  <c r="N36" i="244"/>
  <c r="AY34" i="244"/>
  <c r="O36" i="242"/>
  <c r="AZ34" i="242"/>
  <c r="D42" i="242"/>
  <c r="AO40" i="242"/>
  <c r="AO42" i="242" s="1"/>
  <c r="H19" i="246"/>
  <c r="Z19" i="246" s="1"/>
  <c r="AS18" i="246"/>
  <c r="L41" i="234" s="1"/>
  <c r="Z18" i="246"/>
  <c r="Q41" i="234" s="1"/>
  <c r="P39" i="265" s="1"/>
  <c r="AX21" i="242"/>
  <c r="AE21" i="242"/>
  <c r="M12" i="242"/>
  <c r="M42" i="244"/>
  <c r="AX40" i="244"/>
  <c r="AX42" i="244" s="1"/>
  <c r="Q48" i="237"/>
  <c r="AI47" i="237"/>
  <c r="AA21" i="246"/>
  <c r="I12" i="246"/>
  <c r="N42" i="243"/>
  <c r="AY40" i="243"/>
  <c r="AY42" i="243" s="1"/>
  <c r="O36" i="243"/>
  <c r="AZ34" i="243"/>
  <c r="AP40" i="242"/>
  <c r="AP42" i="242" s="1"/>
  <c r="E42" i="242"/>
  <c r="L36" i="242"/>
  <c r="AW34" i="242"/>
  <c r="AX40" i="237"/>
  <c r="AX42" i="237" s="1"/>
  <c r="M42" i="237"/>
  <c r="F114" i="251"/>
  <c r="F115" i="251"/>
  <c r="F112" i="251"/>
  <c r="D42" i="243"/>
  <c r="AO40" i="243"/>
  <c r="AO42" i="243" s="1"/>
  <c r="AP24" i="243"/>
  <c r="E30" i="243"/>
  <c r="E50" i="243"/>
  <c r="AX34" i="253"/>
  <c r="I36" i="253"/>
  <c r="L30" i="242"/>
  <c r="L31" i="242" s="1"/>
  <c r="AD31" i="242" s="1"/>
  <c r="AW24" i="242"/>
  <c r="L56" i="242"/>
  <c r="M36" i="246"/>
  <c r="AX34" i="246"/>
  <c r="AS24" i="244"/>
  <c r="H30" i="244"/>
  <c r="H31" i="244" s="1"/>
  <c r="Z31" i="244" s="1"/>
  <c r="J90" i="241" s="1"/>
  <c r="H50" i="244"/>
  <c r="AU24" i="242"/>
  <c r="J30" i="242"/>
  <c r="J56" i="242"/>
  <c r="AJ21" i="245"/>
  <c r="R12" i="245"/>
  <c r="L19" i="245"/>
  <c r="AD19" i="245" s="1"/>
  <c r="AD18" i="245"/>
  <c r="AW18" i="245"/>
  <c r="AR24" i="245"/>
  <c r="G30" i="245"/>
  <c r="G31" i="245" s="1"/>
  <c r="Y31" i="245" s="1"/>
  <c r="G50" i="245"/>
  <c r="H24" i="252"/>
  <c r="H26" i="252" s="1"/>
  <c r="X31" i="251"/>
  <c r="P31" i="245"/>
  <c r="AH31" i="245" s="1"/>
  <c r="BA30" i="245"/>
  <c r="AH30" i="245"/>
  <c r="AH42" i="245"/>
  <c r="P46" i="245"/>
  <c r="P43" i="245"/>
  <c r="AH43" i="245" s="1"/>
  <c r="AT21" i="253"/>
  <c r="Y21" i="253"/>
  <c r="E70" i="253"/>
  <c r="E12" i="253"/>
  <c r="AK21" i="243"/>
  <c r="BD21" i="243"/>
  <c r="S12" i="243"/>
  <c r="H42" i="245"/>
  <c r="AS40" i="245"/>
  <c r="AS42" i="245" s="1"/>
  <c r="AF47" i="242"/>
  <c r="N48" i="242"/>
  <c r="AY24" i="243"/>
  <c r="N30" i="243"/>
  <c r="N31" i="243" s="1"/>
  <c r="AF31" i="243" s="1"/>
  <c r="N50" i="243"/>
  <c r="L42" i="237"/>
  <c r="AW40" i="237"/>
  <c r="AW42" i="237" s="1"/>
  <c r="X21" i="246"/>
  <c r="F12" i="246"/>
  <c r="O42" i="244"/>
  <c r="AZ40" i="244"/>
  <c r="AZ42" i="244" s="1"/>
  <c r="BD34" i="243"/>
  <c r="S36" i="243"/>
  <c r="D145" i="251"/>
  <c r="BE34" i="253"/>
  <c r="P36" i="253"/>
  <c r="F145" i="251"/>
  <c r="I42" i="246"/>
  <c r="AT40" i="246"/>
  <c r="AT42" i="246" s="1"/>
  <c r="BH34" i="253"/>
  <c r="S36" i="253"/>
  <c r="AX24" i="237"/>
  <c r="M30" i="237"/>
  <c r="M31" i="237" s="1"/>
  <c r="AE31" i="237" s="1"/>
  <c r="M50" i="237"/>
  <c r="F36" i="242"/>
  <c r="AQ34" i="242"/>
  <c r="V21" i="243"/>
  <c r="AO21" i="243"/>
  <c r="AO20" i="243" s="1"/>
  <c r="D12" i="243"/>
  <c r="K30" i="243"/>
  <c r="K31" i="243" s="1"/>
  <c r="AC31" i="243" s="1"/>
  <c r="AV24" i="243"/>
  <c r="K50" i="243"/>
  <c r="W21" i="245"/>
  <c r="E12" i="245"/>
  <c r="R47" i="242"/>
  <c r="S42" i="251"/>
  <c r="AJ46" i="242"/>
  <c r="AR21" i="242"/>
  <c r="Y21" i="242"/>
  <c r="G12" i="242"/>
  <c r="BD34" i="237"/>
  <c r="S36" i="237"/>
  <c r="AP34" i="246"/>
  <c r="E36" i="246"/>
  <c r="AZ21" i="253"/>
  <c r="K70" i="253"/>
  <c r="AE21" i="253"/>
  <c r="K12" i="253"/>
  <c r="AE18" i="237"/>
  <c r="AX18" i="237"/>
  <c r="M19" i="237"/>
  <c r="AE19" i="237" s="1"/>
  <c r="E145" i="251"/>
  <c r="R30" i="237"/>
  <c r="R31" i="237" s="1"/>
  <c r="AJ31" i="237" s="1"/>
  <c r="BC24" i="237"/>
  <c r="R50" i="237"/>
  <c r="L47" i="246"/>
  <c r="M46" i="251"/>
  <c r="AD46" i="246"/>
  <c r="AA21" i="242"/>
  <c r="AT21" i="242"/>
  <c r="I12" i="242"/>
  <c r="X21" i="242"/>
  <c r="AQ21" i="242"/>
  <c r="F12" i="242"/>
  <c r="AZ18" i="242"/>
  <c r="AG18" i="242"/>
  <c r="O19" i="242"/>
  <c r="AG19" i="242" s="1"/>
  <c r="AV21" i="244"/>
  <c r="AC21" i="244"/>
  <c r="K12" i="244"/>
  <c r="H42" i="244"/>
  <c r="AS40" i="244"/>
  <c r="AS42" i="244" s="1"/>
  <c r="J30" i="237"/>
  <c r="J31" i="237" s="1"/>
  <c r="AB31" i="237" s="1"/>
  <c r="AU24" i="237"/>
  <c r="J50" i="237"/>
  <c r="AK18" i="243"/>
  <c r="BD18" i="243"/>
  <c r="S19" i="243"/>
  <c r="AK19" i="243" s="1"/>
  <c r="BH24" i="253"/>
  <c r="S30" i="253"/>
  <c r="I30" i="246"/>
  <c r="AT24" i="246"/>
  <c r="I50" i="246"/>
  <c r="X21" i="245"/>
  <c r="F12" i="245"/>
  <c r="N30" i="244"/>
  <c r="N31" i="244" s="1"/>
  <c r="AF31" i="244" s="1"/>
  <c r="AY24" i="244"/>
  <c r="N50" i="244"/>
  <c r="AX34" i="243"/>
  <c r="M36" i="243"/>
  <c r="J42" i="244"/>
  <c r="AU40" i="244"/>
  <c r="AU42" i="244" s="1"/>
  <c r="AB21" i="253"/>
  <c r="AW21" i="253"/>
  <c r="H70" i="253"/>
  <c r="H12" i="253"/>
  <c r="O30" i="245"/>
  <c r="AZ24" i="245"/>
  <c r="O50" i="245"/>
  <c r="AR21" i="237"/>
  <c r="Y21" i="237"/>
  <c r="G12" i="237"/>
  <c r="M36" i="253"/>
  <c r="BB34" i="253"/>
  <c r="AP21" i="243"/>
  <c r="W21" i="243"/>
  <c r="E12" i="243"/>
  <c r="W20" i="243" s="1"/>
  <c r="G26" i="241" s="1"/>
  <c r="AV34" i="243"/>
  <c r="K36" i="243"/>
  <c r="M36" i="242"/>
  <c r="AX34" i="242"/>
  <c r="AX24" i="244"/>
  <c r="M30" i="244"/>
  <c r="M31" i="244" s="1"/>
  <c r="AE31" i="244" s="1"/>
  <c r="M50" i="244"/>
  <c r="AQ40" i="245"/>
  <c r="AQ42" i="245" s="1"/>
  <c r="F42" i="245"/>
  <c r="AO24" i="244"/>
  <c r="D30" i="244"/>
  <c r="D50" i="244"/>
  <c r="G36" i="244"/>
  <c r="AR34" i="244"/>
  <c r="AD21" i="245"/>
  <c r="L12" i="245"/>
  <c r="AP18" i="244"/>
  <c r="W18" i="244"/>
  <c r="E19" i="244"/>
  <c r="W19" i="244" s="1"/>
  <c r="R19" i="253"/>
  <c r="BG18" i="253"/>
  <c r="R62" i="253"/>
  <c r="AL18" i="253"/>
  <c r="AT18" i="245"/>
  <c r="AA18" i="245"/>
  <c r="I19" i="245"/>
  <c r="AA19" i="245" s="1"/>
  <c r="AY40" i="237"/>
  <c r="AY42" i="237" s="1"/>
  <c r="N42" i="237"/>
  <c r="Y21" i="244"/>
  <c r="AR21" i="244"/>
  <c r="G12" i="244"/>
  <c r="Y20" i="244" s="1"/>
  <c r="I27" i="241" s="1"/>
  <c r="AX12" i="245"/>
  <c r="M37" i="251"/>
  <c r="P16" i="255"/>
  <c r="AE32" i="245"/>
  <c r="AE38" i="245"/>
  <c r="F36" i="245"/>
  <c r="AQ34" i="245"/>
  <c r="AX18" i="246"/>
  <c r="AE18" i="246"/>
  <c r="M19" i="246"/>
  <c r="AE19" i="246" s="1"/>
  <c r="AR24" i="246"/>
  <c r="G30" i="246"/>
  <c r="G31" i="246" s="1"/>
  <c r="Y31" i="246" s="1"/>
  <c r="G50" i="246"/>
  <c r="F42" i="244"/>
  <c r="AQ40" i="244"/>
  <c r="AQ42" i="244" s="1"/>
  <c r="BD21" i="253"/>
  <c r="AI21" i="253"/>
  <c r="O70" i="253"/>
  <c r="O12" i="253"/>
  <c r="M115" i="251"/>
  <c r="M112" i="251"/>
  <c r="M114" i="251"/>
  <c r="E42" i="244"/>
  <c r="AP40" i="244"/>
  <c r="AP42" i="244" s="1"/>
  <c r="AD21" i="253"/>
  <c r="AY21" i="253"/>
  <c r="J70" i="253"/>
  <c r="J12" i="253"/>
  <c r="BH18" i="253"/>
  <c r="AM18" i="253"/>
  <c r="S62" i="253"/>
  <c r="S19" i="253"/>
  <c r="G42" i="242"/>
  <c r="AR40" i="242"/>
  <c r="AR42" i="242" s="1"/>
  <c r="O42" i="245"/>
  <c r="AZ40" i="245"/>
  <c r="AZ42" i="245" s="1"/>
  <c r="P16" i="257"/>
  <c r="P18" i="257" s="1"/>
  <c r="P19" i="257" s="1"/>
  <c r="P21" i="257" s="1"/>
  <c r="P23" i="257" s="1"/>
  <c r="P24" i="257" s="1"/>
  <c r="R27" i="252"/>
  <c r="BA40" i="237"/>
  <c r="BA42" i="237" s="1"/>
  <c r="P42" i="237"/>
  <c r="AU21" i="242"/>
  <c r="AB21" i="242"/>
  <c r="J12" i="242"/>
  <c r="AY34" i="253"/>
  <c r="J36" i="253"/>
  <c r="AB21" i="243"/>
  <c r="AU21" i="243"/>
  <c r="J12" i="243"/>
  <c r="Y21" i="245"/>
  <c r="G12" i="245"/>
  <c r="AX34" i="244"/>
  <c r="M36" i="244"/>
  <c r="V21" i="246"/>
  <c r="D12" i="246"/>
  <c r="AS40" i="243"/>
  <c r="AS42" i="243" s="1"/>
  <c r="H42" i="243"/>
  <c r="BB24" i="245"/>
  <c r="Q30" i="245"/>
  <c r="Q50" i="245"/>
  <c r="L36" i="237"/>
  <c r="AW34" i="237"/>
  <c r="J36" i="244"/>
  <c r="AU34" i="244"/>
  <c r="K36" i="245"/>
  <c r="AV34" i="245"/>
  <c r="H115" i="251"/>
  <c r="H112" i="251"/>
  <c r="H114" i="251"/>
  <c r="AY34" i="237"/>
  <c r="N36" i="237"/>
  <c r="K42" i="244"/>
  <c r="AV40" i="244"/>
  <c r="AV42" i="244" s="1"/>
  <c r="H19" i="253"/>
  <c r="AB18" i="253"/>
  <c r="Q42" i="234" s="1"/>
  <c r="P40" i="265" s="1"/>
  <c r="H62" i="253"/>
  <c r="AW18" i="253"/>
  <c r="L42" i="234" s="1"/>
  <c r="AQ24" i="244"/>
  <c r="F30" i="244"/>
  <c r="F31" i="244" s="1"/>
  <c r="X31" i="244" s="1"/>
  <c r="H90" i="241" s="1"/>
  <c r="F50" i="244"/>
  <c r="E30" i="242"/>
  <c r="E31" i="242" s="1"/>
  <c r="W31" i="242" s="1"/>
  <c r="G88" i="241" s="1"/>
  <c r="AP24" i="242"/>
  <c r="E56" i="242"/>
  <c r="I36" i="242"/>
  <c r="AT34" i="242"/>
  <c r="AV18" i="245"/>
  <c r="AC18" i="245"/>
  <c r="K19" i="245"/>
  <c r="AC19" i="245" s="1"/>
  <c r="L30" i="243"/>
  <c r="L31" i="243" s="1"/>
  <c r="AD31" i="243" s="1"/>
  <c r="AW24" i="243"/>
  <c r="L50" i="243"/>
  <c r="AX40" i="243"/>
  <c r="AX42" i="243" s="1"/>
  <c r="M42" i="243"/>
  <c r="AX40" i="246"/>
  <c r="AX42" i="246" s="1"/>
  <c r="M42" i="246"/>
  <c r="Y21" i="243"/>
  <c r="AR21" i="243"/>
  <c r="G12" i="243"/>
  <c r="N145" i="251"/>
  <c r="BG34" i="253"/>
  <c r="R36" i="253"/>
  <c r="AQ40" i="237"/>
  <c r="AQ42" i="237" s="1"/>
  <c r="F42" i="237"/>
  <c r="O19" i="245"/>
  <c r="AG19" i="245" s="1"/>
  <c r="AZ18" i="245"/>
  <c r="AG18" i="245"/>
  <c r="G42" i="253"/>
  <c r="AV40" i="253"/>
  <c r="AV42" i="253" s="1"/>
  <c r="L19" i="242"/>
  <c r="AD19" i="242" s="1"/>
  <c r="AW18" i="242"/>
  <c r="AD18" i="242"/>
  <c r="AB18" i="244"/>
  <c r="AU18" i="244"/>
  <c r="J19" i="244"/>
  <c r="AB19" i="244" s="1"/>
  <c r="AP40" i="245"/>
  <c r="AP42" i="245" s="1"/>
  <c r="E42" i="245"/>
  <c r="BC24" i="253"/>
  <c r="N30" i="253"/>
  <c r="Z21" i="243"/>
  <c r="AS21" i="243"/>
  <c r="H12" i="243"/>
  <c r="Z20" i="243" s="1"/>
  <c r="J26" i="241" s="1"/>
  <c r="AE21" i="243"/>
  <c r="AX21" i="243"/>
  <c r="M12" i="243"/>
  <c r="AS34" i="253"/>
  <c r="D36" i="253"/>
  <c r="M24" i="252"/>
  <c r="M26" i="252" s="1"/>
  <c r="AC31" i="251"/>
  <c r="D42" i="245"/>
  <c r="AO40" i="245"/>
  <c r="AO42" i="245" s="1"/>
  <c r="D36" i="246"/>
  <c r="AO34" i="246"/>
  <c r="H36" i="246"/>
  <c r="AS34" i="246"/>
  <c r="AQ34" i="237"/>
  <c r="F36" i="237"/>
  <c r="T19" i="243"/>
  <c r="AL19" i="243" s="1"/>
  <c r="AL18" i="243"/>
  <c r="BE18" i="243"/>
  <c r="Q47" i="253"/>
  <c r="AT21" i="237"/>
  <c r="AA21" i="237"/>
  <c r="I12" i="237"/>
  <c r="S70" i="253"/>
  <c r="AM21" i="253"/>
  <c r="BH21" i="253"/>
  <c r="S12" i="253"/>
  <c r="AU24" i="253"/>
  <c r="F30" i="253"/>
  <c r="AO21" i="244"/>
  <c r="AO20" i="244" s="1"/>
  <c r="V21" i="244"/>
  <c r="D12" i="244"/>
  <c r="Z21" i="246"/>
  <c r="H12" i="246"/>
  <c r="AB21" i="245"/>
  <c r="J12" i="245"/>
  <c r="H36" i="244"/>
  <c r="AS34" i="244"/>
  <c r="I36" i="246"/>
  <c r="AT34" i="246"/>
  <c r="AP24" i="244"/>
  <c r="E30" i="244"/>
  <c r="E31" i="244" s="1"/>
  <c r="W31" i="244" s="1"/>
  <c r="G90" i="241" s="1"/>
  <c r="E50" i="244"/>
  <c r="AD21" i="243"/>
  <c r="AW21" i="243"/>
  <c r="L12" i="243"/>
  <c r="AT34" i="243"/>
  <c r="I36" i="243"/>
  <c r="AT24" i="244"/>
  <c r="I30" i="244"/>
  <c r="I31" i="244" s="1"/>
  <c r="AA31" i="244" s="1"/>
  <c r="I50" i="244"/>
  <c r="BI24" i="253"/>
  <c r="T30" i="253"/>
  <c r="BC24" i="245"/>
  <c r="R30" i="245"/>
  <c r="R31" i="245" s="1"/>
  <c r="AJ31" i="245" s="1"/>
  <c r="R50" i="245"/>
  <c r="BB40" i="253"/>
  <c r="BB42" i="253" s="1"/>
  <c r="M42" i="253"/>
  <c r="AP40" i="243"/>
  <c r="AP42" i="243" s="1"/>
  <c r="E42" i="243"/>
  <c r="AU24" i="243"/>
  <c r="J30" i="243"/>
  <c r="J50" i="243"/>
  <c r="AP34" i="245"/>
  <c r="E36" i="245"/>
  <c r="F42" i="253"/>
  <c r="AU40" i="253"/>
  <c r="AU42" i="253" s="1"/>
  <c r="AQ34" i="244"/>
  <c r="F36" i="244"/>
  <c r="AX24" i="246"/>
  <c r="M30" i="246"/>
  <c r="M50" i="246"/>
  <c r="BD24" i="243"/>
  <c r="S30" i="243"/>
  <c r="S50" i="243"/>
  <c r="G19" i="242"/>
  <c r="Y19" i="242" s="1"/>
  <c r="Y18" i="242"/>
  <c r="P37" i="234" s="1"/>
  <c r="O35" i="265" s="1"/>
  <c r="AR18" i="242"/>
  <c r="K37" i="234" s="1"/>
  <c r="J35" i="265" s="1"/>
  <c r="J42" i="242"/>
  <c r="AU40" i="242"/>
  <c r="AU42" i="242" s="1"/>
  <c r="AV34" i="253"/>
  <c r="G36" i="253"/>
  <c r="P48" i="243"/>
  <c r="AH47" i="243"/>
  <c r="AF21" i="243"/>
  <c r="AY21" i="243"/>
  <c r="N12" i="243"/>
  <c r="O42" i="242"/>
  <c r="AZ40" i="242"/>
  <c r="AZ42" i="242" s="1"/>
  <c r="T42" i="243"/>
  <c r="BE40" i="243"/>
  <c r="BE42" i="243" s="1"/>
  <c r="AR40" i="237"/>
  <c r="AR42" i="237" s="1"/>
  <c r="G42" i="237"/>
  <c r="Z21" i="245"/>
  <c r="H12" i="245"/>
  <c r="AU34" i="253"/>
  <c r="F36" i="253"/>
  <c r="K42" i="242"/>
  <c r="AV40" i="242"/>
  <c r="AV42" i="242" s="1"/>
  <c r="AR34" i="246"/>
  <c r="G36" i="246"/>
  <c r="Q24" i="252"/>
  <c r="Q26" i="252" s="1"/>
  <c r="AG31" i="251"/>
  <c r="E42" i="237"/>
  <c r="AP40" i="237"/>
  <c r="AP42" i="237" s="1"/>
  <c r="K24" i="252"/>
  <c r="K26" i="252" s="1"/>
  <c r="C39" i="264"/>
  <c r="AA31" i="251"/>
  <c r="L42" i="243"/>
  <c r="AW40" i="243"/>
  <c r="AW42" i="243" s="1"/>
  <c r="O30" i="243"/>
  <c r="AZ24" i="243"/>
  <c r="O50" i="243"/>
  <c r="F36" i="246"/>
  <c r="AQ34" i="246"/>
  <c r="AP34" i="244"/>
  <c r="E36" i="244"/>
  <c r="AW18" i="237"/>
  <c r="AD18" i="237"/>
  <c r="L19" i="237"/>
  <c r="AD19" i="237" s="1"/>
  <c r="BB34" i="245"/>
  <c r="Q36" i="245"/>
  <c r="BC21" i="237"/>
  <c r="AJ21" i="237"/>
  <c r="R12" i="237"/>
  <c r="R30" i="244"/>
  <c r="R50" i="244"/>
  <c r="BC24" i="244"/>
  <c r="T12" i="253"/>
  <c r="BI21" i="253"/>
  <c r="T70" i="253"/>
  <c r="AN21" i="253"/>
  <c r="P30" i="237"/>
  <c r="BA24" i="237"/>
  <c r="P50" i="237"/>
  <c r="F30" i="242"/>
  <c r="AQ24" i="242"/>
  <c r="F56" i="242"/>
  <c r="AX30" i="245"/>
  <c r="AE30" i="245"/>
  <c r="BC40" i="253"/>
  <c r="BC42" i="253" s="1"/>
  <c r="N42" i="253"/>
  <c r="AT24" i="245"/>
  <c r="I30" i="245"/>
  <c r="I50" i="245"/>
  <c r="N36" i="246"/>
  <c r="AY34" i="246"/>
  <c r="S42" i="243"/>
  <c r="BD40" i="243"/>
  <c r="BD42" i="243" s="1"/>
  <c r="P36" i="237"/>
  <c r="BA34" i="237"/>
  <c r="J30" i="253"/>
  <c r="J31" i="253" s="1"/>
  <c r="AD31" i="253" s="1"/>
  <c r="AY24" i="253"/>
  <c r="K36" i="253"/>
  <c r="AZ34" i="253"/>
  <c r="G42" i="243"/>
  <c r="AR40" i="243"/>
  <c r="AR42" i="243" s="1"/>
  <c r="AQ24" i="245"/>
  <c r="F30" i="245"/>
  <c r="F50" i="245"/>
  <c r="AF21" i="246"/>
  <c r="N12" i="246"/>
  <c r="G36" i="242"/>
  <c r="AR34" i="242"/>
  <c r="AG18" i="243"/>
  <c r="AZ18" i="243"/>
  <c r="O19" i="243"/>
  <c r="AG19" i="243" s="1"/>
  <c r="S30" i="242"/>
  <c r="S56" i="242"/>
  <c r="BD24" i="242"/>
  <c r="AW21" i="242"/>
  <c r="AD21" i="242"/>
  <c r="L12" i="242"/>
  <c r="AW24" i="245"/>
  <c r="L30" i="245"/>
  <c r="L50" i="245"/>
  <c r="O30" i="244"/>
  <c r="AZ24" i="244"/>
  <c r="O50" i="244"/>
  <c r="I42" i="244"/>
  <c r="AT40" i="244"/>
  <c r="AT42" i="244" s="1"/>
  <c r="R42" i="237"/>
  <c r="BC40" i="237"/>
  <c r="BC42" i="237" s="1"/>
  <c r="AO21" i="242"/>
  <c r="AO20" i="242" s="1"/>
  <c r="V21" i="242"/>
  <c r="D12" i="242"/>
  <c r="AZ34" i="244"/>
  <c r="O36" i="244"/>
  <c r="P47" i="244"/>
  <c r="P44" i="251"/>
  <c r="AH46" i="244"/>
  <c r="R36" i="237"/>
  <c r="BC34" i="237"/>
  <c r="N30" i="237"/>
  <c r="AY24" i="237"/>
  <c r="N50" i="237"/>
  <c r="AQ40" i="243"/>
  <c r="AQ42" i="243" s="1"/>
  <c r="F42" i="243"/>
  <c r="AI21" i="245"/>
  <c r="Q12" i="245"/>
  <c r="BC18" i="244"/>
  <c r="AJ18" i="244"/>
  <c r="R19" i="244"/>
  <c r="AJ19" i="244" s="1"/>
  <c r="AZ21" i="242"/>
  <c r="AG21" i="242"/>
  <c r="O12" i="242"/>
  <c r="BA36" i="245"/>
  <c r="AH36" i="245"/>
  <c r="P37" i="245"/>
  <c r="AH37" i="245" s="1"/>
  <c r="D30" i="245"/>
  <c r="D31" i="245" s="1"/>
  <c r="V31" i="245" s="1"/>
  <c r="AO24" i="245"/>
  <c r="D50" i="245"/>
  <c r="K30" i="246"/>
  <c r="K31" i="246" s="1"/>
  <c r="AC31" i="246" s="1"/>
  <c r="AV24" i="246"/>
  <c r="K50" i="246"/>
  <c r="AU40" i="246"/>
  <c r="AU42" i="246" s="1"/>
  <c r="J42" i="246"/>
  <c r="AY40" i="244"/>
  <c r="AY42" i="244" s="1"/>
  <c r="N42" i="244"/>
  <c r="AW40" i="245"/>
  <c r="AW42" i="245" s="1"/>
  <c r="L42" i="245"/>
  <c r="AC21" i="245"/>
  <c r="K12" i="245"/>
  <c r="AZ34" i="245"/>
  <c r="O36" i="245"/>
  <c r="AR34" i="237"/>
  <c r="G36" i="237"/>
  <c r="AU40" i="245"/>
  <c r="AU42" i="245" s="1"/>
  <c r="J42" i="245"/>
  <c r="R47" i="243"/>
  <c r="R43" i="251"/>
  <c r="AJ46" i="243"/>
  <c r="K30" i="237"/>
  <c r="AV24" i="237"/>
  <c r="K50" i="237"/>
  <c r="BB24" i="253"/>
  <c r="M30" i="253"/>
  <c r="M31" i="253" s="1"/>
  <c r="AG31" i="253" s="1"/>
  <c r="AC21" i="243"/>
  <c r="AV21" i="243"/>
  <c r="K12" i="243"/>
  <c r="AR24" i="243"/>
  <c r="G30" i="243"/>
  <c r="G50" i="243"/>
  <c r="AE42" i="245"/>
  <c r="M46" i="245"/>
  <c r="M43" i="245"/>
  <c r="AE43" i="245" s="1"/>
  <c r="N36" i="243"/>
  <c r="AY34" i="243"/>
  <c r="AG21" i="243"/>
  <c r="AZ21" i="243"/>
  <c r="O12" i="243"/>
  <c r="AQ40" i="242"/>
  <c r="AQ42" i="242" s="1"/>
  <c r="F42" i="242"/>
  <c r="AL21" i="253"/>
  <c r="BG21" i="253"/>
  <c r="R70" i="253"/>
  <c r="R12" i="253"/>
  <c r="T30" i="243"/>
  <c r="T31" i="243" s="1"/>
  <c r="AL31" i="243" s="1"/>
  <c r="BE24" i="243"/>
  <c r="T50" i="243"/>
  <c r="R12" i="244"/>
  <c r="BC21" i="244"/>
  <c r="AJ21" i="244"/>
  <c r="BA21" i="237"/>
  <c r="AH21" i="237"/>
  <c r="P12" i="237"/>
  <c r="D36" i="237"/>
  <c r="AO34" i="237"/>
  <c r="AS21" i="242"/>
  <c r="Z21" i="242"/>
  <c r="H12" i="242"/>
  <c r="Z20" i="242" s="1"/>
  <c r="J25" i="241" s="1"/>
  <c r="AV24" i="244"/>
  <c r="K30" i="244"/>
  <c r="K50" i="244"/>
  <c r="O36" i="253"/>
  <c r="BD34" i="253"/>
  <c r="AS24" i="253"/>
  <c r="D30" i="253"/>
  <c r="L36" i="245"/>
  <c r="AW34" i="245"/>
  <c r="AV40" i="245"/>
  <c r="AV42" i="245" s="1"/>
  <c r="K42" i="245"/>
  <c r="AP24" i="237"/>
  <c r="E30" i="237"/>
  <c r="E31" i="237" s="1"/>
  <c r="W31" i="237" s="1"/>
  <c r="G87" i="241" s="1"/>
  <c r="E50" i="237"/>
  <c r="J36" i="242"/>
  <c r="AU34" i="242"/>
  <c r="E30" i="246"/>
  <c r="AP24" i="246"/>
  <c r="E50" i="246"/>
  <c r="AX24" i="242"/>
  <c r="M30" i="242"/>
  <c r="M31" i="242" s="1"/>
  <c r="AE31" i="242" s="1"/>
  <c r="M56" i="242"/>
  <c r="AF21" i="244"/>
  <c r="AY21" i="244"/>
  <c r="N12" i="244"/>
  <c r="AO34" i="244"/>
  <c r="D36" i="244"/>
  <c r="N113" i="251"/>
  <c r="N56" i="251" s="1"/>
  <c r="AD21" i="244"/>
  <c r="AW21" i="244"/>
  <c r="L12" i="244"/>
  <c r="AG21" i="245"/>
  <c r="O12" i="245"/>
  <c r="G30" i="237"/>
  <c r="AR24" i="237"/>
  <c r="G50" i="237"/>
  <c r="O19" i="244"/>
  <c r="AG19" i="244" s="1"/>
  <c r="AG18" i="244"/>
  <c r="AZ18" i="244"/>
  <c r="AC18" i="237"/>
  <c r="AV18" i="237"/>
  <c r="K19" i="237"/>
  <c r="AC19" i="237" s="1"/>
  <c r="J36" i="246"/>
  <c r="AU34" i="246"/>
  <c r="BC34" i="253"/>
  <c r="N36" i="253"/>
  <c r="H36" i="245"/>
  <c r="AS34" i="245"/>
  <c r="AF18" i="243"/>
  <c r="AY18" i="243"/>
  <c r="N19" i="243"/>
  <c r="AF19" i="243" s="1"/>
  <c r="I24" i="252"/>
  <c r="I26" i="252" s="1"/>
  <c r="Y31" i="251"/>
  <c r="D42" i="253"/>
  <c r="AS40" i="253"/>
  <c r="AS42" i="253" s="1"/>
  <c r="AA18" i="237"/>
  <c r="AT18" i="237"/>
  <c r="I19" i="237"/>
  <c r="AA19" i="237" s="1"/>
  <c r="AU21" i="237"/>
  <c r="AB21" i="237"/>
  <c r="J12" i="237"/>
  <c r="AB21" i="244"/>
  <c r="AU21" i="244"/>
  <c r="J12" i="244"/>
  <c r="G112" i="251"/>
  <c r="G115" i="251"/>
  <c r="G114" i="251"/>
  <c r="BC18" i="237"/>
  <c r="AJ18" i="237"/>
  <c r="R19" i="237"/>
  <c r="AJ19" i="237" s="1"/>
  <c r="I36" i="245"/>
  <c r="AT34" i="245"/>
  <c r="D30" i="246"/>
  <c r="D31" i="246" s="1"/>
  <c r="V31" i="246" s="1"/>
  <c r="AO24" i="246"/>
  <c r="D50" i="246"/>
  <c r="M36" i="237"/>
  <c r="AX34" i="237"/>
  <c r="AE36" i="245"/>
  <c r="AX36" i="245"/>
  <c r="M37" i="245"/>
  <c r="AE37" i="245" s="1"/>
  <c r="BB21" i="253"/>
  <c r="M70" i="253"/>
  <c r="AG21" i="253"/>
  <c r="M12" i="253"/>
  <c r="V21" i="245"/>
  <c r="D12" i="245"/>
  <c r="AC21" i="246"/>
  <c r="K12" i="246"/>
  <c r="AZ40" i="253"/>
  <c r="AZ42" i="253" s="1"/>
  <c r="K42" i="253"/>
  <c r="AO24" i="242"/>
  <c r="D30" i="242"/>
  <c r="D56" i="242"/>
  <c r="AQ24" i="243"/>
  <c r="F30" i="243"/>
  <c r="F31" i="243" s="1"/>
  <c r="X31" i="243" s="1"/>
  <c r="H89" i="241" s="1"/>
  <c r="F50" i="243"/>
  <c r="AQ21" i="244"/>
  <c r="X21" i="244"/>
  <c r="F12" i="244"/>
  <c r="R30" i="253"/>
  <c r="R31" i="253" s="1"/>
  <c r="AL31" i="253" s="1"/>
  <c r="BG24" i="253"/>
  <c r="BI40" i="253"/>
  <c r="BI42" i="253" s="1"/>
  <c r="T42" i="253"/>
  <c r="H30" i="245"/>
  <c r="H31" i="245" s="1"/>
  <c r="Z31" i="245" s="1"/>
  <c r="AS24" i="245"/>
  <c r="H50" i="245"/>
  <c r="J42" i="253"/>
  <c r="AY40" i="253"/>
  <c r="AY42" i="253" s="1"/>
  <c r="AZ24" i="253"/>
  <c r="K30" i="253"/>
  <c r="K31" i="253" s="1"/>
  <c r="AE31" i="253" s="1"/>
  <c r="AS24" i="237"/>
  <c r="H30" i="237"/>
  <c r="H50" i="237"/>
  <c r="AT34" i="244"/>
  <c r="I36" i="244"/>
  <c r="D42" i="246"/>
  <c r="AO40" i="246"/>
  <c r="AO42" i="246" s="1"/>
  <c r="J36" i="237"/>
  <c r="AU34" i="237"/>
  <c r="Q47" i="242"/>
  <c r="AI46" i="242"/>
  <c r="R42" i="251"/>
  <c r="I42" i="242"/>
  <c r="AT40" i="242"/>
  <c r="AT42" i="242" s="1"/>
  <c r="AU34" i="245"/>
  <c r="J36" i="245"/>
  <c r="AS40" i="242"/>
  <c r="AS42" i="242" s="1"/>
  <c r="H42" i="242"/>
  <c r="AO34" i="245"/>
  <c r="D36" i="245"/>
  <c r="J42" i="243"/>
  <c r="AU40" i="243"/>
  <c r="AU42" i="243" s="1"/>
  <c r="N24" i="252"/>
  <c r="N26" i="252" s="1"/>
  <c r="AD31" i="251"/>
  <c r="AT40" i="237"/>
  <c r="AT42" i="237" s="1"/>
  <c r="I42" i="237"/>
  <c r="P47" i="242"/>
  <c r="Q42" i="251"/>
  <c r="AH46" i="242"/>
  <c r="D36" i="243"/>
  <c r="AO34" i="243"/>
  <c r="BB21" i="243"/>
  <c r="AI21" i="243"/>
  <c r="Q12" i="243"/>
  <c r="J30" i="246"/>
  <c r="AU24" i="246"/>
  <c r="J50" i="246"/>
  <c r="Z21" i="253"/>
  <c r="AU21" i="253"/>
  <c r="F70" i="253"/>
  <c r="F12" i="253"/>
  <c r="Z20" i="253" s="1"/>
  <c r="H30" i="241" s="1"/>
  <c r="H36" i="237"/>
  <c r="AS34" i="237"/>
  <c r="AZ40" i="243"/>
  <c r="AZ42" i="243" s="1"/>
  <c r="O42" i="243"/>
  <c r="BE21" i="243"/>
  <c r="AL21" i="243"/>
  <c r="T12" i="243"/>
  <c r="X21" i="237"/>
  <c r="AQ21" i="237"/>
  <c r="F12" i="237"/>
  <c r="H30" i="242"/>
  <c r="AS24" i="242"/>
  <c r="H56" i="242"/>
  <c r="Q42" i="243"/>
  <c r="BB40" i="243"/>
  <c r="BB42" i="243" s="1"/>
  <c r="J36" i="243"/>
  <c r="AU34" i="243"/>
  <c r="G42" i="245"/>
  <c r="AR40" i="245"/>
  <c r="AR42" i="245" s="1"/>
  <c r="AA21" i="244"/>
  <c r="AT21" i="244"/>
  <c r="I12" i="244"/>
  <c r="AA21" i="245"/>
  <c r="I12" i="245"/>
  <c r="Y21" i="246"/>
  <c r="G12" i="246"/>
  <c r="AB31" i="251"/>
  <c r="AW34" i="253"/>
  <c r="H36" i="253"/>
  <c r="W21" i="237"/>
  <c r="AP21" i="237"/>
  <c r="E12" i="237"/>
  <c r="W20" i="237" s="1"/>
  <c r="G24" i="241" s="1"/>
  <c r="E19" i="242"/>
  <c r="W19" i="242" s="1"/>
  <c r="AP18" i="242"/>
  <c r="I37" i="234" s="1"/>
  <c r="H35" i="265" s="1"/>
  <c r="W18" i="242"/>
  <c r="N37" i="234" s="1"/>
  <c r="M35" i="265" s="1"/>
  <c r="BE40" i="253"/>
  <c r="BE42" i="253" s="1"/>
  <c r="P42" i="253"/>
  <c r="AH46" i="243"/>
  <c r="P43" i="251"/>
  <c r="R41" i="251"/>
  <c r="AI46" i="237"/>
  <c r="AR40" i="244"/>
  <c r="AR42" i="244" s="1"/>
  <c r="G42" i="244"/>
  <c r="L30" i="244"/>
  <c r="AW24" i="244"/>
  <c r="L50" i="244"/>
  <c r="S42" i="237"/>
  <c r="BD40" i="237"/>
  <c r="BD42" i="237" s="1"/>
  <c r="J19" i="237"/>
  <c r="AB19" i="237" s="1"/>
  <c r="AU18" i="237"/>
  <c r="AB18" i="237"/>
  <c r="AV21" i="253"/>
  <c r="G70" i="253"/>
  <c r="AA21" i="253"/>
  <c r="G12" i="253"/>
  <c r="S12" i="242"/>
  <c r="AK21" i="242"/>
  <c r="BD21" i="242"/>
  <c r="AT24" i="243"/>
  <c r="I30" i="243"/>
  <c r="I50" i="243"/>
  <c r="AU24" i="244"/>
  <c r="J30" i="244"/>
  <c r="J50" i="244"/>
  <c r="AW24" i="253"/>
  <c r="H30" i="253"/>
  <c r="H31" i="253" s="1"/>
  <c r="AB31" i="253" s="1"/>
  <c r="J93" i="241" s="1"/>
  <c r="AZ21" i="244"/>
  <c r="AG21" i="244"/>
  <c r="O12" i="244"/>
  <c r="V119" i="229"/>
  <c r="V120" i="229" s="1"/>
  <c r="V122" i="229" s="1"/>
  <c r="V242" i="229" s="1"/>
  <c r="V152" i="229"/>
  <c r="W150" i="229" s="1"/>
  <c r="V185" i="229"/>
  <c r="W183" i="229" s="1"/>
  <c r="V130" i="229"/>
  <c r="W128" i="229" s="1"/>
  <c r="Z86" i="229"/>
  <c r="Z220" i="229" s="1"/>
  <c r="V108" i="229"/>
  <c r="V222" i="229" s="1"/>
  <c r="V174" i="229"/>
  <c r="W172" i="229" s="1"/>
  <c r="AI25" i="223"/>
  <c r="AH26" i="198"/>
  <c r="D191" i="229"/>
  <c r="AM4" i="223"/>
  <c r="AL8" i="223"/>
  <c r="AL9" i="223" s="1"/>
  <c r="AL5" i="223"/>
  <c r="H26" i="257"/>
  <c r="H25" i="257"/>
  <c r="Z42" i="229"/>
  <c r="K54" i="228"/>
  <c r="H177" i="259" s="1"/>
  <c r="F49" i="228"/>
  <c r="I37" i="259"/>
  <c r="I115" i="259" s="1"/>
  <c r="I115" i="224"/>
  <c r="F30" i="229"/>
  <c r="Z28" i="229"/>
  <c r="Z29" i="229" s="1"/>
  <c r="V75" i="229"/>
  <c r="V141" i="229"/>
  <c r="M28" i="222"/>
  <c r="C18" i="264"/>
  <c r="F55" i="228"/>
  <c r="E53" i="228"/>
  <c r="C175" i="224"/>
  <c r="G177" i="224"/>
  <c r="V53" i="229"/>
  <c r="G37" i="259"/>
  <c r="G115" i="224"/>
  <c r="V37" i="224"/>
  <c r="C37" i="224"/>
  <c r="AI24" i="223"/>
  <c r="V163" i="229"/>
  <c r="BB18" i="246"/>
  <c r="AI18" i="246"/>
  <c r="U47" i="253"/>
  <c r="U83" i="253" s="1"/>
  <c r="AO83" i="253" s="1"/>
  <c r="T47" i="242"/>
  <c r="T48" i="242" s="1"/>
  <c r="AJ18" i="246"/>
  <c r="BC18" i="246"/>
  <c r="R19" i="246"/>
  <c r="AJ19" i="246" s="1"/>
  <c r="T37" i="245"/>
  <c r="AL37" i="245" s="1"/>
  <c r="AL36" i="245"/>
  <c r="BE36" i="245"/>
  <c r="AI21" i="246"/>
  <c r="Q12" i="246"/>
  <c r="O47" i="246"/>
  <c r="P46" i="251"/>
  <c r="AG46" i="246"/>
  <c r="AK46" i="245"/>
  <c r="S45" i="251"/>
  <c r="T17" i="246"/>
  <c r="T15" i="246"/>
  <c r="T14" i="246"/>
  <c r="BK36" i="253"/>
  <c r="AP36" i="253"/>
  <c r="V37" i="253"/>
  <c r="AP37" i="253" s="1"/>
  <c r="AP38" i="253"/>
  <c r="Q21" i="257"/>
  <c r="AL42" i="244"/>
  <c r="T46" i="244"/>
  <c r="T43" i="244"/>
  <c r="AL43" i="244" s="1"/>
  <c r="BE36" i="244"/>
  <c r="AL36" i="244"/>
  <c r="T37" i="244"/>
  <c r="AL37" i="244" s="1"/>
  <c r="AH42" i="246"/>
  <c r="P46" i="246"/>
  <c r="P47" i="246" s="1"/>
  <c r="P43" i="246"/>
  <c r="AH43" i="246" s="1"/>
  <c r="S48" i="252"/>
  <c r="S30" i="252"/>
  <c r="S39" i="252"/>
  <c r="AH36" i="246"/>
  <c r="BA36" i="246"/>
  <c r="P37" i="246"/>
  <c r="AH37" i="246" s="1"/>
  <c r="S23" i="246"/>
  <c r="S33" i="246"/>
  <c r="BD13" i="246"/>
  <c r="T142" i="251"/>
  <c r="T143" i="251" s="1"/>
  <c r="S16" i="246"/>
  <c r="BD16" i="246" s="1"/>
  <c r="S45" i="246"/>
  <c r="S39" i="246"/>
  <c r="S22" i="246"/>
  <c r="V73" i="253"/>
  <c r="V72" i="253" s="1"/>
  <c r="AP30" i="253"/>
  <c r="BK30" i="253"/>
  <c r="AL42" i="245"/>
  <c r="T46" i="245"/>
  <c r="T43" i="245"/>
  <c r="AL43" i="245" s="1"/>
  <c r="V31" i="253"/>
  <c r="AP31" i="253" s="1"/>
  <c r="BB34" i="246"/>
  <c r="Q36" i="246"/>
  <c r="BE30" i="244"/>
  <c r="AL30" i="244"/>
  <c r="T17" i="255"/>
  <c r="Q38" i="251"/>
  <c r="BA12" i="246"/>
  <c r="AH38" i="246"/>
  <c r="AH32" i="246"/>
  <c r="V69" i="253"/>
  <c r="S21" i="257"/>
  <c r="AL30" i="245"/>
  <c r="BE30" i="245"/>
  <c r="Y16" i="255"/>
  <c r="BE12" i="245"/>
  <c r="T37" i="251"/>
  <c r="X16" i="255"/>
  <c r="W16" i="255"/>
  <c r="Z16" i="255"/>
  <c r="AL32" i="245"/>
  <c r="AL38" i="245"/>
  <c r="T31" i="251"/>
  <c r="T144" i="251"/>
  <c r="AJ21" i="246"/>
  <c r="R12" i="246"/>
  <c r="AH30" i="246"/>
  <c r="BA30" i="246"/>
  <c r="S44" i="251"/>
  <c r="AK46" i="244"/>
  <c r="T47" i="237"/>
  <c r="U48" i="252"/>
  <c r="U30" i="252"/>
  <c r="U39" i="252"/>
  <c r="BB24" i="246"/>
  <c r="Q30" i="246"/>
  <c r="Q31" i="246" s="1"/>
  <c r="AI31" i="246" s="1"/>
  <c r="Q50" i="246"/>
  <c r="V46" i="253"/>
  <c r="AP46" i="253" s="1"/>
  <c r="AP42" i="253"/>
  <c r="V43" i="253"/>
  <c r="AP43" i="253" s="1"/>
  <c r="S48" i="244"/>
  <c r="AK47" i="244"/>
  <c r="Q42" i="246"/>
  <c r="BB40" i="246"/>
  <c r="BB42" i="246" s="1"/>
  <c r="BC24" i="246"/>
  <c r="R30" i="246"/>
  <c r="R50" i="246"/>
  <c r="W15" i="255"/>
  <c r="Z15" i="255"/>
  <c r="X15" i="255"/>
  <c r="Y15" i="255"/>
  <c r="BE12" i="244"/>
  <c r="T36" i="251"/>
  <c r="AL38" i="244"/>
  <c r="AL32" i="244"/>
  <c r="BC34" i="246"/>
  <c r="R36" i="246"/>
  <c r="U76" i="253"/>
  <c r="U75" i="253" s="1"/>
  <c r="BC40" i="246"/>
  <c r="BC42" i="246" s="1"/>
  <c r="R42" i="246"/>
  <c r="S47" i="245"/>
  <c r="Q106" i="229"/>
  <c r="Q107" i="229" s="1"/>
  <c r="Q203" i="229" s="1"/>
  <c r="Q185" i="229"/>
  <c r="Q229" i="229" s="1"/>
  <c r="R73" i="229"/>
  <c r="R74" i="229" s="1"/>
  <c r="R200" i="229" s="1"/>
  <c r="Q215" i="229"/>
  <c r="R152" i="229"/>
  <c r="S150" i="229" s="1"/>
  <c r="P64" i="229"/>
  <c r="R30" i="229"/>
  <c r="R196" i="229" s="1"/>
  <c r="R172" i="229"/>
  <c r="Q228" i="229"/>
  <c r="S51" i="229"/>
  <c r="R217" i="229"/>
  <c r="Q129" i="229"/>
  <c r="Q205" i="229" s="1"/>
  <c r="R96" i="229"/>
  <c r="R202" i="229" s="1"/>
  <c r="R225" i="229"/>
  <c r="S139" i="229"/>
  <c r="AE97" i="229"/>
  <c r="Q42" i="229"/>
  <c r="R84" i="229"/>
  <c r="Q220" i="229"/>
  <c r="Q118" i="229"/>
  <c r="Q204" i="229" s="1"/>
  <c r="Q161" i="229"/>
  <c r="P227" i="229"/>
  <c r="H176" i="224" l="1"/>
  <c r="H177" i="224" s="1"/>
  <c r="H178" i="224" s="1"/>
  <c r="P65" i="253"/>
  <c r="AA19" i="253"/>
  <c r="T27" i="252"/>
  <c r="T48" i="252" s="1"/>
  <c r="K37" i="265"/>
  <c r="V224" i="229"/>
  <c r="AI19" i="253"/>
  <c r="K113" i="251"/>
  <c r="K56" i="251" s="1"/>
  <c r="AN19" i="253"/>
  <c r="H39" i="234"/>
  <c r="G37" i="265" s="1"/>
  <c r="M39" i="234"/>
  <c r="L37" i="265" s="1"/>
  <c r="N39" i="234"/>
  <c r="M37" i="265" s="1"/>
  <c r="I39" i="234"/>
  <c r="H37" i="265" s="1"/>
  <c r="O39" i="234"/>
  <c r="N37" i="265" s="1"/>
  <c r="J39" i="234"/>
  <c r="I37" i="265" s="1"/>
  <c r="P65" i="229"/>
  <c r="P67" i="229" s="1"/>
  <c r="P237" i="229" s="1"/>
  <c r="F42" i="255"/>
  <c r="F32" i="255"/>
  <c r="F25" i="255"/>
  <c r="F38" i="255"/>
  <c r="F35" i="255" s="1"/>
  <c r="E42" i="255"/>
  <c r="E25" i="255"/>
  <c r="E32" i="255"/>
  <c r="E38" i="255"/>
  <c r="E35" i="255" s="1"/>
  <c r="D25" i="255"/>
  <c r="D42" i="255"/>
  <c r="D38" i="255"/>
  <c r="D35" i="255" s="1"/>
  <c r="D32" i="255"/>
  <c r="W117" i="229"/>
  <c r="W118" i="229" s="1"/>
  <c r="W204" i="229" s="1"/>
  <c r="V223" i="229"/>
  <c r="AG8" i="204"/>
  <c r="AG12" i="204"/>
  <c r="AH11" i="204" s="1"/>
  <c r="AG14" i="204"/>
  <c r="V131" i="229"/>
  <c r="V133" i="229" s="1"/>
  <c r="V243" i="229" s="1"/>
  <c r="V153" i="229"/>
  <c r="V155" i="229" s="1"/>
  <c r="V245" i="229" s="1"/>
  <c r="V226" i="229"/>
  <c r="V109" i="229"/>
  <c r="V111" i="229" s="1"/>
  <c r="V241" i="229" s="1"/>
  <c r="AA84" i="229"/>
  <c r="AA85" i="229" s="1"/>
  <c r="AA201" i="229" s="1"/>
  <c r="W106" i="229"/>
  <c r="W107" i="229" s="1"/>
  <c r="W203" i="229" s="1"/>
  <c r="AE19" i="253"/>
  <c r="V229" i="229"/>
  <c r="V186" i="229"/>
  <c r="V188" i="229" s="1"/>
  <c r="V248" i="229" s="1"/>
  <c r="K34" i="265"/>
  <c r="Z87" i="229"/>
  <c r="Z89" i="229" s="1"/>
  <c r="Z239" i="229" s="1"/>
  <c r="F42" i="234"/>
  <c r="E40" i="265" s="1"/>
  <c r="K40" i="265"/>
  <c r="F38" i="234"/>
  <c r="E36" i="265" s="1"/>
  <c r="K36" i="265"/>
  <c r="F41" i="234"/>
  <c r="E39" i="265" s="1"/>
  <c r="K39" i="265"/>
  <c r="F40" i="234"/>
  <c r="E38" i="265" s="1"/>
  <c r="K38" i="265"/>
  <c r="H27" i="257"/>
  <c r="H28" i="257"/>
  <c r="G113" i="251"/>
  <c r="G56" i="251" s="1"/>
  <c r="H113" i="251"/>
  <c r="H56" i="251" s="1"/>
  <c r="E113" i="251"/>
  <c r="E56" i="251" s="1"/>
  <c r="Q46" i="243"/>
  <c r="AI42" i="243"/>
  <c r="Q43" i="243"/>
  <c r="AI43" i="243" s="1"/>
  <c r="Q35" i="251"/>
  <c r="T14" i="255"/>
  <c r="BB12" i="243"/>
  <c r="AI32" i="243"/>
  <c r="AI38" i="243"/>
  <c r="X20" i="244"/>
  <c r="H27" i="241" s="1"/>
  <c r="I15" i="255"/>
  <c r="F36" i="251"/>
  <c r="AQ12" i="244"/>
  <c r="X38" i="244"/>
  <c r="X32" i="244"/>
  <c r="AO30" i="242"/>
  <c r="V30" i="242"/>
  <c r="F80" i="241" s="1"/>
  <c r="V30" i="245"/>
  <c r="AO30" i="245"/>
  <c r="AJ36" i="237"/>
  <c r="BC36" i="237"/>
  <c r="R37" i="237"/>
  <c r="AJ37" i="237" s="1"/>
  <c r="L31" i="245"/>
  <c r="AD31" i="245" s="1"/>
  <c r="AD30" i="245"/>
  <c r="AW30" i="245"/>
  <c r="H37" i="251"/>
  <c r="K16" i="255"/>
  <c r="AS12" i="245"/>
  <c r="Z32" i="245"/>
  <c r="Z38" i="245"/>
  <c r="T31" i="253"/>
  <c r="AN31" i="253" s="1"/>
  <c r="BI30" i="253"/>
  <c r="T73" i="253"/>
  <c r="T72" i="253" s="1"/>
  <c r="AN30" i="253"/>
  <c r="AM38" i="253"/>
  <c r="AQ36" i="237"/>
  <c r="X36" i="237"/>
  <c r="F37" i="237"/>
  <c r="X37" i="237" s="1"/>
  <c r="BG36" i="253"/>
  <c r="AL36" i="253"/>
  <c r="R37" i="253"/>
  <c r="AL37" i="253" s="1"/>
  <c r="M46" i="246"/>
  <c r="AE42" i="246"/>
  <c r="M43" i="246"/>
  <c r="AE43" i="246" s="1"/>
  <c r="AW36" i="237"/>
  <c r="AD36" i="237"/>
  <c r="L37" i="237"/>
  <c r="AD37" i="237" s="1"/>
  <c r="O46" i="245"/>
  <c r="O47" i="245" s="1"/>
  <c r="AG42" i="245"/>
  <c r="O43" i="245"/>
  <c r="AG43" i="245" s="1"/>
  <c r="J31" i="242"/>
  <c r="AB31" i="242" s="1"/>
  <c r="AU30" i="242"/>
  <c r="AB30" i="242"/>
  <c r="E31" i="243"/>
  <c r="W31" i="243" s="1"/>
  <c r="G89" i="241" s="1"/>
  <c r="W30" i="243"/>
  <c r="G81" i="241" s="1"/>
  <c r="AP30" i="243"/>
  <c r="E73" i="253"/>
  <c r="E72" i="253" s="1"/>
  <c r="AT30" i="253"/>
  <c r="Y30" i="253"/>
  <c r="G85" i="241" s="1"/>
  <c r="J31" i="244"/>
  <c r="AB31" i="244" s="1"/>
  <c r="AU30" i="244"/>
  <c r="AB30" i="244"/>
  <c r="AA20" i="253"/>
  <c r="I30" i="241" s="1"/>
  <c r="AA38" i="253"/>
  <c r="AK42" i="237"/>
  <c r="S43" i="237"/>
  <c r="AK43" i="237" s="1"/>
  <c r="S46" i="237"/>
  <c r="S47" i="237" s="1"/>
  <c r="AA42" i="237"/>
  <c r="I46" i="237"/>
  <c r="I47" i="237" s="1"/>
  <c r="I43" i="237"/>
  <c r="AA43" i="237" s="1"/>
  <c r="Z42" i="242"/>
  <c r="H46" i="242"/>
  <c r="H43" i="242"/>
  <c r="Z43" i="242" s="1"/>
  <c r="AI47" i="242"/>
  <c r="Q48" i="242"/>
  <c r="H31" i="237"/>
  <c r="Z31" i="237" s="1"/>
  <c r="J87" i="241" s="1"/>
  <c r="AS30" i="237"/>
  <c r="Z30" i="237"/>
  <c r="J79" i="241" s="1"/>
  <c r="AU36" i="246"/>
  <c r="AB36" i="246"/>
  <c r="J37" i="246"/>
  <c r="AB37" i="246" s="1"/>
  <c r="AW36" i="245"/>
  <c r="AD36" i="245"/>
  <c r="L37" i="245"/>
  <c r="AD37" i="245" s="1"/>
  <c r="T12" i="255"/>
  <c r="BA12" i="237"/>
  <c r="Q33" i="251"/>
  <c r="AH32" i="237"/>
  <c r="AH38" i="237"/>
  <c r="M45" i="251"/>
  <c r="AE46" i="245"/>
  <c r="AC30" i="237"/>
  <c r="AV30" i="237"/>
  <c r="AZ36" i="245"/>
  <c r="AG36" i="245"/>
  <c r="O37" i="245"/>
  <c r="AG37" i="245" s="1"/>
  <c r="J46" i="246"/>
  <c r="J47" i="246" s="1"/>
  <c r="AB42" i="246"/>
  <c r="J43" i="246"/>
  <c r="AB43" i="246" s="1"/>
  <c r="V20" i="242"/>
  <c r="F25" i="241" s="1"/>
  <c r="AO12" i="242"/>
  <c r="E34" i="251"/>
  <c r="H13" i="255"/>
  <c r="V32" i="242"/>
  <c r="V38" i="242"/>
  <c r="AE36" i="253"/>
  <c r="AZ36" i="253"/>
  <c r="K37" i="253"/>
  <c r="AE37" i="253" s="1"/>
  <c r="AH30" i="237"/>
  <c r="BA30" i="237"/>
  <c r="V12" i="255"/>
  <c r="S33" i="251"/>
  <c r="BC12" i="237"/>
  <c r="AJ32" i="237"/>
  <c r="AJ38" i="237"/>
  <c r="Q27" i="252"/>
  <c r="O16" i="257"/>
  <c r="O18" i="257" s="1"/>
  <c r="O19" i="257" s="1"/>
  <c r="O21" i="257" s="1"/>
  <c r="O23" i="257" s="1"/>
  <c r="O24" i="257" s="1"/>
  <c r="N35" i="251"/>
  <c r="AY12" i="243"/>
  <c r="Q14" i="255"/>
  <c r="AF38" i="243"/>
  <c r="AF32" i="243"/>
  <c r="AW12" i="243"/>
  <c r="L35" i="251"/>
  <c r="O14" i="255"/>
  <c r="AD32" i="243"/>
  <c r="AD38" i="243"/>
  <c r="AA36" i="246"/>
  <c r="AT36" i="246"/>
  <c r="I37" i="246"/>
  <c r="AA37" i="246" s="1"/>
  <c r="G15" i="255"/>
  <c r="D36" i="251"/>
  <c r="AO12" i="244"/>
  <c r="V38" i="244"/>
  <c r="V32" i="244"/>
  <c r="K16" i="257"/>
  <c r="K18" i="257" s="1"/>
  <c r="K19" i="257" s="1"/>
  <c r="K21" i="257" s="1"/>
  <c r="K23" i="257" s="1"/>
  <c r="K24" i="257" s="1"/>
  <c r="M27" i="252"/>
  <c r="AB19" i="253"/>
  <c r="H65" i="253"/>
  <c r="J69" i="253"/>
  <c r="AI38" i="253"/>
  <c r="AR30" i="246"/>
  <c r="Y30" i="246"/>
  <c r="D31" i="244"/>
  <c r="V31" i="244" s="1"/>
  <c r="F90" i="241" s="1"/>
  <c r="V30" i="244"/>
  <c r="F82" i="241" s="1"/>
  <c r="AO30" i="244"/>
  <c r="AX36" i="242"/>
  <c r="AE36" i="242"/>
  <c r="M37" i="242"/>
  <c r="AE37" i="242" s="1"/>
  <c r="AG36" i="253"/>
  <c r="BB36" i="253"/>
  <c r="M37" i="253"/>
  <c r="AG37" i="253" s="1"/>
  <c r="AB20" i="253"/>
  <c r="J30" i="241" s="1"/>
  <c r="AB38" i="253"/>
  <c r="H34" i="251"/>
  <c r="K13" i="255"/>
  <c r="AR12" i="242"/>
  <c r="Y38" i="242"/>
  <c r="Y32" i="242"/>
  <c r="AP12" i="245"/>
  <c r="E37" i="251"/>
  <c r="H16" i="255"/>
  <c r="W38" i="245"/>
  <c r="W32" i="245"/>
  <c r="BE36" i="253"/>
  <c r="AJ36" i="253"/>
  <c r="P37" i="253"/>
  <c r="AJ37" i="253" s="1"/>
  <c r="E69" i="253"/>
  <c r="AE36" i="246"/>
  <c r="AX36" i="246"/>
  <c r="M37" i="246"/>
  <c r="AE37" i="246" s="1"/>
  <c r="AT12" i="246"/>
  <c r="J38" i="251"/>
  <c r="M17" i="255"/>
  <c r="AA32" i="246"/>
  <c r="AA38" i="246"/>
  <c r="AL42" i="253"/>
  <c r="R46" i="253"/>
  <c r="AL46" i="253" s="1"/>
  <c r="R43" i="253"/>
  <c r="AL43" i="253" s="1"/>
  <c r="AG30" i="242"/>
  <c r="AZ30" i="242"/>
  <c r="D46" i="237"/>
  <c r="V42" i="237"/>
  <c r="D43" i="237"/>
  <c r="V43" i="237" s="1"/>
  <c r="F46" i="246"/>
  <c r="X42" i="246"/>
  <c r="F43" i="246"/>
  <c r="X43" i="246" s="1"/>
  <c r="AS36" i="243"/>
  <c r="Z36" i="243"/>
  <c r="H37" i="243"/>
  <c r="Z37" i="243" s="1"/>
  <c r="W36" i="242"/>
  <c r="AP36" i="242"/>
  <c r="E37" i="242"/>
  <c r="W37" i="242" s="1"/>
  <c r="G27" i="252"/>
  <c r="E16" i="257"/>
  <c r="E18" i="257" s="1"/>
  <c r="E19" i="257" s="1"/>
  <c r="AC42" i="246"/>
  <c r="K46" i="246"/>
  <c r="K47" i="246" s="1"/>
  <c r="K43" i="246"/>
  <c r="AC43" i="246" s="1"/>
  <c r="H46" i="246"/>
  <c r="H47" i="246" s="1"/>
  <c r="Z42" i="246"/>
  <c r="H43" i="246"/>
  <c r="Z43" i="246" s="1"/>
  <c r="N46" i="246"/>
  <c r="N47" i="246" s="1"/>
  <c r="AF42" i="246"/>
  <c r="N43" i="246"/>
  <c r="AF43" i="246" s="1"/>
  <c r="AE42" i="242"/>
  <c r="M46" i="242"/>
  <c r="M43" i="242"/>
  <c r="AE43" i="242" s="1"/>
  <c r="AA42" i="243"/>
  <c r="I46" i="243"/>
  <c r="I43" i="243"/>
  <c r="AA43" i="243" s="1"/>
  <c r="J46" i="237"/>
  <c r="J47" i="237" s="1"/>
  <c r="AB42" i="237"/>
  <c r="J43" i="237"/>
  <c r="AB43" i="237" s="1"/>
  <c r="O13" i="255"/>
  <c r="AV12" i="242"/>
  <c r="L34" i="251"/>
  <c r="AC32" i="242"/>
  <c r="AC38" i="242"/>
  <c r="R46" i="245"/>
  <c r="AJ42" i="245"/>
  <c r="R43" i="245"/>
  <c r="AJ43" i="245" s="1"/>
  <c r="D69" i="253"/>
  <c r="W13" i="255"/>
  <c r="T34" i="251"/>
  <c r="BD12" i="242"/>
  <c r="AK32" i="242"/>
  <c r="AK38" i="242"/>
  <c r="Z38" i="253"/>
  <c r="S31" i="242"/>
  <c r="AK31" i="242" s="1"/>
  <c r="AK30" i="242"/>
  <c r="BD30" i="242"/>
  <c r="S46" i="243"/>
  <c r="AK42" i="243"/>
  <c r="S43" i="243"/>
  <c r="AK43" i="243" s="1"/>
  <c r="AZ30" i="243"/>
  <c r="AG30" i="243"/>
  <c r="O46" i="242"/>
  <c r="AG42" i="242"/>
  <c r="O43" i="242"/>
  <c r="AG43" i="242" s="1"/>
  <c r="W42" i="243"/>
  <c r="E46" i="243"/>
  <c r="E43" i="243"/>
  <c r="W43" i="243" s="1"/>
  <c r="H17" i="255"/>
  <c r="AO12" i="246"/>
  <c r="E38" i="251"/>
  <c r="V38" i="246"/>
  <c r="V32" i="246"/>
  <c r="AH42" i="237"/>
  <c r="P46" i="237"/>
  <c r="P47" i="237" s="1"/>
  <c r="P43" i="237"/>
  <c r="AH43" i="237" s="1"/>
  <c r="AX36" i="243"/>
  <c r="AE36" i="243"/>
  <c r="M37" i="243"/>
  <c r="AE37" i="243" s="1"/>
  <c r="AD47" i="246"/>
  <c r="L48" i="246"/>
  <c r="AJ47" i="242"/>
  <c r="R48" i="242"/>
  <c r="J17" i="255"/>
  <c r="G38" i="251"/>
  <c r="AQ12" i="246"/>
  <c r="X38" i="246"/>
  <c r="X32" i="246"/>
  <c r="AZ12" i="244"/>
  <c r="O36" i="251"/>
  <c r="R15" i="255"/>
  <c r="AG38" i="244"/>
  <c r="AG32" i="244"/>
  <c r="F33" i="251"/>
  <c r="I12" i="255"/>
  <c r="AP12" i="237"/>
  <c r="W32" i="237"/>
  <c r="W38" i="237"/>
  <c r="AR12" i="246"/>
  <c r="H38" i="251"/>
  <c r="K17" i="255"/>
  <c r="Y32" i="246"/>
  <c r="Y38" i="246"/>
  <c r="F69" i="253"/>
  <c r="Z30" i="245"/>
  <c r="AS30" i="245"/>
  <c r="K46" i="253"/>
  <c r="AE46" i="253" s="1"/>
  <c r="AE42" i="253"/>
  <c r="K43" i="253"/>
  <c r="AE43" i="253" s="1"/>
  <c r="AG38" i="253"/>
  <c r="AA36" i="245"/>
  <c r="AT36" i="245"/>
  <c r="I37" i="245"/>
  <c r="AA37" i="245" s="1"/>
  <c r="AR30" i="237"/>
  <c r="Y30" i="237"/>
  <c r="I79" i="241" s="1"/>
  <c r="AB36" i="242"/>
  <c r="AU36" i="242"/>
  <c r="J37" i="242"/>
  <c r="AB37" i="242" s="1"/>
  <c r="AS12" i="242"/>
  <c r="I34" i="251"/>
  <c r="L13" i="255"/>
  <c r="Z32" i="242"/>
  <c r="Z38" i="242"/>
  <c r="P31" i="237"/>
  <c r="AH31" i="237" s="1"/>
  <c r="AL30" i="243"/>
  <c r="BE30" i="243"/>
  <c r="O35" i="251"/>
  <c r="R14" i="255"/>
  <c r="AZ12" i="243"/>
  <c r="AG32" i="243"/>
  <c r="AG38" i="243"/>
  <c r="D31" i="242"/>
  <c r="V31" i="242" s="1"/>
  <c r="F88" i="241" s="1"/>
  <c r="AW12" i="242"/>
  <c r="M34" i="251"/>
  <c r="P13" i="255"/>
  <c r="AD38" i="242"/>
  <c r="AD32" i="242"/>
  <c r="F31" i="245"/>
  <c r="X31" i="245" s="1"/>
  <c r="AQ30" i="245"/>
  <c r="X30" i="245"/>
  <c r="AY36" i="246"/>
  <c r="AF36" i="246"/>
  <c r="N37" i="246"/>
  <c r="AF37" i="246" s="1"/>
  <c r="W36" i="244"/>
  <c r="AP36" i="244"/>
  <c r="E37" i="244"/>
  <c r="W37" i="244" s="1"/>
  <c r="L46" i="243"/>
  <c r="L47" i="243" s="1"/>
  <c r="AD42" i="243"/>
  <c r="L43" i="243"/>
  <c r="AD43" i="243" s="1"/>
  <c r="Y36" i="246"/>
  <c r="AR36" i="246"/>
  <c r="G37" i="246"/>
  <c r="Y37" i="246" s="1"/>
  <c r="J46" i="242"/>
  <c r="J47" i="242" s="1"/>
  <c r="AB42" i="242"/>
  <c r="J43" i="242"/>
  <c r="AB43" i="242" s="1"/>
  <c r="F46" i="253"/>
  <c r="Z46" i="253" s="1"/>
  <c r="Z42" i="253"/>
  <c r="F43" i="253"/>
  <c r="Z43" i="253" s="1"/>
  <c r="M46" i="253"/>
  <c r="AG46" i="253" s="1"/>
  <c r="AG42" i="253"/>
  <c r="M43" i="253"/>
  <c r="AG43" i="253" s="1"/>
  <c r="V20" i="244"/>
  <c r="F27" i="241" s="1"/>
  <c r="Q48" i="253"/>
  <c r="Q83" i="253"/>
  <c r="AK83" i="253" s="1"/>
  <c r="AK47" i="253"/>
  <c r="AS36" i="253"/>
  <c r="X36" i="253"/>
  <c r="D37" i="253"/>
  <c r="X37" i="253" s="1"/>
  <c r="M46" i="243"/>
  <c r="AE42" i="243"/>
  <c r="M43" i="243"/>
  <c r="AE43" i="243" s="1"/>
  <c r="W30" i="242"/>
  <c r="G80" i="241" s="1"/>
  <c r="AP30" i="242"/>
  <c r="R39" i="252"/>
  <c r="R48" i="252"/>
  <c r="R30" i="252"/>
  <c r="Y42" i="242"/>
  <c r="G46" i="242"/>
  <c r="G47" i="242" s="1"/>
  <c r="G43" i="242"/>
  <c r="Y43" i="242" s="1"/>
  <c r="M47" i="245"/>
  <c r="L37" i="251"/>
  <c r="O16" i="255"/>
  <c r="AW12" i="245"/>
  <c r="AD38" i="245"/>
  <c r="AD32" i="245"/>
  <c r="AC36" i="243"/>
  <c r="AV36" i="243"/>
  <c r="K37" i="243"/>
  <c r="AC37" i="243" s="1"/>
  <c r="Y20" i="237"/>
  <c r="I24" i="241" s="1"/>
  <c r="AR12" i="237"/>
  <c r="K12" i="255"/>
  <c r="H33" i="251"/>
  <c r="Y32" i="237"/>
  <c r="Y38" i="237"/>
  <c r="M13" i="255"/>
  <c r="J34" i="251"/>
  <c r="AT12" i="242"/>
  <c r="AA38" i="242"/>
  <c r="AA32" i="242"/>
  <c r="BH36" i="253"/>
  <c r="AM36" i="253"/>
  <c r="S37" i="253"/>
  <c r="AM37" i="253" s="1"/>
  <c r="AW36" i="242"/>
  <c r="AD36" i="242"/>
  <c r="L37" i="242"/>
  <c r="AD37" i="242" s="1"/>
  <c r="L46" i="242"/>
  <c r="L47" i="242" s="1"/>
  <c r="AD42" i="242"/>
  <c r="L43" i="242"/>
  <c r="AD43" i="242" s="1"/>
  <c r="Z30" i="243"/>
  <c r="J81" i="241" s="1"/>
  <c r="AS30" i="243"/>
  <c r="AO30" i="243"/>
  <c r="V30" i="243"/>
  <c r="F81" i="241" s="1"/>
  <c r="I33" i="251"/>
  <c r="L12" i="255"/>
  <c r="AS12" i="237"/>
  <c r="Z38" i="237"/>
  <c r="Z32" i="237"/>
  <c r="AD36" i="243"/>
  <c r="AW36" i="243"/>
  <c r="L37" i="243"/>
  <c r="AD37" i="243" s="1"/>
  <c r="AR36" i="245"/>
  <c r="Y36" i="245"/>
  <c r="G37" i="245"/>
  <c r="Y37" i="245" s="1"/>
  <c r="AV36" i="244"/>
  <c r="AC36" i="244"/>
  <c r="K37" i="244"/>
  <c r="AC37" i="244" s="1"/>
  <c r="I46" i="245"/>
  <c r="AA42" i="245"/>
  <c r="I43" i="245"/>
  <c r="AA43" i="245" s="1"/>
  <c r="M36" i="251"/>
  <c r="P15" i="255"/>
  <c r="AX12" i="244"/>
  <c r="AE38" i="244"/>
  <c r="AE32" i="244"/>
  <c r="X36" i="243"/>
  <c r="AQ36" i="243"/>
  <c r="F37" i="243"/>
  <c r="X37" i="243" s="1"/>
  <c r="Q48" i="244"/>
  <c r="AI47" i="244"/>
  <c r="M31" i="243"/>
  <c r="AE31" i="243" s="1"/>
  <c r="AX30" i="243"/>
  <c r="AE30" i="243"/>
  <c r="L33" i="251"/>
  <c r="AV12" i="237"/>
  <c r="O12" i="255"/>
  <c r="AC32" i="237"/>
  <c r="AC38" i="237"/>
  <c r="S46" i="242"/>
  <c r="AK42" i="242"/>
  <c r="S43" i="242"/>
  <c r="AK43" i="242" s="1"/>
  <c r="BE30" i="253"/>
  <c r="P73" i="253"/>
  <c r="P72" i="253" s="1"/>
  <c r="AJ30" i="253"/>
  <c r="L48" i="252"/>
  <c r="L39" i="252"/>
  <c r="L30" i="252"/>
  <c r="N33" i="251"/>
  <c r="AX12" i="237"/>
  <c r="Q12" i="255"/>
  <c r="AE32" i="237"/>
  <c r="AE38" i="237"/>
  <c r="G16" i="257"/>
  <c r="G18" i="257" s="1"/>
  <c r="G19" i="257" s="1"/>
  <c r="I27" i="252"/>
  <c r="K31" i="244"/>
  <c r="AC31" i="244" s="1"/>
  <c r="AV30" i="244"/>
  <c r="AC30" i="244"/>
  <c r="AA42" i="244"/>
  <c r="I46" i="244"/>
  <c r="I47" i="244" s="1"/>
  <c r="I43" i="244"/>
  <c r="AA43" i="244" s="1"/>
  <c r="G46" i="253"/>
  <c r="AA46" i="253" s="1"/>
  <c r="AA42" i="253"/>
  <c r="G43" i="253"/>
  <c r="AA43" i="253" s="1"/>
  <c r="AW30" i="243"/>
  <c r="AD30" i="243"/>
  <c r="M14" i="255"/>
  <c r="AU12" i="243"/>
  <c r="J35" i="251"/>
  <c r="AB32" i="243"/>
  <c r="AB38" i="243"/>
  <c r="AG30" i="245"/>
  <c r="AZ30" i="245"/>
  <c r="AE38" i="253"/>
  <c r="N46" i="243"/>
  <c r="AF42" i="243"/>
  <c r="N43" i="243"/>
  <c r="AF43" i="243" s="1"/>
  <c r="S31" i="237"/>
  <c r="AK31" i="237" s="1"/>
  <c r="AK30" i="237"/>
  <c r="BD30" i="237"/>
  <c r="AD42" i="244"/>
  <c r="L46" i="244"/>
  <c r="L47" i="244" s="1"/>
  <c r="L43" i="244"/>
  <c r="AD43" i="244" s="1"/>
  <c r="E36" i="251"/>
  <c r="AP12" i="244"/>
  <c r="H15" i="255"/>
  <c r="W38" i="244"/>
  <c r="W32" i="244"/>
  <c r="AC38" i="253"/>
  <c r="AP36" i="237"/>
  <c r="W36" i="237"/>
  <c r="E37" i="237"/>
  <c r="W37" i="237" s="1"/>
  <c r="Z30" i="242"/>
  <c r="J80" i="241" s="1"/>
  <c r="AS30" i="242"/>
  <c r="AU36" i="245"/>
  <c r="AB36" i="245"/>
  <c r="J37" i="245"/>
  <c r="AB37" i="245" s="1"/>
  <c r="AU36" i="237"/>
  <c r="AB36" i="237"/>
  <c r="J37" i="237"/>
  <c r="AB37" i="237" s="1"/>
  <c r="AN42" i="253"/>
  <c r="T46" i="253"/>
  <c r="AN46" i="253" s="1"/>
  <c r="T43" i="253"/>
  <c r="AN43" i="253" s="1"/>
  <c r="AE36" i="237"/>
  <c r="AX36" i="237"/>
  <c r="M37" i="237"/>
  <c r="AE37" i="237" s="1"/>
  <c r="J36" i="251"/>
  <c r="M15" i="255"/>
  <c r="AU12" i="244"/>
  <c r="AB32" i="244"/>
  <c r="AB38" i="244"/>
  <c r="O37" i="251"/>
  <c r="R16" i="255"/>
  <c r="AZ12" i="245"/>
  <c r="AG38" i="245"/>
  <c r="AG32" i="245"/>
  <c r="X30" i="253"/>
  <c r="F85" i="241" s="1"/>
  <c r="AS30" i="253"/>
  <c r="D73" i="253"/>
  <c r="D72" i="253" s="1"/>
  <c r="AL38" i="253"/>
  <c r="O31" i="243"/>
  <c r="AG31" i="243" s="1"/>
  <c r="M73" i="253"/>
  <c r="M72" i="253" s="1"/>
  <c r="BB30" i="253"/>
  <c r="AG30" i="253"/>
  <c r="AV12" i="245"/>
  <c r="N16" i="255"/>
  <c r="K37" i="251"/>
  <c r="AC38" i="245"/>
  <c r="AC32" i="245"/>
  <c r="AY30" i="237"/>
  <c r="AF30" i="237"/>
  <c r="Z36" i="244"/>
  <c r="AS36" i="244"/>
  <c r="H37" i="244"/>
  <c r="Z37" i="244" s="1"/>
  <c r="S69" i="253"/>
  <c r="AS36" i="246"/>
  <c r="Z36" i="246"/>
  <c r="H37" i="246"/>
  <c r="Z37" i="246" s="1"/>
  <c r="J14" i="255"/>
  <c r="G35" i="251"/>
  <c r="AR12" i="243"/>
  <c r="Y32" i="243"/>
  <c r="Y38" i="243"/>
  <c r="K46" i="244"/>
  <c r="AC42" i="244"/>
  <c r="K43" i="244"/>
  <c r="AC43" i="244" s="1"/>
  <c r="AE36" i="244"/>
  <c r="AX36" i="244"/>
  <c r="M37" i="244"/>
  <c r="AE37" i="244" s="1"/>
  <c r="AY36" i="253"/>
  <c r="AD36" i="253"/>
  <c r="J37" i="253"/>
  <c r="AD37" i="253" s="1"/>
  <c r="S65" i="253"/>
  <c r="AM19" i="253"/>
  <c r="O69" i="253"/>
  <c r="X42" i="245"/>
  <c r="F46" i="245"/>
  <c r="F43" i="245"/>
  <c r="X43" i="245" s="1"/>
  <c r="G31" i="237"/>
  <c r="Y31" i="237" s="1"/>
  <c r="I87" i="241" s="1"/>
  <c r="H69" i="253"/>
  <c r="I31" i="246"/>
  <c r="AA31" i="246" s="1"/>
  <c r="AT30" i="246"/>
  <c r="AA30" i="246"/>
  <c r="AJ30" i="237"/>
  <c r="BC30" i="237"/>
  <c r="K69" i="253"/>
  <c r="Y20" i="242"/>
  <c r="I25" i="241" s="1"/>
  <c r="H46" i="245"/>
  <c r="H47" i="245" s="1"/>
  <c r="Z42" i="245"/>
  <c r="H43" i="245"/>
  <c r="Z43" i="245" s="1"/>
  <c r="V42" i="243"/>
  <c r="D46" i="243"/>
  <c r="D43" i="243"/>
  <c r="V43" i="243" s="1"/>
  <c r="W42" i="242"/>
  <c r="E46" i="242"/>
  <c r="E47" i="242" s="1"/>
  <c r="E43" i="242"/>
  <c r="W43" i="242" s="1"/>
  <c r="AZ36" i="242"/>
  <c r="AG36" i="242"/>
  <c r="O37" i="242"/>
  <c r="AG37" i="242" s="1"/>
  <c r="AV36" i="246"/>
  <c r="AC36" i="246"/>
  <c r="K37" i="246"/>
  <c r="AC37" i="246" s="1"/>
  <c r="Z42" i="237"/>
  <c r="H46" i="237"/>
  <c r="H43" i="237"/>
  <c r="Z43" i="237" s="1"/>
  <c r="P12" i="255"/>
  <c r="AW12" i="237"/>
  <c r="M33" i="251"/>
  <c r="AD38" i="237"/>
  <c r="AD32" i="237"/>
  <c r="AY12" i="237"/>
  <c r="R12" i="255"/>
  <c r="O33" i="251"/>
  <c r="AF38" i="237"/>
  <c r="AF32" i="237"/>
  <c r="V20" i="237"/>
  <c r="F24" i="241" s="1"/>
  <c r="H12" i="255"/>
  <c r="AO12" i="237"/>
  <c r="E33" i="251"/>
  <c r="V38" i="237"/>
  <c r="V32" i="237"/>
  <c r="D21" i="257"/>
  <c r="D27" i="257"/>
  <c r="AT12" i="243"/>
  <c r="L14" i="255"/>
  <c r="I35" i="251"/>
  <c r="AA38" i="243"/>
  <c r="AA32" i="243"/>
  <c r="AT30" i="237"/>
  <c r="AA30" i="237"/>
  <c r="D31" i="237"/>
  <c r="V31" i="237" s="1"/>
  <c r="F87" i="241" s="1"/>
  <c r="AO30" i="237"/>
  <c r="V30" i="237"/>
  <c r="F79" i="241" s="1"/>
  <c r="AC42" i="237"/>
  <c r="K46" i="237"/>
  <c r="K43" i="237"/>
  <c r="AC43" i="237" s="1"/>
  <c r="AS12" i="244"/>
  <c r="K15" i="255"/>
  <c r="H36" i="251"/>
  <c r="Z38" i="244"/>
  <c r="Z32" i="244"/>
  <c r="K31" i="237"/>
  <c r="AC31" i="237" s="1"/>
  <c r="AD36" i="244"/>
  <c r="AW36" i="244"/>
  <c r="L37" i="244"/>
  <c r="AD37" i="244" s="1"/>
  <c r="J31" i="245"/>
  <c r="AB31" i="245" s="1"/>
  <c r="AU30" i="245"/>
  <c r="AB30" i="245"/>
  <c r="BI36" i="253"/>
  <c r="AN36" i="253"/>
  <c r="T37" i="253"/>
  <c r="AN37" i="253" s="1"/>
  <c r="Y14" i="255"/>
  <c r="W14" i="255"/>
  <c r="BE12" i="243"/>
  <c r="T35" i="251"/>
  <c r="X14" i="255"/>
  <c r="AL32" i="243"/>
  <c r="AL38" i="243"/>
  <c r="Z14" i="255"/>
  <c r="P48" i="242"/>
  <c r="AH47" i="242"/>
  <c r="AO30" i="246"/>
  <c r="V30" i="246"/>
  <c r="W30" i="246"/>
  <c r="AP30" i="246"/>
  <c r="V36" i="237"/>
  <c r="AO36" i="237"/>
  <c r="D37" i="237"/>
  <c r="V37" i="237" s="1"/>
  <c r="X42" i="242"/>
  <c r="F46" i="242"/>
  <c r="F47" i="242" s="1"/>
  <c r="F43" i="242"/>
  <c r="X43" i="242" s="1"/>
  <c r="R31" i="244"/>
  <c r="AJ31" i="244" s="1"/>
  <c r="BC30" i="244"/>
  <c r="AJ30" i="244"/>
  <c r="BB12" i="245"/>
  <c r="Q37" i="251"/>
  <c r="T16" i="255"/>
  <c r="AI38" i="245"/>
  <c r="AI32" i="245"/>
  <c r="T69" i="253"/>
  <c r="G46" i="237"/>
  <c r="Y42" i="237"/>
  <c r="G43" i="237"/>
  <c r="Y43" i="237" s="1"/>
  <c r="M31" i="246"/>
  <c r="AE31" i="246" s="1"/>
  <c r="AX30" i="246"/>
  <c r="AE30" i="246"/>
  <c r="AP36" i="245"/>
  <c r="W36" i="245"/>
  <c r="E37" i="245"/>
  <c r="W37" i="245" s="1"/>
  <c r="I31" i="243"/>
  <c r="AA31" i="243" s="1"/>
  <c r="AT30" i="243"/>
  <c r="AA30" i="243"/>
  <c r="AD30" i="244"/>
  <c r="AW30" i="244"/>
  <c r="Y42" i="245"/>
  <c r="G46" i="245"/>
  <c r="G43" i="245"/>
  <c r="Y43" i="245" s="1"/>
  <c r="X20" i="237"/>
  <c r="H24" i="241" s="1"/>
  <c r="G33" i="251"/>
  <c r="AQ12" i="237"/>
  <c r="J12" i="255"/>
  <c r="X32" i="237"/>
  <c r="X38" i="237"/>
  <c r="O46" i="243"/>
  <c r="AG42" i="243"/>
  <c r="O43" i="243"/>
  <c r="AG43" i="243" s="1"/>
  <c r="N27" i="252"/>
  <c r="L16" i="257"/>
  <c r="L18" i="257" s="1"/>
  <c r="L19" i="257" s="1"/>
  <c r="L21" i="257" s="1"/>
  <c r="L23" i="257" s="1"/>
  <c r="L24" i="257" s="1"/>
  <c r="AZ30" i="253"/>
  <c r="AE30" i="253"/>
  <c r="K73" i="253"/>
  <c r="K72" i="253" s="1"/>
  <c r="L38" i="251"/>
  <c r="O17" i="255"/>
  <c r="AV12" i="246"/>
  <c r="AC32" i="246"/>
  <c r="AC38" i="246"/>
  <c r="O31" i="245"/>
  <c r="AG31" i="245" s="1"/>
  <c r="AE30" i="242"/>
  <c r="AX30" i="242"/>
  <c r="W30" i="237"/>
  <c r="G79" i="241" s="1"/>
  <c r="AP30" i="237"/>
  <c r="H31" i="242"/>
  <c r="Z31" i="242" s="1"/>
  <c r="J88" i="241" s="1"/>
  <c r="AR30" i="243"/>
  <c r="Y30" i="243"/>
  <c r="I81" i="241" s="1"/>
  <c r="AJ47" i="243"/>
  <c r="R48" i="243"/>
  <c r="P34" i="251"/>
  <c r="S13" i="255"/>
  <c r="AZ12" i="242"/>
  <c r="AG32" i="242"/>
  <c r="AG38" i="242"/>
  <c r="P48" i="244"/>
  <c r="AH47" i="244"/>
  <c r="J73" i="253"/>
  <c r="J72" i="253" s="1"/>
  <c r="AY30" i="253"/>
  <c r="AD30" i="253"/>
  <c r="I31" i="245"/>
  <c r="AA31" i="245" s="1"/>
  <c r="AA30" i="245"/>
  <c r="AT30" i="245"/>
  <c r="M16" i="255"/>
  <c r="J37" i="251"/>
  <c r="AU12" i="245"/>
  <c r="AB38" i="245"/>
  <c r="AB32" i="245"/>
  <c r="P14" i="255"/>
  <c r="AX12" i="243"/>
  <c r="M35" i="251"/>
  <c r="AE32" i="243"/>
  <c r="AE38" i="243"/>
  <c r="X42" i="237"/>
  <c r="F46" i="237"/>
  <c r="F43" i="237"/>
  <c r="X43" i="237" s="1"/>
  <c r="Y20" i="243"/>
  <c r="I26" i="241" s="1"/>
  <c r="X30" i="244"/>
  <c r="H82" i="241" s="1"/>
  <c r="AQ30" i="244"/>
  <c r="AY36" i="237"/>
  <c r="AF36" i="237"/>
  <c r="N37" i="237"/>
  <c r="AF37" i="237" s="1"/>
  <c r="AV36" i="245"/>
  <c r="AC36" i="245"/>
  <c r="K37" i="245"/>
  <c r="AC37" i="245" s="1"/>
  <c r="Q31" i="245"/>
  <c r="AI31" i="245" s="1"/>
  <c r="AI30" i="245"/>
  <c r="BB30" i="245"/>
  <c r="H14" i="255"/>
  <c r="AP12" i="243"/>
  <c r="E35" i="251"/>
  <c r="W32" i="243"/>
  <c r="W38" i="243"/>
  <c r="AY30" i="244"/>
  <c r="AF30" i="244"/>
  <c r="AB30" i="237"/>
  <c r="AU30" i="237"/>
  <c r="X36" i="242"/>
  <c r="AQ36" i="242"/>
  <c r="F37" i="242"/>
  <c r="X37" i="242" s="1"/>
  <c r="AK36" i="243"/>
  <c r="BD36" i="243"/>
  <c r="S37" i="243"/>
  <c r="AK37" i="243" s="1"/>
  <c r="AD42" i="237"/>
  <c r="L46" i="237"/>
  <c r="L43" i="237"/>
  <c r="AD43" i="237" s="1"/>
  <c r="S35" i="251"/>
  <c r="BD12" i="243"/>
  <c r="V14" i="255"/>
  <c r="AK38" i="243"/>
  <c r="AK32" i="243"/>
  <c r="AD30" i="242"/>
  <c r="AW30" i="242"/>
  <c r="AJ38" i="253"/>
  <c r="Y42" i="246"/>
  <c r="G46" i="246"/>
  <c r="G47" i="246" s="1"/>
  <c r="G43" i="246"/>
  <c r="Y43" i="246" s="1"/>
  <c r="AR30" i="242"/>
  <c r="Y30" i="242"/>
  <c r="I80" i="241" s="1"/>
  <c r="K31" i="245"/>
  <c r="AC31" i="245" s="1"/>
  <c r="AC30" i="245"/>
  <c r="AV30" i="245"/>
  <c r="AB42" i="253"/>
  <c r="H46" i="253"/>
  <c r="AB46" i="253" s="1"/>
  <c r="H43" i="253"/>
  <c r="AB43" i="253" s="1"/>
  <c r="I69" i="253"/>
  <c r="N31" i="237"/>
  <c r="AF31" i="237" s="1"/>
  <c r="R46" i="244"/>
  <c r="R47" i="244" s="1"/>
  <c r="R43" i="244"/>
  <c r="AJ43" i="244" s="1"/>
  <c r="AJ42" i="244"/>
  <c r="F30" i="252"/>
  <c r="F39" i="252"/>
  <c r="F48" i="252"/>
  <c r="L48" i="253"/>
  <c r="L83" i="253"/>
  <c r="AF83" i="253" s="1"/>
  <c r="AF47" i="253"/>
  <c r="W12" i="255"/>
  <c r="T33" i="251"/>
  <c r="BD12" i="237"/>
  <c r="AK32" i="237"/>
  <c r="AK38" i="237"/>
  <c r="AX30" i="253"/>
  <c r="I73" i="253"/>
  <c r="I72" i="253" s="1"/>
  <c r="AC30" i="253"/>
  <c r="AI30" i="243"/>
  <c r="BB30" i="243"/>
  <c r="Z20" i="244"/>
  <c r="J27" i="241" s="1"/>
  <c r="E31" i="245"/>
  <c r="W31" i="245" s="1"/>
  <c r="AP30" i="245"/>
  <c r="W30" i="245"/>
  <c r="G31" i="253"/>
  <c r="AA31" i="253" s="1"/>
  <c r="I93" i="241" s="1"/>
  <c r="AA30" i="253"/>
  <c r="I85" i="241" s="1"/>
  <c r="G73" i="253"/>
  <c r="G72" i="253" s="1"/>
  <c r="AV30" i="253"/>
  <c r="W42" i="246"/>
  <c r="E46" i="246"/>
  <c r="E47" i="246" s="1"/>
  <c r="E43" i="246"/>
  <c r="W43" i="246" s="1"/>
  <c r="G69" i="253"/>
  <c r="AO36" i="243"/>
  <c r="V36" i="243"/>
  <c r="D37" i="243"/>
  <c r="D46" i="246"/>
  <c r="V42" i="246"/>
  <c r="D43" i="246"/>
  <c r="V43" i="246" s="1"/>
  <c r="X30" i="243"/>
  <c r="H81" i="241" s="1"/>
  <c r="AQ30" i="243"/>
  <c r="M69" i="253"/>
  <c r="AS36" i="245"/>
  <c r="Z36" i="245"/>
  <c r="H37" i="245"/>
  <c r="Z37" i="245" s="1"/>
  <c r="AO36" i="244"/>
  <c r="V36" i="244"/>
  <c r="D37" i="244"/>
  <c r="V37" i="244" s="1"/>
  <c r="R69" i="253"/>
  <c r="J46" i="245"/>
  <c r="AB42" i="245"/>
  <c r="J43" i="245"/>
  <c r="AB43" i="245" s="1"/>
  <c r="AD42" i="245"/>
  <c r="L46" i="245"/>
  <c r="L43" i="245"/>
  <c r="AD43" i="245" s="1"/>
  <c r="AV30" i="246"/>
  <c r="AC30" i="246"/>
  <c r="X42" i="243"/>
  <c r="F46" i="243"/>
  <c r="F47" i="243" s="1"/>
  <c r="F43" i="243"/>
  <c r="X43" i="243" s="1"/>
  <c r="AG36" i="244"/>
  <c r="AZ36" i="244"/>
  <c r="O37" i="244"/>
  <c r="AG37" i="244" s="1"/>
  <c r="O31" i="244"/>
  <c r="AG31" i="244" s="1"/>
  <c r="AZ30" i="244"/>
  <c r="AG30" i="244"/>
  <c r="AR36" i="242"/>
  <c r="Y36" i="242"/>
  <c r="G37" i="242"/>
  <c r="Y37" i="242" s="1"/>
  <c r="Y42" i="243"/>
  <c r="G46" i="243"/>
  <c r="G43" i="243"/>
  <c r="Y43" i="243" s="1"/>
  <c r="AN38" i="253"/>
  <c r="BB36" i="245"/>
  <c r="AI36" i="245"/>
  <c r="Q37" i="245"/>
  <c r="AI37" i="245" s="1"/>
  <c r="AQ36" i="246"/>
  <c r="X36" i="246"/>
  <c r="F37" i="246"/>
  <c r="X37" i="246" s="1"/>
  <c r="K27" i="252"/>
  <c r="I16" i="257"/>
  <c r="I18" i="257" s="1"/>
  <c r="I19" i="257" s="1"/>
  <c r="I21" i="257" s="1"/>
  <c r="I23" i="257" s="1"/>
  <c r="I24" i="257" s="1"/>
  <c r="K46" i="242"/>
  <c r="K47" i="242" s="1"/>
  <c r="AC42" i="242"/>
  <c r="K43" i="242"/>
  <c r="AC43" i="242" s="1"/>
  <c r="AJ30" i="245"/>
  <c r="BC30" i="245"/>
  <c r="AT30" i="244"/>
  <c r="AA30" i="244"/>
  <c r="V36" i="246"/>
  <c r="AO36" i="246"/>
  <c r="D37" i="246"/>
  <c r="V37" i="246" s="1"/>
  <c r="N31" i="253"/>
  <c r="AH31" i="253" s="1"/>
  <c r="N73" i="253"/>
  <c r="N72" i="253" s="1"/>
  <c r="AH30" i="253"/>
  <c r="BC30" i="253"/>
  <c r="G31" i="243"/>
  <c r="Y31" i="243" s="1"/>
  <c r="I89" i="241" s="1"/>
  <c r="AA36" i="242"/>
  <c r="AT36" i="242"/>
  <c r="I37" i="242"/>
  <c r="AA37" i="242" s="1"/>
  <c r="G37" i="251"/>
  <c r="AR12" i="245"/>
  <c r="J16" i="255"/>
  <c r="Y32" i="245"/>
  <c r="Y38" i="245"/>
  <c r="AU12" i="242"/>
  <c r="K34" i="251"/>
  <c r="N13" i="255"/>
  <c r="AB32" i="242"/>
  <c r="AB38" i="242"/>
  <c r="E46" i="244"/>
  <c r="W42" i="244"/>
  <c r="E43" i="244"/>
  <c r="W43" i="244" s="1"/>
  <c r="N46" i="237"/>
  <c r="N47" i="237" s="1"/>
  <c r="AF42" i="237"/>
  <c r="N43" i="237"/>
  <c r="AF43" i="237" s="1"/>
  <c r="AL19" i="253"/>
  <c r="R65" i="253"/>
  <c r="F37" i="251"/>
  <c r="AQ12" i="245"/>
  <c r="I16" i="255"/>
  <c r="X32" i="245"/>
  <c r="X38" i="245"/>
  <c r="S31" i="253"/>
  <c r="AM31" i="253" s="1"/>
  <c r="AM30" i="253"/>
  <c r="BH30" i="253"/>
  <c r="S73" i="253"/>
  <c r="S72" i="253" s="1"/>
  <c r="G34" i="251"/>
  <c r="J13" i="255"/>
  <c r="AQ12" i="242"/>
  <c r="X38" i="242"/>
  <c r="X32" i="242"/>
  <c r="W36" i="246"/>
  <c r="AP36" i="246"/>
  <c r="E37" i="246"/>
  <c r="W37" i="246" s="1"/>
  <c r="AC30" i="243"/>
  <c r="AV30" i="243"/>
  <c r="P47" i="245"/>
  <c r="P45" i="251"/>
  <c r="AH46" i="245"/>
  <c r="F16" i="257"/>
  <c r="F18" i="257" s="1"/>
  <c r="F19" i="257" s="1"/>
  <c r="H27" i="252"/>
  <c r="AJ32" i="245"/>
  <c r="AJ38" i="245"/>
  <c r="U16" i="255"/>
  <c r="R37" i="251"/>
  <c r="BC12" i="245"/>
  <c r="AX36" i="253"/>
  <c r="AC36" i="253"/>
  <c r="I37" i="253"/>
  <c r="AC37" i="253" s="1"/>
  <c r="F113" i="251"/>
  <c r="F56" i="251" s="1"/>
  <c r="AY36" i="244"/>
  <c r="AF36" i="244"/>
  <c r="N37" i="244"/>
  <c r="AF37" i="244" s="1"/>
  <c r="F31" i="237"/>
  <c r="X31" i="237" s="1"/>
  <c r="H87" i="241" s="1"/>
  <c r="AQ30" i="237"/>
  <c r="X30" i="237"/>
  <c r="H79" i="241" s="1"/>
  <c r="BE36" i="243"/>
  <c r="AL36" i="243"/>
  <c r="T37" i="243"/>
  <c r="AL37" i="243" s="1"/>
  <c r="K31" i="242"/>
  <c r="AC31" i="242" s="1"/>
  <c r="AC30" i="242"/>
  <c r="AV30" i="242"/>
  <c r="AH38" i="253"/>
  <c r="AI36" i="243"/>
  <c r="BB36" i="243"/>
  <c r="Q37" i="243"/>
  <c r="AI37" i="243" s="1"/>
  <c r="BC36" i="244"/>
  <c r="R37" i="244"/>
  <c r="AJ37" i="244" s="1"/>
  <c r="AJ36" i="244"/>
  <c r="AI30" i="253"/>
  <c r="O73" i="253"/>
  <c r="O72" i="253" s="1"/>
  <c r="BD30" i="253"/>
  <c r="Y42" i="253"/>
  <c r="E46" i="253"/>
  <c r="Y46" i="253" s="1"/>
  <c r="E43" i="253"/>
  <c r="Y43" i="253" s="1"/>
  <c r="AA30" i="242"/>
  <c r="AT30" i="242"/>
  <c r="R37" i="245"/>
  <c r="AJ37" i="245" s="1"/>
  <c r="AJ36" i="245"/>
  <c r="BC36" i="245"/>
  <c r="AC42" i="253"/>
  <c r="I46" i="253"/>
  <c r="AC46" i="253" s="1"/>
  <c r="I43" i="253"/>
  <c r="AC43" i="253" s="1"/>
  <c r="I13" i="255"/>
  <c r="F34" i="251"/>
  <c r="AP12" i="242"/>
  <c r="W32" i="242"/>
  <c r="W38" i="242"/>
  <c r="AY30" i="246"/>
  <c r="AF30" i="246"/>
  <c r="N12" i="255"/>
  <c r="K33" i="251"/>
  <c r="AU12" i="237"/>
  <c r="AB32" i="237"/>
  <c r="AB38" i="237"/>
  <c r="X42" i="253"/>
  <c r="D43" i="253"/>
  <c r="X43" i="253" s="1"/>
  <c r="D46" i="253"/>
  <c r="X46" i="253" s="1"/>
  <c r="AH36" i="253"/>
  <c r="BC36" i="253"/>
  <c r="N37" i="253"/>
  <c r="AH37" i="253" s="1"/>
  <c r="L36" i="251"/>
  <c r="O15" i="255"/>
  <c r="AW12" i="244"/>
  <c r="AD32" i="244"/>
  <c r="AD38" i="244"/>
  <c r="K46" i="245"/>
  <c r="AC42" i="245"/>
  <c r="K43" i="245"/>
  <c r="AC43" i="245" s="1"/>
  <c r="AI36" i="253"/>
  <c r="BD36" i="253"/>
  <c r="O37" i="253"/>
  <c r="AI37" i="253" s="1"/>
  <c r="AV12" i="243"/>
  <c r="K35" i="251"/>
  <c r="N14" i="255"/>
  <c r="AC38" i="243"/>
  <c r="AC32" i="243"/>
  <c r="R46" i="237"/>
  <c r="AJ42" i="237"/>
  <c r="R43" i="237"/>
  <c r="AJ43" i="237" s="1"/>
  <c r="N31" i="246"/>
  <c r="AF31" i="246" s="1"/>
  <c r="AH36" i="237"/>
  <c r="BA36" i="237"/>
  <c r="P37" i="237"/>
  <c r="AH37" i="237" s="1"/>
  <c r="N46" i="253"/>
  <c r="AH46" i="253" s="1"/>
  <c r="AH42" i="253"/>
  <c r="N43" i="253"/>
  <c r="AH43" i="253" s="1"/>
  <c r="AQ30" i="242"/>
  <c r="X30" i="242"/>
  <c r="H80" i="241" s="1"/>
  <c r="AU36" i="253"/>
  <c r="Z36" i="253"/>
  <c r="F37" i="253"/>
  <c r="Z37" i="253" s="1"/>
  <c r="T46" i="243"/>
  <c r="AL42" i="243"/>
  <c r="T43" i="243"/>
  <c r="AL43" i="243" s="1"/>
  <c r="J31" i="243"/>
  <c r="AB31" i="243" s="1"/>
  <c r="AU30" i="243"/>
  <c r="AB30" i="243"/>
  <c r="W30" i="244"/>
  <c r="G82" i="241" s="1"/>
  <c r="AP30" i="244"/>
  <c r="F31" i="253"/>
  <c r="Z31" i="253" s="1"/>
  <c r="H93" i="241" s="1"/>
  <c r="AU30" i="253"/>
  <c r="F73" i="253"/>
  <c r="F72" i="253" s="1"/>
  <c r="Z30" i="253"/>
  <c r="H85" i="241" s="1"/>
  <c r="J33" i="251"/>
  <c r="AT12" i="237"/>
  <c r="M12" i="255"/>
  <c r="AA32" i="237"/>
  <c r="AA38" i="237"/>
  <c r="AB36" i="244"/>
  <c r="AU36" i="244"/>
  <c r="J37" i="244"/>
  <c r="AB37" i="244" s="1"/>
  <c r="H46" i="243"/>
  <c r="Z42" i="243"/>
  <c r="H43" i="243"/>
  <c r="Z43" i="243" s="1"/>
  <c r="M113" i="251"/>
  <c r="M56" i="251" s="1"/>
  <c r="G36" i="251"/>
  <c r="AR12" i="244"/>
  <c r="J15" i="255"/>
  <c r="Y38" i="244"/>
  <c r="Y32" i="244"/>
  <c r="AX30" i="244"/>
  <c r="AE30" i="244"/>
  <c r="Z42" i="244"/>
  <c r="H46" i="244"/>
  <c r="H43" i="244"/>
  <c r="Z43" i="244" s="1"/>
  <c r="F31" i="242"/>
  <c r="X31" i="242" s="1"/>
  <c r="H88" i="241" s="1"/>
  <c r="AO12" i="243"/>
  <c r="D35" i="251"/>
  <c r="G14" i="255"/>
  <c r="V32" i="243"/>
  <c r="V38" i="243"/>
  <c r="AE30" i="237"/>
  <c r="AX30" i="237"/>
  <c r="AY30" i="243"/>
  <c r="AF30" i="243"/>
  <c r="Z30" i="244"/>
  <c r="J82" i="241" s="1"/>
  <c r="AS30" i="244"/>
  <c r="AZ36" i="243"/>
  <c r="AG36" i="243"/>
  <c r="O37" i="243"/>
  <c r="AG37" i="243" s="1"/>
  <c r="AE42" i="244"/>
  <c r="M46" i="244"/>
  <c r="M43" i="244"/>
  <c r="AE43" i="244" s="1"/>
  <c r="AT36" i="237"/>
  <c r="AA36" i="237"/>
  <c r="I37" i="237"/>
  <c r="AA37" i="237" s="1"/>
  <c r="O46" i="253"/>
  <c r="AI46" i="253" s="1"/>
  <c r="AI42" i="253"/>
  <c r="O43" i="253"/>
  <c r="AI43" i="253" s="1"/>
  <c r="S46" i="253"/>
  <c r="AM46" i="253" s="1"/>
  <c r="AM42" i="253"/>
  <c r="S43" i="253"/>
  <c r="AM43" i="253" s="1"/>
  <c r="V42" i="244"/>
  <c r="D46" i="244"/>
  <c r="D43" i="244"/>
  <c r="V43" i="244" s="1"/>
  <c r="N69" i="253"/>
  <c r="K38" i="251"/>
  <c r="AU12" i="246"/>
  <c r="N17" i="255"/>
  <c r="AB32" i="246"/>
  <c r="AB38" i="246"/>
  <c r="P27" i="252"/>
  <c r="N16" i="257"/>
  <c r="N18" i="257" s="1"/>
  <c r="N19" i="257" s="1"/>
  <c r="N21" i="257" s="1"/>
  <c r="N23" i="257" s="1"/>
  <c r="N24" i="257" s="1"/>
  <c r="AV36" i="242"/>
  <c r="AC36" i="242"/>
  <c r="K37" i="242"/>
  <c r="AC37" i="242" s="1"/>
  <c r="F38" i="251"/>
  <c r="AP12" i="246"/>
  <c r="I17" i="255"/>
  <c r="W38" i="246"/>
  <c r="W32" i="246"/>
  <c r="AS36" i="242"/>
  <c r="Z36" i="242"/>
  <c r="H37" i="242"/>
  <c r="Z37" i="242" s="1"/>
  <c r="AO36" i="242"/>
  <c r="V36" i="242"/>
  <c r="D37" i="242"/>
  <c r="V37" i="242" s="1"/>
  <c r="AP36" i="243"/>
  <c r="W36" i="243"/>
  <c r="E37" i="243"/>
  <c r="W37" i="243" s="1"/>
  <c r="AT36" i="253"/>
  <c r="Y36" i="253"/>
  <c r="E37" i="253"/>
  <c r="Y37" i="253" s="1"/>
  <c r="X38" i="253"/>
  <c r="P46" i="253"/>
  <c r="AJ46" i="253" s="1"/>
  <c r="AJ42" i="253"/>
  <c r="P43" i="253"/>
  <c r="AJ43" i="253" s="1"/>
  <c r="L16" i="255"/>
  <c r="AT12" i="245"/>
  <c r="I37" i="251"/>
  <c r="AA38" i="245"/>
  <c r="AA32" i="245"/>
  <c r="AW30" i="253"/>
  <c r="H73" i="253"/>
  <c r="H72" i="253" s="1"/>
  <c r="AB30" i="253"/>
  <c r="J85" i="241" s="1"/>
  <c r="G46" i="244"/>
  <c r="Y42" i="244"/>
  <c r="G43" i="244"/>
  <c r="Y43" i="244" s="1"/>
  <c r="AB36" i="243"/>
  <c r="AU36" i="243"/>
  <c r="J37" i="243"/>
  <c r="AB37" i="243" s="1"/>
  <c r="J46" i="243"/>
  <c r="J47" i="243" s="1"/>
  <c r="AB42" i="243"/>
  <c r="J43" i="243"/>
  <c r="AB43" i="243" s="1"/>
  <c r="AA42" i="242"/>
  <c r="I46" i="242"/>
  <c r="I43" i="242"/>
  <c r="AA43" i="242" s="1"/>
  <c r="AT36" i="244"/>
  <c r="AA36" i="244"/>
  <c r="I37" i="244"/>
  <c r="AA37" i="244" s="1"/>
  <c r="AB36" i="253"/>
  <c r="AW36" i="253"/>
  <c r="H37" i="253"/>
  <c r="AB37" i="253" s="1"/>
  <c r="AT12" i="244"/>
  <c r="I36" i="251"/>
  <c r="L15" i="255"/>
  <c r="AA38" i="244"/>
  <c r="AA32" i="244"/>
  <c r="AS36" i="237"/>
  <c r="Z36" i="237"/>
  <c r="H37" i="237"/>
  <c r="Z37" i="237" s="1"/>
  <c r="J31" i="246"/>
  <c r="AB31" i="246" s="1"/>
  <c r="AB30" i="246"/>
  <c r="AU30" i="246"/>
  <c r="V36" i="245"/>
  <c r="AO36" i="245"/>
  <c r="D37" i="245"/>
  <c r="V37" i="245" s="1"/>
  <c r="J46" i="253"/>
  <c r="AD46" i="253" s="1"/>
  <c r="AD42" i="253"/>
  <c r="J43" i="253"/>
  <c r="AD43" i="253" s="1"/>
  <c r="R73" i="253"/>
  <c r="R72" i="253" s="1"/>
  <c r="AL30" i="253"/>
  <c r="BG30" i="253"/>
  <c r="G16" i="255"/>
  <c r="D37" i="251"/>
  <c r="AO12" i="245"/>
  <c r="V32" i="245"/>
  <c r="V38" i="245"/>
  <c r="L31" i="244"/>
  <c r="AD31" i="244" s="1"/>
  <c r="Q15" i="255"/>
  <c r="AY12" i="244"/>
  <c r="N36" i="251"/>
  <c r="AF32" i="244"/>
  <c r="AF38" i="244"/>
  <c r="AJ32" i="244"/>
  <c r="R36" i="251"/>
  <c r="BC12" i="244"/>
  <c r="U15" i="255"/>
  <c r="AJ38" i="244"/>
  <c r="AY36" i="243"/>
  <c r="AF36" i="243"/>
  <c r="N37" i="243"/>
  <c r="AF37" i="243" s="1"/>
  <c r="Y36" i="237"/>
  <c r="AR36" i="237"/>
  <c r="G37" i="237"/>
  <c r="Y37" i="237" s="1"/>
  <c r="N46" i="244"/>
  <c r="AF42" i="244"/>
  <c r="N43" i="244"/>
  <c r="AF43" i="244" s="1"/>
  <c r="R17" i="255"/>
  <c r="O38" i="251"/>
  <c r="AY12" i="246"/>
  <c r="AF38" i="246"/>
  <c r="AF32" i="246"/>
  <c r="E46" i="237"/>
  <c r="W42" i="237"/>
  <c r="E43" i="237"/>
  <c r="W43" i="237" s="1"/>
  <c r="AV36" i="253"/>
  <c r="AA36" i="253"/>
  <c r="G37" i="253"/>
  <c r="AA37" i="253" s="1"/>
  <c r="S31" i="243"/>
  <c r="AK31" i="243" s="1"/>
  <c r="BD30" i="243"/>
  <c r="AK30" i="243"/>
  <c r="X36" i="244"/>
  <c r="AQ36" i="244"/>
  <c r="F37" i="244"/>
  <c r="X37" i="244" s="1"/>
  <c r="AA36" i="243"/>
  <c r="AT36" i="243"/>
  <c r="I37" i="243"/>
  <c r="AA37" i="243" s="1"/>
  <c r="I38" i="251"/>
  <c r="L17" i="255"/>
  <c r="AS12" i="246"/>
  <c r="Z38" i="246"/>
  <c r="Z32" i="246"/>
  <c r="D46" i="245"/>
  <c r="V42" i="245"/>
  <c r="D43" i="245"/>
  <c r="V43" i="245" s="1"/>
  <c r="K14" i="255"/>
  <c r="H35" i="251"/>
  <c r="AS12" i="243"/>
  <c r="Z32" i="243"/>
  <c r="Z38" i="243"/>
  <c r="E46" i="245"/>
  <c r="W42" i="245"/>
  <c r="E43" i="245"/>
  <c r="W43" i="245" s="1"/>
  <c r="AD38" i="253"/>
  <c r="X42" i="244"/>
  <c r="F46" i="244"/>
  <c r="F43" i="244"/>
  <c r="X43" i="244" s="1"/>
  <c r="AQ36" i="245"/>
  <c r="X36" i="245"/>
  <c r="F37" i="245"/>
  <c r="X37" i="245" s="1"/>
  <c r="Y36" i="244"/>
  <c r="AR36" i="244"/>
  <c r="G37" i="244"/>
  <c r="Y37" i="244" s="1"/>
  <c r="AB42" i="244"/>
  <c r="J46" i="244"/>
  <c r="J43" i="244"/>
  <c r="AB43" i="244" s="1"/>
  <c r="AV12" i="244"/>
  <c r="N15" i="255"/>
  <c r="K36" i="251"/>
  <c r="AC32" i="244"/>
  <c r="AC38" i="244"/>
  <c r="X20" i="242"/>
  <c r="H25" i="241" s="1"/>
  <c r="AK36" i="237"/>
  <c r="S37" i="237"/>
  <c r="AK37" i="237" s="1"/>
  <c r="BD36" i="237"/>
  <c r="V20" i="243"/>
  <c r="F26" i="241" s="1"/>
  <c r="AA42" i="246"/>
  <c r="I46" i="246"/>
  <c r="I43" i="246"/>
  <c r="AA43" i="246" s="1"/>
  <c r="O46" i="244"/>
  <c r="AG42" i="244"/>
  <c r="O43" i="244"/>
  <c r="AG43" i="244" s="1"/>
  <c r="Y20" i="253"/>
  <c r="G30" i="241" s="1"/>
  <c r="Y38" i="253"/>
  <c r="Y30" i="245"/>
  <c r="AR30" i="245"/>
  <c r="M46" i="237"/>
  <c r="AE42" i="237"/>
  <c r="M43" i="237"/>
  <c r="AE43" i="237" s="1"/>
  <c r="N34" i="251"/>
  <c r="AX12" i="242"/>
  <c r="Q13" i="255"/>
  <c r="AE38" i="242"/>
  <c r="AE32" i="242"/>
  <c r="D46" i="242"/>
  <c r="V42" i="242"/>
  <c r="D43" i="242"/>
  <c r="V43" i="242" s="1"/>
  <c r="J39" i="252"/>
  <c r="J48" i="252"/>
  <c r="J30" i="252"/>
  <c r="P69" i="253"/>
  <c r="AI42" i="245"/>
  <c r="Q46" i="245"/>
  <c r="Q43" i="245"/>
  <c r="AI43" i="245" s="1"/>
  <c r="AV36" i="237"/>
  <c r="AC36" i="237"/>
  <c r="K37" i="237"/>
  <c r="AC37" i="237" s="1"/>
  <c r="X30" i="246"/>
  <c r="AQ30" i="246"/>
  <c r="AQ12" i="243"/>
  <c r="I14" i="255"/>
  <c r="F35" i="251"/>
  <c r="X32" i="243"/>
  <c r="X38" i="243"/>
  <c r="L31" i="237"/>
  <c r="AD31" i="237" s="1"/>
  <c r="AD30" i="237"/>
  <c r="AW30" i="237"/>
  <c r="H31" i="246"/>
  <c r="Z31" i="246" s="1"/>
  <c r="AS30" i="246"/>
  <c r="Z30" i="246"/>
  <c r="O48" i="252"/>
  <c r="O30" i="252"/>
  <c r="O39" i="252"/>
  <c r="E31" i="246"/>
  <c r="W31" i="246" s="1"/>
  <c r="BD36" i="242"/>
  <c r="AK36" i="242"/>
  <c r="S37" i="242"/>
  <c r="AK37" i="242" s="1"/>
  <c r="AG47" i="237"/>
  <c r="O48" i="237"/>
  <c r="K46" i="243"/>
  <c r="K47" i="243" s="1"/>
  <c r="AC42" i="243"/>
  <c r="K43" i="243"/>
  <c r="AC43" i="243" s="1"/>
  <c r="AR30" i="244"/>
  <c r="Y30" i="244"/>
  <c r="I82" i="241" s="1"/>
  <c r="Q17" i="255"/>
  <c r="N38" i="251"/>
  <c r="AX12" i="246"/>
  <c r="AE32" i="246"/>
  <c r="AE38" i="246"/>
  <c r="Y36" i="243"/>
  <c r="AR36" i="243"/>
  <c r="G37" i="243"/>
  <c r="Y37" i="243" s="1"/>
  <c r="D31" i="253"/>
  <c r="X31" i="253" s="1"/>
  <c r="F93" i="241" s="1"/>
  <c r="S18" i="246"/>
  <c r="S19" i="246" s="1"/>
  <c r="AK19" i="246" s="1"/>
  <c r="U48" i="253"/>
  <c r="V228" i="229"/>
  <c r="V175" i="229"/>
  <c r="V177" i="229" s="1"/>
  <c r="V247" i="229" s="1"/>
  <c r="AM5" i="223"/>
  <c r="AN4" i="223"/>
  <c r="AN8" i="223" s="1"/>
  <c r="AM8" i="223"/>
  <c r="AM9" i="223" s="1"/>
  <c r="AJ25" i="223"/>
  <c r="AI26" i="198"/>
  <c r="AL47" i="242"/>
  <c r="AO47" i="253"/>
  <c r="AH13" i="204"/>
  <c r="AJ24" i="223"/>
  <c r="H39" i="224"/>
  <c r="H178" i="259"/>
  <c r="H179" i="259" s="1"/>
  <c r="F54" i="228"/>
  <c r="E54" i="228" s="1"/>
  <c r="Z216" i="229"/>
  <c r="Z43" i="229"/>
  <c r="Z45" i="229" s="1"/>
  <c r="Z235" i="229" s="1"/>
  <c r="AA40" i="229"/>
  <c r="W173" i="229"/>
  <c r="W209" i="229" s="1"/>
  <c r="W129" i="229"/>
  <c r="W205" i="229" s="1"/>
  <c r="G115" i="259"/>
  <c r="C115" i="259" s="1"/>
  <c r="C37" i="259"/>
  <c r="G178" i="224"/>
  <c r="Z30" i="229"/>
  <c r="Z196" i="229" s="1"/>
  <c r="W184" i="229"/>
  <c r="W210" i="229" s="1"/>
  <c r="W51" i="229"/>
  <c r="V54" i="229"/>
  <c r="V56" i="229" s="1"/>
  <c r="V236" i="229" s="1"/>
  <c r="V217" i="229"/>
  <c r="V142" i="229"/>
  <c r="V144" i="229" s="1"/>
  <c r="V244" i="229" s="1"/>
  <c r="W139" i="229"/>
  <c r="V225" i="229"/>
  <c r="W151" i="229"/>
  <c r="W207" i="229" s="1"/>
  <c r="V227" i="229"/>
  <c r="V164" i="229"/>
  <c r="V166" i="229" s="1"/>
  <c r="V246" i="229" s="1"/>
  <c r="W161" i="229"/>
  <c r="W73" i="229"/>
  <c r="V76" i="229"/>
  <c r="V78" i="229" s="1"/>
  <c r="V238" i="229" s="1"/>
  <c r="V219" i="229"/>
  <c r="V76" i="253"/>
  <c r="AH47" i="246"/>
  <c r="P48" i="246"/>
  <c r="AJ42" i="246"/>
  <c r="R46" i="246"/>
  <c r="R43" i="246"/>
  <c r="AJ43" i="246" s="1"/>
  <c r="U33" i="252"/>
  <c r="U31" i="252"/>
  <c r="T45" i="251"/>
  <c r="AL46" i="245"/>
  <c r="AL46" i="244"/>
  <c r="T44" i="251"/>
  <c r="T47" i="244"/>
  <c r="U51" i="252"/>
  <c r="U49" i="252"/>
  <c r="T47" i="245"/>
  <c r="AH46" i="246"/>
  <c r="Q46" i="251"/>
  <c r="S23" i="257"/>
  <c r="S24" i="257" s="1"/>
  <c r="AI36" i="246"/>
  <c r="BB36" i="246"/>
  <c r="Q37" i="246"/>
  <c r="AI37" i="246" s="1"/>
  <c r="T145" i="251"/>
  <c r="Q23" i="257"/>
  <c r="Q24" i="257" s="1"/>
  <c r="V47" i="253"/>
  <c r="U42" i="252"/>
  <c r="U40" i="252"/>
  <c r="BD39" i="246"/>
  <c r="S41" i="246"/>
  <c r="BD41" i="246" s="1"/>
  <c r="S40" i="246"/>
  <c r="AK47" i="245"/>
  <c r="S48" i="245"/>
  <c r="V17" i="255"/>
  <c r="S38" i="251"/>
  <c r="BC12" i="246"/>
  <c r="AJ38" i="246"/>
  <c r="AJ32" i="246"/>
  <c r="S42" i="252"/>
  <c r="S40" i="252"/>
  <c r="BD33" i="246"/>
  <c r="S34" i="246"/>
  <c r="S35" i="246"/>
  <c r="BD35" i="246" s="1"/>
  <c r="S31" i="252"/>
  <c r="S33" i="252"/>
  <c r="T39" i="252"/>
  <c r="BB30" i="246"/>
  <c r="AI30" i="246"/>
  <c r="S27" i="246"/>
  <c r="S29" i="246"/>
  <c r="S25" i="246"/>
  <c r="S51" i="252"/>
  <c r="S49" i="252"/>
  <c r="AG47" i="246"/>
  <c r="O48" i="246"/>
  <c r="R21" i="257"/>
  <c r="Q46" i="246"/>
  <c r="Q47" i="246" s="1"/>
  <c r="AI42" i="246"/>
  <c r="Q43" i="246"/>
  <c r="AI43" i="246" s="1"/>
  <c r="AJ36" i="246"/>
  <c r="BC36" i="246"/>
  <c r="R37" i="246"/>
  <c r="AJ37" i="246" s="1"/>
  <c r="R31" i="246"/>
  <c r="AJ31" i="246" s="1"/>
  <c r="AJ30" i="246"/>
  <c r="BC30" i="246"/>
  <c r="AL47" i="237"/>
  <c r="T48" i="237"/>
  <c r="V24" i="252"/>
  <c r="V26" i="252" s="1"/>
  <c r="AL31" i="251"/>
  <c r="S28" i="246"/>
  <c r="BD28" i="246" s="1"/>
  <c r="S24" i="246"/>
  <c r="S21" i="246"/>
  <c r="BD22" i="246"/>
  <c r="S26" i="246"/>
  <c r="BD26" i="246" s="1"/>
  <c r="T16" i="246"/>
  <c r="BE16" i="246" s="1"/>
  <c r="BE13" i="246"/>
  <c r="T22" i="246"/>
  <c r="T23" i="246"/>
  <c r="T33" i="246"/>
  <c r="T39" i="246"/>
  <c r="T45" i="246"/>
  <c r="R38" i="251"/>
  <c r="U17" i="255"/>
  <c r="BB12" i="246"/>
  <c r="AI32" i="246"/>
  <c r="AI38" i="246"/>
  <c r="R183" i="229"/>
  <c r="R184" i="229" s="1"/>
  <c r="R210" i="229" s="1"/>
  <c r="R226" i="229"/>
  <c r="R75" i="229"/>
  <c r="R219" i="229" s="1"/>
  <c r="Q119" i="229"/>
  <c r="Q223" i="229" s="1"/>
  <c r="Q130" i="229"/>
  <c r="Q224" i="229" s="1"/>
  <c r="R173" i="229"/>
  <c r="R209" i="229" s="1"/>
  <c r="S140" i="229"/>
  <c r="S206" i="229" s="1"/>
  <c r="Q108" i="229"/>
  <c r="R31" i="229"/>
  <c r="S151" i="229"/>
  <c r="S207" i="229" s="1"/>
  <c r="Q62" i="229"/>
  <c r="P218" i="229"/>
  <c r="R40" i="229"/>
  <c r="Q216" i="229"/>
  <c r="S52" i="229"/>
  <c r="S198" i="229" s="1"/>
  <c r="Q162" i="229"/>
  <c r="Q208" i="229" s="1"/>
  <c r="R85" i="229"/>
  <c r="R201" i="229" s="1"/>
  <c r="AE221" i="229"/>
  <c r="M283" i="229" s="1"/>
  <c r="M327" i="229" s="1"/>
  <c r="AF95" i="229"/>
  <c r="AE98" i="229"/>
  <c r="AE100" i="229" s="1"/>
  <c r="AE240" i="229" s="1"/>
  <c r="R97" i="229"/>
  <c r="G179" i="259" l="1"/>
  <c r="G180" i="259" s="1"/>
  <c r="G181" i="259" s="1"/>
  <c r="G43" i="259" s="1"/>
  <c r="T30" i="252"/>
  <c r="H179" i="224"/>
  <c r="H180" i="224" s="1"/>
  <c r="H43" i="224" s="1"/>
  <c r="R47" i="253"/>
  <c r="AL47" i="253" s="1"/>
  <c r="E39" i="255"/>
  <c r="E44" i="255"/>
  <c r="E45" i="255" s="1"/>
  <c r="F39" i="255"/>
  <c r="F44" i="255"/>
  <c r="F45" i="255" s="1"/>
  <c r="D39" i="255"/>
  <c r="D44" i="255"/>
  <c r="D45" i="255" s="1"/>
  <c r="AH8" i="204"/>
  <c r="AH12" i="204"/>
  <c r="AI11" i="204" s="1"/>
  <c r="AH14" i="204"/>
  <c r="H29" i="257"/>
  <c r="H30" i="257" s="1"/>
  <c r="P76" i="253"/>
  <c r="P75" i="253" s="1"/>
  <c r="M76" i="253"/>
  <c r="M75" i="253" s="1"/>
  <c r="T76" i="253"/>
  <c r="K47" i="253"/>
  <c r="K48" i="253" s="1"/>
  <c r="F47" i="253"/>
  <c r="Z47" i="253" s="1"/>
  <c r="G52" i="234" s="1"/>
  <c r="E47" i="253"/>
  <c r="E48" i="253" s="1"/>
  <c r="E76" i="253"/>
  <c r="E75" i="253" s="1"/>
  <c r="BD18" i="246"/>
  <c r="D47" i="253"/>
  <c r="D83" i="253" s="1"/>
  <c r="X83" i="253" s="1"/>
  <c r="T47" i="253"/>
  <c r="T83" i="253" s="1"/>
  <c r="AN83" i="253" s="1"/>
  <c r="G76" i="253"/>
  <c r="G75" i="253" s="1"/>
  <c r="O76" i="253"/>
  <c r="G48" i="242"/>
  <c r="Y47" i="242"/>
  <c r="H47" i="234" s="1"/>
  <c r="AJ47" i="244"/>
  <c r="R48" i="244"/>
  <c r="Y47" i="246"/>
  <c r="H51" i="234" s="1"/>
  <c r="G48" i="246"/>
  <c r="AH47" i="237"/>
  <c r="P48" i="237"/>
  <c r="K48" i="243"/>
  <c r="AC47" i="243"/>
  <c r="AB47" i="243"/>
  <c r="J48" i="243"/>
  <c r="F48" i="242"/>
  <c r="X47" i="242"/>
  <c r="G47" i="234" s="1"/>
  <c r="L48" i="242"/>
  <c r="AD47" i="242"/>
  <c r="N48" i="237"/>
  <c r="AF47" i="237"/>
  <c r="AC47" i="242"/>
  <c r="K48" i="242"/>
  <c r="X47" i="243"/>
  <c r="G48" i="234" s="1"/>
  <c r="F48" i="243"/>
  <c r="Z47" i="245"/>
  <c r="I50" i="234" s="1"/>
  <c r="H48" i="245"/>
  <c r="O47" i="243"/>
  <c r="O43" i="251"/>
  <c r="AG46" i="243"/>
  <c r="V46" i="243"/>
  <c r="D43" i="251"/>
  <c r="AF46" i="243"/>
  <c r="N43" i="251"/>
  <c r="I47" i="245"/>
  <c r="I45" i="251"/>
  <c r="AA46" i="245"/>
  <c r="I46" i="251"/>
  <c r="Z46" i="246"/>
  <c r="AD47" i="243"/>
  <c r="L48" i="243"/>
  <c r="O40" i="252"/>
  <c r="O42" i="252"/>
  <c r="O44" i="251"/>
  <c r="AG46" i="244"/>
  <c r="E47" i="237"/>
  <c r="F41" i="251"/>
  <c r="W46" i="237"/>
  <c r="J42" i="251"/>
  <c r="AA46" i="242"/>
  <c r="D47" i="243"/>
  <c r="K30" i="252"/>
  <c r="K39" i="252"/>
  <c r="K48" i="252"/>
  <c r="F40" i="252"/>
  <c r="F42" i="252"/>
  <c r="P47" i="253"/>
  <c r="T75" i="253"/>
  <c r="D23" i="257"/>
  <c r="D24" i="257" s="1"/>
  <c r="D28" i="257"/>
  <c r="D29" i="257" s="1"/>
  <c r="L44" i="251"/>
  <c r="AD46" i="244"/>
  <c r="I30" i="252"/>
  <c r="I39" i="252"/>
  <c r="I48" i="252"/>
  <c r="L31" i="252"/>
  <c r="L33" i="252"/>
  <c r="AE47" i="245"/>
  <c r="M48" i="245"/>
  <c r="R47" i="245"/>
  <c r="AJ46" i="245"/>
  <c r="R45" i="251"/>
  <c r="M47" i="242"/>
  <c r="N42" i="251"/>
  <c r="AE46" i="242"/>
  <c r="D47" i="237"/>
  <c r="V46" i="237"/>
  <c r="E41" i="251"/>
  <c r="H47" i="242"/>
  <c r="I42" i="251"/>
  <c r="Z46" i="242"/>
  <c r="J47" i="245"/>
  <c r="J45" i="251"/>
  <c r="AB46" i="245"/>
  <c r="G47" i="245"/>
  <c r="Y46" i="245"/>
  <c r="G45" i="251"/>
  <c r="Y46" i="237"/>
  <c r="H41" i="251"/>
  <c r="O31" i="252"/>
  <c r="O33" i="252"/>
  <c r="E45" i="251"/>
  <c r="W46" i="245"/>
  <c r="D47" i="245"/>
  <c r="D45" i="251"/>
  <c r="V46" i="245"/>
  <c r="H48" i="246"/>
  <c r="Z47" i="246"/>
  <c r="I51" i="234" s="1"/>
  <c r="K47" i="245"/>
  <c r="AC46" i="245"/>
  <c r="K45" i="251"/>
  <c r="AB47" i="237"/>
  <c r="J48" i="237"/>
  <c r="AH47" i="245"/>
  <c r="P48" i="245"/>
  <c r="R76" i="253"/>
  <c r="R75" i="253" s="1"/>
  <c r="F33" i="252"/>
  <c r="F31" i="252"/>
  <c r="L47" i="237"/>
  <c r="AD46" i="237"/>
  <c r="M41" i="251"/>
  <c r="I47" i="253"/>
  <c r="G21" i="257"/>
  <c r="G27" i="257"/>
  <c r="L40" i="252"/>
  <c r="L42" i="252"/>
  <c r="T42" i="251"/>
  <c r="AK46" i="242"/>
  <c r="O47" i="242"/>
  <c r="AG46" i="242"/>
  <c r="P42" i="251"/>
  <c r="L46" i="251"/>
  <c r="AC46" i="246"/>
  <c r="G47" i="253"/>
  <c r="J48" i="246"/>
  <c r="AB47" i="246"/>
  <c r="O49" i="252"/>
  <c r="O51" i="252"/>
  <c r="J33" i="252"/>
  <c r="J31" i="252"/>
  <c r="AA46" i="246"/>
  <c r="J46" i="251"/>
  <c r="AB46" i="244"/>
  <c r="J44" i="251"/>
  <c r="AF47" i="246"/>
  <c r="N48" i="246"/>
  <c r="G44" i="251"/>
  <c r="Y46" i="244"/>
  <c r="J48" i="242"/>
  <c r="AB47" i="242"/>
  <c r="G43" i="251"/>
  <c r="Y46" i="243"/>
  <c r="F47" i="245"/>
  <c r="X46" i="245"/>
  <c r="F45" i="251"/>
  <c r="L51" i="252"/>
  <c r="L49" i="252"/>
  <c r="Y46" i="242"/>
  <c r="H42" i="251"/>
  <c r="I47" i="246"/>
  <c r="E47" i="245"/>
  <c r="M48" i="252"/>
  <c r="M39" i="252"/>
  <c r="M30" i="252"/>
  <c r="Q39" i="252"/>
  <c r="Q48" i="252"/>
  <c r="Q30" i="252"/>
  <c r="M47" i="246"/>
  <c r="AE46" i="246"/>
  <c r="N46" i="251"/>
  <c r="S47" i="253"/>
  <c r="N41" i="251"/>
  <c r="AE46" i="237"/>
  <c r="D44" i="251"/>
  <c r="V46" i="244"/>
  <c r="F51" i="252"/>
  <c r="F49" i="252"/>
  <c r="W47" i="242"/>
  <c r="F47" i="234" s="1"/>
  <c r="E48" i="242"/>
  <c r="J51" i="252"/>
  <c r="J49" i="252"/>
  <c r="F47" i="244"/>
  <c r="F44" i="251"/>
  <c r="X46" i="244"/>
  <c r="W47" i="246"/>
  <c r="F51" i="234" s="1"/>
  <c r="E48" i="246"/>
  <c r="P48" i="252"/>
  <c r="P30" i="252"/>
  <c r="P39" i="252"/>
  <c r="N76" i="253"/>
  <c r="M47" i="244"/>
  <c r="M44" i="251"/>
  <c r="AE46" i="244"/>
  <c r="H47" i="243"/>
  <c r="Z46" i="243"/>
  <c r="H43" i="251"/>
  <c r="L47" i="245"/>
  <c r="L45" i="251"/>
  <c r="AD46" i="245"/>
  <c r="D47" i="246"/>
  <c r="V46" i="246"/>
  <c r="E46" i="251"/>
  <c r="K47" i="237"/>
  <c r="AC46" i="237"/>
  <c r="L41" i="251"/>
  <c r="H47" i="237"/>
  <c r="Z46" i="237"/>
  <c r="I41" i="251"/>
  <c r="H45" i="251"/>
  <c r="Z46" i="245"/>
  <c r="K47" i="244"/>
  <c r="K44" i="251"/>
  <c r="AC46" i="244"/>
  <c r="J47" i="244"/>
  <c r="AA46" i="244"/>
  <c r="I44" i="251"/>
  <c r="G47" i="237"/>
  <c r="AD46" i="243"/>
  <c r="L43" i="251"/>
  <c r="F76" i="253"/>
  <c r="O47" i="244"/>
  <c r="D76" i="253"/>
  <c r="AB46" i="237"/>
  <c r="K41" i="251"/>
  <c r="E27" i="257"/>
  <c r="E21" i="257"/>
  <c r="J41" i="251"/>
  <c r="AA46" i="237"/>
  <c r="D47" i="242"/>
  <c r="E42" i="251"/>
  <c r="V46" i="242"/>
  <c r="G47" i="244"/>
  <c r="AA47" i="237"/>
  <c r="I48" i="237"/>
  <c r="T47" i="243"/>
  <c r="T43" i="251"/>
  <c r="AL46" i="243"/>
  <c r="AJ46" i="237"/>
  <c r="S41" i="251"/>
  <c r="O41" i="251"/>
  <c r="AF46" i="237"/>
  <c r="V37" i="243"/>
  <c r="H69" i="260"/>
  <c r="J69" i="260" s="1"/>
  <c r="AJ46" i="244"/>
  <c r="R44" i="251"/>
  <c r="K48" i="246"/>
  <c r="AC47" i="246"/>
  <c r="N30" i="252"/>
  <c r="N48" i="252"/>
  <c r="N39" i="252"/>
  <c r="F42" i="251"/>
  <c r="W46" i="242"/>
  <c r="M47" i="237"/>
  <c r="M42" i="251"/>
  <c r="AD46" i="242"/>
  <c r="R33" i="252"/>
  <c r="R31" i="252"/>
  <c r="M47" i="243"/>
  <c r="AE46" i="243"/>
  <c r="M43" i="251"/>
  <c r="AH46" i="237"/>
  <c r="Q41" i="251"/>
  <c r="O46" i="251"/>
  <c r="AF46" i="246"/>
  <c r="G48" i="252"/>
  <c r="G30" i="252"/>
  <c r="G39" i="252"/>
  <c r="O47" i="253"/>
  <c r="O45" i="251"/>
  <c r="AG46" i="245"/>
  <c r="Q47" i="243"/>
  <c r="Q43" i="251"/>
  <c r="AI46" i="243"/>
  <c r="E47" i="244"/>
  <c r="E44" i="251"/>
  <c r="W46" i="244"/>
  <c r="N47" i="244"/>
  <c r="AF46" i="244"/>
  <c r="N44" i="251"/>
  <c r="J43" i="251"/>
  <c r="AB46" i="243"/>
  <c r="Q47" i="245"/>
  <c r="Q45" i="251"/>
  <c r="AI46" i="245"/>
  <c r="AA47" i="244"/>
  <c r="I48" i="244"/>
  <c r="L48" i="244"/>
  <c r="AD47" i="244"/>
  <c r="H39" i="252"/>
  <c r="H30" i="252"/>
  <c r="H48" i="252"/>
  <c r="W46" i="246"/>
  <c r="F46" i="251"/>
  <c r="H46" i="251"/>
  <c r="Y46" i="246"/>
  <c r="F47" i="237"/>
  <c r="G41" i="251"/>
  <c r="X46" i="237"/>
  <c r="K76" i="253"/>
  <c r="H76" i="253"/>
  <c r="H75" i="253" s="1"/>
  <c r="S76" i="253"/>
  <c r="S75" i="253" s="1"/>
  <c r="AG47" i="245"/>
  <c r="O48" i="245"/>
  <c r="I47" i="242"/>
  <c r="R49" i="252"/>
  <c r="R51" i="252"/>
  <c r="K42" i="251"/>
  <c r="AB46" i="242"/>
  <c r="M47" i="253"/>
  <c r="E47" i="243"/>
  <c r="E43" i="251"/>
  <c r="W46" i="243"/>
  <c r="S47" i="242"/>
  <c r="I47" i="243"/>
  <c r="I43" i="251"/>
  <c r="AA46" i="243"/>
  <c r="F47" i="246"/>
  <c r="G46" i="251"/>
  <c r="X46" i="246"/>
  <c r="J76" i="253"/>
  <c r="N47" i="243"/>
  <c r="R47" i="237"/>
  <c r="T41" i="251"/>
  <c r="AK46" i="237"/>
  <c r="J40" i="252"/>
  <c r="J42" i="252"/>
  <c r="AK18" i="246"/>
  <c r="K43" i="251"/>
  <c r="AC46" i="243"/>
  <c r="J47" i="253"/>
  <c r="H44" i="251"/>
  <c r="Z46" i="244"/>
  <c r="N47" i="253"/>
  <c r="F21" i="257"/>
  <c r="F27" i="257"/>
  <c r="L42" i="251"/>
  <c r="AC46" i="242"/>
  <c r="X46" i="243"/>
  <c r="F43" i="251"/>
  <c r="AK47" i="237"/>
  <c r="S48" i="237"/>
  <c r="I76" i="253"/>
  <c r="G42" i="251"/>
  <c r="X46" i="242"/>
  <c r="H47" i="244"/>
  <c r="G47" i="243"/>
  <c r="R40" i="252"/>
  <c r="R42" i="252"/>
  <c r="S47" i="243"/>
  <c r="S43" i="251"/>
  <c r="AK46" i="243"/>
  <c r="H47" i="253"/>
  <c r="D47" i="244"/>
  <c r="K46" i="251"/>
  <c r="AB46" i="246"/>
  <c r="D164" i="224"/>
  <c r="E166" i="224" s="1"/>
  <c r="C177" i="224"/>
  <c r="W119" i="229"/>
  <c r="W223" i="229" s="1"/>
  <c r="K285" i="229" s="1"/>
  <c r="K329" i="229" s="1"/>
  <c r="AN9" i="223"/>
  <c r="W174" i="229"/>
  <c r="W228" i="229" s="1"/>
  <c r="K290" i="229" s="1"/>
  <c r="K334" i="229" s="1"/>
  <c r="W108" i="229"/>
  <c r="W222" i="229" s="1"/>
  <c r="K284" i="229" s="1"/>
  <c r="K328" i="229" s="1"/>
  <c r="AJ26" i="198"/>
  <c r="AK25" i="223"/>
  <c r="W152" i="229"/>
  <c r="W153" i="229" s="1"/>
  <c r="W155" i="229" s="1"/>
  <c r="W245" i="229" s="1"/>
  <c r="K310" i="229" s="1"/>
  <c r="AN5" i="223"/>
  <c r="W162" i="229"/>
  <c r="W208" i="229" s="1"/>
  <c r="H180" i="259"/>
  <c r="H181" i="259" s="1"/>
  <c r="C178" i="259"/>
  <c r="W52" i="229"/>
  <c r="W198" i="229" s="1"/>
  <c r="H117" i="224"/>
  <c r="H39" i="259"/>
  <c r="C39" i="224"/>
  <c r="V39" i="224"/>
  <c r="D34" i="260" s="1"/>
  <c r="I34" i="260" s="1"/>
  <c r="W185" i="229"/>
  <c r="W74" i="229"/>
  <c r="W200" i="229" s="1"/>
  <c r="W140" i="229"/>
  <c r="W206" i="229" s="1"/>
  <c r="Z31" i="229"/>
  <c r="G179" i="224"/>
  <c r="G180" i="224" s="1"/>
  <c r="D160" i="224"/>
  <c r="D161" i="259" s="1"/>
  <c r="AA41" i="229"/>
  <c r="AA197" i="229" s="1"/>
  <c r="AI13" i="204"/>
  <c r="AK24" i="223"/>
  <c r="W130" i="229"/>
  <c r="AA86" i="229"/>
  <c r="S62" i="252"/>
  <c r="S71" i="252" s="1"/>
  <c r="V75" i="253"/>
  <c r="T40" i="246"/>
  <c r="BE39" i="246"/>
  <c r="T41" i="246"/>
  <c r="BE41" i="246" s="1"/>
  <c r="T49" i="252"/>
  <c r="T51" i="252"/>
  <c r="AK21" i="246"/>
  <c r="S12" i="246"/>
  <c r="S36" i="246"/>
  <c r="BD34" i="246"/>
  <c r="T18" i="246"/>
  <c r="T48" i="244"/>
  <c r="AL47" i="244"/>
  <c r="BE33" i="246"/>
  <c r="T35" i="246"/>
  <c r="BE35" i="246" s="1"/>
  <c r="T34" i="246"/>
  <c r="Q48" i="246"/>
  <c r="AI47" i="246"/>
  <c r="T25" i="246"/>
  <c r="T29" i="246"/>
  <c r="T27" i="246"/>
  <c r="S30" i="246"/>
  <c r="S31" i="246" s="1"/>
  <c r="AK31" i="246" s="1"/>
  <c r="BD24" i="246"/>
  <c r="S50" i="246"/>
  <c r="T28" i="246"/>
  <c r="BE28" i="246" s="1"/>
  <c r="T21" i="246"/>
  <c r="T26" i="246"/>
  <c r="BE26" i="246" s="1"/>
  <c r="BE22" i="246"/>
  <c r="T24" i="246"/>
  <c r="AL47" i="245"/>
  <c r="T48" i="245"/>
  <c r="BD40" i="246"/>
  <c r="BD42" i="246" s="1"/>
  <c r="S42" i="246"/>
  <c r="R47" i="246"/>
  <c r="S46" i="251"/>
  <c r="AJ46" i="246"/>
  <c r="T16" i="257"/>
  <c r="T18" i="257" s="1"/>
  <c r="T19" i="257" s="1"/>
  <c r="V27" i="252"/>
  <c r="R46" i="251"/>
  <c r="AI46" i="246"/>
  <c r="AP47" i="253"/>
  <c r="V48" i="253"/>
  <c r="V83" i="253"/>
  <c r="AP83" i="253" s="1"/>
  <c r="U62" i="252"/>
  <c r="T31" i="252"/>
  <c r="T33" i="252"/>
  <c r="R23" i="257"/>
  <c r="R24" i="257" s="1"/>
  <c r="T42" i="252"/>
  <c r="T40" i="252"/>
  <c r="R128" i="229"/>
  <c r="R129" i="229" s="1"/>
  <c r="R205" i="229" s="1"/>
  <c r="S53" i="229"/>
  <c r="T51" i="229" s="1"/>
  <c r="S73" i="229"/>
  <c r="S74" i="229" s="1"/>
  <c r="S200" i="229" s="1"/>
  <c r="S141" i="229"/>
  <c r="S225" i="229" s="1"/>
  <c r="J287" i="229" s="1"/>
  <c r="J331" i="229" s="1"/>
  <c r="R117" i="229"/>
  <c r="R118" i="229" s="1"/>
  <c r="R204" i="229" s="1"/>
  <c r="R185" i="229"/>
  <c r="R229" i="229" s="1"/>
  <c r="Q163" i="229"/>
  <c r="R161" i="229" s="1"/>
  <c r="R41" i="229"/>
  <c r="R197" i="229" s="1"/>
  <c r="Q222" i="229"/>
  <c r="R106" i="229"/>
  <c r="R86" i="229"/>
  <c r="R174" i="229"/>
  <c r="R221" i="229"/>
  <c r="S95" i="229"/>
  <c r="S29" i="229"/>
  <c r="R215" i="229"/>
  <c r="Q63" i="229"/>
  <c r="Q199" i="229" s="1"/>
  <c r="AF96" i="229"/>
  <c r="AF202" i="229" s="1"/>
  <c r="S152" i="229"/>
  <c r="H37" i="257" l="1"/>
  <c r="H38" i="257" s="1"/>
  <c r="H42" i="257" s="1"/>
  <c r="K13" i="224" s="1"/>
  <c r="K13" i="259" s="1"/>
  <c r="R83" i="253"/>
  <c r="AL83" i="253" s="1"/>
  <c r="R48" i="253"/>
  <c r="AE47" i="253"/>
  <c r="K83" i="253"/>
  <c r="AE83" i="253" s="1"/>
  <c r="W120" i="229"/>
  <c r="W122" i="229" s="1"/>
  <c r="W242" i="229" s="1"/>
  <c r="K307" i="229" s="1"/>
  <c r="X117" i="229"/>
  <c r="X118" i="229" s="1"/>
  <c r="X204" i="229" s="1"/>
  <c r="AI12" i="204"/>
  <c r="AJ11" i="204" s="1"/>
  <c r="AJ13" i="204" s="1"/>
  <c r="AI8" i="204"/>
  <c r="AI14" i="204"/>
  <c r="AF97" i="229"/>
  <c r="X47" i="253"/>
  <c r="E52" i="234" s="1"/>
  <c r="Y47" i="253"/>
  <c r="F52" i="234" s="1"/>
  <c r="F48" i="253"/>
  <c r="F83" i="253"/>
  <c r="Z83" i="253" s="1"/>
  <c r="E83" i="253"/>
  <c r="Y83" i="253" s="1"/>
  <c r="W226" i="229"/>
  <c r="K288" i="229" s="1"/>
  <c r="K332" i="229" s="1"/>
  <c r="D165" i="259"/>
  <c r="E167" i="259" s="1"/>
  <c r="D165" i="224"/>
  <c r="D167" i="224" s="1"/>
  <c r="D48" i="253"/>
  <c r="AN47" i="253"/>
  <c r="T48" i="253"/>
  <c r="J62" i="252"/>
  <c r="J71" i="252" s="1"/>
  <c r="O75" i="253"/>
  <c r="F62" i="252"/>
  <c r="F67" i="252" s="1"/>
  <c r="D37" i="257"/>
  <c r="D38" i="257" s="1"/>
  <c r="D42" i="257" s="1"/>
  <c r="D30" i="257"/>
  <c r="Z47" i="244"/>
  <c r="I49" i="234" s="1"/>
  <c r="H48" i="244"/>
  <c r="AL47" i="243"/>
  <c r="T48" i="243"/>
  <c r="O48" i="243"/>
  <c r="AG47" i="243"/>
  <c r="AD47" i="253"/>
  <c r="J83" i="253"/>
  <c r="AD83" i="253" s="1"/>
  <c r="J48" i="253"/>
  <c r="M83" i="253"/>
  <c r="AG83" i="253" s="1"/>
  <c r="M48" i="253"/>
  <c r="AG47" i="253"/>
  <c r="N48" i="244"/>
  <c r="AF47" i="244"/>
  <c r="G31" i="252"/>
  <c r="G33" i="252"/>
  <c r="M48" i="237"/>
  <c r="AE47" i="237"/>
  <c r="N51" i="252"/>
  <c r="N49" i="252"/>
  <c r="D48" i="242"/>
  <c r="V47" i="242"/>
  <c r="E47" i="234" s="1"/>
  <c r="H56" i="260"/>
  <c r="J56" i="260" s="1"/>
  <c r="AD47" i="245"/>
  <c r="L48" i="245"/>
  <c r="P42" i="252"/>
  <c r="P40" i="252"/>
  <c r="E48" i="245"/>
  <c r="W47" i="245"/>
  <c r="F50" i="234" s="1"/>
  <c r="Z47" i="242"/>
  <c r="I47" i="234" s="1"/>
  <c r="H48" i="242"/>
  <c r="I40" i="252"/>
  <c r="I42" i="252"/>
  <c r="P48" i="253"/>
  <c r="P83" i="253"/>
  <c r="AJ83" i="253" s="1"/>
  <c r="AJ47" i="253"/>
  <c r="AA47" i="245"/>
  <c r="I48" i="245"/>
  <c r="AK47" i="243"/>
  <c r="S48" i="243"/>
  <c r="W47" i="244"/>
  <c r="F49" i="234" s="1"/>
  <c r="E48" i="244"/>
  <c r="I51" i="252"/>
  <c r="I49" i="252"/>
  <c r="D48" i="243"/>
  <c r="V47" i="243"/>
  <c r="E48" i="234" s="1"/>
  <c r="H57" i="260"/>
  <c r="J57" i="260" s="1"/>
  <c r="F48" i="246"/>
  <c r="X47" i="246"/>
  <c r="G51" i="234" s="1"/>
  <c r="S48" i="242"/>
  <c r="AK47" i="242"/>
  <c r="X47" i="237"/>
  <c r="G46" i="234" s="1"/>
  <c r="F48" i="237"/>
  <c r="G51" i="252"/>
  <c r="G49" i="252"/>
  <c r="N33" i="252"/>
  <c r="N31" i="252"/>
  <c r="D48" i="246"/>
  <c r="V47" i="246"/>
  <c r="E51" i="234" s="1"/>
  <c r="H55" i="260"/>
  <c r="J55" i="260" s="1"/>
  <c r="P33" i="252"/>
  <c r="P31" i="252"/>
  <c r="AE47" i="246"/>
  <c r="M48" i="246"/>
  <c r="I48" i="246"/>
  <c r="AA47" i="246"/>
  <c r="G23" i="257"/>
  <c r="G24" i="257" s="1"/>
  <c r="G28" i="257"/>
  <c r="G29" i="257" s="1"/>
  <c r="D48" i="245"/>
  <c r="V47" i="245"/>
  <c r="E50" i="234" s="1"/>
  <c r="H60" i="260"/>
  <c r="J60" i="260" s="1"/>
  <c r="AJ47" i="245"/>
  <c r="R48" i="245"/>
  <c r="I31" i="252"/>
  <c r="I33" i="252"/>
  <c r="Y47" i="243"/>
  <c r="H48" i="234" s="1"/>
  <c r="G48" i="243"/>
  <c r="I75" i="253"/>
  <c r="F23" i="257"/>
  <c r="F24" i="257" s="1"/>
  <c r="F28" i="257"/>
  <c r="F29" i="257" s="1"/>
  <c r="H51" i="252"/>
  <c r="H49" i="252"/>
  <c r="Q48" i="243"/>
  <c r="AI47" i="243"/>
  <c r="Y47" i="244"/>
  <c r="H49" i="234" s="1"/>
  <c r="G48" i="244"/>
  <c r="D75" i="253"/>
  <c r="AB47" i="244"/>
  <c r="J48" i="244"/>
  <c r="Z47" i="237"/>
  <c r="I46" i="234" s="1"/>
  <c r="H48" i="237"/>
  <c r="P49" i="252"/>
  <c r="P51" i="252"/>
  <c r="Q33" i="252"/>
  <c r="Q31" i="252"/>
  <c r="AG47" i="242"/>
  <c r="O48" i="242"/>
  <c r="AC47" i="253"/>
  <c r="I83" i="253"/>
  <c r="AC83" i="253" s="1"/>
  <c r="I48" i="253"/>
  <c r="J48" i="245"/>
  <c r="AB47" i="245"/>
  <c r="G48" i="237"/>
  <c r="Y47" i="237"/>
  <c r="H46" i="234" s="1"/>
  <c r="V47" i="244"/>
  <c r="E49" i="234" s="1"/>
  <c r="D48" i="244"/>
  <c r="H58" i="260"/>
  <c r="J58" i="260" s="1"/>
  <c r="N83" i="253"/>
  <c r="AH83" i="253" s="1"/>
  <c r="N48" i="253"/>
  <c r="AH47" i="253"/>
  <c r="H33" i="252"/>
  <c r="H31" i="252"/>
  <c r="AI47" i="245"/>
  <c r="Q48" i="245"/>
  <c r="M48" i="243"/>
  <c r="AE47" i="243"/>
  <c r="O48" i="244"/>
  <c r="AG47" i="244"/>
  <c r="Z47" i="243"/>
  <c r="I48" i="234" s="1"/>
  <c r="H48" i="243"/>
  <c r="Q51" i="252"/>
  <c r="Q49" i="252"/>
  <c r="X47" i="245"/>
  <c r="G50" i="234" s="1"/>
  <c r="F48" i="245"/>
  <c r="AC47" i="245"/>
  <c r="K48" i="245"/>
  <c r="V47" i="237"/>
  <c r="E46" i="234" s="1"/>
  <c r="D48" i="237"/>
  <c r="H54" i="260"/>
  <c r="J54" i="260" s="1"/>
  <c r="K51" i="252"/>
  <c r="K49" i="252"/>
  <c r="H48" i="253"/>
  <c r="AB47" i="253"/>
  <c r="I52" i="234" s="1"/>
  <c r="H83" i="253"/>
  <c r="AB83" i="253" s="1"/>
  <c r="AJ47" i="237"/>
  <c r="R48" i="237"/>
  <c r="AA47" i="243"/>
  <c r="I48" i="243"/>
  <c r="W47" i="243"/>
  <c r="F48" i="234" s="1"/>
  <c r="E48" i="243"/>
  <c r="H42" i="252"/>
  <c r="H40" i="252"/>
  <c r="F75" i="253"/>
  <c r="Q42" i="252"/>
  <c r="Q40" i="252"/>
  <c r="Y47" i="245"/>
  <c r="H50" i="234" s="1"/>
  <c r="G48" i="245"/>
  <c r="K42" i="252"/>
  <c r="K40" i="252"/>
  <c r="X47" i="244"/>
  <c r="G49" i="234" s="1"/>
  <c r="F48" i="244"/>
  <c r="N48" i="243"/>
  <c r="AF47" i="243"/>
  <c r="AA47" i="242"/>
  <c r="I48" i="242"/>
  <c r="K75" i="253"/>
  <c r="O83" i="253"/>
  <c r="AI83" i="253" s="1"/>
  <c r="O48" i="253"/>
  <c r="AI47" i="253"/>
  <c r="R62" i="252"/>
  <c r="AC47" i="244"/>
  <c r="K48" i="244"/>
  <c r="AC47" i="237"/>
  <c r="K48" i="237"/>
  <c r="M33" i="252"/>
  <c r="M31" i="252"/>
  <c r="AA47" i="253"/>
  <c r="H52" i="234" s="1"/>
  <c r="G83" i="253"/>
  <c r="AA83" i="253" s="1"/>
  <c r="G48" i="253"/>
  <c r="L48" i="237"/>
  <c r="AD47" i="237"/>
  <c r="O62" i="252"/>
  <c r="L62" i="252"/>
  <c r="K33" i="252"/>
  <c r="K31" i="252"/>
  <c r="E48" i="237"/>
  <c r="W47" i="237"/>
  <c r="F46" i="234" s="1"/>
  <c r="G42" i="252"/>
  <c r="G40" i="252"/>
  <c r="N42" i="252"/>
  <c r="N40" i="252"/>
  <c r="N75" i="253"/>
  <c r="M51" i="252"/>
  <c r="M49" i="252"/>
  <c r="J75" i="253"/>
  <c r="E28" i="257"/>
  <c r="E29" i="257" s="1"/>
  <c r="E23" i="257"/>
  <c r="E24" i="257" s="1"/>
  <c r="AE47" i="244"/>
  <c r="M48" i="244"/>
  <c r="S48" i="253"/>
  <c r="S83" i="253"/>
  <c r="AM83" i="253" s="1"/>
  <c r="AM47" i="253"/>
  <c r="M42" i="252"/>
  <c r="M40" i="252"/>
  <c r="AE47" i="242"/>
  <c r="M48" i="242"/>
  <c r="X106" i="229"/>
  <c r="X107" i="229" s="1"/>
  <c r="X203" i="229" s="1"/>
  <c r="W175" i="229"/>
  <c r="W177" i="229" s="1"/>
  <c r="W247" i="229" s="1"/>
  <c r="K312" i="229" s="1"/>
  <c r="W109" i="229"/>
  <c r="W111" i="229" s="1"/>
  <c r="W241" i="229" s="1"/>
  <c r="K306" i="229" s="1"/>
  <c r="X172" i="229"/>
  <c r="X173" i="229" s="1"/>
  <c r="X209" i="229" s="1"/>
  <c r="S67" i="252"/>
  <c r="Q122" i="251" s="1"/>
  <c r="S69" i="252"/>
  <c r="X150" i="229"/>
  <c r="X151" i="229" s="1"/>
  <c r="X207" i="229" s="1"/>
  <c r="T19" i="255"/>
  <c r="W53" i="229"/>
  <c r="W217" i="229" s="1"/>
  <c r="K279" i="229" s="1"/>
  <c r="K323" i="229" s="1"/>
  <c r="W163" i="229"/>
  <c r="X161" i="229" s="1"/>
  <c r="AA42" i="229"/>
  <c r="AA43" i="229" s="1"/>
  <c r="AA45" i="229" s="1"/>
  <c r="AA235" i="229" s="1"/>
  <c r="L300" i="229" s="1"/>
  <c r="AL25" i="223"/>
  <c r="AK26" i="198"/>
  <c r="AA220" i="229"/>
  <c r="L282" i="229" s="1"/>
  <c r="L326" i="229" s="1"/>
  <c r="AB84" i="229"/>
  <c r="AA87" i="229"/>
  <c r="AA89" i="229" s="1"/>
  <c r="AA239" i="229" s="1"/>
  <c r="L304" i="229" s="1"/>
  <c r="H117" i="259"/>
  <c r="C117" i="259" s="1"/>
  <c r="C39" i="259"/>
  <c r="X128" i="229"/>
  <c r="W224" i="229"/>
  <c r="K286" i="229" s="1"/>
  <c r="K330" i="229" s="1"/>
  <c r="W131" i="229"/>
  <c r="W133" i="229" s="1"/>
  <c r="W243" i="229" s="1"/>
  <c r="K308" i="229" s="1"/>
  <c r="AA29" i="229"/>
  <c r="Z32" i="229"/>
  <c r="Z34" i="229" s="1"/>
  <c r="Z234" i="229" s="1"/>
  <c r="Z215" i="229"/>
  <c r="X183" i="229"/>
  <c r="W229" i="229"/>
  <c r="K291" i="229" s="1"/>
  <c r="K335" i="229" s="1"/>
  <c r="W186" i="229"/>
  <c r="W188" i="229" s="1"/>
  <c r="W248" i="229" s="1"/>
  <c r="K313" i="229" s="1"/>
  <c r="G43" i="224"/>
  <c r="C180" i="224"/>
  <c r="W141" i="229"/>
  <c r="I13" i="257"/>
  <c r="AL24" i="223"/>
  <c r="W75" i="229"/>
  <c r="S185" i="224"/>
  <c r="T184" i="224"/>
  <c r="T185" i="224" s="1"/>
  <c r="H43" i="259"/>
  <c r="C43" i="259" s="1"/>
  <c r="C181" i="259"/>
  <c r="R48" i="246"/>
  <c r="AJ47" i="246"/>
  <c r="BD36" i="246"/>
  <c r="AK36" i="246"/>
  <c r="S37" i="246"/>
  <c r="AK37" i="246" s="1"/>
  <c r="T38" i="251"/>
  <c r="W17" i="255"/>
  <c r="BD12" i="246"/>
  <c r="AK32" i="246"/>
  <c r="AK38" i="246"/>
  <c r="AL21" i="246"/>
  <c r="T12" i="246"/>
  <c r="V19" i="255"/>
  <c r="U67" i="252"/>
  <c r="U69" i="252"/>
  <c r="U71" i="252"/>
  <c r="BD30" i="246"/>
  <c r="AK30" i="246"/>
  <c r="T50" i="246"/>
  <c r="T36" i="246"/>
  <c r="BE34" i="246"/>
  <c r="V30" i="252"/>
  <c r="V48" i="252"/>
  <c r="V39" i="252"/>
  <c r="T21" i="257"/>
  <c r="T62" i="252"/>
  <c r="T30" i="246"/>
  <c r="BE24" i="246"/>
  <c r="T19" i="246"/>
  <c r="AL19" i="246" s="1"/>
  <c r="AL18" i="246"/>
  <c r="BE18" i="246"/>
  <c r="S46" i="246"/>
  <c r="AK42" i="246"/>
  <c r="S43" i="246"/>
  <c r="AK43" i="246" s="1"/>
  <c r="BE40" i="246"/>
  <c r="BE42" i="246" s="1"/>
  <c r="T42" i="246"/>
  <c r="T139" i="229"/>
  <c r="T140" i="229" s="1"/>
  <c r="T206" i="229" s="1"/>
  <c r="S217" i="229"/>
  <c r="J279" i="229" s="1"/>
  <c r="J323" i="229" s="1"/>
  <c r="Q227" i="229"/>
  <c r="S75" i="229"/>
  <c r="T73" i="229" s="1"/>
  <c r="Q64" i="229"/>
  <c r="R130" i="229"/>
  <c r="R224" i="229" s="1"/>
  <c r="S183" i="229"/>
  <c r="S184" i="229" s="1"/>
  <c r="S210" i="229" s="1"/>
  <c r="R119" i="229"/>
  <c r="S117" i="229" s="1"/>
  <c r="R42" i="229"/>
  <c r="R216" i="229" s="1"/>
  <c r="AF221" i="229"/>
  <c r="AG95" i="229"/>
  <c r="AF98" i="229"/>
  <c r="AF100" i="229" s="1"/>
  <c r="AF240" i="229" s="1"/>
  <c r="S172" i="229"/>
  <c r="R228" i="229"/>
  <c r="R107" i="229"/>
  <c r="R203" i="229" s="1"/>
  <c r="T150" i="229"/>
  <c r="S226" i="229"/>
  <c r="J288" i="229" s="1"/>
  <c r="J332" i="229" s="1"/>
  <c r="R162" i="229"/>
  <c r="R208" i="229" s="1"/>
  <c r="T52" i="229"/>
  <c r="T198" i="229" s="1"/>
  <c r="S30" i="229"/>
  <c r="S196" i="229" s="1"/>
  <c r="S96" i="229"/>
  <c r="S202" i="229" s="1"/>
  <c r="R220" i="229"/>
  <c r="S84" i="229"/>
  <c r="D161" i="224" l="1"/>
  <c r="D162" i="224" s="1"/>
  <c r="D163" i="259" s="1"/>
  <c r="S185" i="259"/>
  <c r="S45" i="259" s="1"/>
  <c r="S196" i="259" s="1"/>
  <c r="T185" i="259"/>
  <c r="T186" i="259" s="1"/>
  <c r="H43" i="257"/>
  <c r="D166" i="259"/>
  <c r="AB40" i="229"/>
  <c r="AB41" i="229" s="1"/>
  <c r="AB197" i="229" s="1"/>
  <c r="AA216" i="229"/>
  <c r="L278" i="229" s="1"/>
  <c r="L322" i="229" s="1"/>
  <c r="R62" i="229"/>
  <c r="R63" i="229" s="1"/>
  <c r="R199" i="229" s="1"/>
  <c r="Q65" i="229"/>
  <c r="Q67" i="229" s="1"/>
  <c r="Q237" i="229" s="1"/>
  <c r="S97" i="229"/>
  <c r="AJ12" i="204"/>
  <c r="AK11" i="204" s="1"/>
  <c r="AK13" i="204" s="1"/>
  <c r="AJ8" i="204"/>
  <c r="AJ14" i="204"/>
  <c r="W227" i="229"/>
  <c r="K289" i="229" s="1"/>
  <c r="K333" i="229" s="1"/>
  <c r="I62" i="252"/>
  <c r="K19" i="255"/>
  <c r="J69" i="252"/>
  <c r="J67" i="252"/>
  <c r="F69" i="252"/>
  <c r="F71" i="252"/>
  <c r="G19" i="255"/>
  <c r="E37" i="257"/>
  <c r="E38" i="257" s="1"/>
  <c r="E42" i="257" s="1"/>
  <c r="E30" i="257"/>
  <c r="E31" i="257" s="1"/>
  <c r="G13" i="224"/>
  <c r="G13" i="259" s="1"/>
  <c r="D43" i="257"/>
  <c r="K62" i="252"/>
  <c r="Q62" i="252"/>
  <c r="L67" i="252"/>
  <c r="M19" i="255"/>
  <c r="L69" i="252"/>
  <c r="L71" i="252"/>
  <c r="F37" i="257"/>
  <c r="F38" i="257" s="1"/>
  <c r="F42" i="257" s="1"/>
  <c r="F30" i="257"/>
  <c r="O69" i="252"/>
  <c r="O67" i="252"/>
  <c r="P19" i="255"/>
  <c r="O71" i="252"/>
  <c r="N62" i="252"/>
  <c r="H62" i="252"/>
  <c r="G62" i="252"/>
  <c r="M62" i="252"/>
  <c r="R71" i="252"/>
  <c r="R67" i="252"/>
  <c r="P122" i="251" s="1"/>
  <c r="R69" i="252"/>
  <c r="S19" i="255"/>
  <c r="G30" i="257"/>
  <c r="G37" i="257"/>
  <c r="G38" i="257" s="1"/>
  <c r="G42" i="257" s="1"/>
  <c r="D122" i="251"/>
  <c r="P62" i="252"/>
  <c r="S73" i="252"/>
  <c r="S76" i="252" s="1"/>
  <c r="W54" i="229"/>
  <c r="W56" i="229" s="1"/>
  <c r="W236" i="229" s="1"/>
  <c r="K301" i="229" s="1"/>
  <c r="X51" i="229"/>
  <c r="X52" i="229" s="1"/>
  <c r="X198" i="229" s="1"/>
  <c r="W164" i="229"/>
  <c r="W166" i="229" s="1"/>
  <c r="W246" i="229" s="1"/>
  <c r="K311" i="229" s="1"/>
  <c r="AM25" i="223"/>
  <c r="AL26" i="198"/>
  <c r="A43" i="259"/>
  <c r="X108" i="229"/>
  <c r="AA30" i="229"/>
  <c r="AA196" i="229" s="1"/>
  <c r="X129" i="229"/>
  <c r="X205" i="229" s="1"/>
  <c r="X119" i="229"/>
  <c r="X162" i="229"/>
  <c r="X208" i="229" s="1"/>
  <c r="D168" i="259"/>
  <c r="D187" i="224"/>
  <c r="X184" i="229"/>
  <c r="X210" i="229" s="1"/>
  <c r="I25" i="257"/>
  <c r="I27" i="257" s="1"/>
  <c r="I26" i="257"/>
  <c r="I28" i="257" s="1"/>
  <c r="W142" i="229"/>
  <c r="W144" i="229" s="1"/>
  <c r="W244" i="229" s="1"/>
  <c r="K309" i="229" s="1"/>
  <c r="W225" i="229"/>
  <c r="K287" i="229" s="1"/>
  <c r="K331" i="229" s="1"/>
  <c r="X139" i="229"/>
  <c r="AM24" i="223"/>
  <c r="D162" i="259"/>
  <c r="AB85" i="229"/>
  <c r="AB201" i="229" s="1"/>
  <c r="X152" i="229"/>
  <c r="X174" i="229"/>
  <c r="X73" i="229"/>
  <c r="W219" i="229"/>
  <c r="K281" i="229" s="1"/>
  <c r="K325" i="229" s="1"/>
  <c r="W76" i="229"/>
  <c r="W78" i="229" s="1"/>
  <c r="W238" i="229" s="1"/>
  <c r="K303" i="229" s="1"/>
  <c r="V43" i="224"/>
  <c r="D35" i="260" s="1"/>
  <c r="I35" i="260" s="1"/>
  <c r="C43" i="224"/>
  <c r="A43" i="224" s="1"/>
  <c r="U19" i="255"/>
  <c r="T67" i="252"/>
  <c r="T69" i="252"/>
  <c r="T71" i="252"/>
  <c r="V33" i="252"/>
  <c r="V31" i="252"/>
  <c r="V51" i="252"/>
  <c r="V49" i="252"/>
  <c r="S122" i="251"/>
  <c r="U73" i="252"/>
  <c r="BE12" i="246"/>
  <c r="Y17" i="255"/>
  <c r="X17" i="255"/>
  <c r="Z17" i="255"/>
  <c r="AL38" i="246"/>
  <c r="AL32" i="246"/>
  <c r="T46" i="251"/>
  <c r="AK46" i="246"/>
  <c r="T46" i="246"/>
  <c r="AL46" i="246" s="1"/>
  <c r="AL42" i="246"/>
  <c r="T43" i="246"/>
  <c r="AL43" i="246" s="1"/>
  <c r="T31" i="246"/>
  <c r="AL31" i="246" s="1"/>
  <c r="BE30" i="246"/>
  <c r="AL30" i="246"/>
  <c r="T23" i="257"/>
  <c r="T24" i="257" s="1"/>
  <c r="B24" i="257" s="1"/>
  <c r="V42" i="252"/>
  <c r="V40" i="252"/>
  <c r="BE36" i="246"/>
  <c r="AL36" i="246"/>
  <c r="T37" i="246"/>
  <c r="AL37" i="246" s="1"/>
  <c r="S47" i="246"/>
  <c r="S128" i="229"/>
  <c r="S129" i="229" s="1"/>
  <c r="S205" i="229" s="1"/>
  <c r="Q218" i="229"/>
  <c r="S219" i="229"/>
  <c r="J281" i="229" s="1"/>
  <c r="J325" i="229" s="1"/>
  <c r="S185" i="229"/>
  <c r="T183" i="229" s="1"/>
  <c r="R163" i="229"/>
  <c r="R227" i="229" s="1"/>
  <c r="S40" i="229"/>
  <c r="S41" i="229" s="1"/>
  <c r="S197" i="229" s="1"/>
  <c r="S31" i="229"/>
  <c r="S215" i="229" s="1"/>
  <c r="J277" i="229" s="1"/>
  <c r="J321" i="229" s="1"/>
  <c r="T141" i="229"/>
  <c r="T225" i="229" s="1"/>
  <c r="T53" i="229"/>
  <c r="U51" i="229" s="1"/>
  <c r="R108" i="229"/>
  <c r="S106" i="229" s="1"/>
  <c r="R223" i="229"/>
  <c r="S221" i="229"/>
  <c r="J283" i="229" s="1"/>
  <c r="J327" i="229" s="1"/>
  <c r="T95" i="229"/>
  <c r="S173" i="229"/>
  <c r="S209" i="229" s="1"/>
  <c r="T74" i="229"/>
  <c r="T200" i="229" s="1"/>
  <c r="S85" i="229"/>
  <c r="S201" i="229" s="1"/>
  <c r="S118" i="229"/>
  <c r="S204" i="229" s="1"/>
  <c r="T151" i="229"/>
  <c r="T207" i="229" s="1"/>
  <c r="AG96" i="229"/>
  <c r="AG202" i="229" s="1"/>
  <c r="S186" i="259" l="1"/>
  <c r="AG97" i="229"/>
  <c r="J73" i="252"/>
  <c r="J76" i="252" s="1"/>
  <c r="AK8" i="204"/>
  <c r="AK12" i="204"/>
  <c r="AL11" i="204" s="1"/>
  <c r="AL13" i="204" s="1"/>
  <c r="AK14" i="204"/>
  <c r="K336" i="229"/>
  <c r="G22" i="224" s="1"/>
  <c r="G22" i="259" s="1"/>
  <c r="F31" i="257"/>
  <c r="F73" i="252"/>
  <c r="F76" i="252" s="1"/>
  <c r="I71" i="252"/>
  <c r="I67" i="252"/>
  <c r="G122" i="251" s="1"/>
  <c r="H122" i="251"/>
  <c r="I69" i="252"/>
  <c r="J19" i="255"/>
  <c r="K314" i="229"/>
  <c r="G21" i="224" s="1"/>
  <c r="G21" i="259" s="1"/>
  <c r="R73" i="252"/>
  <c r="R74" i="252" s="1"/>
  <c r="M69" i="252"/>
  <c r="M67" i="252"/>
  <c r="K122" i="251" s="1"/>
  <c r="M71" i="252"/>
  <c r="N19" i="255"/>
  <c r="J13" i="224"/>
  <c r="J13" i="259" s="1"/>
  <c r="G43" i="257"/>
  <c r="N71" i="252"/>
  <c r="O19" i="255"/>
  <c r="N69" i="252"/>
  <c r="N67" i="252"/>
  <c r="G31" i="257"/>
  <c r="H31" i="257"/>
  <c r="F43" i="257"/>
  <c r="I13" i="224"/>
  <c r="I13" i="259" s="1"/>
  <c r="J122" i="251"/>
  <c r="L73" i="252"/>
  <c r="O73" i="252"/>
  <c r="M122" i="251"/>
  <c r="H69" i="252"/>
  <c r="I19" i="255"/>
  <c r="H67" i="252"/>
  <c r="H71" i="252"/>
  <c r="Q19" i="255"/>
  <c r="P67" i="252"/>
  <c r="P69" i="252"/>
  <c r="P71" i="252"/>
  <c r="K71" i="252"/>
  <c r="K69" i="252"/>
  <c r="L19" i="255"/>
  <c r="K67" i="252"/>
  <c r="G71" i="252"/>
  <c r="G69" i="252"/>
  <c r="G67" i="252"/>
  <c r="H19" i="255"/>
  <c r="Q69" i="252"/>
  <c r="R19" i="255"/>
  <c r="Q67" i="252"/>
  <c r="Q71" i="252"/>
  <c r="E43" i="257"/>
  <c r="H13" i="224"/>
  <c r="H13" i="259" s="1"/>
  <c r="I29" i="257"/>
  <c r="X163" i="229"/>
  <c r="X227" i="229" s="1"/>
  <c r="S74" i="252"/>
  <c r="X185" i="229"/>
  <c r="Y183" i="229" s="1"/>
  <c r="AB86" i="229"/>
  <c r="AB220" i="229" s="1"/>
  <c r="AA31" i="229"/>
  <c r="AA215" i="229" s="1"/>
  <c r="L277" i="229" s="1"/>
  <c r="L321" i="229" s="1"/>
  <c r="AM26" i="198"/>
  <c r="AN25" i="223"/>
  <c r="D188" i="259"/>
  <c r="E182" i="259" s="1"/>
  <c r="E184" i="259" s="1"/>
  <c r="E187" i="224"/>
  <c r="E181" i="224"/>
  <c r="E183" i="224" s="1"/>
  <c r="X74" i="229"/>
  <c r="X200" i="229" s="1"/>
  <c r="AN24" i="223"/>
  <c r="AB42" i="229"/>
  <c r="X175" i="229"/>
  <c r="X177" i="229" s="1"/>
  <c r="X247" i="229" s="1"/>
  <c r="Y172" i="229"/>
  <c r="X228" i="229"/>
  <c r="Y106" i="229"/>
  <c r="X222" i="229"/>
  <c r="X109" i="229"/>
  <c r="X111" i="229" s="1"/>
  <c r="X241" i="229" s="1"/>
  <c r="X223" i="229"/>
  <c r="Y117" i="229"/>
  <c r="X120" i="229"/>
  <c r="X122" i="229" s="1"/>
  <c r="X242" i="229" s="1"/>
  <c r="X53" i="229"/>
  <c r="Y150" i="229"/>
  <c r="X226" i="229"/>
  <c r="X153" i="229"/>
  <c r="X155" i="229" s="1"/>
  <c r="X245" i="229" s="1"/>
  <c r="X140" i="229"/>
  <c r="X206" i="229" s="1"/>
  <c r="X130" i="229"/>
  <c r="S229" i="229"/>
  <c r="J291" i="229" s="1"/>
  <c r="J335" i="229" s="1"/>
  <c r="T47" i="246"/>
  <c r="T48" i="246" s="1"/>
  <c r="R122" i="251"/>
  <c r="T73" i="252"/>
  <c r="U74" i="252"/>
  <c r="U76" i="252"/>
  <c r="U77" i="252" s="1"/>
  <c r="T11" i="224"/>
  <c r="S77" i="252"/>
  <c r="S48" i="246"/>
  <c r="AK47" i="246"/>
  <c r="V62" i="252"/>
  <c r="R222" i="229"/>
  <c r="T29" i="229"/>
  <c r="T30" i="229" s="1"/>
  <c r="T196" i="229" s="1"/>
  <c r="U139" i="229"/>
  <c r="U140" i="229" s="1"/>
  <c r="U206" i="229" s="1"/>
  <c r="K266" i="229" s="1"/>
  <c r="S161" i="229"/>
  <c r="S162" i="229" s="1"/>
  <c r="S208" i="229" s="1"/>
  <c r="R64" i="229"/>
  <c r="T217" i="229"/>
  <c r="S86" i="229"/>
  <c r="S220" i="229" s="1"/>
  <c r="J282" i="229" s="1"/>
  <c r="J326" i="229" s="1"/>
  <c r="S174" i="229"/>
  <c r="S228" i="229" s="1"/>
  <c r="J290" i="229" s="1"/>
  <c r="J334" i="229" s="1"/>
  <c r="S42" i="229"/>
  <c r="T40" i="229" s="1"/>
  <c r="T152" i="229"/>
  <c r="T226" i="229" s="1"/>
  <c r="S119" i="229"/>
  <c r="T184" i="229"/>
  <c r="T210" i="229" s="1"/>
  <c r="S130" i="229"/>
  <c r="S107" i="229"/>
  <c r="S203" i="229" s="1"/>
  <c r="AG221" i="229"/>
  <c r="AH95" i="229"/>
  <c r="AG98" i="229"/>
  <c r="AG100" i="229" s="1"/>
  <c r="AG240" i="229" s="1"/>
  <c r="U52" i="229"/>
  <c r="U198" i="229" s="1"/>
  <c r="K258" i="229" s="1"/>
  <c r="T96" i="229"/>
  <c r="T202" i="229" s="1"/>
  <c r="T75" i="229"/>
  <c r="X164" i="229" l="1"/>
  <c r="X166" i="229" s="1"/>
  <c r="X246" i="229" s="1"/>
  <c r="S62" i="229"/>
  <c r="S63" i="229" s="1"/>
  <c r="S199" i="229" s="1"/>
  <c r="R65" i="229"/>
  <c r="R67" i="229" s="1"/>
  <c r="R237" i="229" s="1"/>
  <c r="F74" i="252"/>
  <c r="J74" i="252"/>
  <c r="Y161" i="229"/>
  <c r="Y162" i="229" s="1"/>
  <c r="Y208" i="229" s="1"/>
  <c r="AL8" i="204"/>
  <c r="AL14" i="204"/>
  <c r="AL12" i="204"/>
  <c r="AM11" i="204" s="1"/>
  <c r="AM13" i="204" s="1"/>
  <c r="R76" i="252"/>
  <c r="S11" i="224" s="1"/>
  <c r="S11" i="259" s="1"/>
  <c r="I73" i="252"/>
  <c r="I76" i="252" s="1"/>
  <c r="AB87" i="229"/>
  <c r="AB89" i="229" s="1"/>
  <c r="AB239" i="229" s="1"/>
  <c r="AC84" i="229"/>
  <c r="AC85" i="229" s="1"/>
  <c r="AC201" i="229" s="1"/>
  <c r="X186" i="229"/>
  <c r="X188" i="229" s="1"/>
  <c r="X248" i="229" s="1"/>
  <c r="X229" i="229"/>
  <c r="AA32" i="229"/>
  <c r="AA34" i="229" s="1"/>
  <c r="AA234" i="229" s="1"/>
  <c r="L299" i="229" s="1"/>
  <c r="AB29" i="229"/>
  <c r="AB30" i="229" s="1"/>
  <c r="AB196" i="229" s="1"/>
  <c r="M73" i="252"/>
  <c r="M74" i="252" s="1"/>
  <c r="L74" i="252"/>
  <c r="L76" i="252"/>
  <c r="O74" i="252"/>
  <c r="O76" i="252"/>
  <c r="I30" i="257"/>
  <c r="I31" i="257" s="1"/>
  <c r="I122" i="251"/>
  <c r="K73" i="252"/>
  <c r="I37" i="257"/>
  <c r="I38" i="257" s="1"/>
  <c r="I42" i="257" s="1"/>
  <c r="L13" i="224" s="1"/>
  <c r="O122" i="251"/>
  <c r="Q73" i="252"/>
  <c r="G11" i="224"/>
  <c r="F77" i="252"/>
  <c r="F122" i="251"/>
  <c r="H73" i="252"/>
  <c r="N73" i="252"/>
  <c r="L122" i="251"/>
  <c r="K11" i="224"/>
  <c r="K11" i="259" s="1"/>
  <c r="J77" i="252"/>
  <c r="E122" i="251"/>
  <c r="G73" i="252"/>
  <c r="N122" i="251"/>
  <c r="P73" i="252"/>
  <c r="E188" i="259"/>
  <c r="F182" i="259" s="1"/>
  <c r="F184" i="259" s="1"/>
  <c r="F25" i="259" s="1"/>
  <c r="F44" i="259" s="1"/>
  <c r="F197" i="259" s="1"/>
  <c r="AN26" i="198"/>
  <c r="AO25" i="223"/>
  <c r="AL47" i="246"/>
  <c r="E25" i="224"/>
  <c r="E44" i="224" s="1"/>
  <c r="E196" i="224" s="1"/>
  <c r="E185" i="224"/>
  <c r="Y151" i="229"/>
  <c r="Y207" i="229" s="1"/>
  <c r="F187" i="224"/>
  <c r="F181" i="224"/>
  <c r="F183" i="224" s="1"/>
  <c r="E25" i="259"/>
  <c r="E44" i="259" s="1"/>
  <c r="E197" i="259" s="1"/>
  <c r="E186" i="259"/>
  <c r="Y128" i="229"/>
  <c r="X224" i="229"/>
  <c r="X131" i="229"/>
  <c r="X133" i="229" s="1"/>
  <c r="X243" i="229" s="1"/>
  <c r="X217" i="229"/>
  <c r="Y51" i="229"/>
  <c r="X54" i="229"/>
  <c r="X56" i="229" s="1"/>
  <c r="X236" i="229" s="1"/>
  <c r="Y107" i="229"/>
  <c r="Y203" i="229" s="1"/>
  <c r="X141" i="229"/>
  <c r="AB216" i="229"/>
  <c r="AC40" i="229"/>
  <c r="AB43" i="229"/>
  <c r="AB45" i="229" s="1"/>
  <c r="AB235" i="229" s="1"/>
  <c r="Y118" i="229"/>
  <c r="Y204" i="229" s="1"/>
  <c r="AO24" i="223"/>
  <c r="Y173" i="229"/>
  <c r="Y209" i="229" s="1"/>
  <c r="Y184" i="229"/>
  <c r="Y210" i="229" s="1"/>
  <c r="X75" i="229"/>
  <c r="T74" i="252"/>
  <c r="T76" i="252"/>
  <c r="T77" i="252" s="1"/>
  <c r="T11" i="259"/>
  <c r="Z19" i="255"/>
  <c r="W19" i="255"/>
  <c r="Y19" i="255"/>
  <c r="V69" i="252"/>
  <c r="V67" i="252"/>
  <c r="V71" i="252"/>
  <c r="X19" i="255"/>
  <c r="T84" i="229"/>
  <c r="T85" i="229" s="1"/>
  <c r="T201" i="229" s="1"/>
  <c r="R218" i="229"/>
  <c r="U150" i="229"/>
  <c r="U151" i="229" s="1"/>
  <c r="U207" i="229" s="1"/>
  <c r="K267" i="229" s="1"/>
  <c r="S216" i="229"/>
  <c r="J278" i="229" s="1"/>
  <c r="J322" i="229" s="1"/>
  <c r="S163" i="229"/>
  <c r="S227" i="229" s="1"/>
  <c r="J289" i="229" s="1"/>
  <c r="J333" i="229" s="1"/>
  <c r="T172" i="229"/>
  <c r="T173" i="229" s="1"/>
  <c r="T209" i="229" s="1"/>
  <c r="U141" i="229"/>
  <c r="U225" i="229" s="1"/>
  <c r="S108" i="229"/>
  <c r="T106" i="229" s="1"/>
  <c r="T185" i="229"/>
  <c r="T229" i="229" s="1"/>
  <c r="T31" i="229"/>
  <c r="U29" i="229" s="1"/>
  <c r="AH96" i="229"/>
  <c r="AH202" i="229" s="1"/>
  <c r="AH97" i="229"/>
  <c r="U53" i="229"/>
  <c r="U217" i="229" s="1"/>
  <c r="T219" i="229"/>
  <c r="U73" i="229"/>
  <c r="T97" i="229"/>
  <c r="T41" i="229"/>
  <c r="T197" i="229" s="1"/>
  <c r="T128" i="229"/>
  <c r="S224" i="229"/>
  <c r="J286" i="229" s="1"/>
  <c r="J330" i="229" s="1"/>
  <c r="T117" i="229"/>
  <c r="S223" i="229"/>
  <c r="J285" i="229" s="1"/>
  <c r="J329" i="229" s="1"/>
  <c r="G187" i="224" l="1"/>
  <c r="R77" i="252"/>
  <c r="M76" i="252"/>
  <c r="M77" i="252" s="1"/>
  <c r="I74" i="252"/>
  <c r="AM12" i="204"/>
  <c r="AN11" i="204" s="1"/>
  <c r="AN13" i="204" s="1"/>
  <c r="AM8" i="204"/>
  <c r="AM14" i="204"/>
  <c r="F188" i="259"/>
  <c r="G182" i="259" s="1"/>
  <c r="F186" i="259"/>
  <c r="I43" i="257"/>
  <c r="P74" i="252"/>
  <c r="P76" i="252"/>
  <c r="O77" i="252"/>
  <c r="P11" i="224"/>
  <c r="P11" i="259" s="1"/>
  <c r="G74" i="252"/>
  <c r="G76" i="252"/>
  <c r="J11" i="224"/>
  <c r="J11" i="259" s="1"/>
  <c r="I77" i="252"/>
  <c r="L77" i="252"/>
  <c r="M11" i="224"/>
  <c r="M11" i="259" s="1"/>
  <c r="G11" i="259"/>
  <c r="N74" i="252"/>
  <c r="N76" i="252"/>
  <c r="Q74" i="252"/>
  <c r="Q76" i="252"/>
  <c r="K74" i="252"/>
  <c r="K76" i="252"/>
  <c r="H74" i="252"/>
  <c r="H76" i="252"/>
  <c r="Y163" i="229"/>
  <c r="Y164" i="229" s="1"/>
  <c r="Y166" i="229" s="1"/>
  <c r="Y246" i="229" s="1"/>
  <c r="Y152" i="229"/>
  <c r="Z150" i="229" s="1"/>
  <c r="AB31" i="229"/>
  <c r="AC29" i="229" s="1"/>
  <c r="AC86" i="229"/>
  <c r="AD84" i="229" s="1"/>
  <c r="Y185" i="229"/>
  <c r="Y229" i="229" s="1"/>
  <c r="Y108" i="229"/>
  <c r="Y222" i="229" s="1"/>
  <c r="AO26" i="198"/>
  <c r="AP25" i="223"/>
  <c r="G181" i="224"/>
  <c r="G183" i="224" s="1"/>
  <c r="AC41" i="229"/>
  <c r="AC197" i="229" s="1"/>
  <c r="Y129" i="229"/>
  <c r="Y205" i="229" s="1"/>
  <c r="L13" i="259"/>
  <c r="Y174" i="229"/>
  <c r="J13" i="257"/>
  <c r="AP24" i="223"/>
  <c r="Y52" i="229"/>
  <c r="Y198" i="229" s="1"/>
  <c r="F185" i="224"/>
  <c r="F25" i="224"/>
  <c r="F44" i="224" s="1"/>
  <c r="F196" i="224" s="1"/>
  <c r="X219" i="229"/>
  <c r="Y73" i="229"/>
  <c r="X76" i="229"/>
  <c r="X78" i="229" s="1"/>
  <c r="X238" i="229" s="1"/>
  <c r="Y119" i="229"/>
  <c r="Y139" i="229"/>
  <c r="X225" i="229"/>
  <c r="X142" i="229"/>
  <c r="X144" i="229" s="1"/>
  <c r="X244" i="229" s="1"/>
  <c r="T122" i="251"/>
  <c r="V73" i="252"/>
  <c r="T161" i="229"/>
  <c r="T162" i="229" s="1"/>
  <c r="T208" i="229" s="1"/>
  <c r="U183" i="229"/>
  <c r="U184" i="229" s="1"/>
  <c r="U210" i="229" s="1"/>
  <c r="K270" i="229" s="1"/>
  <c r="T215" i="229"/>
  <c r="U30" i="229"/>
  <c r="U196" i="229" s="1"/>
  <c r="S222" i="229"/>
  <c r="J284" i="229" s="1"/>
  <c r="J328" i="229" s="1"/>
  <c r="J336" i="229" s="1"/>
  <c r="F22" i="224" s="1"/>
  <c r="S64" i="229"/>
  <c r="U152" i="229"/>
  <c r="U226" i="229" s="1"/>
  <c r="T86" i="229"/>
  <c r="U84" i="229" s="1"/>
  <c r="T174" i="229"/>
  <c r="T107" i="229"/>
  <c r="T203" i="229" s="1"/>
  <c r="AH221" i="229"/>
  <c r="AI95" i="229"/>
  <c r="AH98" i="229"/>
  <c r="AH100" i="229" s="1"/>
  <c r="AH240" i="229" s="1"/>
  <c r="T118" i="229"/>
  <c r="T204" i="229" s="1"/>
  <c r="T221" i="229"/>
  <c r="U95" i="229"/>
  <c r="T129" i="229"/>
  <c r="T205" i="229" s="1"/>
  <c r="T42" i="229"/>
  <c r="U74" i="229"/>
  <c r="U200" i="229" s="1"/>
  <c r="K260" i="229" s="1"/>
  <c r="G184" i="259" l="1"/>
  <c r="G25" i="259" s="1"/>
  <c r="G44" i="259" s="1"/>
  <c r="G197" i="259" s="1"/>
  <c r="G185" i="259"/>
  <c r="N11" i="224"/>
  <c r="N11" i="259" s="1"/>
  <c r="S218" i="229"/>
  <c r="J280" i="229" s="1"/>
  <c r="J324" i="229" s="1"/>
  <c r="J320" i="229" s="1"/>
  <c r="S65" i="229"/>
  <c r="S67" i="229" s="1"/>
  <c r="S237" i="229" s="1"/>
  <c r="AN12" i="204"/>
  <c r="AO11" i="204" s="1"/>
  <c r="AO13" i="204" s="1"/>
  <c r="AN8" i="204"/>
  <c r="AN14" i="204"/>
  <c r="Z161" i="229"/>
  <c r="Z162" i="229" s="1"/>
  <c r="Z208" i="229" s="1"/>
  <c r="Y227" i="229"/>
  <c r="Y186" i="229"/>
  <c r="Y188" i="229" s="1"/>
  <c r="Y248" i="229" s="1"/>
  <c r="Y153" i="229"/>
  <c r="Y155" i="229" s="1"/>
  <c r="Y245" i="229" s="1"/>
  <c r="H11" i="224"/>
  <c r="G77" i="252"/>
  <c r="H68" i="260"/>
  <c r="J68" i="260" s="1"/>
  <c r="H77" i="252"/>
  <c r="I11" i="224"/>
  <c r="I11" i="259" s="1"/>
  <c r="Q77" i="252"/>
  <c r="R11" i="224"/>
  <c r="R11" i="259" s="1"/>
  <c r="L11" i="224"/>
  <c r="L11" i="259" s="1"/>
  <c r="K77" i="252"/>
  <c r="O11" i="224"/>
  <c r="O11" i="259" s="1"/>
  <c r="N77" i="252"/>
  <c r="Q11" i="224"/>
  <c r="Q11" i="259" s="1"/>
  <c r="P77" i="252"/>
  <c r="Z183" i="229"/>
  <c r="Z184" i="229" s="1"/>
  <c r="Z210" i="229" s="1"/>
  <c r="AB32" i="229"/>
  <c r="AB34" i="229" s="1"/>
  <c r="AB234" i="229" s="1"/>
  <c r="AB215" i="229"/>
  <c r="Z106" i="229"/>
  <c r="Z107" i="229" s="1"/>
  <c r="Z203" i="229" s="1"/>
  <c r="AC87" i="229"/>
  <c r="AC89" i="229" s="1"/>
  <c r="AC239" i="229" s="1"/>
  <c r="Y226" i="229"/>
  <c r="Y109" i="229"/>
  <c r="Y111" i="229" s="1"/>
  <c r="Y241" i="229" s="1"/>
  <c r="AC220" i="229"/>
  <c r="Y130" i="229"/>
  <c r="Y131" i="229" s="1"/>
  <c r="Y133" i="229" s="1"/>
  <c r="Y243" i="229" s="1"/>
  <c r="AQ25" i="223"/>
  <c r="AP26" i="198"/>
  <c r="Y53" i="229"/>
  <c r="Y54" i="229" s="1"/>
  <c r="Y56" i="229" s="1"/>
  <c r="Y236" i="229" s="1"/>
  <c r="Y74" i="229"/>
  <c r="Y200" i="229" s="1"/>
  <c r="Z151" i="229"/>
  <c r="Z207" i="229" s="1"/>
  <c r="AD85" i="229"/>
  <c r="AD201" i="229" s="1"/>
  <c r="Y140" i="229"/>
  <c r="Y206" i="229" s="1"/>
  <c r="AQ24" i="223"/>
  <c r="AC30" i="229"/>
  <c r="AC196" i="229" s="1"/>
  <c r="Y120" i="229"/>
  <c r="Y122" i="229" s="1"/>
  <c r="Y242" i="229" s="1"/>
  <c r="Y223" i="229"/>
  <c r="Z117" i="229"/>
  <c r="J25" i="257"/>
  <c r="J27" i="257" s="1"/>
  <c r="J26" i="257"/>
  <c r="J28" i="257" s="1"/>
  <c r="H181" i="224"/>
  <c r="H183" i="224" s="1"/>
  <c r="H185" i="224" s="1"/>
  <c r="H187" i="224"/>
  <c r="Z172" i="229"/>
  <c r="Y228" i="229"/>
  <c r="Y175" i="229"/>
  <c r="Y177" i="229" s="1"/>
  <c r="Y247" i="229" s="1"/>
  <c r="AC42" i="229"/>
  <c r="G185" i="224"/>
  <c r="G25" i="224"/>
  <c r="G44" i="224" s="1"/>
  <c r="G196" i="224" s="1"/>
  <c r="V74" i="252"/>
  <c r="V76" i="252"/>
  <c r="V77" i="252" s="1"/>
  <c r="U31" i="229"/>
  <c r="T62" i="229"/>
  <c r="T63" i="229" s="1"/>
  <c r="T199" i="229" s="1"/>
  <c r="T220" i="229"/>
  <c r="U75" i="229"/>
  <c r="U219" i="229" s="1"/>
  <c r="T163" i="229"/>
  <c r="U161" i="229" s="1"/>
  <c r="U162" i="229" s="1"/>
  <c r="U208" i="229" s="1"/>
  <c r="K268" i="229" s="1"/>
  <c r="U185" i="229"/>
  <c r="U229" i="229" s="1"/>
  <c r="T119" i="229"/>
  <c r="T223" i="229" s="1"/>
  <c r="T108" i="229"/>
  <c r="T222" i="229" s="1"/>
  <c r="T130" i="229"/>
  <c r="T224" i="229" s="1"/>
  <c r="U85" i="229"/>
  <c r="U201" i="229" s="1"/>
  <c r="AI96" i="229"/>
  <c r="AI202" i="229" s="1"/>
  <c r="T216" i="229"/>
  <c r="U40" i="229"/>
  <c r="F23" i="224"/>
  <c r="F22" i="259"/>
  <c r="F23" i="259" s="1"/>
  <c r="U96" i="229"/>
  <c r="U202" i="229" s="1"/>
  <c r="K262" i="229" s="1"/>
  <c r="U172" i="229"/>
  <c r="T228" i="229"/>
  <c r="I181" i="224" l="1"/>
  <c r="I183" i="224" s="1"/>
  <c r="AI97" i="229"/>
  <c r="AO8" i="204"/>
  <c r="AO12" i="204"/>
  <c r="AP11" i="204" s="1"/>
  <c r="AP13" i="204" s="1"/>
  <c r="AO14" i="204"/>
  <c r="U97" i="229"/>
  <c r="U221" i="229" s="1"/>
  <c r="H11" i="259"/>
  <c r="C11" i="259" s="1"/>
  <c r="C11" i="224"/>
  <c r="Z51" i="229"/>
  <c r="Z52" i="229" s="1"/>
  <c r="Z198" i="229" s="1"/>
  <c r="Y224" i="229"/>
  <c r="Z128" i="229"/>
  <c r="Z129" i="229" s="1"/>
  <c r="Z205" i="229" s="1"/>
  <c r="AD86" i="229"/>
  <c r="AE84" i="229" s="1"/>
  <c r="Y217" i="229"/>
  <c r="Z152" i="229"/>
  <c r="Z153" i="229" s="1"/>
  <c r="Z155" i="229" s="1"/>
  <c r="Z245" i="229" s="1"/>
  <c r="Z163" i="229"/>
  <c r="Z227" i="229" s="1"/>
  <c r="Z185" i="229"/>
  <c r="Z229" i="229" s="1"/>
  <c r="Z108" i="229"/>
  <c r="Z109" i="229" s="1"/>
  <c r="Z111" i="229" s="1"/>
  <c r="Z241" i="229" s="1"/>
  <c r="AC31" i="229"/>
  <c r="AC215" i="229" s="1"/>
  <c r="AR25" i="223"/>
  <c r="AQ26" i="198"/>
  <c r="Z173" i="229"/>
  <c r="Z209" i="229" s="1"/>
  <c r="I187" i="224"/>
  <c r="AR24" i="223"/>
  <c r="Z118" i="229"/>
  <c r="Z204" i="229" s="1"/>
  <c r="J29" i="257"/>
  <c r="Y141" i="229"/>
  <c r="Y75" i="229"/>
  <c r="AD40" i="229"/>
  <c r="AC216" i="229"/>
  <c r="AC43" i="229"/>
  <c r="AC45" i="229" s="1"/>
  <c r="AC235" i="229" s="1"/>
  <c r="T227" i="229"/>
  <c r="V29" i="229"/>
  <c r="V30" i="229" s="1"/>
  <c r="V196" i="229" s="1"/>
  <c r="U215" i="229"/>
  <c r="U163" i="229"/>
  <c r="U227" i="229" s="1"/>
  <c r="U128" i="229"/>
  <c r="U129" i="229" s="1"/>
  <c r="U205" i="229" s="1"/>
  <c r="K265" i="229" s="1"/>
  <c r="U86" i="229"/>
  <c r="V84" i="229" s="1"/>
  <c r="U117" i="229"/>
  <c r="U118" i="229" s="1"/>
  <c r="U204" i="229" s="1"/>
  <c r="K264" i="229" s="1"/>
  <c r="T64" i="229"/>
  <c r="U106" i="229"/>
  <c r="U107" i="229" s="1"/>
  <c r="U203" i="229" s="1"/>
  <c r="K263" i="229" s="1"/>
  <c r="U41" i="229"/>
  <c r="U197" i="229" s="1"/>
  <c r="AI221" i="229"/>
  <c r="N283" i="229" s="1"/>
  <c r="N327" i="229" s="1"/>
  <c r="AJ95" i="229"/>
  <c r="AI98" i="229"/>
  <c r="AI100" i="229" s="1"/>
  <c r="AI240" i="229" s="1"/>
  <c r="U173" i="229"/>
  <c r="U209" i="229" s="1"/>
  <c r="K269" i="229" s="1"/>
  <c r="J181" i="224" l="1"/>
  <c r="U62" i="229"/>
  <c r="U63" i="229" s="1"/>
  <c r="U199" i="229" s="1"/>
  <c r="T65" i="229"/>
  <c r="T67" i="229" s="1"/>
  <c r="T237" i="229" s="1"/>
  <c r="Z222" i="229"/>
  <c r="AA106" i="229"/>
  <c r="AA107" i="229" s="1"/>
  <c r="AA203" i="229" s="1"/>
  <c r="AP8" i="204"/>
  <c r="AP14" i="204"/>
  <c r="AP12" i="204"/>
  <c r="AQ11" i="204" s="1"/>
  <c r="AQ13" i="204" s="1"/>
  <c r="AD87" i="229"/>
  <c r="AD89" i="229" s="1"/>
  <c r="AD239" i="229" s="1"/>
  <c r="AA150" i="229"/>
  <c r="AA151" i="229" s="1"/>
  <c r="AA207" i="229" s="1"/>
  <c r="Z226" i="229"/>
  <c r="AD220" i="229"/>
  <c r="Z164" i="229"/>
  <c r="Z166" i="229" s="1"/>
  <c r="Z246" i="229" s="1"/>
  <c r="AA161" i="229"/>
  <c r="AA162" i="229" s="1"/>
  <c r="AA208" i="229" s="1"/>
  <c r="AA183" i="229"/>
  <c r="AA184" i="229" s="1"/>
  <c r="AA210" i="229" s="1"/>
  <c r="AD29" i="229"/>
  <c r="AD30" i="229" s="1"/>
  <c r="AD196" i="229" s="1"/>
  <c r="AC32" i="229"/>
  <c r="AC34" i="229" s="1"/>
  <c r="AC234" i="229" s="1"/>
  <c r="Z53" i="229"/>
  <c r="AA51" i="229" s="1"/>
  <c r="Z186" i="229"/>
  <c r="Z188" i="229" s="1"/>
  <c r="Z248" i="229" s="1"/>
  <c r="Z174" i="229"/>
  <c r="Z228" i="229" s="1"/>
  <c r="Z130" i="229"/>
  <c r="AA128" i="229" s="1"/>
  <c r="AR26" i="198"/>
  <c r="AS25" i="223"/>
  <c r="AD41" i="229"/>
  <c r="AD197" i="229" s="1"/>
  <c r="Z73" i="229"/>
  <c r="Y219" i="229"/>
  <c r="Y76" i="229"/>
  <c r="Y78" i="229" s="1"/>
  <c r="Y238" i="229" s="1"/>
  <c r="AS24" i="223"/>
  <c r="J30" i="257"/>
  <c r="J31" i="257" s="1"/>
  <c r="J37" i="257"/>
  <c r="J38" i="257" s="1"/>
  <c r="J42" i="257" s="1"/>
  <c r="J183" i="224"/>
  <c r="J187" i="224"/>
  <c r="Y225" i="229"/>
  <c r="Z139" i="229"/>
  <c r="Y142" i="229"/>
  <c r="Y144" i="229" s="1"/>
  <c r="Y244" i="229" s="1"/>
  <c r="Z119" i="229"/>
  <c r="I185" i="224"/>
  <c r="AE85" i="229"/>
  <c r="AE201" i="229" s="1"/>
  <c r="V31" i="229"/>
  <c r="V215" i="229" s="1"/>
  <c r="U220" i="229"/>
  <c r="T218" i="229"/>
  <c r="U42" i="229"/>
  <c r="U216" i="229" s="1"/>
  <c r="U174" i="229"/>
  <c r="U228" i="229" s="1"/>
  <c r="V85" i="229"/>
  <c r="V201" i="229" s="1"/>
  <c r="U119" i="229"/>
  <c r="U223" i="229" s="1"/>
  <c r="AJ96" i="229"/>
  <c r="AJ202" i="229" s="1"/>
  <c r="U130" i="229"/>
  <c r="U224" i="229" s="1"/>
  <c r="U108" i="229"/>
  <c r="U222" i="229" s="1"/>
  <c r="K181" i="224" l="1"/>
  <c r="K183" i="224" s="1"/>
  <c r="AQ12" i="204"/>
  <c r="AR11" i="204" s="1"/>
  <c r="AR13" i="204" s="1"/>
  <c r="AQ8" i="204"/>
  <c r="AQ14" i="204"/>
  <c r="AJ97" i="229"/>
  <c r="AA152" i="229"/>
  <c r="AA153" i="229" s="1"/>
  <c r="AA155" i="229" s="1"/>
  <c r="AA245" i="229" s="1"/>
  <c r="Z54" i="229"/>
  <c r="Z56" i="229" s="1"/>
  <c r="Z236" i="229" s="1"/>
  <c r="Z175" i="229"/>
  <c r="Z177" i="229" s="1"/>
  <c r="Z247" i="229" s="1"/>
  <c r="Z131" i="229"/>
  <c r="Z133" i="229" s="1"/>
  <c r="Z243" i="229" s="1"/>
  <c r="Z224" i="229"/>
  <c r="Z217" i="229"/>
  <c r="AA172" i="229"/>
  <c r="AA173" i="229" s="1"/>
  <c r="AA209" i="229" s="1"/>
  <c r="AD31" i="229"/>
  <c r="AD215" i="229" s="1"/>
  <c r="AA108" i="229"/>
  <c r="AA222" i="229" s="1"/>
  <c r="L284" i="229" s="1"/>
  <c r="L328" i="229" s="1"/>
  <c r="AA185" i="229"/>
  <c r="AA229" i="229" s="1"/>
  <c r="L291" i="229" s="1"/>
  <c r="L335" i="229" s="1"/>
  <c r="AT25" i="223"/>
  <c r="AS26" i="198"/>
  <c r="AE86" i="229"/>
  <c r="AE87" i="229" s="1"/>
  <c r="AE89" i="229" s="1"/>
  <c r="AE239" i="229" s="1"/>
  <c r="Z140" i="229"/>
  <c r="Z206" i="229" s="1"/>
  <c r="K187" i="224"/>
  <c r="AA129" i="229"/>
  <c r="AA205" i="229" s="1"/>
  <c r="Z74" i="229"/>
  <c r="Z200" i="229" s="1"/>
  <c r="J185" i="224"/>
  <c r="AA163" i="229"/>
  <c r="AA52" i="229"/>
  <c r="AA198" i="229" s="1"/>
  <c r="AD42" i="229"/>
  <c r="AA117" i="229"/>
  <c r="Z223" i="229"/>
  <c r="Z120" i="229"/>
  <c r="Z122" i="229" s="1"/>
  <c r="Z242" i="229" s="1"/>
  <c r="J43" i="257"/>
  <c r="M13" i="224"/>
  <c r="K13" i="257"/>
  <c r="AT24" i="223"/>
  <c r="W29" i="229"/>
  <c r="W30" i="229" s="1"/>
  <c r="W196" i="229" s="1"/>
  <c r="V40" i="229"/>
  <c r="V41" i="229" s="1"/>
  <c r="V197" i="229" s="1"/>
  <c r="V86" i="229"/>
  <c r="W84" i="229" s="1"/>
  <c r="U64" i="229"/>
  <c r="AJ221" i="229"/>
  <c r="AK95" i="229"/>
  <c r="AJ98" i="229"/>
  <c r="AJ100" i="229" s="1"/>
  <c r="AJ240" i="229" s="1"/>
  <c r="L181" i="224" l="1"/>
  <c r="L183" i="224" s="1"/>
  <c r="U218" i="229"/>
  <c r="V62" i="229"/>
  <c r="U65" i="229"/>
  <c r="U67" i="229" s="1"/>
  <c r="U237" i="229" s="1"/>
  <c r="AA226" i="229"/>
  <c r="L288" i="229" s="1"/>
  <c r="L332" i="229" s="1"/>
  <c r="AR12" i="204"/>
  <c r="AS11" i="204" s="1"/>
  <c r="AS13" i="204" s="1"/>
  <c r="AR8" i="204"/>
  <c r="AR14" i="204"/>
  <c r="AA109" i="229"/>
  <c r="AA111" i="229" s="1"/>
  <c r="AA241" i="229" s="1"/>
  <c r="AB150" i="229"/>
  <c r="AB106" i="229"/>
  <c r="AB107" i="229" s="1"/>
  <c r="AB203" i="229" s="1"/>
  <c r="AB183" i="229"/>
  <c r="AB184" i="229" s="1"/>
  <c r="AB210" i="229" s="1"/>
  <c r="AE29" i="229"/>
  <c r="AE30" i="229" s="1"/>
  <c r="AE196" i="229" s="1"/>
  <c r="AF84" i="229"/>
  <c r="AF85" i="229" s="1"/>
  <c r="AF201" i="229" s="1"/>
  <c r="AA186" i="229"/>
  <c r="AA188" i="229" s="1"/>
  <c r="AA248" i="229" s="1"/>
  <c r="AD32" i="229"/>
  <c r="AD34" i="229" s="1"/>
  <c r="AD234" i="229" s="1"/>
  <c r="AA174" i="229"/>
  <c r="AA228" i="229" s="1"/>
  <c r="L290" i="229" s="1"/>
  <c r="L334" i="229" s="1"/>
  <c r="AE220" i="229"/>
  <c r="M282" i="229" s="1"/>
  <c r="M326" i="229" s="1"/>
  <c r="Z141" i="229"/>
  <c r="AA139" i="229" s="1"/>
  <c r="K185" i="224"/>
  <c r="AU25" i="223"/>
  <c r="AT26" i="198"/>
  <c r="AA53" i="229"/>
  <c r="L187" i="224"/>
  <c r="AB151" i="229"/>
  <c r="AB207" i="229" s="1"/>
  <c r="M13" i="259"/>
  <c r="AD216" i="229"/>
  <c r="AE40" i="229"/>
  <c r="AD43" i="229"/>
  <c r="AD45" i="229" s="1"/>
  <c r="AD235" i="229" s="1"/>
  <c r="AA227" i="229"/>
  <c r="L289" i="229" s="1"/>
  <c r="L333" i="229" s="1"/>
  <c r="AB161" i="229"/>
  <c r="AA164" i="229"/>
  <c r="AA166" i="229" s="1"/>
  <c r="AA246" i="229" s="1"/>
  <c r="AU24" i="223"/>
  <c r="AA118" i="229"/>
  <c r="AA204" i="229" s="1"/>
  <c r="Z75" i="229"/>
  <c r="K25" i="257"/>
  <c r="K27" i="257" s="1"/>
  <c r="K26" i="257"/>
  <c r="K28" i="257" s="1"/>
  <c r="AA130" i="229"/>
  <c r="W31" i="229"/>
  <c r="W215" i="229" s="1"/>
  <c r="K277" i="229" s="1"/>
  <c r="K321" i="229" s="1"/>
  <c r="V220" i="229"/>
  <c r="W85" i="229"/>
  <c r="W201" i="229" s="1"/>
  <c r="AK96" i="229"/>
  <c r="AK202" i="229" s="1"/>
  <c r="V42" i="229"/>
  <c r="Z225" i="229" l="1"/>
  <c r="M181" i="224"/>
  <c r="M183" i="224" s="1"/>
  <c r="V63" i="229"/>
  <c r="V199" i="229" s="1"/>
  <c r="AS8" i="204"/>
  <c r="AS12" i="204"/>
  <c r="AT11" i="204" s="1"/>
  <c r="AT13" i="204" s="1"/>
  <c r="AS14" i="204"/>
  <c r="AA175" i="229"/>
  <c r="AA177" i="229" s="1"/>
  <c r="AA247" i="229" s="1"/>
  <c r="AB172" i="229"/>
  <c r="Z142" i="229"/>
  <c r="Z144" i="229" s="1"/>
  <c r="Z244" i="229" s="1"/>
  <c r="AB185" i="229"/>
  <c r="AB229" i="229" s="1"/>
  <c r="AE31" i="229"/>
  <c r="AE32" i="229" s="1"/>
  <c r="AE34" i="229" s="1"/>
  <c r="AE234" i="229" s="1"/>
  <c r="AF86" i="229"/>
  <c r="AF220" i="229" s="1"/>
  <c r="K29" i="257"/>
  <c r="K37" i="257" s="1"/>
  <c r="K38" i="257" s="1"/>
  <c r="K42" i="257" s="1"/>
  <c r="AB152" i="229"/>
  <c r="AB153" i="229" s="1"/>
  <c r="AB155" i="229" s="1"/>
  <c r="AB245" i="229" s="1"/>
  <c r="AV25" i="223"/>
  <c r="AU26" i="198"/>
  <c r="AA224" i="229"/>
  <c r="L286" i="229" s="1"/>
  <c r="L330" i="229" s="1"/>
  <c r="AB128" i="229"/>
  <c r="AA131" i="229"/>
  <c r="AA133" i="229" s="1"/>
  <c r="AA243" i="229" s="1"/>
  <c r="AV24" i="223"/>
  <c r="AA140" i="229"/>
  <c r="AA206" i="229" s="1"/>
  <c r="AE41" i="229"/>
  <c r="AE197" i="229" s="1"/>
  <c r="M187" i="224"/>
  <c r="L185" i="224"/>
  <c r="AA73" i="229"/>
  <c r="Z219" i="229"/>
  <c r="Z76" i="229"/>
  <c r="Z78" i="229" s="1"/>
  <c r="Z238" i="229" s="1"/>
  <c r="AB51" i="229"/>
  <c r="AA217" i="229"/>
  <c r="L279" i="229" s="1"/>
  <c r="L323" i="229" s="1"/>
  <c r="AA54" i="229"/>
  <c r="AA56" i="229" s="1"/>
  <c r="AA236" i="229" s="1"/>
  <c r="AA119" i="229"/>
  <c r="AB173" i="229"/>
  <c r="AB209" i="229" s="1"/>
  <c r="AB162" i="229"/>
  <c r="AB208" i="229" s="1"/>
  <c r="AB108" i="229"/>
  <c r="X29" i="229"/>
  <c r="X30" i="229" s="1"/>
  <c r="X196" i="229" s="1"/>
  <c r="W86" i="229"/>
  <c r="X84" i="229" s="1"/>
  <c r="X85" i="229" s="1"/>
  <c r="X201" i="229" s="1"/>
  <c r="V216" i="229"/>
  <c r="W40" i="229"/>
  <c r="AK97" i="229"/>
  <c r="N181" i="224" l="1"/>
  <c r="N183" i="224" s="1"/>
  <c r="V64" i="229"/>
  <c r="V218" i="229" s="1"/>
  <c r="AB186" i="229"/>
  <c r="AB188" i="229" s="1"/>
  <c r="AB248" i="229" s="1"/>
  <c r="AE215" i="229"/>
  <c r="M277" i="229" s="1"/>
  <c r="M321" i="229" s="1"/>
  <c r="AC183" i="229"/>
  <c r="AC184" i="229" s="1"/>
  <c r="AC210" i="229" s="1"/>
  <c r="AF29" i="229"/>
  <c r="AF30" i="229" s="1"/>
  <c r="AF196" i="229" s="1"/>
  <c r="AT8" i="204"/>
  <c r="AT14" i="204"/>
  <c r="AT12" i="204"/>
  <c r="AU11" i="204" s="1"/>
  <c r="AF87" i="229"/>
  <c r="AF89" i="229" s="1"/>
  <c r="AF239" i="229" s="1"/>
  <c r="AG84" i="229"/>
  <c r="AG85" i="229" s="1"/>
  <c r="AG201" i="229" s="1"/>
  <c r="K30" i="257"/>
  <c r="K31" i="257" s="1"/>
  <c r="AE42" i="229"/>
  <c r="AF40" i="229" s="1"/>
  <c r="AC150" i="229"/>
  <c r="AC151" i="229" s="1"/>
  <c r="AC207" i="229" s="1"/>
  <c r="AB226" i="229"/>
  <c r="AB163" i="229"/>
  <c r="AB227" i="229" s="1"/>
  <c r="AV26" i="198"/>
  <c r="AW25" i="223"/>
  <c r="AB129" i="229"/>
  <c r="AB205" i="229" s="1"/>
  <c r="N187" i="224"/>
  <c r="M185" i="224"/>
  <c r="K43" i="257"/>
  <c r="N13" i="224"/>
  <c r="AB117" i="229"/>
  <c r="AA223" i="229"/>
  <c r="L285" i="229" s="1"/>
  <c r="L329" i="229" s="1"/>
  <c r="AA120" i="229"/>
  <c r="AA122" i="229" s="1"/>
  <c r="AA242" i="229" s="1"/>
  <c r="AW24" i="223"/>
  <c r="AB52" i="229"/>
  <c r="AB198" i="229" s="1"/>
  <c r="AB222" i="229"/>
  <c r="AC106" i="229"/>
  <c r="AB109" i="229"/>
  <c r="AB111" i="229" s="1"/>
  <c r="AB241" i="229" s="1"/>
  <c r="AA74" i="229"/>
  <c r="AA200" i="229" s="1"/>
  <c r="AB174" i="229"/>
  <c r="AA141" i="229"/>
  <c r="X31" i="229"/>
  <c r="Y29" i="229" s="1"/>
  <c r="Y30" i="229" s="1"/>
  <c r="Y196" i="229" s="1"/>
  <c r="L256" i="229" s="1"/>
  <c r="W220" i="229"/>
  <c r="K282" i="229" s="1"/>
  <c r="K326" i="229" s="1"/>
  <c r="W41" i="229"/>
  <c r="W197" i="229" s="1"/>
  <c r="AK221" i="229"/>
  <c r="AL95" i="229"/>
  <c r="AK98" i="229"/>
  <c r="AK100" i="229" s="1"/>
  <c r="AK240" i="229" s="1"/>
  <c r="X86" i="229"/>
  <c r="Y84" i="229" s="1"/>
  <c r="O181" i="224" l="1"/>
  <c r="V65" i="229"/>
  <c r="V67" i="229" s="1"/>
  <c r="V237" i="229" s="1"/>
  <c r="W62" i="229"/>
  <c r="W63" i="229" s="1"/>
  <c r="W199" i="229" s="1"/>
  <c r="K259" i="229" s="1"/>
  <c r="AU12" i="204"/>
  <c r="AV11" i="204" s="1"/>
  <c r="AV13" i="204" s="1"/>
  <c r="AU8" i="204"/>
  <c r="AU14" i="204"/>
  <c r="AU13" i="204"/>
  <c r="AB164" i="229"/>
  <c r="AB166" i="229" s="1"/>
  <c r="AB246" i="229" s="1"/>
  <c r="AE43" i="229"/>
  <c r="AE45" i="229" s="1"/>
  <c r="AE235" i="229" s="1"/>
  <c r="AC161" i="229"/>
  <c r="AC162" i="229" s="1"/>
  <c r="AC208" i="229" s="1"/>
  <c r="AE216" i="229"/>
  <c r="M278" i="229" s="1"/>
  <c r="M322" i="229" s="1"/>
  <c r="AB130" i="229"/>
  <c r="AB131" i="229" s="1"/>
  <c r="AB133" i="229" s="1"/>
  <c r="AB243" i="229" s="1"/>
  <c r="AC152" i="229"/>
  <c r="AC226" i="229" s="1"/>
  <c r="AA75" i="229"/>
  <c r="AA219" i="229" s="1"/>
  <c r="L281" i="229" s="1"/>
  <c r="L325" i="229" s="1"/>
  <c r="AB53" i="229"/>
  <c r="AC51" i="229" s="1"/>
  <c r="AC185" i="229"/>
  <c r="AC186" i="229" s="1"/>
  <c r="AC188" i="229" s="1"/>
  <c r="AC248" i="229" s="1"/>
  <c r="AG86" i="229"/>
  <c r="AH84" i="229" s="1"/>
  <c r="AX25" i="223"/>
  <c r="AW26" i="198"/>
  <c r="N185" i="224"/>
  <c r="AC107" i="229"/>
  <c r="AC203" i="229" s="1"/>
  <c r="AA225" i="229"/>
  <c r="L287" i="229" s="1"/>
  <c r="L331" i="229" s="1"/>
  <c r="L336" i="229" s="1"/>
  <c r="H22" i="224" s="1"/>
  <c r="H22" i="259" s="1"/>
  <c r="AB139" i="229"/>
  <c r="AA142" i="229"/>
  <c r="AA144" i="229" s="1"/>
  <c r="AA244" i="229" s="1"/>
  <c r="N13" i="259"/>
  <c r="AF31" i="229"/>
  <c r="AB228" i="229"/>
  <c r="AC172" i="229"/>
  <c r="AB175" i="229"/>
  <c r="AB177" i="229" s="1"/>
  <c r="AB247" i="229" s="1"/>
  <c r="AF41" i="229"/>
  <c r="AF197" i="229" s="1"/>
  <c r="L13" i="257"/>
  <c r="AX24" i="223"/>
  <c r="AB118" i="229"/>
  <c r="AB204" i="229" s="1"/>
  <c r="O183" i="224"/>
  <c r="O187" i="224"/>
  <c r="X215" i="229"/>
  <c r="X220" i="229"/>
  <c r="W42" i="229"/>
  <c r="X40" i="229" s="1"/>
  <c r="Y31" i="229"/>
  <c r="Y215" i="229" s="1"/>
  <c r="AL96" i="229"/>
  <c r="AL202" i="229" s="1"/>
  <c r="Y85" i="229"/>
  <c r="Y201" i="229" s="1"/>
  <c r="L261" i="229" s="1"/>
  <c r="P181" i="224" l="1"/>
  <c r="AD150" i="229"/>
  <c r="W64" i="229"/>
  <c r="W218" i="229" s="1"/>
  <c r="K280" i="229" s="1"/>
  <c r="K324" i="229" s="1"/>
  <c r="AC229" i="229"/>
  <c r="AD183" i="229"/>
  <c r="AV12" i="204"/>
  <c r="AW11" i="204" s="1"/>
  <c r="AV8" i="204"/>
  <c r="AV14" i="204"/>
  <c r="AC153" i="229"/>
  <c r="AC155" i="229" s="1"/>
  <c r="AC245" i="229" s="1"/>
  <c r="AB217" i="229"/>
  <c r="AA76" i="229"/>
  <c r="AA78" i="229" s="1"/>
  <c r="AA238" i="229" s="1"/>
  <c r="AB73" i="229"/>
  <c r="AB74" i="229" s="1"/>
  <c r="AB200" i="229" s="1"/>
  <c r="AB54" i="229"/>
  <c r="AB56" i="229" s="1"/>
  <c r="AB236" i="229" s="1"/>
  <c r="AB224" i="229"/>
  <c r="AC128" i="229"/>
  <c r="AC129" i="229" s="1"/>
  <c r="AC205" i="229" s="1"/>
  <c r="AF42" i="229"/>
  <c r="AG40" i="229" s="1"/>
  <c r="AC163" i="229"/>
  <c r="AC227" i="229" s="1"/>
  <c r="AG87" i="229"/>
  <c r="AG89" i="229" s="1"/>
  <c r="AG239" i="229" s="1"/>
  <c r="AG220" i="229"/>
  <c r="AY25" i="223"/>
  <c r="AX26" i="198"/>
  <c r="O185" i="224"/>
  <c r="AY24" i="223"/>
  <c r="AH85" i="229"/>
  <c r="AH201" i="229" s="1"/>
  <c r="AD184" i="229"/>
  <c r="AD210" i="229" s="1"/>
  <c r="AF215" i="229"/>
  <c r="AG29" i="229"/>
  <c r="AF32" i="229"/>
  <c r="AF34" i="229" s="1"/>
  <c r="AF234" i="229" s="1"/>
  <c r="L26" i="257"/>
  <c r="L28" i="257" s="1"/>
  <c r="L25" i="257"/>
  <c r="L27" i="257" s="1"/>
  <c r="P183" i="224"/>
  <c r="P187" i="224"/>
  <c r="AB140" i="229"/>
  <c r="AB206" i="229" s="1"/>
  <c r="AD151" i="229"/>
  <c r="AD207" i="229" s="1"/>
  <c r="AC173" i="229"/>
  <c r="AC209" i="229" s="1"/>
  <c r="AB119" i="229"/>
  <c r="AC108" i="229"/>
  <c r="AC52" i="229"/>
  <c r="AC198" i="229" s="1"/>
  <c r="W216" i="229"/>
  <c r="K278" i="229" s="1"/>
  <c r="K322" i="229" s="1"/>
  <c r="X41" i="229"/>
  <c r="X197" i="229" s="1"/>
  <c r="AL97" i="229"/>
  <c r="Y86" i="229"/>
  <c r="Y220" i="229" s="1"/>
  <c r="Q181" i="224" l="1"/>
  <c r="W65" i="229"/>
  <c r="W67" i="229" s="1"/>
  <c r="W237" i="229" s="1"/>
  <c r="K302" i="229" s="1"/>
  <c r="K298" i="229" s="1"/>
  <c r="D66" i="251" s="1"/>
  <c r="X62" i="229"/>
  <c r="X63" i="229" s="1"/>
  <c r="X199" i="229" s="1"/>
  <c r="K320" i="229"/>
  <c r="D65" i="251" s="1"/>
  <c r="J23" i="198"/>
  <c r="L23" i="198"/>
  <c r="N23" i="198"/>
  <c r="P23" i="198"/>
  <c r="R23" i="198"/>
  <c r="AG23" i="198"/>
  <c r="AI23" i="198"/>
  <c r="AK23" i="198"/>
  <c r="G23" i="198"/>
  <c r="AC23" i="198"/>
  <c r="Y23" i="198"/>
  <c r="AA23" i="198"/>
  <c r="AV23" i="198"/>
  <c r="U23" i="198"/>
  <c r="AN23" i="198"/>
  <c r="AP23" i="198"/>
  <c r="AR23" i="198"/>
  <c r="AT23" i="198"/>
  <c r="AW8" i="204"/>
  <c r="H23" i="198"/>
  <c r="I23" i="198"/>
  <c r="K23" i="198"/>
  <c r="M23" i="198"/>
  <c r="O23" i="198"/>
  <c r="Q23" i="198"/>
  <c r="S23" i="198"/>
  <c r="AF23" i="198"/>
  <c r="AH23" i="198"/>
  <c r="AJ23" i="198"/>
  <c r="AL23" i="198"/>
  <c r="AW12" i="204"/>
  <c r="AX11" i="204" s="1"/>
  <c r="AX13" i="204" s="1"/>
  <c r="AD23" i="198"/>
  <c r="X23" i="198"/>
  <c r="Z23" i="198"/>
  <c r="AW23" i="198"/>
  <c r="V23" i="198"/>
  <c r="AS23" i="198"/>
  <c r="AQ23" i="198"/>
  <c r="AO23" i="198"/>
  <c r="AW14" i="204"/>
  <c r="T23" i="198"/>
  <c r="AB23" i="198"/>
  <c r="AM23" i="198"/>
  <c r="AE23" i="198"/>
  <c r="AU23" i="198"/>
  <c r="W23" i="198"/>
  <c r="AW13" i="204"/>
  <c r="AF43" i="229"/>
  <c r="AF45" i="229" s="1"/>
  <c r="AF235" i="229" s="1"/>
  <c r="AF216" i="229"/>
  <c r="AD161" i="229"/>
  <c r="AD162" i="229" s="1"/>
  <c r="AD208" i="229" s="1"/>
  <c r="AC164" i="229"/>
  <c r="AC166" i="229" s="1"/>
  <c r="AC246" i="229" s="1"/>
  <c r="L29" i="257"/>
  <c r="L37" i="257" s="1"/>
  <c r="L38" i="257" s="1"/>
  <c r="L42" i="257" s="1"/>
  <c r="AB141" i="229"/>
  <c r="AB142" i="229" s="1"/>
  <c r="AB144" i="229" s="1"/>
  <c r="AB244" i="229" s="1"/>
  <c r="AD152" i="229"/>
  <c r="AE150" i="229" s="1"/>
  <c r="AC53" i="229"/>
  <c r="AC217" i="229" s="1"/>
  <c r="AC130" i="229"/>
  <c r="AC131" i="229" s="1"/>
  <c r="AC133" i="229" s="1"/>
  <c r="AC243" i="229" s="1"/>
  <c r="AD185" i="229"/>
  <c r="AD229" i="229" s="1"/>
  <c r="AY26" i="198"/>
  <c r="AZ25" i="223"/>
  <c r="AG41" i="229"/>
  <c r="AG197" i="229" s="1"/>
  <c r="AH86" i="229"/>
  <c r="AD106" i="229"/>
  <c r="AC222" i="229"/>
  <c r="AC109" i="229"/>
  <c r="AC111" i="229" s="1"/>
  <c r="AC241" i="229" s="1"/>
  <c r="AG30" i="229"/>
  <c r="AG196" i="229" s="1"/>
  <c r="AB120" i="229"/>
  <c r="AB122" i="229" s="1"/>
  <c r="AB242" i="229" s="1"/>
  <c r="AB223" i="229"/>
  <c r="AC117" i="229"/>
  <c r="AC174" i="229"/>
  <c r="AB75" i="229"/>
  <c r="Q183" i="224"/>
  <c r="Q187" i="224"/>
  <c r="P185" i="224"/>
  <c r="AZ24" i="223"/>
  <c r="X42" i="229"/>
  <c r="Y40" i="229" s="1"/>
  <c r="AL221" i="229"/>
  <c r="AM95" i="229"/>
  <c r="AL98" i="229"/>
  <c r="AL100" i="229" s="1"/>
  <c r="AL240" i="229" s="1"/>
  <c r="R181" i="224" l="1"/>
  <c r="H33" i="261"/>
  <c r="H50" i="261" s="1"/>
  <c r="X64" i="229"/>
  <c r="X218" i="229" s="1"/>
  <c r="AD128" i="229"/>
  <c r="AD129" i="229" s="1"/>
  <c r="AD205" i="229" s="1"/>
  <c r="AX8" i="204"/>
  <c r="AX12" i="204"/>
  <c r="AY11" i="204" s="1"/>
  <c r="AX14" i="204"/>
  <c r="AX23" i="198"/>
  <c r="AX24" i="198" s="1"/>
  <c r="AX25" i="198" s="1"/>
  <c r="AX27" i="198" s="1"/>
  <c r="O24" i="198"/>
  <c r="O25" i="198" s="1"/>
  <c r="O27" i="198" s="1"/>
  <c r="G24" i="198"/>
  <c r="G25" i="198" s="1"/>
  <c r="G27" i="198" s="1"/>
  <c r="AI24" i="198"/>
  <c r="AI25" i="198" s="1"/>
  <c r="AI27" i="198" s="1"/>
  <c r="AO24" i="198"/>
  <c r="AO25" i="198" s="1"/>
  <c r="AO27" i="198" s="1"/>
  <c r="I24" i="198"/>
  <c r="I25" i="198" s="1"/>
  <c r="I27" i="198" s="1"/>
  <c r="V24" i="198"/>
  <c r="V25" i="198" s="1"/>
  <c r="V27" i="198" s="1"/>
  <c r="AT24" i="198"/>
  <c r="AT25" i="198" s="1"/>
  <c r="AT27" i="198" s="1"/>
  <c r="Z24" i="198"/>
  <c r="Z25" i="198" s="1"/>
  <c r="Z27" i="198" s="1"/>
  <c r="N24" i="198"/>
  <c r="N25" i="198" s="1"/>
  <c r="N27" i="198" s="1"/>
  <c r="W24" i="198"/>
  <c r="W25" i="198" s="1"/>
  <c r="W27" i="198" s="1"/>
  <c r="P24" i="198"/>
  <c r="P25" i="198" s="1"/>
  <c r="P27" i="198" s="1"/>
  <c r="AQ24" i="198"/>
  <c r="AQ25" i="198" s="1"/>
  <c r="AQ27" i="198" s="1"/>
  <c r="AP24" i="198"/>
  <c r="AP25" i="198" s="1"/>
  <c r="AP27" i="198" s="1"/>
  <c r="J24" i="198"/>
  <c r="J25" i="198" s="1"/>
  <c r="J27" i="198" s="1"/>
  <c r="AA24" i="198"/>
  <c r="AA25" i="198" s="1"/>
  <c r="AA27" i="198" s="1"/>
  <c r="AE24" i="198"/>
  <c r="AE25" i="198" s="1"/>
  <c r="AE27" i="198" s="1"/>
  <c r="X24" i="198"/>
  <c r="X25" i="198" s="1"/>
  <c r="X27" i="198" s="1"/>
  <c r="L24" i="198"/>
  <c r="L25" i="198" s="1"/>
  <c r="L27" i="198" s="1"/>
  <c r="AK24" i="198"/>
  <c r="AK25" i="198" s="1"/>
  <c r="AK27" i="198" s="1"/>
  <c r="H24" i="198"/>
  <c r="H25" i="198" s="1"/>
  <c r="H27" i="198" s="1"/>
  <c r="AM24" i="198"/>
  <c r="AM25" i="198" s="1"/>
  <c r="AM27" i="198" s="1"/>
  <c r="AF24" i="198"/>
  <c r="AF25" i="198" s="1"/>
  <c r="AF27" i="198" s="1"/>
  <c r="T24" i="198"/>
  <c r="T25" i="198" s="1"/>
  <c r="T27" i="198" s="1"/>
  <c r="AL24" i="198"/>
  <c r="AL25" i="198" s="1"/>
  <c r="AL27" i="198" s="1"/>
  <c r="Q24" i="198"/>
  <c r="Q25" i="198" s="1"/>
  <c r="Q27" i="198" s="1"/>
  <c r="Y24" i="198"/>
  <c r="Y25" i="198" s="1"/>
  <c r="Y27" i="198" s="1"/>
  <c r="AW24" i="198"/>
  <c r="AW25" i="198" s="1"/>
  <c r="AW27" i="198" s="1"/>
  <c r="AU24" i="198"/>
  <c r="AU25" i="198" s="1"/>
  <c r="AU27" i="198" s="1"/>
  <c r="AN24" i="198"/>
  <c r="AN25" i="198" s="1"/>
  <c r="AN27" i="198" s="1"/>
  <c r="AB24" i="198"/>
  <c r="AB25" i="198" s="1"/>
  <c r="AB27" i="198" s="1"/>
  <c r="R24" i="198"/>
  <c r="R25" i="198" s="1"/>
  <c r="R27" i="198" s="1"/>
  <c r="U24" i="198"/>
  <c r="U25" i="198" s="1"/>
  <c r="U27" i="198" s="1"/>
  <c r="AV24" i="198"/>
  <c r="AV25" i="198" s="1"/>
  <c r="AV27" i="198" s="1"/>
  <c r="K24" i="198"/>
  <c r="K25" i="198" s="1"/>
  <c r="K27" i="198" s="1"/>
  <c r="AJ24" i="198"/>
  <c r="AJ25" i="198" s="1"/>
  <c r="AJ27" i="198" s="1"/>
  <c r="AG24" i="198"/>
  <c r="AG25" i="198" s="1"/>
  <c r="AG27" i="198" s="1"/>
  <c r="AC24" i="198"/>
  <c r="AC25" i="198" s="1"/>
  <c r="AC27" i="198" s="1"/>
  <c r="S24" i="198"/>
  <c r="S25" i="198" s="1"/>
  <c r="S27" i="198" s="1"/>
  <c r="AR24" i="198"/>
  <c r="AR25" i="198" s="1"/>
  <c r="AR27" i="198" s="1"/>
  <c r="M24" i="198"/>
  <c r="M25" i="198" s="1"/>
  <c r="M27" i="198" s="1"/>
  <c r="AH24" i="198"/>
  <c r="AH25" i="198" s="1"/>
  <c r="AH27" i="198" s="1"/>
  <c r="AD24" i="198"/>
  <c r="AD25" i="198" s="1"/>
  <c r="AD27" i="198" s="1"/>
  <c r="AS24" i="198"/>
  <c r="AS25" i="198" s="1"/>
  <c r="AS27" i="198" s="1"/>
  <c r="AD153" i="229"/>
  <c r="AD155" i="229" s="1"/>
  <c r="AD245" i="229" s="1"/>
  <c r="AD226" i="229"/>
  <c r="L30" i="257"/>
  <c r="L31" i="257" s="1"/>
  <c r="AC54" i="229"/>
  <c r="AC56" i="229" s="1"/>
  <c r="AC236" i="229" s="1"/>
  <c r="AC224" i="229"/>
  <c r="AD51" i="229"/>
  <c r="AD52" i="229" s="1"/>
  <c r="AD198" i="229" s="1"/>
  <c r="AC139" i="229"/>
  <c r="AC140" i="229" s="1"/>
  <c r="AC206" i="229" s="1"/>
  <c r="AB225" i="229"/>
  <c r="AE183" i="229"/>
  <c r="AE184" i="229" s="1"/>
  <c r="AE210" i="229" s="1"/>
  <c r="AD186" i="229"/>
  <c r="AD188" i="229" s="1"/>
  <c r="AD248" i="229" s="1"/>
  <c r="BA25" i="223"/>
  <c r="AZ26" i="198"/>
  <c r="AD163" i="229"/>
  <c r="AD227" i="229" s="1"/>
  <c r="AC73" i="229"/>
  <c r="AB219" i="229"/>
  <c r="AB76" i="229"/>
  <c r="AB78" i="229" s="1"/>
  <c r="AB238" i="229" s="1"/>
  <c r="O13" i="224"/>
  <c r="L43" i="257"/>
  <c r="AE151" i="229"/>
  <c r="AE207" i="229" s="1"/>
  <c r="AD172" i="229"/>
  <c r="AC228" i="229"/>
  <c r="AC175" i="229"/>
  <c r="AC177" i="229" s="1"/>
  <c r="AC247" i="229" s="1"/>
  <c r="AG31" i="229"/>
  <c r="R183" i="224"/>
  <c r="R187" i="224"/>
  <c r="S187" i="224" s="1"/>
  <c r="T187" i="224" s="1"/>
  <c r="AD107" i="229"/>
  <c r="AD203" i="229" s="1"/>
  <c r="AY13" i="204"/>
  <c r="BA24" i="223"/>
  <c r="Q185" i="224"/>
  <c r="AC118" i="229"/>
  <c r="AC204" i="229" s="1"/>
  <c r="AI84" i="229"/>
  <c r="AH220" i="229"/>
  <c r="AH87" i="229"/>
  <c r="AH89" i="229" s="1"/>
  <c r="AH239" i="229" s="1"/>
  <c r="AG42" i="229"/>
  <c r="X216" i="229"/>
  <c r="Y41" i="229"/>
  <c r="Y197" i="229" s="1"/>
  <c r="L257" i="229" s="1"/>
  <c r="AM96" i="229"/>
  <c r="AM202" i="229" s="1"/>
  <c r="Y62" i="229" l="1"/>
  <c r="Y63" i="229" s="1"/>
  <c r="Y199" i="229" s="1"/>
  <c r="DW27" i="198"/>
  <c r="N33" i="198" s="1"/>
  <c r="X65" i="229"/>
  <c r="X67" i="229" s="1"/>
  <c r="X237" i="229" s="1"/>
  <c r="AM97" i="229"/>
  <c r="AE161" i="229"/>
  <c r="AE162" i="229" s="1"/>
  <c r="AE208" i="229" s="1"/>
  <c r="AD164" i="229"/>
  <c r="AD166" i="229" s="1"/>
  <c r="AD246" i="229" s="1"/>
  <c r="DR27" i="198"/>
  <c r="I33" i="198" s="1"/>
  <c r="I36" i="261" s="1"/>
  <c r="I52" i="261" s="1"/>
  <c r="I51" i="261" s="1"/>
  <c r="DN27" i="198"/>
  <c r="E32" i="198" s="1"/>
  <c r="DP27" i="198"/>
  <c r="G32" i="198" s="1"/>
  <c r="DQ27" i="198"/>
  <c r="H33" i="198" s="1"/>
  <c r="DU27" i="198"/>
  <c r="L33" i="198" s="1"/>
  <c r="DO27" i="198"/>
  <c r="F32" i="198" s="1"/>
  <c r="AY12" i="204"/>
  <c r="AZ11" i="204" s="1"/>
  <c r="AZ13" i="204" s="1"/>
  <c r="AY8" i="204"/>
  <c r="AY14" i="204"/>
  <c r="E64" i="251"/>
  <c r="DT27" i="198"/>
  <c r="K33" i="198" s="1"/>
  <c r="N36" i="261"/>
  <c r="N52" i="261" s="1"/>
  <c r="N51" i="261" s="1"/>
  <c r="J64" i="251"/>
  <c r="DX27" i="198"/>
  <c r="O33" i="198" s="1"/>
  <c r="DV27" i="198"/>
  <c r="M33" i="198" s="1"/>
  <c r="AC119" i="229"/>
  <c r="AC223" i="229" s="1"/>
  <c r="AE152" i="229"/>
  <c r="AE226" i="229" s="1"/>
  <c r="M288" i="229" s="1"/>
  <c r="M332" i="229" s="1"/>
  <c r="R185" i="224"/>
  <c r="AE185" i="229"/>
  <c r="AE229" i="229" s="1"/>
  <c r="M291" i="229" s="1"/>
  <c r="M335" i="229" s="1"/>
  <c r="BB25" i="223"/>
  <c r="BA26" i="198"/>
  <c r="AD130" i="229"/>
  <c r="M13" i="257"/>
  <c r="BB24" i="223"/>
  <c r="AG43" i="229"/>
  <c r="AG45" i="229" s="1"/>
  <c r="AG235" i="229" s="1"/>
  <c r="AG216" i="229"/>
  <c r="AH40" i="229"/>
  <c r="AC74" i="229"/>
  <c r="AC200" i="229" s="1"/>
  <c r="AD108" i="229"/>
  <c r="AH29" i="229"/>
  <c r="AG215" i="229"/>
  <c r="AG32" i="229"/>
  <c r="AG34" i="229" s="1"/>
  <c r="AG234" i="229" s="1"/>
  <c r="AC141" i="229"/>
  <c r="AI85" i="229"/>
  <c r="AI201" i="229" s="1"/>
  <c r="O13" i="259"/>
  <c r="AD173" i="229"/>
  <c r="AD209" i="229" s="1"/>
  <c r="AD53" i="229"/>
  <c r="Y42" i="229"/>
  <c r="Y216" i="229" s="1"/>
  <c r="AM221" i="229"/>
  <c r="O283" i="229" s="1"/>
  <c r="O327" i="229" s="1"/>
  <c r="AN95" i="229"/>
  <c r="AM98" i="229"/>
  <c r="AM100" i="229" s="1"/>
  <c r="AM240" i="229" s="1"/>
  <c r="AC120" i="229" l="1"/>
  <c r="AC122" i="229" s="1"/>
  <c r="AC242" i="229" s="1"/>
  <c r="Y64" i="229"/>
  <c r="Z62" i="229" s="1"/>
  <c r="AD117" i="229"/>
  <c r="AE153" i="229"/>
  <c r="AE155" i="229" s="1"/>
  <c r="AE245" i="229" s="1"/>
  <c r="AF150" i="229"/>
  <c r="AF151" i="229" s="1"/>
  <c r="AF207" i="229" s="1"/>
  <c r="Y218" i="229"/>
  <c r="AE186" i="229"/>
  <c r="AE188" i="229" s="1"/>
  <c r="AE248" i="229" s="1"/>
  <c r="O36" i="261"/>
  <c r="O52" i="261" s="1"/>
  <c r="O51" i="261" s="1"/>
  <c r="K64" i="251"/>
  <c r="E38" i="224"/>
  <c r="F36" i="261"/>
  <c r="F52" i="261" s="1"/>
  <c r="L36" i="261"/>
  <c r="L52" i="261" s="1"/>
  <c r="L51" i="261" s="1"/>
  <c r="H64" i="251"/>
  <c r="G64" i="251"/>
  <c r="K36" i="261"/>
  <c r="K52" i="261" s="1"/>
  <c r="K51" i="261" s="1"/>
  <c r="D64" i="251"/>
  <c r="H36" i="261"/>
  <c r="H52" i="261" s="1"/>
  <c r="H51" i="261" s="1"/>
  <c r="G36" i="261"/>
  <c r="G52" i="261" s="1"/>
  <c r="G51" i="261" s="1"/>
  <c r="F38" i="224"/>
  <c r="AZ12" i="204"/>
  <c r="BA11" i="204" s="1"/>
  <c r="BA13" i="204" s="1"/>
  <c r="AZ14" i="204"/>
  <c r="AZ8" i="204"/>
  <c r="E36" i="261"/>
  <c r="D38" i="224"/>
  <c r="M36" i="261"/>
  <c r="M52" i="261" s="1"/>
  <c r="M51" i="261" s="1"/>
  <c r="I64" i="251"/>
  <c r="AF183" i="229"/>
  <c r="AF184" i="229" s="1"/>
  <c r="AF210" i="229" s="1"/>
  <c r="AD174" i="229"/>
  <c r="AE172" i="229" s="1"/>
  <c r="BC25" i="223"/>
  <c r="BB26" i="198"/>
  <c r="AE128" i="229"/>
  <c r="AD224" i="229"/>
  <c r="AD131" i="229"/>
  <c r="AD133" i="229" s="1"/>
  <c r="AD243" i="229" s="1"/>
  <c r="M25" i="257"/>
  <c r="M27" i="257" s="1"/>
  <c r="M26" i="257"/>
  <c r="M28" i="257" s="1"/>
  <c r="AE106" i="229"/>
  <c r="AD222" i="229"/>
  <c r="AD109" i="229"/>
  <c r="AD111" i="229" s="1"/>
  <c r="AD241" i="229" s="1"/>
  <c r="AE163" i="229"/>
  <c r="AH41" i="229"/>
  <c r="AH197" i="229" s="1"/>
  <c r="AC75" i="229"/>
  <c r="AC225" i="229"/>
  <c r="AD139" i="229"/>
  <c r="AC142" i="229"/>
  <c r="AC144" i="229" s="1"/>
  <c r="AC244" i="229" s="1"/>
  <c r="BC24" i="223"/>
  <c r="AD217" i="229"/>
  <c r="AE51" i="229"/>
  <c r="AD54" i="229"/>
  <c r="AD56" i="229" s="1"/>
  <c r="AD236" i="229" s="1"/>
  <c r="AH30" i="229"/>
  <c r="AH196" i="229" s="1"/>
  <c r="AI86" i="229"/>
  <c r="AD118" i="229"/>
  <c r="AD204" i="229" s="1"/>
  <c r="AN96" i="229"/>
  <c r="AN202" i="229" s="1"/>
  <c r="Y65" i="229" l="1"/>
  <c r="Y67" i="229" s="1"/>
  <c r="Y237" i="229" s="1"/>
  <c r="Z63" i="229"/>
  <c r="Z199" i="229" s="1"/>
  <c r="AD175" i="229"/>
  <c r="AD177" i="229" s="1"/>
  <c r="AD247" i="229" s="1"/>
  <c r="AD228" i="229"/>
  <c r="AN97" i="229"/>
  <c r="BA8" i="204"/>
  <c r="BA12" i="204"/>
  <c r="BB11" i="204" s="1"/>
  <c r="BA14" i="204"/>
  <c r="F116" i="224"/>
  <c r="F38" i="259"/>
  <c r="F116" i="259" s="1"/>
  <c r="F51" i="261"/>
  <c r="S51" i="261" s="1"/>
  <c r="S52" i="261"/>
  <c r="D38" i="259"/>
  <c r="D116" i="224"/>
  <c r="V38" i="224"/>
  <c r="D40" i="260" s="1"/>
  <c r="I40" i="260" s="1"/>
  <c r="C38" i="224"/>
  <c r="E38" i="259"/>
  <c r="E116" i="259" s="1"/>
  <c r="E116" i="224"/>
  <c r="AH31" i="229"/>
  <c r="AH32" i="229" s="1"/>
  <c r="AH34" i="229" s="1"/>
  <c r="AH234" i="229" s="1"/>
  <c r="AF185" i="229"/>
  <c r="AG183" i="229" s="1"/>
  <c r="M29" i="257"/>
  <c r="M30" i="257" s="1"/>
  <c r="M31" i="257" s="1"/>
  <c r="BC26" i="198"/>
  <c r="BD25" i="223"/>
  <c r="AH42" i="229"/>
  <c r="BD24" i="223"/>
  <c r="AE107" i="229"/>
  <c r="AE203" i="229" s="1"/>
  <c r="AE173" i="229"/>
  <c r="AE209" i="229" s="1"/>
  <c r="AF152" i="229"/>
  <c r="AD119" i="229"/>
  <c r="AD140" i="229"/>
  <c r="AD206" i="229" s="1"/>
  <c r="AD73" i="229"/>
  <c r="AC219" i="229"/>
  <c r="AC76" i="229"/>
  <c r="AC78" i="229" s="1"/>
  <c r="AC238" i="229" s="1"/>
  <c r="AE227" i="229"/>
  <c r="M289" i="229" s="1"/>
  <c r="M333" i="229" s="1"/>
  <c r="AF161" i="229"/>
  <c r="AE164" i="229"/>
  <c r="AE166" i="229" s="1"/>
  <c r="AE246" i="229" s="1"/>
  <c r="AI87" i="229"/>
  <c r="AI89" i="229" s="1"/>
  <c r="AI239" i="229" s="1"/>
  <c r="AJ84" i="229"/>
  <c r="AI220" i="229"/>
  <c r="N282" i="229" s="1"/>
  <c r="N326" i="229" s="1"/>
  <c r="AE52" i="229"/>
  <c r="AE198" i="229" s="1"/>
  <c r="AE129" i="229"/>
  <c r="AE205" i="229" s="1"/>
  <c r="AN221" i="229"/>
  <c r="AO95" i="229"/>
  <c r="AN98" i="229"/>
  <c r="AN100" i="229" s="1"/>
  <c r="AN240" i="229" s="1"/>
  <c r="Z64" i="229" l="1"/>
  <c r="AA62" i="229" s="1"/>
  <c r="AF186" i="229"/>
  <c r="AF188" i="229" s="1"/>
  <c r="AF248" i="229" s="1"/>
  <c r="AI29" i="229"/>
  <c r="AI30" i="229" s="1"/>
  <c r="AI196" i="229" s="1"/>
  <c r="AH215" i="229"/>
  <c r="BB8" i="204"/>
  <c r="BB12" i="204"/>
  <c r="BC11" i="204" s="1"/>
  <c r="BB14" i="204"/>
  <c r="BB13" i="204"/>
  <c r="D116" i="259"/>
  <c r="C116" i="259" s="1"/>
  <c r="C38" i="259"/>
  <c r="AF229" i="229"/>
  <c r="M37" i="257"/>
  <c r="M38" i="257" s="1"/>
  <c r="M42" i="257" s="1"/>
  <c r="M43" i="257" s="1"/>
  <c r="AE53" i="229"/>
  <c r="AF51" i="229" s="1"/>
  <c r="BE25" i="223"/>
  <c r="BD26" i="198"/>
  <c r="AE108" i="229"/>
  <c r="AF106" i="229" s="1"/>
  <c r="AJ85" i="229"/>
  <c r="AJ201" i="229" s="1"/>
  <c r="AG150" i="229"/>
  <c r="AF226" i="229"/>
  <c r="AF153" i="229"/>
  <c r="AF155" i="229" s="1"/>
  <c r="AF245" i="229" s="1"/>
  <c r="AD141" i="229"/>
  <c r="AF162" i="229"/>
  <c r="AF208" i="229" s="1"/>
  <c r="AE130" i="229"/>
  <c r="BE24" i="223"/>
  <c r="AE117" i="229"/>
  <c r="AD223" i="229"/>
  <c r="AD120" i="229"/>
  <c r="AD122" i="229" s="1"/>
  <c r="AD242" i="229" s="1"/>
  <c r="AG184" i="229"/>
  <c r="AG210" i="229" s="1"/>
  <c r="AD74" i="229"/>
  <c r="AD200" i="229" s="1"/>
  <c r="AE174" i="229"/>
  <c r="AH216" i="229"/>
  <c r="AI40" i="229"/>
  <c r="AH43" i="229"/>
  <c r="AH45" i="229" s="1"/>
  <c r="AH235" i="229" s="1"/>
  <c r="AO96" i="229"/>
  <c r="AO202" i="229" s="1"/>
  <c r="Z65" i="229" l="1"/>
  <c r="Z67" i="229" s="1"/>
  <c r="Z237" i="229" s="1"/>
  <c r="Z218" i="229"/>
  <c r="P13" i="224"/>
  <c r="P13" i="259" s="1"/>
  <c r="AE54" i="229"/>
  <c r="AE56" i="229" s="1"/>
  <c r="AE236" i="229" s="1"/>
  <c r="AA63" i="229"/>
  <c r="AA199" i="229" s="1"/>
  <c r="BC12" i="204"/>
  <c r="BD11" i="204" s="1"/>
  <c r="BD13" i="204" s="1"/>
  <c r="BC8" i="204"/>
  <c r="BC14" i="204"/>
  <c r="BC13" i="204"/>
  <c r="AE217" i="229"/>
  <c r="M279" i="229" s="1"/>
  <c r="M323" i="229" s="1"/>
  <c r="H63" i="260"/>
  <c r="H59" i="260" s="1"/>
  <c r="AJ86" i="229"/>
  <c r="AJ220" i="229" s="1"/>
  <c r="AI31" i="229"/>
  <c r="AJ29" i="229" s="1"/>
  <c r="AE109" i="229"/>
  <c r="AE111" i="229" s="1"/>
  <c r="AE241" i="229" s="1"/>
  <c r="AE222" i="229"/>
  <c r="M284" i="229" s="1"/>
  <c r="M328" i="229" s="1"/>
  <c r="AG185" i="229"/>
  <c r="AH183" i="229" s="1"/>
  <c r="BE26" i="198"/>
  <c r="BF25" i="223"/>
  <c r="AD75" i="229"/>
  <c r="BF24" i="223"/>
  <c r="N13" i="257"/>
  <c r="AF163" i="229"/>
  <c r="AE139" i="229"/>
  <c r="AD225" i="229"/>
  <c r="AD142" i="229"/>
  <c r="AD144" i="229" s="1"/>
  <c r="AD244" i="229" s="1"/>
  <c r="AI41" i="229"/>
  <c r="AI197" i="229" s="1"/>
  <c r="AE118" i="229"/>
  <c r="AE204" i="229" s="1"/>
  <c r="AF128" i="229"/>
  <c r="AE224" i="229"/>
  <c r="M286" i="229" s="1"/>
  <c r="M330" i="229" s="1"/>
  <c r="AE131" i="229"/>
  <c r="AE133" i="229" s="1"/>
  <c r="AE243" i="229" s="1"/>
  <c r="AG151" i="229"/>
  <c r="AG207" i="229" s="1"/>
  <c r="AE228" i="229"/>
  <c r="M290" i="229" s="1"/>
  <c r="M334" i="229" s="1"/>
  <c r="AF172" i="229"/>
  <c r="AE175" i="229"/>
  <c r="AE177" i="229" s="1"/>
  <c r="AE247" i="229" s="1"/>
  <c r="AF52" i="229"/>
  <c r="AF198" i="229" s="1"/>
  <c r="AF107" i="229"/>
  <c r="AF203" i="229" s="1"/>
  <c r="AO97" i="229"/>
  <c r="AK84" i="229" l="1"/>
  <c r="AK85" i="229" s="1"/>
  <c r="AK201" i="229" s="1"/>
  <c r="AA64" i="229"/>
  <c r="AB62" i="229" s="1"/>
  <c r="AI32" i="229"/>
  <c r="AI34" i="229" s="1"/>
  <c r="AI234" i="229" s="1"/>
  <c r="AI215" i="229"/>
  <c r="N277" i="229" s="1"/>
  <c r="N321" i="229" s="1"/>
  <c r="AJ87" i="229"/>
  <c r="AJ89" i="229" s="1"/>
  <c r="AJ239" i="229" s="1"/>
  <c r="AG186" i="229"/>
  <c r="AG188" i="229" s="1"/>
  <c r="AG248" i="229" s="1"/>
  <c r="AG229" i="229"/>
  <c r="J63" i="260"/>
  <c r="BD12" i="204"/>
  <c r="BE11" i="204" s="1"/>
  <c r="BD8" i="204"/>
  <c r="BD14" i="204"/>
  <c r="AF53" i="229"/>
  <c r="AG51" i="229" s="1"/>
  <c r="BG25" i="223"/>
  <c r="BF26" i="198"/>
  <c r="AI42" i="229"/>
  <c r="AJ40" i="229" s="1"/>
  <c r="AG161" i="229"/>
  <c r="AF227" i="229"/>
  <c r="AF164" i="229"/>
  <c r="AF166" i="229" s="1"/>
  <c r="AF246" i="229" s="1"/>
  <c r="AF129" i="229"/>
  <c r="AF205" i="229" s="1"/>
  <c r="AF173" i="229"/>
  <c r="AF209" i="229" s="1"/>
  <c r="N25" i="257"/>
  <c r="N27" i="257" s="1"/>
  <c r="N26" i="257"/>
  <c r="N28" i="257" s="1"/>
  <c r="BG24" i="223"/>
  <c r="AG152" i="229"/>
  <c r="AH184" i="229"/>
  <c r="AH210" i="229" s="1"/>
  <c r="AE73" i="229"/>
  <c r="AD219" i="229"/>
  <c r="AD76" i="229"/>
  <c r="AD78" i="229" s="1"/>
  <c r="AD238" i="229" s="1"/>
  <c r="J59" i="260"/>
  <c r="AF108" i="229"/>
  <c r="AJ30" i="229"/>
  <c r="AJ196" i="229" s="1"/>
  <c r="AE119" i="229"/>
  <c r="AE140" i="229"/>
  <c r="AE206" i="229" s="1"/>
  <c r="AO221" i="229"/>
  <c r="AP95" i="229"/>
  <c r="AO98" i="229"/>
  <c r="AO100" i="229" s="1"/>
  <c r="AO240" i="229" s="1"/>
  <c r="AA65" i="229" l="1"/>
  <c r="AA67" i="229" s="1"/>
  <c r="AA237" i="229" s="1"/>
  <c r="AA218" i="229"/>
  <c r="L280" i="229" s="1"/>
  <c r="L324" i="229" s="1"/>
  <c r="L320" i="229" s="1"/>
  <c r="E65" i="251" s="1"/>
  <c r="AB63" i="229"/>
  <c r="AB199" i="229" s="1"/>
  <c r="AF217" i="229"/>
  <c r="AF54" i="229"/>
  <c r="AF56" i="229" s="1"/>
  <c r="AF236" i="229" s="1"/>
  <c r="BE8" i="204"/>
  <c r="BE12" i="204"/>
  <c r="BF11" i="204" s="1"/>
  <c r="BE14" i="204"/>
  <c r="BE13" i="204"/>
  <c r="AF130" i="229"/>
  <c r="AG128" i="229" s="1"/>
  <c r="N29" i="257"/>
  <c r="N37" i="257" s="1"/>
  <c r="N38" i="257" s="1"/>
  <c r="N42" i="257" s="1"/>
  <c r="AE141" i="229"/>
  <c r="AF139" i="229" s="1"/>
  <c r="AI43" i="229"/>
  <c r="AI45" i="229" s="1"/>
  <c r="AI235" i="229" s="1"/>
  <c r="AI216" i="229"/>
  <c r="N278" i="229" s="1"/>
  <c r="N322" i="229" s="1"/>
  <c r="AJ31" i="229"/>
  <c r="AK29" i="229" s="1"/>
  <c r="AF174" i="229"/>
  <c r="AF175" i="229" s="1"/>
  <c r="AF177" i="229" s="1"/>
  <c r="AF247" i="229" s="1"/>
  <c r="AK86" i="229"/>
  <c r="AL84" i="229" s="1"/>
  <c r="BH25" i="223"/>
  <c r="BG26" i="198"/>
  <c r="BH24" i="223"/>
  <c r="AJ41" i="229"/>
  <c r="AJ197" i="229" s="1"/>
  <c r="AF222" i="229"/>
  <c r="AG106" i="229"/>
  <c r="AF109" i="229"/>
  <c r="AF111" i="229" s="1"/>
  <c r="AF241" i="229" s="1"/>
  <c r="AE74" i="229"/>
  <c r="AE200" i="229" s="1"/>
  <c r="AH150" i="229"/>
  <c r="AG226" i="229"/>
  <c r="AG153" i="229"/>
  <c r="AG155" i="229" s="1"/>
  <c r="AG245" i="229" s="1"/>
  <c r="AH185" i="229"/>
  <c r="AF117" i="229"/>
  <c r="AE223" i="229"/>
  <c r="M285" i="229" s="1"/>
  <c r="M329" i="229" s="1"/>
  <c r="AE120" i="229"/>
  <c r="AE122" i="229" s="1"/>
  <c r="AE242" i="229" s="1"/>
  <c r="AG52" i="229"/>
  <c r="AG198" i="229" s="1"/>
  <c r="AG162" i="229"/>
  <c r="AG208" i="229" s="1"/>
  <c r="AP96" i="229"/>
  <c r="AP202" i="229" s="1"/>
  <c r="AE225" i="229" l="1"/>
  <c r="M287" i="229" s="1"/>
  <c r="M331" i="229" s="1"/>
  <c r="M336" i="229" s="1"/>
  <c r="I22" i="224" s="1"/>
  <c r="I22" i="259" s="1"/>
  <c r="AE142" i="229"/>
  <c r="AE144" i="229" s="1"/>
  <c r="AE244" i="229" s="1"/>
  <c r="AB64" i="229"/>
  <c r="AB65" i="229" s="1"/>
  <c r="AB67" i="229" s="1"/>
  <c r="AB237" i="229" s="1"/>
  <c r="N30" i="257"/>
  <c r="N31" i="257" s="1"/>
  <c r="AF224" i="229"/>
  <c r="AF131" i="229"/>
  <c r="AF133" i="229" s="1"/>
  <c r="AF243" i="229" s="1"/>
  <c r="BF8" i="204"/>
  <c r="BF14" i="204"/>
  <c r="BF12" i="204"/>
  <c r="BG11" i="204" s="1"/>
  <c r="BF13" i="204"/>
  <c r="AP97" i="229"/>
  <c r="AP221" i="229" s="1"/>
  <c r="AF228" i="229"/>
  <c r="AG172" i="229"/>
  <c r="AG173" i="229" s="1"/>
  <c r="AG209" i="229" s="1"/>
  <c r="AJ32" i="229"/>
  <c r="AJ34" i="229" s="1"/>
  <c r="AJ234" i="229" s="1"/>
  <c r="AJ215" i="229"/>
  <c r="AK87" i="229"/>
  <c r="AK89" i="229" s="1"/>
  <c r="AK239" i="229" s="1"/>
  <c r="AK220" i="229"/>
  <c r="AG163" i="229"/>
  <c r="AH161" i="229" s="1"/>
  <c r="BI25" i="223"/>
  <c r="BH26" i="198"/>
  <c r="AJ42" i="229"/>
  <c r="AJ43" i="229" s="1"/>
  <c r="AJ45" i="229" s="1"/>
  <c r="AJ235" i="229" s="1"/>
  <c r="AG53" i="229"/>
  <c r="AL85" i="229"/>
  <c r="AL201" i="229" s="1"/>
  <c r="AG107" i="229"/>
  <c r="AG203" i="229" s="1"/>
  <c r="AH186" i="229"/>
  <c r="AH188" i="229" s="1"/>
  <c r="AH248" i="229" s="1"/>
  <c r="AI183" i="229"/>
  <c r="AH229" i="229"/>
  <c r="AF140" i="229"/>
  <c r="AF206" i="229" s="1"/>
  <c r="Q13" i="224"/>
  <c r="Q13" i="259" s="1"/>
  <c r="N43" i="257"/>
  <c r="AG129" i="229"/>
  <c r="AG205" i="229" s="1"/>
  <c r="AK30" i="229"/>
  <c r="AK196" i="229" s="1"/>
  <c r="AH151" i="229"/>
  <c r="AH207" i="229" s="1"/>
  <c r="BI24" i="223"/>
  <c r="AF118" i="229"/>
  <c r="AF204" i="229" s="1"/>
  <c r="AE75" i="229"/>
  <c r="AB218" i="229" l="1"/>
  <c r="AC62" i="229"/>
  <c r="AC63" i="229" s="1"/>
  <c r="AC199" i="229" s="1"/>
  <c r="AP98" i="229"/>
  <c r="AP100" i="229" s="1"/>
  <c r="AP240" i="229" s="1"/>
  <c r="AQ95" i="229"/>
  <c r="AQ96" i="229" s="1"/>
  <c r="AQ202" i="229" s="1"/>
  <c r="BG12" i="204"/>
  <c r="BH11" i="204" s="1"/>
  <c r="BH13" i="204" s="1"/>
  <c r="BG8" i="204"/>
  <c r="BG14" i="204"/>
  <c r="BG13" i="204"/>
  <c r="AG164" i="229"/>
  <c r="AG166" i="229" s="1"/>
  <c r="AG246" i="229" s="1"/>
  <c r="AG227" i="229"/>
  <c r="AF141" i="229"/>
  <c r="AF225" i="229" s="1"/>
  <c r="AH152" i="229"/>
  <c r="AH226" i="229" s="1"/>
  <c r="AK40" i="229"/>
  <c r="AK41" i="229" s="1"/>
  <c r="AK197" i="229" s="1"/>
  <c r="AF119" i="229"/>
  <c r="AF223" i="229" s="1"/>
  <c r="AJ216" i="229"/>
  <c r="AL86" i="229"/>
  <c r="AL220" i="229" s="1"/>
  <c r="AG108" i="229"/>
  <c r="AG109" i="229" s="1"/>
  <c r="AG111" i="229" s="1"/>
  <c r="AG241" i="229" s="1"/>
  <c r="BJ25" i="223"/>
  <c r="BI26" i="198"/>
  <c r="AH162" i="229"/>
  <c r="AH208" i="229" s="1"/>
  <c r="AE219" i="229"/>
  <c r="M281" i="229" s="1"/>
  <c r="M325" i="229" s="1"/>
  <c r="AF73" i="229"/>
  <c r="AE76" i="229"/>
  <c r="AE78" i="229" s="1"/>
  <c r="AE238" i="229" s="1"/>
  <c r="AK31" i="229"/>
  <c r="AI184" i="229"/>
  <c r="AI210" i="229" s="1"/>
  <c r="O13" i="257"/>
  <c r="BJ24" i="223"/>
  <c r="AI150" i="229"/>
  <c r="AG174" i="229"/>
  <c r="AG130" i="229"/>
  <c r="AG217" i="229"/>
  <c r="AH51" i="229"/>
  <c r="AG54" i="229"/>
  <c r="AG56" i="229" s="1"/>
  <c r="AG236" i="229" s="1"/>
  <c r="AC64" i="229" l="1"/>
  <c r="AD62" i="229" s="1"/>
  <c r="BH12" i="204"/>
  <c r="BI11" i="204" s="1"/>
  <c r="BH14" i="204"/>
  <c r="BH8" i="204"/>
  <c r="AF142" i="229"/>
  <c r="AF144" i="229" s="1"/>
  <c r="AF244" i="229" s="1"/>
  <c r="AH153" i="229"/>
  <c r="AH155" i="229" s="1"/>
  <c r="AH245" i="229" s="1"/>
  <c r="AG139" i="229"/>
  <c r="AG140" i="229" s="1"/>
  <c r="AG206" i="229" s="1"/>
  <c r="AF120" i="229"/>
  <c r="AF122" i="229" s="1"/>
  <c r="AF242" i="229" s="1"/>
  <c r="AG117" i="229"/>
  <c r="AG118" i="229" s="1"/>
  <c r="AG204" i="229" s="1"/>
  <c r="AL87" i="229"/>
  <c r="AL89" i="229" s="1"/>
  <c r="AL239" i="229" s="1"/>
  <c r="AM84" i="229"/>
  <c r="AM85" i="229" s="1"/>
  <c r="AM201" i="229" s="1"/>
  <c r="AH106" i="229"/>
  <c r="AH107" i="229" s="1"/>
  <c r="AH203" i="229" s="1"/>
  <c r="AG222" i="229"/>
  <c r="AH163" i="229"/>
  <c r="AI161" i="229" s="1"/>
  <c r="AK42" i="229"/>
  <c r="AK43" i="229" s="1"/>
  <c r="AK45" i="229" s="1"/>
  <c r="AK235" i="229" s="1"/>
  <c r="BK25" i="223"/>
  <c r="BJ26" i="198"/>
  <c r="AI151" i="229"/>
  <c r="AI207" i="229" s="1"/>
  <c r="AH172" i="229"/>
  <c r="AG228" i="229"/>
  <c r="AG175" i="229"/>
  <c r="AG177" i="229" s="1"/>
  <c r="AG247" i="229" s="1"/>
  <c r="AL29" i="229"/>
  <c r="AK215" i="229"/>
  <c r="AK32" i="229"/>
  <c r="AK34" i="229" s="1"/>
  <c r="AK234" i="229" s="1"/>
  <c r="BK24" i="223"/>
  <c r="AH52" i="229"/>
  <c r="AH198" i="229" s="1"/>
  <c r="O25" i="257"/>
  <c r="O27" i="257" s="1"/>
  <c r="O26" i="257"/>
  <c r="O28" i="257" s="1"/>
  <c r="AF74" i="229"/>
  <c r="AF200" i="229" s="1"/>
  <c r="AG131" i="229"/>
  <c r="AG133" i="229" s="1"/>
  <c r="AG243" i="229" s="1"/>
  <c r="AG224" i="229"/>
  <c r="AH128" i="229"/>
  <c r="DS27" i="198"/>
  <c r="J33" i="198" s="1"/>
  <c r="AI185" i="229"/>
  <c r="AQ97" i="229"/>
  <c r="AC65" i="229" l="1"/>
  <c r="AC67" i="229" s="1"/>
  <c r="AC237" i="229" s="1"/>
  <c r="AC218" i="229"/>
  <c r="AD63" i="229"/>
  <c r="AD199" i="229" s="1"/>
  <c r="BI8" i="204"/>
  <c r="BI12" i="204"/>
  <c r="BJ11" i="204" s="1"/>
  <c r="BJ13" i="204" s="1"/>
  <c r="BI14" i="204"/>
  <c r="BI13" i="204"/>
  <c r="AK216" i="229"/>
  <c r="AH227" i="229"/>
  <c r="O29" i="257"/>
  <c r="O37" i="257" s="1"/>
  <c r="O38" i="257" s="1"/>
  <c r="O42" i="257" s="1"/>
  <c r="AL40" i="229"/>
  <c r="AL41" i="229" s="1"/>
  <c r="AL197" i="229" s="1"/>
  <c r="AH164" i="229"/>
  <c r="AH166" i="229" s="1"/>
  <c r="AH246" i="229" s="1"/>
  <c r="AI152" i="229"/>
  <c r="AJ150" i="229" s="1"/>
  <c r="AH108" i="229"/>
  <c r="AH109" i="229" s="1"/>
  <c r="AH111" i="229" s="1"/>
  <c r="AH241" i="229" s="1"/>
  <c r="AG141" i="229"/>
  <c r="AG225" i="229" s="1"/>
  <c r="AM86" i="229"/>
  <c r="AM220" i="229" s="1"/>
  <c r="O282" i="229" s="1"/>
  <c r="O326" i="229" s="1"/>
  <c r="AF75" i="229"/>
  <c r="AG73" i="229" s="1"/>
  <c r="BL25" i="223"/>
  <c r="BK26" i="198"/>
  <c r="AH129" i="229"/>
  <c r="AH205" i="229" s="1"/>
  <c r="AI229" i="229"/>
  <c r="N291" i="229" s="1"/>
  <c r="N335" i="229" s="1"/>
  <c r="AJ183" i="229"/>
  <c r="AI186" i="229"/>
  <c r="AI188" i="229" s="1"/>
  <c r="AI248" i="229" s="1"/>
  <c r="F64" i="251"/>
  <c r="J36" i="261"/>
  <c r="AI162" i="229"/>
  <c r="AI208" i="229" s="1"/>
  <c r="AH53" i="229"/>
  <c r="BL24" i="223"/>
  <c r="AL30" i="229"/>
  <c r="AL196" i="229" s="1"/>
  <c r="AH173" i="229"/>
  <c r="AH209" i="229" s="1"/>
  <c r="AG119" i="229"/>
  <c r="AQ221" i="229"/>
  <c r="P283" i="229" s="1"/>
  <c r="P327" i="229" s="1"/>
  <c r="AR95" i="229"/>
  <c r="AQ98" i="229"/>
  <c r="AQ100" i="229" s="1"/>
  <c r="AQ240" i="229" s="1"/>
  <c r="AD64" i="229" l="1"/>
  <c r="AD218" i="229" s="1"/>
  <c r="BJ8" i="204"/>
  <c r="BJ12" i="204"/>
  <c r="BK11" i="204" s="1"/>
  <c r="BK13" i="204" s="1"/>
  <c r="BJ14" i="204"/>
  <c r="AL31" i="229"/>
  <c r="AM29" i="229" s="1"/>
  <c r="O30" i="257"/>
  <c r="O31" i="257" s="1"/>
  <c r="AI153" i="229"/>
  <c r="AI155" i="229" s="1"/>
  <c r="AI245" i="229" s="1"/>
  <c r="AI226" i="229"/>
  <c r="N288" i="229" s="1"/>
  <c r="N332" i="229" s="1"/>
  <c r="AH222" i="229"/>
  <c r="AG142" i="229"/>
  <c r="AG144" i="229" s="1"/>
  <c r="AG244" i="229" s="1"/>
  <c r="AI106" i="229"/>
  <c r="AI107" i="229" s="1"/>
  <c r="AI203" i="229" s="1"/>
  <c r="AH139" i="229"/>
  <c r="AH140" i="229" s="1"/>
  <c r="AH206" i="229" s="1"/>
  <c r="AN84" i="229"/>
  <c r="AN85" i="229" s="1"/>
  <c r="AN201" i="229" s="1"/>
  <c r="AF219" i="229"/>
  <c r="AM87" i="229"/>
  <c r="AM89" i="229" s="1"/>
  <c r="AM239" i="229" s="1"/>
  <c r="AH130" i="229"/>
  <c r="AH224" i="229" s="1"/>
  <c r="AF76" i="229"/>
  <c r="AF78" i="229" s="1"/>
  <c r="AF238" i="229" s="1"/>
  <c r="AI163" i="229"/>
  <c r="AI164" i="229" s="1"/>
  <c r="AI166" i="229" s="1"/>
  <c r="AI246" i="229" s="1"/>
  <c r="AL42" i="229"/>
  <c r="AL216" i="229" s="1"/>
  <c r="CB26" i="198"/>
  <c r="CS26" i="198"/>
  <c r="DI26" i="198"/>
  <c r="CK26" i="198"/>
  <c r="BY26" i="198"/>
  <c r="DD26" i="198"/>
  <c r="CP26" i="198"/>
  <c r="DK26" i="198"/>
  <c r="CN26" i="198"/>
  <c r="CU26" i="198"/>
  <c r="CF26" i="198"/>
  <c r="CW26" i="198"/>
  <c r="BL26" i="198"/>
  <c r="CC26" i="198"/>
  <c r="CR26" i="198"/>
  <c r="DH26" i="198"/>
  <c r="CL26" i="198"/>
  <c r="DE26" i="198"/>
  <c r="BZ26" i="198"/>
  <c r="BS26" i="198"/>
  <c r="CM26" i="198"/>
  <c r="CH26" i="198"/>
  <c r="CY26" i="198"/>
  <c r="BN26" i="198"/>
  <c r="CE26" i="198"/>
  <c r="CT26" i="198"/>
  <c r="DJ26" i="198"/>
  <c r="CJ26" i="198"/>
  <c r="BU26" i="198"/>
  <c r="CQ26" i="198"/>
  <c r="CD26" i="198"/>
  <c r="BT26" i="198"/>
  <c r="DA26" i="198"/>
  <c r="BP26" i="198"/>
  <c r="CG26" i="198"/>
  <c r="CV26" i="198"/>
  <c r="BM26" i="198"/>
  <c r="CO26" i="198"/>
  <c r="BQ26" i="198"/>
  <c r="DG26" i="198"/>
  <c r="DB26" i="198"/>
  <c r="DF26" i="198"/>
  <c r="BV26" i="198"/>
  <c r="DC26" i="198"/>
  <c r="BR26" i="198"/>
  <c r="CI26" i="198"/>
  <c r="CX26" i="198"/>
  <c r="BO26" i="198"/>
  <c r="BX26" i="198"/>
  <c r="CZ26" i="198"/>
  <c r="BW26" i="198"/>
  <c r="CA26" i="198"/>
  <c r="AJ151" i="229"/>
  <c r="AJ207" i="229" s="1"/>
  <c r="AG74" i="229"/>
  <c r="AG200" i="229" s="1"/>
  <c r="P13" i="257"/>
  <c r="Q13" i="257"/>
  <c r="R13" i="257"/>
  <c r="S13" i="257"/>
  <c r="T13" i="257"/>
  <c r="AJ184" i="229"/>
  <c r="AJ210" i="229" s="1"/>
  <c r="AH117" i="229"/>
  <c r="AG223" i="229"/>
  <c r="AG120" i="229"/>
  <c r="AG122" i="229" s="1"/>
  <c r="AG242" i="229" s="1"/>
  <c r="AH174" i="229"/>
  <c r="R13" i="224"/>
  <c r="R13" i="259" s="1"/>
  <c r="O43" i="257"/>
  <c r="AH217" i="229"/>
  <c r="AI51" i="229"/>
  <c r="AH54" i="229"/>
  <c r="AH56" i="229" s="1"/>
  <c r="AH236" i="229" s="1"/>
  <c r="J52" i="261"/>
  <c r="AR96" i="229"/>
  <c r="AR202" i="229" s="1"/>
  <c r="AD65" i="229" l="1"/>
  <c r="AD67" i="229" s="1"/>
  <c r="AD237" i="229" s="1"/>
  <c r="AE62" i="229"/>
  <c r="AE63" i="229" s="1"/>
  <c r="AE199" i="229" s="1"/>
  <c r="AL32" i="229"/>
  <c r="AL34" i="229" s="1"/>
  <c r="AL234" i="229" s="1"/>
  <c r="AL215" i="229"/>
  <c r="AM40" i="229"/>
  <c r="AM41" i="229" s="1"/>
  <c r="AM197" i="229" s="1"/>
  <c r="BK12" i="204"/>
  <c r="BL11" i="204" s="1"/>
  <c r="BK8" i="204"/>
  <c r="BK14" i="204"/>
  <c r="AJ161" i="229"/>
  <c r="AJ162" i="229" s="1"/>
  <c r="AJ208" i="229" s="1"/>
  <c r="AL43" i="229"/>
  <c r="AL45" i="229" s="1"/>
  <c r="AL235" i="229" s="1"/>
  <c r="AH131" i="229"/>
  <c r="AH133" i="229" s="1"/>
  <c r="AH243" i="229" s="1"/>
  <c r="AI128" i="229"/>
  <c r="AI129" i="229" s="1"/>
  <c r="AI205" i="229" s="1"/>
  <c r="AI227" i="229"/>
  <c r="N289" i="229" s="1"/>
  <c r="N333" i="229" s="1"/>
  <c r="AG75" i="229"/>
  <c r="AH73" i="229" s="1"/>
  <c r="AH141" i="229"/>
  <c r="AH225" i="229" s="1"/>
  <c r="AJ185" i="229"/>
  <c r="AK183" i="229" s="1"/>
  <c r="AJ152" i="229"/>
  <c r="AJ153" i="229" s="1"/>
  <c r="AJ155" i="229" s="1"/>
  <c r="AJ245" i="229" s="1"/>
  <c r="R25" i="257"/>
  <c r="R27" i="257" s="1"/>
  <c r="R26" i="257"/>
  <c r="R28" i="257" s="1"/>
  <c r="J51" i="261"/>
  <c r="S26" i="257"/>
  <c r="S28" i="257" s="1"/>
  <c r="S25" i="257"/>
  <c r="S27" i="257" s="1"/>
  <c r="Q26" i="257"/>
  <c r="Q28" i="257" s="1"/>
  <c r="Q25" i="257"/>
  <c r="Q27" i="257" s="1"/>
  <c r="AH118" i="229"/>
  <c r="AH204" i="229" s="1"/>
  <c r="P26" i="257"/>
  <c r="P28" i="257" s="1"/>
  <c r="P25" i="257"/>
  <c r="P27" i="257" s="1"/>
  <c r="AI52" i="229"/>
  <c r="AI198" i="229" s="1"/>
  <c r="AI172" i="229"/>
  <c r="AH228" i="229"/>
  <c r="AH175" i="229"/>
  <c r="AH177" i="229" s="1"/>
  <c r="AH247" i="229" s="1"/>
  <c r="AM30" i="229"/>
  <c r="AM196" i="229" s="1"/>
  <c r="T25" i="257"/>
  <c r="T27" i="257" s="1"/>
  <c r="T26" i="257"/>
  <c r="T28" i="257" s="1"/>
  <c r="AN86" i="229"/>
  <c r="AI108" i="229"/>
  <c r="AR97" i="229"/>
  <c r="AE64" i="229" l="1"/>
  <c r="AF62" i="229" s="1"/>
  <c r="AI139" i="229"/>
  <c r="AI140" i="229" s="1"/>
  <c r="AI206" i="229" s="1"/>
  <c r="AG76" i="229"/>
  <c r="AG78" i="229" s="1"/>
  <c r="AG238" i="229" s="1"/>
  <c r="AJ226" i="229"/>
  <c r="BL12" i="204"/>
  <c r="BL8" i="204"/>
  <c r="BL14" i="204"/>
  <c r="BL13" i="204"/>
  <c r="AG219" i="229"/>
  <c r="AK150" i="229"/>
  <c r="AK151" i="229" s="1"/>
  <c r="AK207" i="229" s="1"/>
  <c r="AH142" i="229"/>
  <c r="AH144" i="229" s="1"/>
  <c r="AH244" i="229" s="1"/>
  <c r="AJ186" i="229"/>
  <c r="AJ188" i="229" s="1"/>
  <c r="AJ248" i="229" s="1"/>
  <c r="AJ229" i="229"/>
  <c r="R29" i="257"/>
  <c r="R37" i="257" s="1"/>
  <c r="R38" i="257" s="1"/>
  <c r="R42" i="257" s="1"/>
  <c r="R43" i="257" s="1"/>
  <c r="AM42" i="229"/>
  <c r="AM216" i="229" s="1"/>
  <c r="O278" i="229" s="1"/>
  <c r="O322" i="229" s="1"/>
  <c r="AI130" i="229"/>
  <c r="AI224" i="229" s="1"/>
  <c r="N286" i="229" s="1"/>
  <c r="N330" i="229" s="1"/>
  <c r="AH119" i="229"/>
  <c r="AH223" i="229" s="1"/>
  <c r="AJ163" i="229"/>
  <c r="AJ164" i="229" s="1"/>
  <c r="AJ166" i="229" s="1"/>
  <c r="AJ246" i="229" s="1"/>
  <c r="AI53" i="229"/>
  <c r="AJ51" i="229" s="1"/>
  <c r="AM31" i="229"/>
  <c r="AK184" i="229"/>
  <c r="AK210" i="229" s="1"/>
  <c r="P29" i="257"/>
  <c r="AN87" i="229"/>
  <c r="AN89" i="229" s="1"/>
  <c r="AN239" i="229" s="1"/>
  <c r="AN220" i="229"/>
  <c r="AO84" i="229"/>
  <c r="AI173" i="229"/>
  <c r="AI209" i="229" s="1"/>
  <c r="Q29" i="257"/>
  <c r="AH74" i="229"/>
  <c r="AH200" i="229" s="1"/>
  <c r="AJ106" i="229"/>
  <c r="AI222" i="229"/>
  <c r="N284" i="229" s="1"/>
  <c r="N328" i="229" s="1"/>
  <c r="AI109" i="229"/>
  <c r="AI111" i="229" s="1"/>
  <c r="AI241" i="229" s="1"/>
  <c r="T29" i="257"/>
  <c r="S29" i="257"/>
  <c r="AR221" i="229"/>
  <c r="AS95" i="229"/>
  <c r="AR98" i="229"/>
  <c r="AR100" i="229" s="1"/>
  <c r="AR240" i="229" s="1"/>
  <c r="AE65" i="229" l="1"/>
  <c r="AE67" i="229" s="1"/>
  <c r="AE237" i="229" s="1"/>
  <c r="AN40" i="229"/>
  <c r="AN41" i="229" s="1"/>
  <c r="AN197" i="229" s="1"/>
  <c r="AE218" i="229"/>
  <c r="M280" i="229" s="1"/>
  <c r="M324" i="229" s="1"/>
  <c r="M320" i="229" s="1"/>
  <c r="F65" i="251" s="1"/>
  <c r="AF63" i="229"/>
  <c r="AF199" i="229" s="1"/>
  <c r="BM11" i="204"/>
  <c r="D16" i="204"/>
  <c r="D17" i="204" s="1"/>
  <c r="F55" i="253"/>
  <c r="F57" i="253" s="1"/>
  <c r="E55" i="253"/>
  <c r="E57" i="253" s="1"/>
  <c r="G55" i="253"/>
  <c r="G57" i="253" s="1"/>
  <c r="D55" i="253"/>
  <c r="D57" i="253" s="1"/>
  <c r="H55" i="253"/>
  <c r="H57" i="253" s="1"/>
  <c r="I55" i="253"/>
  <c r="I57" i="253" s="1"/>
  <c r="J55" i="253"/>
  <c r="J57" i="253" s="1"/>
  <c r="K55" i="253"/>
  <c r="K57" i="253" s="1"/>
  <c r="L55" i="253"/>
  <c r="L57" i="253" s="1"/>
  <c r="M55" i="253"/>
  <c r="M57" i="253" s="1"/>
  <c r="N55" i="253"/>
  <c r="N57" i="253" s="1"/>
  <c r="O55" i="253"/>
  <c r="O57" i="253" s="1"/>
  <c r="R30" i="257"/>
  <c r="AM43" i="229"/>
  <c r="AM45" i="229" s="1"/>
  <c r="AM235" i="229" s="1"/>
  <c r="AI117" i="229"/>
  <c r="AI118" i="229" s="1"/>
  <c r="AI204" i="229" s="1"/>
  <c r="AK161" i="229"/>
  <c r="AK162" i="229" s="1"/>
  <c r="AK208" i="229" s="1"/>
  <c r="AJ227" i="229"/>
  <c r="AI54" i="229"/>
  <c r="AI56" i="229" s="1"/>
  <c r="AI236" i="229" s="1"/>
  <c r="AI217" i="229"/>
  <c r="N279" i="229" s="1"/>
  <c r="N323" i="229" s="1"/>
  <c r="AH120" i="229"/>
  <c r="AH122" i="229" s="1"/>
  <c r="AH242" i="229" s="1"/>
  <c r="AI131" i="229"/>
  <c r="AI133" i="229" s="1"/>
  <c r="AI243" i="229" s="1"/>
  <c r="AI174" i="229"/>
  <c r="AI228" i="229" s="1"/>
  <c r="N290" i="229" s="1"/>
  <c r="N334" i="229" s="1"/>
  <c r="AJ128" i="229"/>
  <c r="AJ129" i="229" s="1"/>
  <c r="AJ205" i="229" s="1"/>
  <c r="AK185" i="229"/>
  <c r="AK229" i="229" s="1"/>
  <c r="AH75" i="229"/>
  <c r="AI73" i="229" s="1"/>
  <c r="AO85" i="229"/>
  <c r="AO201" i="229" s="1"/>
  <c r="AK152" i="229"/>
  <c r="AJ107" i="229"/>
  <c r="AJ203" i="229" s="1"/>
  <c r="S30" i="257"/>
  <c r="S37" i="257"/>
  <c r="S38" i="257" s="1"/>
  <c r="S42" i="257" s="1"/>
  <c r="S43" i="257" s="1"/>
  <c r="T37" i="257"/>
  <c r="T38" i="257" s="1"/>
  <c r="T42" i="257" s="1"/>
  <c r="T43" i="257" s="1"/>
  <c r="T30" i="257"/>
  <c r="P30" i="257"/>
  <c r="P31" i="257" s="1"/>
  <c r="P37" i="257"/>
  <c r="P38" i="257" s="1"/>
  <c r="P42" i="257" s="1"/>
  <c r="Q30" i="257"/>
  <c r="Q37" i="257"/>
  <c r="Q38" i="257" s="1"/>
  <c r="Q42" i="257" s="1"/>
  <c r="AJ52" i="229"/>
  <c r="AJ198" i="229" s="1"/>
  <c r="AM32" i="229"/>
  <c r="AM34" i="229" s="1"/>
  <c r="AM234" i="229" s="1"/>
  <c r="AN29" i="229"/>
  <c r="AM215" i="229"/>
  <c r="O277" i="229" s="1"/>
  <c r="O321" i="229" s="1"/>
  <c r="AI141" i="229"/>
  <c r="AS96" i="229"/>
  <c r="AS202" i="229" s="1"/>
  <c r="AF64" i="229" l="1"/>
  <c r="AF218" i="229" s="1"/>
  <c r="AK186" i="229"/>
  <c r="AK188" i="229" s="1"/>
  <c r="AK248" i="229" s="1"/>
  <c r="S31" i="257"/>
  <c r="AI175" i="229"/>
  <c r="AI177" i="229" s="1"/>
  <c r="AI247" i="229" s="1"/>
  <c r="AJ172" i="229"/>
  <c r="AJ173" i="229" s="1"/>
  <c r="AJ209" i="229" s="1"/>
  <c r="H56" i="253"/>
  <c r="H61" i="253"/>
  <c r="O56" i="253"/>
  <c r="O61" i="253"/>
  <c r="D56" i="253"/>
  <c r="D61" i="253"/>
  <c r="N56" i="253"/>
  <c r="N61" i="253"/>
  <c r="G56" i="253"/>
  <c r="G61" i="253"/>
  <c r="M56" i="253"/>
  <c r="M61" i="253"/>
  <c r="E56" i="253"/>
  <c r="E61" i="253"/>
  <c r="L56" i="253"/>
  <c r="L61" i="253"/>
  <c r="F56" i="253"/>
  <c r="F61" i="253"/>
  <c r="I56" i="253"/>
  <c r="I61" i="253"/>
  <c r="K56" i="253"/>
  <c r="K61" i="253"/>
  <c r="J56" i="253"/>
  <c r="J61" i="253"/>
  <c r="BM8" i="204"/>
  <c r="BM12" i="204"/>
  <c r="BN11" i="204" s="1"/>
  <c r="BM14" i="204"/>
  <c r="BM13" i="204"/>
  <c r="Q31" i="257"/>
  <c r="AL183" i="229"/>
  <c r="AL184" i="229" s="1"/>
  <c r="AL210" i="229" s="1"/>
  <c r="AO86" i="229"/>
  <c r="AO87" i="229" s="1"/>
  <c r="AO89" i="229" s="1"/>
  <c r="AO239" i="229" s="1"/>
  <c r="AH76" i="229"/>
  <c r="AH78" i="229" s="1"/>
  <c r="AH238" i="229" s="1"/>
  <c r="AH219" i="229"/>
  <c r="AJ53" i="229"/>
  <c r="AK51" i="229" s="1"/>
  <c r="AJ130" i="229"/>
  <c r="AJ224" i="229" s="1"/>
  <c r="AK163" i="229"/>
  <c r="AL161" i="229" s="1"/>
  <c r="AI119" i="229"/>
  <c r="AI223" i="229" s="1"/>
  <c r="N285" i="229" s="1"/>
  <c r="N329" i="229" s="1"/>
  <c r="AN42" i="229"/>
  <c r="AO40" i="229" s="1"/>
  <c r="AN30" i="229"/>
  <c r="AN196" i="229" s="1"/>
  <c r="AI74" i="229"/>
  <c r="AI200" i="229" s="1"/>
  <c r="AL150" i="229"/>
  <c r="AK226" i="229"/>
  <c r="AK153" i="229"/>
  <c r="AK155" i="229" s="1"/>
  <c r="AK245" i="229" s="1"/>
  <c r="AJ139" i="229"/>
  <c r="AI225" i="229"/>
  <c r="N287" i="229" s="1"/>
  <c r="N331" i="229" s="1"/>
  <c r="AI142" i="229"/>
  <c r="AI144" i="229" s="1"/>
  <c r="AI244" i="229" s="1"/>
  <c r="S13" i="224"/>
  <c r="P43" i="257"/>
  <c r="AJ108" i="229"/>
  <c r="R31" i="257"/>
  <c r="T13" i="224"/>
  <c r="Q43" i="257"/>
  <c r="T31" i="257"/>
  <c r="AS97" i="229"/>
  <c r="AF65" i="229" l="1"/>
  <c r="AF67" i="229" s="1"/>
  <c r="AF237" i="229" s="1"/>
  <c r="AG62" i="229"/>
  <c r="AG63" i="229" s="1"/>
  <c r="AG199" i="229" s="1"/>
  <c r="AP84" i="229"/>
  <c r="AP85" i="229" s="1"/>
  <c r="AP201" i="229" s="1"/>
  <c r="AO220" i="229"/>
  <c r="AJ174" i="229"/>
  <c r="AJ228" i="229" s="1"/>
  <c r="J87" i="253"/>
  <c r="J91" i="253" s="1"/>
  <c r="J80" i="253"/>
  <c r="L80" i="253"/>
  <c r="L87" i="253"/>
  <c r="L91" i="253" s="1"/>
  <c r="L60" i="253"/>
  <c r="L79" i="253" s="1"/>
  <c r="L50" i="253"/>
  <c r="L121" i="251" s="1"/>
  <c r="L124" i="251" s="1"/>
  <c r="P20" i="261" s="1"/>
  <c r="L63" i="253"/>
  <c r="E87" i="253"/>
  <c r="E91" i="253" s="1"/>
  <c r="E80" i="253"/>
  <c r="K60" i="253"/>
  <c r="K79" i="253" s="1"/>
  <c r="K50" i="253"/>
  <c r="K121" i="251" s="1"/>
  <c r="K124" i="251" s="1"/>
  <c r="O20" i="261" s="1"/>
  <c r="K63" i="253"/>
  <c r="D60" i="253"/>
  <c r="D79" i="253" s="1"/>
  <c r="D63" i="253"/>
  <c r="D50" i="253"/>
  <c r="D121" i="251" s="1"/>
  <c r="D124" i="251" s="1"/>
  <c r="H20" i="261" s="1"/>
  <c r="BN8" i="204"/>
  <c r="BN12" i="204"/>
  <c r="BO11" i="204" s="1"/>
  <c r="BN14" i="204"/>
  <c r="BN13" i="204"/>
  <c r="F87" i="253"/>
  <c r="F91" i="253" s="1"/>
  <c r="F80" i="253"/>
  <c r="G87" i="253"/>
  <c r="G91" i="253" s="1"/>
  <c r="G80" i="253"/>
  <c r="H87" i="253"/>
  <c r="H91" i="253" s="1"/>
  <c r="H80" i="253"/>
  <c r="N80" i="253"/>
  <c r="N87" i="253"/>
  <c r="N91" i="253" s="1"/>
  <c r="J60" i="253"/>
  <c r="J79" i="253" s="1"/>
  <c r="J50" i="253"/>
  <c r="J121" i="251" s="1"/>
  <c r="J124" i="251" s="1"/>
  <c r="N20" i="261" s="1"/>
  <c r="J63" i="253"/>
  <c r="N60" i="253"/>
  <c r="N79" i="253" s="1"/>
  <c r="N50" i="253"/>
  <c r="N121" i="251" s="1"/>
  <c r="N124" i="251" s="1"/>
  <c r="N63" i="253"/>
  <c r="K80" i="253"/>
  <c r="K87" i="253"/>
  <c r="K91" i="253" s="1"/>
  <c r="D87" i="253"/>
  <c r="D91" i="253" s="1"/>
  <c r="D80" i="253"/>
  <c r="E60" i="253"/>
  <c r="E79" i="253" s="1"/>
  <c r="E50" i="253"/>
  <c r="E121" i="251" s="1"/>
  <c r="E124" i="251" s="1"/>
  <c r="I20" i="261" s="1"/>
  <c r="E63" i="253"/>
  <c r="I80" i="253"/>
  <c r="I87" i="253"/>
  <c r="I91" i="253" s="1"/>
  <c r="M80" i="253"/>
  <c r="M87" i="253"/>
  <c r="M91" i="253" s="1"/>
  <c r="O80" i="253"/>
  <c r="O87" i="253"/>
  <c r="O91" i="253" s="1"/>
  <c r="I60" i="253"/>
  <c r="I79" i="253" s="1"/>
  <c r="I50" i="253"/>
  <c r="I121" i="251" s="1"/>
  <c r="I124" i="251" s="1"/>
  <c r="M20" i="261" s="1"/>
  <c r="I63" i="253"/>
  <c r="M60" i="253"/>
  <c r="M79" i="253" s="1"/>
  <c r="M63" i="253"/>
  <c r="M50" i="253"/>
  <c r="M121" i="251" s="1"/>
  <c r="M124" i="251" s="1"/>
  <c r="Q20" i="261" s="1"/>
  <c r="O60" i="253"/>
  <c r="O79" i="253" s="1"/>
  <c r="O50" i="253"/>
  <c r="O121" i="251" s="1"/>
  <c r="O124" i="251" s="1"/>
  <c r="O63" i="253"/>
  <c r="F60" i="253"/>
  <c r="F79" i="253" s="1"/>
  <c r="F63" i="253"/>
  <c r="F50" i="253"/>
  <c r="F121" i="251" s="1"/>
  <c r="F124" i="251" s="1"/>
  <c r="J20" i="261" s="1"/>
  <c r="G60" i="253"/>
  <c r="G79" i="253" s="1"/>
  <c r="G50" i="253"/>
  <c r="G121" i="251" s="1"/>
  <c r="G124" i="251" s="1"/>
  <c r="K20" i="261" s="1"/>
  <c r="G63" i="253"/>
  <c r="H60" i="253"/>
  <c r="H79" i="253" s="1"/>
  <c r="H50" i="253"/>
  <c r="H121" i="251" s="1"/>
  <c r="H124" i="251" s="1"/>
  <c r="L20" i="261" s="1"/>
  <c r="H63" i="253"/>
  <c r="AK128" i="229"/>
  <c r="AK129" i="229" s="1"/>
  <c r="AK205" i="229" s="1"/>
  <c r="AJ54" i="229"/>
  <c r="AJ56" i="229" s="1"/>
  <c r="AJ236" i="229" s="1"/>
  <c r="AJ217" i="229"/>
  <c r="AJ131" i="229"/>
  <c r="AJ133" i="229" s="1"/>
  <c r="AJ243" i="229" s="1"/>
  <c r="AK164" i="229"/>
  <c r="AK166" i="229" s="1"/>
  <c r="AK246" i="229" s="1"/>
  <c r="AK227" i="229"/>
  <c r="AJ117" i="229"/>
  <c r="AJ118" i="229" s="1"/>
  <c r="AJ204" i="229" s="1"/>
  <c r="N336" i="229"/>
  <c r="J22" i="224" s="1"/>
  <c r="J22" i="259" s="1"/>
  <c r="AN43" i="229"/>
  <c r="AN45" i="229" s="1"/>
  <c r="AN235" i="229" s="1"/>
  <c r="AI120" i="229"/>
  <c r="AI122" i="229" s="1"/>
  <c r="AI242" i="229" s="1"/>
  <c r="AN31" i="229"/>
  <c r="AN32" i="229" s="1"/>
  <c r="AN34" i="229" s="1"/>
  <c r="AN234" i="229" s="1"/>
  <c r="AN216" i="229"/>
  <c r="AL185" i="229"/>
  <c r="S13" i="259"/>
  <c r="C13" i="259" s="1"/>
  <c r="C13" i="224"/>
  <c r="AK172" i="229"/>
  <c r="T13" i="259"/>
  <c r="D33" i="260"/>
  <c r="AO41" i="229"/>
  <c r="AO197" i="229" s="1"/>
  <c r="AI75" i="229"/>
  <c r="AK52" i="229"/>
  <c r="AK198" i="229" s="1"/>
  <c r="AJ140" i="229"/>
  <c r="AJ206" i="229" s="1"/>
  <c r="AL151" i="229"/>
  <c r="AL207" i="229" s="1"/>
  <c r="AL162" i="229"/>
  <c r="AL208" i="229" s="1"/>
  <c r="AK106" i="229"/>
  <c r="AJ222" i="229"/>
  <c r="AJ109" i="229"/>
  <c r="AJ111" i="229" s="1"/>
  <c r="AJ241" i="229" s="1"/>
  <c r="AS221" i="229"/>
  <c r="AT95" i="229"/>
  <c r="AS98" i="229"/>
  <c r="AS100" i="229" s="1"/>
  <c r="AS240" i="229" s="1"/>
  <c r="AJ175" i="229" l="1"/>
  <c r="AJ177" i="229" s="1"/>
  <c r="AJ247" i="229" s="1"/>
  <c r="AG64" i="229"/>
  <c r="AH62" i="229" s="1"/>
  <c r="H92" i="253"/>
  <c r="H95" i="253" s="1"/>
  <c r="H94" i="253"/>
  <c r="E92" i="253"/>
  <c r="E95" i="253" s="1"/>
  <c r="E94" i="253"/>
  <c r="I23" i="261"/>
  <c r="I46" i="261" s="1"/>
  <c r="I26" i="261"/>
  <c r="I47" i="261" s="1"/>
  <c r="Q18" i="255"/>
  <c r="Q11" i="255" s="1"/>
  <c r="N39" i="251"/>
  <c r="N32" i="251" s="1"/>
  <c r="N78" i="253"/>
  <c r="AH78" i="253" s="1"/>
  <c r="H26" i="261"/>
  <c r="H23" i="261"/>
  <c r="L66" i="253"/>
  <c r="L84" i="253" s="1"/>
  <c r="L47" i="251" s="1"/>
  <c r="L40" i="251" s="1"/>
  <c r="L64" i="253"/>
  <c r="L67" i="253" s="1"/>
  <c r="L85" i="253" s="1"/>
  <c r="O92" i="253"/>
  <c r="O95" i="253" s="1"/>
  <c r="O94" i="253"/>
  <c r="H18" i="255"/>
  <c r="H11" i="255" s="1"/>
  <c r="E78" i="253"/>
  <c r="Y78" i="253" s="1"/>
  <c r="E39" i="251"/>
  <c r="E32" i="251" s="1"/>
  <c r="J66" i="253"/>
  <c r="J84" i="253" s="1"/>
  <c r="J47" i="251" s="1"/>
  <c r="J40" i="251" s="1"/>
  <c r="J64" i="253"/>
  <c r="J67" i="253" s="1"/>
  <c r="J85" i="253" s="1"/>
  <c r="G92" i="253"/>
  <c r="G95" i="253" s="1"/>
  <c r="G94" i="253"/>
  <c r="D66" i="253"/>
  <c r="D84" i="253" s="1"/>
  <c r="D47" i="251" s="1"/>
  <c r="D40" i="251" s="1"/>
  <c r="D64" i="253"/>
  <c r="D67" i="253" s="1"/>
  <c r="D85" i="253" s="1"/>
  <c r="P26" i="261"/>
  <c r="P47" i="261" s="1"/>
  <c r="P23" i="261"/>
  <c r="P46" i="261" s="1"/>
  <c r="M26" i="261"/>
  <c r="M47" i="261" s="1"/>
  <c r="M23" i="261"/>
  <c r="M46" i="261" s="1"/>
  <c r="G66" i="253"/>
  <c r="G84" i="253" s="1"/>
  <c r="G47" i="251" s="1"/>
  <c r="G40" i="251" s="1"/>
  <c r="G64" i="253"/>
  <c r="G67" i="253" s="1"/>
  <c r="G85" i="253" s="1"/>
  <c r="N23" i="261"/>
  <c r="N46" i="261" s="1"/>
  <c r="N26" i="261"/>
  <c r="N47" i="261" s="1"/>
  <c r="G18" i="255"/>
  <c r="G11" i="255" s="1"/>
  <c r="D39" i="251"/>
  <c r="D32" i="251" s="1"/>
  <c r="D78" i="253"/>
  <c r="X78" i="253" s="1"/>
  <c r="O18" i="255"/>
  <c r="O11" i="255" s="1"/>
  <c r="L39" i="251"/>
  <c r="L32" i="251" s="1"/>
  <c r="L78" i="253"/>
  <c r="AF78" i="253" s="1"/>
  <c r="E66" i="253"/>
  <c r="E84" i="253" s="1"/>
  <c r="E47" i="251" s="1"/>
  <c r="E40" i="251" s="1"/>
  <c r="E64" i="253"/>
  <c r="E67" i="253" s="1"/>
  <c r="E85" i="253" s="1"/>
  <c r="H78" i="253"/>
  <c r="AB78" i="253" s="1"/>
  <c r="K18" i="255"/>
  <c r="K11" i="255" s="1"/>
  <c r="H39" i="251"/>
  <c r="H32" i="251" s="1"/>
  <c r="O78" i="253"/>
  <c r="O82" i="253" s="1"/>
  <c r="O39" i="251"/>
  <c r="O32" i="251" s="1"/>
  <c r="R18" i="255"/>
  <c r="R11" i="255" s="1"/>
  <c r="Q23" i="261"/>
  <c r="Q46" i="261" s="1"/>
  <c r="Q26" i="261"/>
  <c r="Q47" i="261" s="1"/>
  <c r="M94" i="253"/>
  <c r="M92" i="253"/>
  <c r="M95" i="253" s="1"/>
  <c r="D92" i="253"/>
  <c r="D95" i="253" s="1"/>
  <c r="D94" i="253"/>
  <c r="J78" i="253"/>
  <c r="M18" i="255"/>
  <c r="M11" i="255" s="1"/>
  <c r="J39" i="251"/>
  <c r="J32" i="251" s="1"/>
  <c r="F94" i="253"/>
  <c r="F92" i="253"/>
  <c r="F95" i="253" s="1"/>
  <c r="K66" i="253"/>
  <c r="K84" i="253" s="1"/>
  <c r="K47" i="251" s="1"/>
  <c r="K40" i="251" s="1"/>
  <c r="K64" i="253"/>
  <c r="K67" i="253" s="1"/>
  <c r="K85" i="253" s="1"/>
  <c r="L92" i="253"/>
  <c r="L95" i="253" s="1"/>
  <c r="L94" i="253"/>
  <c r="H66" i="253"/>
  <c r="H84" i="253" s="1"/>
  <c r="H47" i="251" s="1"/>
  <c r="H40" i="251" s="1"/>
  <c r="H64" i="253"/>
  <c r="H67" i="253" s="1"/>
  <c r="H85" i="253" s="1"/>
  <c r="D26" i="204" s="1"/>
  <c r="D29" i="204" s="1"/>
  <c r="I18" i="255"/>
  <c r="I11" i="255" s="1"/>
  <c r="F78" i="253"/>
  <c r="Z78" i="253" s="1"/>
  <c r="F39" i="251"/>
  <c r="F32" i="251" s="1"/>
  <c r="I39" i="251"/>
  <c r="I32" i="251" s="1"/>
  <c r="L18" i="255"/>
  <c r="L11" i="255" s="1"/>
  <c r="I78" i="253"/>
  <c r="I82" i="253" s="1"/>
  <c r="O23" i="261"/>
  <c r="O46" i="261" s="1"/>
  <c r="O26" i="261"/>
  <c r="O47" i="261" s="1"/>
  <c r="L26" i="261"/>
  <c r="L47" i="261" s="1"/>
  <c r="L23" i="261"/>
  <c r="L46" i="261" s="1"/>
  <c r="O66" i="253"/>
  <c r="O84" i="253" s="1"/>
  <c r="O47" i="251" s="1"/>
  <c r="O40" i="251" s="1"/>
  <c r="O64" i="253"/>
  <c r="O67" i="253" s="1"/>
  <c r="O85" i="253" s="1"/>
  <c r="J26" i="261"/>
  <c r="J47" i="261" s="1"/>
  <c r="J23" i="261"/>
  <c r="J46" i="261" s="1"/>
  <c r="M78" i="253"/>
  <c r="AG78" i="253" s="1"/>
  <c r="P18" i="255"/>
  <c r="P11" i="255" s="1"/>
  <c r="M39" i="251"/>
  <c r="M32" i="251" s="1"/>
  <c r="I92" i="253"/>
  <c r="I95" i="253" s="1"/>
  <c r="I94" i="253"/>
  <c r="N18" i="255"/>
  <c r="N11" i="255" s="1"/>
  <c r="K78" i="253"/>
  <c r="K82" i="253" s="1"/>
  <c r="K39" i="251"/>
  <c r="K32" i="251" s="1"/>
  <c r="K26" i="261"/>
  <c r="K47" i="261" s="1"/>
  <c r="K23" i="261"/>
  <c r="K46" i="261" s="1"/>
  <c r="G78" i="253"/>
  <c r="G82" i="253" s="1"/>
  <c r="J18" i="255"/>
  <c r="J11" i="255" s="1"/>
  <c r="G39" i="251"/>
  <c r="G32" i="251" s="1"/>
  <c r="M66" i="253"/>
  <c r="M84" i="253" s="1"/>
  <c r="M47" i="251" s="1"/>
  <c r="M40" i="251" s="1"/>
  <c r="M64" i="253"/>
  <c r="M67" i="253" s="1"/>
  <c r="M85" i="253" s="1"/>
  <c r="K92" i="253"/>
  <c r="K95" i="253" s="1"/>
  <c r="K94" i="253"/>
  <c r="N94" i="253"/>
  <c r="N92" i="253"/>
  <c r="N95" i="253" s="1"/>
  <c r="F66" i="253"/>
  <c r="F84" i="253" s="1"/>
  <c r="F47" i="251" s="1"/>
  <c r="F40" i="251" s="1"/>
  <c r="F64" i="253"/>
  <c r="F67" i="253" s="1"/>
  <c r="F85" i="253" s="1"/>
  <c r="I66" i="253"/>
  <c r="I84" i="253" s="1"/>
  <c r="I47" i="251" s="1"/>
  <c r="I40" i="251" s="1"/>
  <c r="I64" i="253"/>
  <c r="I67" i="253" s="1"/>
  <c r="I85" i="253" s="1"/>
  <c r="N66" i="253"/>
  <c r="N84" i="253" s="1"/>
  <c r="N47" i="251" s="1"/>
  <c r="N40" i="251" s="1"/>
  <c r="N64" i="253"/>
  <c r="N67" i="253" s="1"/>
  <c r="N85" i="253" s="1"/>
  <c r="BO8" i="204"/>
  <c r="BO12" i="204"/>
  <c r="BP11" i="204" s="1"/>
  <c r="BO14" i="204"/>
  <c r="BO13" i="204"/>
  <c r="J94" i="253"/>
  <c r="J92" i="253"/>
  <c r="J95" i="253" s="1"/>
  <c r="AN215" i="229"/>
  <c r="AO29" i="229"/>
  <c r="AO30" i="229" s="1"/>
  <c r="AO196" i="229" s="1"/>
  <c r="AO42" i="229"/>
  <c r="AO43" i="229" s="1"/>
  <c r="AO45" i="229" s="1"/>
  <c r="AO235" i="229" s="1"/>
  <c r="AL163" i="229"/>
  <c r="AL227" i="229" s="1"/>
  <c r="AK130" i="229"/>
  <c r="AK224" i="229" s="1"/>
  <c r="AP86" i="229"/>
  <c r="AQ84" i="229" s="1"/>
  <c r="AK53" i="229"/>
  <c r="AK54" i="229" s="1"/>
  <c r="AK56" i="229" s="1"/>
  <c r="AK236" i="229" s="1"/>
  <c r="AI219" i="229"/>
  <c r="N281" i="229" s="1"/>
  <c r="N325" i="229" s="1"/>
  <c r="AJ73" i="229"/>
  <c r="AI76" i="229"/>
  <c r="AI78" i="229" s="1"/>
  <c r="AI238" i="229" s="1"/>
  <c r="AK173" i="229"/>
  <c r="AK209" i="229" s="1"/>
  <c r="AK107" i="229"/>
  <c r="AK203" i="229" s="1"/>
  <c r="AJ119" i="229"/>
  <c r="AL152" i="229"/>
  <c r="AJ141" i="229"/>
  <c r="AM183" i="229"/>
  <c r="AL229" i="229"/>
  <c r="AL186" i="229"/>
  <c r="AL188" i="229" s="1"/>
  <c r="AL248" i="229" s="1"/>
  <c r="AT96" i="229"/>
  <c r="AT202" i="229" s="1"/>
  <c r="H82" i="253" l="1"/>
  <c r="AG65" i="229"/>
  <c r="AG67" i="229" s="1"/>
  <c r="AG237" i="229" s="1"/>
  <c r="AG218" i="229"/>
  <c r="N82" i="253"/>
  <c r="F81" i="253"/>
  <c r="E82" i="253"/>
  <c r="AA40" i="251"/>
  <c r="D82" i="253"/>
  <c r="AM161" i="229"/>
  <c r="AM162" i="229" s="1"/>
  <c r="AM208" i="229" s="1"/>
  <c r="AP40" i="229"/>
  <c r="AH63" i="229"/>
  <c r="AH199" i="229" s="1"/>
  <c r="AG40" i="251"/>
  <c r="Z40" i="251"/>
  <c r="AL164" i="229"/>
  <c r="AL166" i="229" s="1"/>
  <c r="AL246" i="229" s="1"/>
  <c r="AO216" i="229"/>
  <c r="W40" i="251"/>
  <c r="AT97" i="229"/>
  <c r="AT221" i="229" s="1"/>
  <c r="X40" i="251"/>
  <c r="V40" i="251"/>
  <c r="N81" i="253"/>
  <c r="AD40" i="251"/>
  <c r="AF40" i="251"/>
  <c r="L82" i="253"/>
  <c r="AE40" i="251"/>
  <c r="AC51" i="251"/>
  <c r="K69" i="251"/>
  <c r="AC58" i="251"/>
  <c r="AC57" i="251"/>
  <c r="K55" i="251"/>
  <c r="K52" i="251"/>
  <c r="AC59" i="251"/>
  <c r="AC54" i="251"/>
  <c r="AC56" i="251"/>
  <c r="AV32" i="251"/>
  <c r="AC60" i="251"/>
  <c r="K48" i="251"/>
  <c r="AC64" i="251"/>
  <c r="O81" i="253"/>
  <c r="AI78" i="253"/>
  <c r="AB40" i="251"/>
  <c r="Q24" i="255"/>
  <c r="Q21" i="255" s="1"/>
  <c r="Q42" i="255"/>
  <c r="Q38" i="255"/>
  <c r="Q35" i="255" s="1"/>
  <c r="Q31" i="255"/>
  <c r="Q28" i="255" s="1"/>
  <c r="J81" i="253"/>
  <c r="AD78" i="253"/>
  <c r="X59" i="251"/>
  <c r="X57" i="251"/>
  <c r="X60" i="251"/>
  <c r="AQ32" i="251"/>
  <c r="X56" i="251"/>
  <c r="F69" i="251"/>
  <c r="X51" i="251"/>
  <c r="F55" i="251"/>
  <c r="X58" i="251"/>
  <c r="F52" i="251"/>
  <c r="X54" i="251"/>
  <c r="F48" i="251"/>
  <c r="X65" i="251"/>
  <c r="X64" i="251"/>
  <c r="AC40" i="251"/>
  <c r="H81" i="253"/>
  <c r="L55" i="251"/>
  <c r="L69" i="251"/>
  <c r="AD54" i="251"/>
  <c r="AW32" i="251"/>
  <c r="AD51" i="251"/>
  <c r="AD56" i="251"/>
  <c r="AD57" i="251"/>
  <c r="L52" i="251"/>
  <c r="AD58" i="251"/>
  <c r="AD60" i="251"/>
  <c r="AD59" i="251"/>
  <c r="L48" i="251"/>
  <c r="E81" i="253"/>
  <c r="J38" i="255"/>
  <c r="J35" i="255" s="1"/>
  <c r="J31" i="255"/>
  <c r="J28" i="255" s="1"/>
  <c r="J24" i="255"/>
  <c r="J21" i="255" s="1"/>
  <c r="J42" i="255"/>
  <c r="M82" i="253"/>
  <c r="AS32" i="251"/>
  <c r="Z60" i="251"/>
  <c r="Z59" i="251"/>
  <c r="H55" i="251"/>
  <c r="Z54" i="251"/>
  <c r="H52" i="251"/>
  <c r="H69" i="251"/>
  <c r="Z57" i="251"/>
  <c r="Z56" i="251"/>
  <c r="Z58" i="251"/>
  <c r="Z51" i="251"/>
  <c r="H48" i="251"/>
  <c r="Z64" i="251"/>
  <c r="O42" i="255"/>
  <c r="O24" i="255"/>
  <c r="O21" i="255" s="1"/>
  <c r="O38" i="255"/>
  <c r="O35" i="255" s="1"/>
  <c r="O31" i="255"/>
  <c r="O28" i="255" s="1"/>
  <c r="AP32" i="251"/>
  <c r="W58" i="251"/>
  <c r="W57" i="251"/>
  <c r="E69" i="251"/>
  <c r="W54" i="251"/>
  <c r="W60" i="251"/>
  <c r="E55" i="251"/>
  <c r="W51" i="251"/>
  <c r="E52" i="251"/>
  <c r="W59" i="251"/>
  <c r="W56" i="251"/>
  <c r="E48" i="251"/>
  <c r="W65" i="251"/>
  <c r="W64" i="251"/>
  <c r="H46" i="261"/>
  <c r="T46" i="261" s="1"/>
  <c r="R23" i="261"/>
  <c r="AX32" i="251"/>
  <c r="AE54" i="251"/>
  <c r="M52" i="251"/>
  <c r="AE60" i="251"/>
  <c r="M69" i="251"/>
  <c r="AE59" i="251"/>
  <c r="AE57" i="251"/>
  <c r="AE58" i="251"/>
  <c r="M55" i="251"/>
  <c r="AE56" i="251"/>
  <c r="AE51" i="251"/>
  <c r="M48" i="251"/>
  <c r="N42" i="255"/>
  <c r="N38" i="255"/>
  <c r="N35" i="255" s="1"/>
  <c r="N31" i="255"/>
  <c r="N28" i="255" s="1"/>
  <c r="N24" i="255"/>
  <c r="N21" i="255" s="1"/>
  <c r="J82" i="253"/>
  <c r="M81" i="253"/>
  <c r="I42" i="255"/>
  <c r="I38" i="255"/>
  <c r="I35" i="255" s="1"/>
  <c r="I31" i="255"/>
  <c r="I28" i="255" s="1"/>
  <c r="I24" i="255"/>
  <c r="I21" i="255" s="1"/>
  <c r="K24" i="255"/>
  <c r="K21" i="255" s="1"/>
  <c r="K31" i="255"/>
  <c r="K28" i="255" s="1"/>
  <c r="K42" i="255"/>
  <c r="K38" i="255"/>
  <c r="K35" i="255" s="1"/>
  <c r="D81" i="253"/>
  <c r="H47" i="261"/>
  <c r="T47" i="261" s="1"/>
  <c r="R26" i="261"/>
  <c r="S31" i="204"/>
  <c r="S32" i="204" s="1"/>
  <c r="K31" i="204"/>
  <c r="K32" i="204" s="1"/>
  <c r="R31" i="204"/>
  <c r="R32" i="204" s="1"/>
  <c r="AB31" i="204"/>
  <c r="AB32" i="204" s="1"/>
  <c r="Z31" i="204"/>
  <c r="Z32" i="204" s="1"/>
  <c r="H31" i="204"/>
  <c r="H32" i="204" s="1"/>
  <c r="Q31" i="204"/>
  <c r="Q32" i="204" s="1"/>
  <c r="U31" i="204"/>
  <c r="U32" i="204" s="1"/>
  <c r="AC31" i="204"/>
  <c r="AC32" i="204" s="1"/>
  <c r="D31" i="204"/>
  <c r="D32" i="204" s="1"/>
  <c r="E31" i="204"/>
  <c r="E32" i="204" s="1"/>
  <c r="V31" i="204"/>
  <c r="V32" i="204" s="1"/>
  <c r="AD31" i="204"/>
  <c r="AD32" i="204" s="1"/>
  <c r="G31" i="204"/>
  <c r="G32" i="204" s="1"/>
  <c r="J31" i="204"/>
  <c r="J32" i="204" s="1"/>
  <c r="W31" i="204"/>
  <c r="W32" i="204" s="1"/>
  <c r="AE31" i="204"/>
  <c r="AE32" i="204" s="1"/>
  <c r="T31" i="204"/>
  <c r="T32" i="204" s="1"/>
  <c r="I31" i="204"/>
  <c r="I32" i="204" s="1"/>
  <c r="P31" i="204"/>
  <c r="P32" i="204" s="1"/>
  <c r="L31" i="204"/>
  <c r="L32" i="204" s="1"/>
  <c r="X31" i="204"/>
  <c r="X32" i="204" s="1"/>
  <c r="M31" i="204"/>
  <c r="M32" i="204" s="1"/>
  <c r="AA31" i="204"/>
  <c r="AA32" i="204" s="1"/>
  <c r="F31" i="204"/>
  <c r="F32" i="204" s="1"/>
  <c r="N31" i="204"/>
  <c r="N32" i="204" s="1"/>
  <c r="Y31" i="204"/>
  <c r="Y32" i="204" s="1"/>
  <c r="O31" i="204"/>
  <c r="O32" i="204" s="1"/>
  <c r="J52" i="251"/>
  <c r="AB58" i="251"/>
  <c r="AB59" i="251"/>
  <c r="AB56" i="251"/>
  <c r="AB60" i="251"/>
  <c r="AB54" i="251"/>
  <c r="J69" i="251"/>
  <c r="J55" i="251"/>
  <c r="AB51" i="251"/>
  <c r="AB57" i="251"/>
  <c r="AU32" i="251"/>
  <c r="J48" i="251"/>
  <c r="AB64" i="251"/>
  <c r="Y40" i="251"/>
  <c r="H38" i="255"/>
  <c r="H35" i="255" s="1"/>
  <c r="H24" i="255"/>
  <c r="H21" i="255" s="1"/>
  <c r="H42" i="255"/>
  <c r="H31" i="255"/>
  <c r="H28" i="255" s="1"/>
  <c r="BP8" i="204"/>
  <c r="BP12" i="204"/>
  <c r="BQ11" i="204" s="1"/>
  <c r="BP14" i="204"/>
  <c r="BP13" i="204"/>
  <c r="G52" i="251"/>
  <c r="Y54" i="251"/>
  <c r="Y51" i="251"/>
  <c r="Y60" i="251"/>
  <c r="Y58" i="251"/>
  <c r="Y56" i="251"/>
  <c r="AR32" i="251"/>
  <c r="G69" i="251"/>
  <c r="Y57" i="251"/>
  <c r="G55" i="251"/>
  <c r="Y59" i="251"/>
  <c r="G48" i="251"/>
  <c r="Y64" i="251"/>
  <c r="K81" i="253"/>
  <c r="AE78" i="253"/>
  <c r="P38" i="255"/>
  <c r="P35" i="255" s="1"/>
  <c r="P42" i="255"/>
  <c r="P24" i="255"/>
  <c r="P21" i="255" s="1"/>
  <c r="P31" i="255"/>
  <c r="P28" i="255" s="1"/>
  <c r="I81" i="253"/>
  <c r="AC78" i="253"/>
  <c r="M24" i="255"/>
  <c r="M21" i="255" s="1"/>
  <c r="M42" i="255"/>
  <c r="M38" i="255"/>
  <c r="M35" i="255" s="1"/>
  <c r="M31" i="255"/>
  <c r="M28" i="255" s="1"/>
  <c r="V56" i="251"/>
  <c r="V57" i="251"/>
  <c r="V54" i="251"/>
  <c r="V51" i="251"/>
  <c r="V58" i="251"/>
  <c r="V60" i="251"/>
  <c r="AO32" i="251"/>
  <c r="D52" i="251"/>
  <c r="V59" i="251"/>
  <c r="D55" i="251"/>
  <c r="D69" i="251"/>
  <c r="D48" i="251"/>
  <c r="V66" i="251"/>
  <c r="V65" i="251"/>
  <c r="V64" i="251"/>
  <c r="G42" i="255"/>
  <c r="G31" i="255"/>
  <c r="G28" i="255" s="1"/>
  <c r="G24" i="255"/>
  <c r="G21" i="255" s="1"/>
  <c r="G38" i="255"/>
  <c r="G35" i="255" s="1"/>
  <c r="L24" i="255"/>
  <c r="L21" i="255" s="1"/>
  <c r="L38" i="255"/>
  <c r="L35" i="255" s="1"/>
  <c r="L31" i="255"/>
  <c r="L28" i="255" s="1"/>
  <c r="L42" i="255"/>
  <c r="R42" i="255"/>
  <c r="R24" i="255"/>
  <c r="R21" i="255" s="1"/>
  <c r="R38" i="255"/>
  <c r="R35" i="255" s="1"/>
  <c r="R31" i="255"/>
  <c r="R28" i="255" s="1"/>
  <c r="G81" i="253"/>
  <c r="AA78" i="253"/>
  <c r="E23" i="260"/>
  <c r="E24" i="260"/>
  <c r="I69" i="251"/>
  <c r="E19" i="260"/>
  <c r="AA54" i="251"/>
  <c r="AA59" i="251"/>
  <c r="AA57" i="251"/>
  <c r="I52" i="251"/>
  <c r="I55" i="251"/>
  <c r="AA60" i="251"/>
  <c r="AA56" i="251"/>
  <c r="E21" i="260"/>
  <c r="AT32" i="251"/>
  <c r="E22" i="260"/>
  <c r="AA58" i="251"/>
  <c r="E20" i="260"/>
  <c r="AA51" i="251"/>
  <c r="I48" i="251"/>
  <c r="AA64" i="251"/>
  <c r="AG56" i="251"/>
  <c r="AG60" i="251"/>
  <c r="O52" i="251"/>
  <c r="O69" i="251"/>
  <c r="AZ32" i="251"/>
  <c r="AG59" i="251"/>
  <c r="AG57" i="251"/>
  <c r="O55" i="251"/>
  <c r="AG54" i="251"/>
  <c r="AG58" i="251"/>
  <c r="AG51" i="251"/>
  <c r="O48" i="251"/>
  <c r="L81" i="253"/>
  <c r="F82" i="253"/>
  <c r="N55" i="251"/>
  <c r="AF51" i="251"/>
  <c r="AF54" i="251"/>
  <c r="AY32" i="251"/>
  <c r="AF56" i="251"/>
  <c r="N69" i="251"/>
  <c r="AF60" i="251"/>
  <c r="AF57" i="251"/>
  <c r="AF59" i="251"/>
  <c r="N52" i="251"/>
  <c r="AF58" i="251"/>
  <c r="N48" i="251"/>
  <c r="AL51" i="229"/>
  <c r="AL52" i="229" s="1"/>
  <c r="AL198" i="229" s="1"/>
  <c r="AP87" i="229"/>
  <c r="AP89" i="229" s="1"/>
  <c r="AP239" i="229" s="1"/>
  <c r="AP220" i="229"/>
  <c r="AO31" i="229"/>
  <c r="AO215" i="229" s="1"/>
  <c r="AL128" i="229"/>
  <c r="AL129" i="229" s="1"/>
  <c r="AL205" i="229" s="1"/>
  <c r="AK217" i="229"/>
  <c r="AK131" i="229"/>
  <c r="AK133" i="229" s="1"/>
  <c r="AK243" i="229" s="1"/>
  <c r="AK108" i="229"/>
  <c r="AL106" i="229" s="1"/>
  <c r="AK174" i="229"/>
  <c r="AK139" i="229"/>
  <c r="AJ225" i="229"/>
  <c r="AJ142" i="229"/>
  <c r="AJ144" i="229" s="1"/>
  <c r="AJ244" i="229" s="1"/>
  <c r="AQ85" i="229"/>
  <c r="AQ201" i="229" s="1"/>
  <c r="AM184" i="229"/>
  <c r="AM210" i="229" s="1"/>
  <c r="AM150" i="229"/>
  <c r="AL226" i="229"/>
  <c r="AL153" i="229"/>
  <c r="AL155" i="229" s="1"/>
  <c r="AL245" i="229" s="1"/>
  <c r="AJ74" i="229"/>
  <c r="AJ200" i="229" s="1"/>
  <c r="AP41" i="229"/>
  <c r="AP197" i="229" s="1"/>
  <c r="AK117" i="229"/>
  <c r="AJ223" i="229"/>
  <c r="AJ120" i="229"/>
  <c r="AJ122" i="229" s="1"/>
  <c r="AJ242" i="229" s="1"/>
  <c r="AU95" i="229" l="1"/>
  <c r="AT98" i="229"/>
  <c r="AT100" i="229" s="1"/>
  <c r="AT240" i="229" s="1"/>
  <c r="AH64" i="229"/>
  <c r="AH65" i="229" s="1"/>
  <c r="AH67" i="229" s="1"/>
  <c r="AH237" i="229" s="1"/>
  <c r="AP29" i="229"/>
  <c r="AO32" i="229"/>
  <c r="AO34" i="229" s="1"/>
  <c r="AO234" i="229" s="1"/>
  <c r="H97" i="251"/>
  <c r="H53" i="251"/>
  <c r="J39" i="255"/>
  <c r="J40" i="255"/>
  <c r="J41" i="255" s="1"/>
  <c r="J19" i="224"/>
  <c r="J19" i="259" s="1"/>
  <c r="J44" i="255"/>
  <c r="J45" i="255" s="1"/>
  <c r="F97" i="251"/>
  <c r="F53" i="251"/>
  <c r="G39" i="255"/>
  <c r="G44" i="255"/>
  <c r="G45" i="255" s="1"/>
  <c r="G19" i="224"/>
  <c r="G19" i="259" s="1"/>
  <c r="G40" i="255"/>
  <c r="G41" i="255" s="1"/>
  <c r="AE37" i="204"/>
  <c r="AE38" i="204"/>
  <c r="AE39" i="204"/>
  <c r="AE35" i="204"/>
  <c r="AB48" i="251"/>
  <c r="AA38" i="204"/>
  <c r="AA37" i="204"/>
  <c r="AA39" i="204"/>
  <c r="AA35" i="204"/>
  <c r="W37" i="204"/>
  <c r="W38" i="204"/>
  <c r="W39" i="204"/>
  <c r="W35" i="204"/>
  <c r="U38" i="204"/>
  <c r="U37" i="204"/>
  <c r="U39" i="204"/>
  <c r="U35" i="204"/>
  <c r="I26" i="255"/>
  <c r="I27" i="255" s="1"/>
  <c r="I25" i="255"/>
  <c r="I17" i="224"/>
  <c r="I17" i="259" s="1"/>
  <c r="N19" i="224"/>
  <c r="N19" i="259" s="1"/>
  <c r="N40" i="255"/>
  <c r="N41" i="255" s="1"/>
  <c r="N39" i="255"/>
  <c r="N44" i="255"/>
  <c r="N45" i="255" s="1"/>
  <c r="E50" i="251"/>
  <c r="E93" i="251"/>
  <c r="V48" i="251"/>
  <c r="O53" i="251"/>
  <c r="O97" i="251"/>
  <c r="R25" i="255"/>
  <c r="R17" i="224"/>
  <c r="R17" i="259" s="1"/>
  <c r="R26" i="255"/>
  <c r="R27" i="255" s="1"/>
  <c r="Y48" i="251"/>
  <c r="H18" i="224"/>
  <c r="H18" i="259" s="1"/>
  <c r="H33" i="255"/>
  <c r="H34" i="255" s="1"/>
  <c r="H32" i="255"/>
  <c r="M35" i="204"/>
  <c r="M37" i="204"/>
  <c r="M39" i="204"/>
  <c r="M38" i="204"/>
  <c r="J37" i="204"/>
  <c r="J38" i="204"/>
  <c r="J39" i="204"/>
  <c r="J35" i="204"/>
  <c r="Q37" i="204"/>
  <c r="Q35" i="204"/>
  <c r="Q38" i="204"/>
  <c r="Q39" i="204"/>
  <c r="I33" i="255"/>
  <c r="I34" i="255" s="1"/>
  <c r="I32" i="255"/>
  <c r="I18" i="224"/>
  <c r="I18" i="259" s="1"/>
  <c r="N20" i="224"/>
  <c r="N20" i="259" s="1"/>
  <c r="K129" i="251"/>
  <c r="K130" i="251" s="1"/>
  <c r="O68" i="261" s="1"/>
  <c r="O18" i="224"/>
  <c r="O18" i="259" s="1"/>
  <c r="O32" i="255"/>
  <c r="O33" i="255"/>
  <c r="O34" i="255" s="1"/>
  <c r="K50" i="251"/>
  <c r="K93" i="251"/>
  <c r="AF48" i="251"/>
  <c r="F39" i="204"/>
  <c r="F37" i="204"/>
  <c r="F38" i="204"/>
  <c r="F35" i="204"/>
  <c r="K25" i="255"/>
  <c r="K26" i="255"/>
  <c r="K27" i="255" s="1"/>
  <c r="K17" i="224"/>
  <c r="K17" i="259" s="1"/>
  <c r="R44" i="255"/>
  <c r="R45" i="255" s="1"/>
  <c r="R40" i="255"/>
  <c r="R41" i="255" s="1"/>
  <c r="R39" i="255"/>
  <c r="R19" i="224"/>
  <c r="R19" i="259" s="1"/>
  <c r="D97" i="251"/>
  <c r="D53" i="251"/>
  <c r="X35" i="204"/>
  <c r="X39" i="204"/>
  <c r="X37" i="204"/>
  <c r="X38" i="204"/>
  <c r="Q32" i="255"/>
  <c r="Q18" i="224"/>
  <c r="Q18" i="259" s="1"/>
  <c r="Q33" i="255"/>
  <c r="Q34" i="255" s="1"/>
  <c r="K53" i="251"/>
  <c r="K97" i="251"/>
  <c r="R18" i="224"/>
  <c r="R18" i="259" s="1"/>
  <c r="R33" i="255"/>
  <c r="R34" i="255" s="1"/>
  <c r="R32" i="255"/>
  <c r="E97" i="251"/>
  <c r="E53" i="251"/>
  <c r="O19" i="224"/>
  <c r="O19" i="259" s="1"/>
  <c r="O44" i="255"/>
  <c r="O45" i="255" s="1"/>
  <c r="O39" i="255"/>
  <c r="O40" i="255"/>
  <c r="O41" i="255" s="1"/>
  <c r="AD48" i="251"/>
  <c r="AA48" i="251"/>
  <c r="I129" i="251"/>
  <c r="I130" i="251" s="1"/>
  <c r="M68" i="261" s="1"/>
  <c r="L20" i="224"/>
  <c r="L20" i="259" s="1"/>
  <c r="D50" i="251"/>
  <c r="D93" i="251"/>
  <c r="M33" i="255"/>
  <c r="M34" i="255" s="1"/>
  <c r="M32" i="255"/>
  <c r="M18" i="224"/>
  <c r="M18" i="259" s="1"/>
  <c r="P20" i="224"/>
  <c r="P20" i="259" s="1"/>
  <c r="M129" i="251"/>
  <c r="M130" i="251" s="1"/>
  <c r="Q68" i="261" s="1"/>
  <c r="G97" i="251"/>
  <c r="G53" i="251"/>
  <c r="H25" i="255"/>
  <c r="H17" i="224"/>
  <c r="H17" i="259" s="1"/>
  <c r="H26" i="255"/>
  <c r="H27" i="255" s="1"/>
  <c r="J50" i="251"/>
  <c r="J93" i="251"/>
  <c r="L37" i="204"/>
  <c r="L35" i="204"/>
  <c r="L38" i="204"/>
  <c r="L39" i="204"/>
  <c r="AD37" i="204"/>
  <c r="AD38" i="204"/>
  <c r="AD35" i="204"/>
  <c r="AD39" i="204"/>
  <c r="Z39" i="204"/>
  <c r="Z35" i="204"/>
  <c r="Z37" i="204"/>
  <c r="Z38" i="204"/>
  <c r="F129" i="251"/>
  <c r="F130" i="251" s="1"/>
  <c r="J68" i="261" s="1"/>
  <c r="I20" i="224"/>
  <c r="I20" i="259" s="1"/>
  <c r="AE48" i="251"/>
  <c r="O25" i="255"/>
  <c r="O26" i="255"/>
  <c r="O27" i="255" s="1"/>
  <c r="O17" i="224"/>
  <c r="O17" i="259" s="1"/>
  <c r="X48" i="251"/>
  <c r="Q44" i="255"/>
  <c r="Q45" i="255" s="1"/>
  <c r="Q39" i="255"/>
  <c r="Q19" i="224"/>
  <c r="Q19" i="259" s="1"/>
  <c r="Q40" i="255"/>
  <c r="Q41" i="255" s="1"/>
  <c r="AC48" i="251"/>
  <c r="S39" i="204"/>
  <c r="S37" i="204"/>
  <c r="S35" i="204"/>
  <c r="S38" i="204"/>
  <c r="N93" i="251"/>
  <c r="N50" i="251"/>
  <c r="G33" i="255"/>
  <c r="G34" i="255" s="1"/>
  <c r="G18" i="224"/>
  <c r="G18" i="259" s="1"/>
  <c r="G32" i="255"/>
  <c r="N53" i="251"/>
  <c r="N97" i="251"/>
  <c r="O129" i="251"/>
  <c r="O130" i="251" s="1"/>
  <c r="R20" i="224"/>
  <c r="R20" i="259" s="1"/>
  <c r="H37" i="204"/>
  <c r="H35" i="204"/>
  <c r="H38" i="204"/>
  <c r="H39" i="204"/>
  <c r="M44" i="255"/>
  <c r="M45" i="255" s="1"/>
  <c r="M19" i="224"/>
  <c r="M19" i="259" s="1"/>
  <c r="M39" i="255"/>
  <c r="M40" i="255"/>
  <c r="M41" i="255" s="1"/>
  <c r="P19" i="224"/>
  <c r="P19" i="259" s="1"/>
  <c r="P39" i="255"/>
  <c r="P44" i="255"/>
  <c r="P45" i="255" s="1"/>
  <c r="P40" i="255"/>
  <c r="P41" i="255" s="1"/>
  <c r="G50" i="251"/>
  <c r="G93" i="251"/>
  <c r="H19" i="224"/>
  <c r="H19" i="259" s="1"/>
  <c r="H40" i="255"/>
  <c r="H41" i="255" s="1"/>
  <c r="H39" i="255"/>
  <c r="H44" i="255"/>
  <c r="H45" i="255" s="1"/>
  <c r="J53" i="251"/>
  <c r="J97" i="251"/>
  <c r="O38" i="204"/>
  <c r="O39" i="204"/>
  <c r="O35" i="204"/>
  <c r="O37" i="204"/>
  <c r="P39" i="204"/>
  <c r="P37" i="204"/>
  <c r="P38" i="204"/>
  <c r="P35" i="204"/>
  <c r="V37" i="204"/>
  <c r="V39" i="204"/>
  <c r="V38" i="204"/>
  <c r="V35" i="204"/>
  <c r="AB35" i="204"/>
  <c r="AB39" i="204"/>
  <c r="AB38" i="204"/>
  <c r="AB37" i="204"/>
  <c r="K40" i="255"/>
  <c r="K41" i="255" s="1"/>
  <c r="K19" i="224"/>
  <c r="K19" i="259" s="1"/>
  <c r="K39" i="255"/>
  <c r="K44" i="255"/>
  <c r="K45" i="255" s="1"/>
  <c r="M50" i="251"/>
  <c r="M93" i="251"/>
  <c r="L129" i="251"/>
  <c r="L130" i="251" s="1"/>
  <c r="P68" i="261" s="1"/>
  <c r="O20" i="224"/>
  <c r="O20" i="259" s="1"/>
  <c r="G129" i="251"/>
  <c r="G130" i="251" s="1"/>
  <c r="K68" i="261" s="1"/>
  <c r="J20" i="224"/>
  <c r="J20" i="259" s="1"/>
  <c r="Q20" i="224"/>
  <c r="Q20" i="259" s="1"/>
  <c r="N129" i="251"/>
  <c r="N130" i="251" s="1"/>
  <c r="D129" i="251"/>
  <c r="D130" i="251" s="1"/>
  <c r="H68" i="261" s="1"/>
  <c r="G20" i="224"/>
  <c r="G20" i="259" s="1"/>
  <c r="P25" i="255"/>
  <c r="P26" i="255"/>
  <c r="P27" i="255" s="1"/>
  <c r="P17" i="224"/>
  <c r="P17" i="259" s="1"/>
  <c r="E129" i="251"/>
  <c r="E130" i="251" s="1"/>
  <c r="I68" i="261" s="1"/>
  <c r="H20" i="224"/>
  <c r="H20" i="259" s="1"/>
  <c r="I19" i="224"/>
  <c r="I19" i="259" s="1"/>
  <c r="I39" i="255"/>
  <c r="I44" i="255"/>
  <c r="I45" i="255" s="1"/>
  <c r="I40" i="255"/>
  <c r="I41" i="255" s="1"/>
  <c r="I53" i="251"/>
  <c r="I97" i="251"/>
  <c r="L33" i="255"/>
  <c r="L34" i="255" s="1"/>
  <c r="L18" i="224"/>
  <c r="L18" i="259" s="1"/>
  <c r="L32" i="255"/>
  <c r="AG48" i="251"/>
  <c r="I93" i="251"/>
  <c r="I50" i="251"/>
  <c r="L44" i="255"/>
  <c r="L45" i="255" s="1"/>
  <c r="L19" i="224"/>
  <c r="L19" i="259" s="1"/>
  <c r="L39" i="255"/>
  <c r="L40" i="255"/>
  <c r="L41" i="255" s="1"/>
  <c r="J129" i="251"/>
  <c r="J130" i="251" s="1"/>
  <c r="N68" i="261" s="1"/>
  <c r="M20" i="224"/>
  <c r="M20" i="259" s="1"/>
  <c r="Y38" i="204"/>
  <c r="Y35" i="204"/>
  <c r="Y37" i="204"/>
  <c r="Y39" i="204"/>
  <c r="I38" i="204"/>
  <c r="I39" i="204"/>
  <c r="I35" i="204"/>
  <c r="I37" i="204"/>
  <c r="E39" i="204"/>
  <c r="E37" i="204"/>
  <c r="E38" i="204"/>
  <c r="E35" i="204"/>
  <c r="R35" i="204"/>
  <c r="R37" i="204"/>
  <c r="R38" i="204"/>
  <c r="R39" i="204"/>
  <c r="H129" i="251"/>
  <c r="H130" i="251" s="1"/>
  <c r="L68" i="261" s="1"/>
  <c r="K20" i="224"/>
  <c r="K20" i="259" s="1"/>
  <c r="W48" i="251"/>
  <c r="H50" i="251"/>
  <c r="H93" i="251"/>
  <c r="J17" i="224"/>
  <c r="J17" i="259" s="1"/>
  <c r="J25" i="255"/>
  <c r="J26" i="255"/>
  <c r="J27" i="255" s="1"/>
  <c r="L97" i="251"/>
  <c r="L53" i="251"/>
  <c r="F93" i="251"/>
  <c r="F50" i="251"/>
  <c r="Q17" i="224"/>
  <c r="Q17" i="259" s="1"/>
  <c r="Q26" i="255"/>
  <c r="Q27" i="255" s="1"/>
  <c r="Q25" i="255"/>
  <c r="BQ8" i="204"/>
  <c r="BQ12" i="204"/>
  <c r="BR11" i="204" s="1"/>
  <c r="BQ14" i="204"/>
  <c r="BQ13" i="204"/>
  <c r="AC37" i="204"/>
  <c r="AC35" i="204"/>
  <c r="AC39" i="204"/>
  <c r="AC38" i="204"/>
  <c r="N18" i="224"/>
  <c r="N18" i="259" s="1"/>
  <c r="N33" i="255"/>
  <c r="N34" i="255" s="1"/>
  <c r="N32" i="255"/>
  <c r="G26" i="255"/>
  <c r="G27" i="255" s="1"/>
  <c r="G25" i="255"/>
  <c r="G17" i="224"/>
  <c r="P32" i="255"/>
  <c r="P33" i="255"/>
  <c r="P34" i="255" s="1"/>
  <c r="P18" i="224"/>
  <c r="P18" i="259" s="1"/>
  <c r="G39" i="204"/>
  <c r="G38" i="204"/>
  <c r="G35" i="204"/>
  <c r="G37" i="204"/>
  <c r="O50" i="251"/>
  <c r="O93" i="251"/>
  <c r="L17" i="224"/>
  <c r="L17" i="259" s="1"/>
  <c r="L26" i="255"/>
  <c r="L27" i="255" s="1"/>
  <c r="L25" i="255"/>
  <c r="M17" i="224"/>
  <c r="M17" i="259" s="1"/>
  <c r="M25" i="255"/>
  <c r="M26" i="255"/>
  <c r="M27" i="255" s="1"/>
  <c r="N35" i="204"/>
  <c r="N39" i="204"/>
  <c r="N38" i="204"/>
  <c r="N37" i="204"/>
  <c r="T35" i="204"/>
  <c r="T38" i="204"/>
  <c r="T37" i="204"/>
  <c r="T39" i="204"/>
  <c r="D37" i="204"/>
  <c r="D38" i="204"/>
  <c r="D39" i="204"/>
  <c r="D35" i="204"/>
  <c r="K35" i="204"/>
  <c r="K38" i="204"/>
  <c r="K37" i="204"/>
  <c r="K39" i="204"/>
  <c r="K18" i="224"/>
  <c r="K18" i="259" s="1"/>
  <c r="K32" i="255"/>
  <c r="K33" i="255"/>
  <c r="K34" i="255" s="1"/>
  <c r="N25" i="255"/>
  <c r="N26" i="255"/>
  <c r="N27" i="255" s="1"/>
  <c r="N17" i="224"/>
  <c r="N17" i="259" s="1"/>
  <c r="M97" i="251"/>
  <c r="M53" i="251"/>
  <c r="Z48" i="251"/>
  <c r="J33" i="255"/>
  <c r="J34" i="255" s="1"/>
  <c r="J32" i="255"/>
  <c r="J18" i="224"/>
  <c r="J18" i="259" s="1"/>
  <c r="L50" i="251"/>
  <c r="L93" i="251"/>
  <c r="AM185" i="229"/>
  <c r="AM229" i="229" s="1"/>
  <c r="O291" i="229" s="1"/>
  <c r="O335" i="229" s="1"/>
  <c r="AP42" i="229"/>
  <c r="AP216" i="229" s="1"/>
  <c r="AK222" i="229"/>
  <c r="AL130" i="229"/>
  <c r="AL224" i="229" s="1"/>
  <c r="AK109" i="229"/>
  <c r="AK111" i="229" s="1"/>
  <c r="AK241" i="229" s="1"/>
  <c r="AM163" i="229"/>
  <c r="AM164" i="229" s="1"/>
  <c r="AM166" i="229" s="1"/>
  <c r="AM246" i="229" s="1"/>
  <c r="AL53" i="229"/>
  <c r="AL217" i="229" s="1"/>
  <c r="AQ86" i="229"/>
  <c r="AQ87" i="229" s="1"/>
  <c r="AQ89" i="229" s="1"/>
  <c r="AQ239" i="229" s="1"/>
  <c r="AJ75" i="229"/>
  <c r="AK73" i="229" s="1"/>
  <c r="AK118" i="229"/>
  <c r="AK204" i="229" s="1"/>
  <c r="AP30" i="229"/>
  <c r="AP196" i="229" s="1"/>
  <c r="AM151" i="229"/>
  <c r="AM207" i="229" s="1"/>
  <c r="AK140" i="229"/>
  <c r="AK206" i="229" s="1"/>
  <c r="AL107" i="229"/>
  <c r="AL203" i="229" s="1"/>
  <c r="AL172" i="229"/>
  <c r="AK228" i="229"/>
  <c r="AK175" i="229"/>
  <c r="AK177" i="229" s="1"/>
  <c r="AK247" i="229" s="1"/>
  <c r="AU96" i="229"/>
  <c r="AU202" i="229" s="1"/>
  <c r="AL131" i="229" l="1"/>
  <c r="AL133" i="229" s="1"/>
  <c r="AL243" i="229" s="1"/>
  <c r="AI62" i="229"/>
  <c r="AI63" i="229" s="1"/>
  <c r="AI199" i="229" s="1"/>
  <c r="AH218" i="229"/>
  <c r="U40" i="204"/>
  <c r="U41" i="204" s="1"/>
  <c r="AA40" i="204"/>
  <c r="AA41" i="204" s="1"/>
  <c r="AM186" i="229"/>
  <c r="AM188" i="229" s="1"/>
  <c r="AM248" i="229" s="1"/>
  <c r="AN183" i="229"/>
  <c r="AJ76" i="229"/>
  <c r="AJ78" i="229" s="1"/>
  <c r="AJ238" i="229" s="1"/>
  <c r="Z40" i="204"/>
  <c r="Z41" i="204" s="1"/>
  <c r="V40" i="204"/>
  <c r="V41" i="204" s="1"/>
  <c r="AP43" i="229"/>
  <c r="AP45" i="229" s="1"/>
  <c r="AP235" i="229" s="1"/>
  <c r="AN161" i="229"/>
  <c r="AN162" i="229" s="1"/>
  <c r="AN208" i="229" s="1"/>
  <c r="AQ40" i="229"/>
  <c r="AQ41" i="229" s="1"/>
  <c r="AQ197" i="229" s="1"/>
  <c r="AM227" i="229"/>
  <c r="O289" i="229" s="1"/>
  <c r="O333" i="229" s="1"/>
  <c r="AK141" i="229"/>
  <c r="AK225" i="229" s="1"/>
  <c r="AB40" i="204"/>
  <c r="AB41" i="204" s="1"/>
  <c r="AK119" i="229"/>
  <c r="AK120" i="229" s="1"/>
  <c r="AK122" i="229" s="1"/>
  <c r="AK242" i="229" s="1"/>
  <c r="I40" i="204"/>
  <c r="I41" i="204" s="1"/>
  <c r="AD40" i="204"/>
  <c r="AD41" i="204" s="1"/>
  <c r="AE40" i="204"/>
  <c r="AE41" i="204" s="1"/>
  <c r="H40" i="204"/>
  <c r="H41" i="204" s="1"/>
  <c r="R40" i="204"/>
  <c r="R41" i="204" s="1"/>
  <c r="N40" i="204"/>
  <c r="N41" i="204" s="1"/>
  <c r="S40" i="204"/>
  <c r="S41" i="204" s="1"/>
  <c r="X40" i="204"/>
  <c r="X41" i="204" s="1"/>
  <c r="W40" i="204"/>
  <c r="W41" i="204" s="1"/>
  <c r="K40" i="204"/>
  <c r="K41" i="204" s="1"/>
  <c r="G40" i="204"/>
  <c r="G41" i="204" s="1"/>
  <c r="F40" i="204"/>
  <c r="F41" i="204" s="1"/>
  <c r="J40" i="204"/>
  <c r="J41" i="204" s="1"/>
  <c r="Q40" i="204"/>
  <c r="Q41" i="204" s="1"/>
  <c r="T40" i="204"/>
  <c r="T41" i="204" s="1"/>
  <c r="AC40" i="204"/>
  <c r="AC41" i="204" s="1"/>
  <c r="O40" i="204"/>
  <c r="O41" i="204" s="1"/>
  <c r="M40" i="204"/>
  <c r="M41" i="204" s="1"/>
  <c r="Y40" i="204"/>
  <c r="Y41" i="204" s="1"/>
  <c r="E40" i="204"/>
  <c r="E41" i="204" s="1"/>
  <c r="AA50" i="251"/>
  <c r="I91" i="251"/>
  <c r="I94" i="251" s="1"/>
  <c r="AA53" i="251"/>
  <c r="I61" i="251"/>
  <c r="I95" i="251"/>
  <c r="I98" i="251" s="1"/>
  <c r="J95" i="251"/>
  <c r="J98" i="251" s="1"/>
  <c r="AB53" i="251"/>
  <c r="J61" i="251"/>
  <c r="O61" i="251"/>
  <c r="AG53" i="251"/>
  <c r="O95" i="251"/>
  <c r="O98" i="251" s="1"/>
  <c r="X50" i="251"/>
  <c r="F91" i="251"/>
  <c r="F94" i="251" s="1"/>
  <c r="H91" i="251"/>
  <c r="H94" i="251" s="1"/>
  <c r="Z50" i="251"/>
  <c r="AF53" i="251"/>
  <c r="N61" i="251"/>
  <c r="N95" i="251"/>
  <c r="N98" i="251" s="1"/>
  <c r="Y53" i="251"/>
  <c r="G95" i="251"/>
  <c r="G98" i="251" s="1"/>
  <c r="G61" i="251"/>
  <c r="V50" i="251"/>
  <c r="D91" i="251"/>
  <c r="D94" i="251" s="1"/>
  <c r="AC53" i="251"/>
  <c r="K61" i="251"/>
  <c r="K95" i="251"/>
  <c r="K98" i="251" s="1"/>
  <c r="L95" i="251"/>
  <c r="L98" i="251" s="1"/>
  <c r="AD53" i="251"/>
  <c r="L61" i="251"/>
  <c r="L91" i="251"/>
  <c r="L94" i="251" s="1"/>
  <c r="AD50" i="251"/>
  <c r="BR8" i="204"/>
  <c r="BR12" i="204"/>
  <c r="BS11" i="204" s="1"/>
  <c r="BR14" i="204"/>
  <c r="BR13" i="204"/>
  <c r="M91" i="251"/>
  <c r="M94" i="251" s="1"/>
  <c r="AE50" i="251"/>
  <c r="P40" i="204"/>
  <c r="E61" i="251"/>
  <c r="E95" i="251"/>
  <c r="E98" i="251" s="1"/>
  <c r="W53" i="251"/>
  <c r="E91" i="251"/>
  <c r="E94" i="251" s="1"/>
  <c r="W50" i="251"/>
  <c r="H61" i="251"/>
  <c r="Z53" i="251"/>
  <c r="H95" i="251"/>
  <c r="H98" i="251" s="1"/>
  <c r="M95" i="251"/>
  <c r="M98" i="251" s="1"/>
  <c r="M61" i="251"/>
  <c r="AE53" i="251"/>
  <c r="D40" i="204"/>
  <c r="AF50" i="251"/>
  <c r="N91" i="251"/>
  <c r="N94" i="251" s="1"/>
  <c r="L40" i="204"/>
  <c r="AB50" i="251"/>
  <c r="J91" i="251"/>
  <c r="J94" i="251" s="1"/>
  <c r="D61" i="251"/>
  <c r="V53" i="251"/>
  <c r="D95" i="251"/>
  <c r="D98" i="251" s="1"/>
  <c r="O91" i="251"/>
  <c r="O94" i="251" s="1"/>
  <c r="AG50" i="251"/>
  <c r="Y50" i="251"/>
  <c r="G91" i="251"/>
  <c r="G94" i="251" s="1"/>
  <c r="AC50" i="251"/>
  <c r="K91" i="251"/>
  <c r="K94" i="251" s="1"/>
  <c r="F61" i="251"/>
  <c r="F95" i="251"/>
  <c r="F98" i="251" s="1"/>
  <c r="X53" i="251"/>
  <c r="G17" i="259"/>
  <c r="G23" i="259" s="1"/>
  <c r="G23" i="224"/>
  <c r="AU97" i="229"/>
  <c r="AU221" i="229" s="1"/>
  <c r="Q283" i="229" s="1"/>
  <c r="Q327" i="229" s="1"/>
  <c r="AM128" i="229"/>
  <c r="AM129" i="229" s="1"/>
  <c r="AM205" i="229" s="1"/>
  <c r="AR84" i="229"/>
  <c r="AR85" i="229" s="1"/>
  <c r="AR201" i="229" s="1"/>
  <c r="AL108" i="229"/>
  <c r="AL109" i="229" s="1"/>
  <c r="AL111" i="229" s="1"/>
  <c r="AL241" i="229" s="1"/>
  <c r="AQ220" i="229"/>
  <c r="P282" i="229" s="1"/>
  <c r="P326" i="229" s="1"/>
  <c r="AL54" i="229"/>
  <c r="AL56" i="229" s="1"/>
  <c r="AL236" i="229" s="1"/>
  <c r="AJ219" i="229"/>
  <c r="AM51" i="229"/>
  <c r="AM52" i="229" s="1"/>
  <c r="AM198" i="229" s="1"/>
  <c r="AM152" i="229"/>
  <c r="AM226" i="229" s="1"/>
  <c r="O288" i="229" s="1"/>
  <c r="O332" i="229" s="1"/>
  <c r="AP31" i="229"/>
  <c r="AK74" i="229"/>
  <c r="AK200" i="229" s="1"/>
  <c r="AL173" i="229"/>
  <c r="AL209" i="229" s="1"/>
  <c r="AN184" i="229"/>
  <c r="AN210" i="229" s="1"/>
  <c r="AV95" i="229"/>
  <c r="AU98" i="229"/>
  <c r="AU100" i="229" s="1"/>
  <c r="AU240" i="229" s="1"/>
  <c r="AK223" i="229" l="1"/>
  <c r="AL222" i="229"/>
  <c r="AL139" i="229"/>
  <c r="AM106" i="229"/>
  <c r="AM107" i="229" s="1"/>
  <c r="AM203" i="229" s="1"/>
  <c r="AK142" i="229"/>
  <c r="AK144" i="229" s="1"/>
  <c r="AK244" i="229" s="1"/>
  <c r="AI64" i="229"/>
  <c r="AL117" i="229"/>
  <c r="AL118" i="229" s="1"/>
  <c r="AL204" i="229" s="1"/>
  <c r="P41" i="204"/>
  <c r="AA61" i="251"/>
  <c r="I62" i="251"/>
  <c r="AA62" i="251" s="1"/>
  <c r="AA68" i="251" s="1"/>
  <c r="I68" i="251" s="1"/>
  <c r="Z61" i="251"/>
  <c r="H62" i="251"/>
  <c r="Z62" i="251" s="1"/>
  <c r="Z68" i="251" s="1"/>
  <c r="H68" i="251" s="1"/>
  <c r="AF61" i="251"/>
  <c r="N62" i="251"/>
  <c r="AF62" i="251" s="1"/>
  <c r="AF68" i="251" s="1"/>
  <c r="N68" i="251" s="1"/>
  <c r="AB61" i="251"/>
  <c r="J62" i="251"/>
  <c r="AB62" i="251" s="1"/>
  <c r="AB68" i="251" s="1"/>
  <c r="J68" i="251" s="1"/>
  <c r="AG61" i="251"/>
  <c r="O62" i="251"/>
  <c r="AG62" i="251" s="1"/>
  <c r="AG68" i="251" s="1"/>
  <c r="O68" i="251" s="1"/>
  <c r="L41" i="204"/>
  <c r="BS12" i="204"/>
  <c r="BT11" i="204" s="1"/>
  <c r="BS8" i="204"/>
  <c r="BS14" i="204"/>
  <c r="BS13" i="204"/>
  <c r="D41" i="204"/>
  <c r="AC61" i="251"/>
  <c r="K62" i="251"/>
  <c r="AC62" i="251" s="1"/>
  <c r="AC68" i="251" s="1"/>
  <c r="K68" i="251" s="1"/>
  <c r="Y61" i="251"/>
  <c r="G62" i="251"/>
  <c r="Y62" i="251" s="1"/>
  <c r="Y68" i="251" s="1"/>
  <c r="G68" i="251" s="1"/>
  <c r="V61" i="251"/>
  <c r="D62" i="251"/>
  <c r="V62" i="251" s="1"/>
  <c r="V68" i="251" s="1"/>
  <c r="D68" i="251" s="1"/>
  <c r="AE61" i="251"/>
  <c r="M62" i="251"/>
  <c r="AE62" i="251" s="1"/>
  <c r="AE68" i="251" s="1"/>
  <c r="M68" i="251" s="1"/>
  <c r="W61" i="251"/>
  <c r="E62" i="251"/>
  <c r="W62" i="251" s="1"/>
  <c r="W68" i="251" s="1"/>
  <c r="E68" i="251" s="1"/>
  <c r="AD61" i="251"/>
  <c r="L62" i="251"/>
  <c r="AD62" i="251" s="1"/>
  <c r="AD68" i="251" s="1"/>
  <c r="L68" i="251" s="1"/>
  <c r="X61" i="251"/>
  <c r="F62" i="251"/>
  <c r="X62" i="251" s="1"/>
  <c r="X68" i="251" s="1"/>
  <c r="F68" i="251" s="1"/>
  <c r="AR86" i="229"/>
  <c r="AR220" i="229" s="1"/>
  <c r="AN163" i="229"/>
  <c r="AN164" i="229" s="1"/>
  <c r="AN166" i="229" s="1"/>
  <c r="AN246" i="229" s="1"/>
  <c r="AM153" i="229"/>
  <c r="AM155" i="229" s="1"/>
  <c r="AM245" i="229" s="1"/>
  <c r="AN150" i="229"/>
  <c r="AN151" i="229" s="1"/>
  <c r="AN207" i="229" s="1"/>
  <c r="AM130" i="229"/>
  <c r="AM224" i="229" s="1"/>
  <c r="O286" i="229" s="1"/>
  <c r="O330" i="229" s="1"/>
  <c r="AQ42" i="229"/>
  <c r="AQ43" i="229" s="1"/>
  <c r="AQ45" i="229" s="1"/>
  <c r="AQ235" i="229" s="1"/>
  <c r="AL174" i="229"/>
  <c r="AL228" i="229" s="1"/>
  <c r="AM53" i="229"/>
  <c r="AM217" i="229" s="1"/>
  <c r="O279" i="229" s="1"/>
  <c r="O323" i="229" s="1"/>
  <c r="AN185" i="229"/>
  <c r="AO183" i="229" s="1"/>
  <c r="AL140" i="229"/>
  <c r="AL206" i="229" s="1"/>
  <c r="AP215" i="229"/>
  <c r="AQ29" i="229"/>
  <c r="AP32" i="229"/>
  <c r="AP34" i="229" s="1"/>
  <c r="AP234" i="229" s="1"/>
  <c r="AK75" i="229"/>
  <c r="AV96" i="229"/>
  <c r="AV202" i="229" s="1"/>
  <c r="AN227" i="229" l="1"/>
  <c r="AO161" i="229"/>
  <c r="AO162" i="229" s="1"/>
  <c r="AO208" i="229" s="1"/>
  <c r="AJ62" i="229"/>
  <c r="AI218" i="229"/>
  <c r="N280" i="229" s="1"/>
  <c r="N324" i="229" s="1"/>
  <c r="N320" i="229" s="1"/>
  <c r="G65" i="251" s="1"/>
  <c r="Y65" i="251" s="1"/>
  <c r="AI65" i="229"/>
  <c r="AI67" i="229" s="1"/>
  <c r="AI237" i="229" s="1"/>
  <c r="AQ216" i="229"/>
  <c r="P278" i="229" s="1"/>
  <c r="P322" i="229" s="1"/>
  <c r="AR40" i="229"/>
  <c r="AR41" i="229" s="1"/>
  <c r="AR197" i="229" s="1"/>
  <c r="AR87" i="229"/>
  <c r="AR89" i="229" s="1"/>
  <c r="AR239" i="229" s="1"/>
  <c r="AS84" i="229"/>
  <c r="AS85" i="229" s="1"/>
  <c r="AS201" i="229" s="1"/>
  <c r="BT8" i="204"/>
  <c r="BT12" i="204"/>
  <c r="BU11" i="204" s="1"/>
  <c r="BT14" i="204"/>
  <c r="BJ23" i="198"/>
  <c r="AY23" i="198"/>
  <c r="BL23" i="198"/>
  <c r="BM23" i="198"/>
  <c r="BN23" i="198"/>
  <c r="BA23" i="198"/>
  <c r="BH23" i="198"/>
  <c r="BK23" i="198"/>
  <c r="BF23" i="198"/>
  <c r="BT23" i="198"/>
  <c r="BC23" i="198"/>
  <c r="BG23" i="198"/>
  <c r="BO23" i="198"/>
  <c r="BD23" i="198"/>
  <c r="BR23" i="198"/>
  <c r="BP23" i="198"/>
  <c r="AZ23" i="198"/>
  <c r="BS23" i="198"/>
  <c r="BB23" i="198"/>
  <c r="BE23" i="198"/>
  <c r="BQ23" i="198"/>
  <c r="BI23" i="198"/>
  <c r="BU23" i="198"/>
  <c r="BT13" i="204"/>
  <c r="AV97" i="229"/>
  <c r="AW95" i="229" s="1"/>
  <c r="AM131" i="229"/>
  <c r="AM133" i="229" s="1"/>
  <c r="AM243" i="229" s="1"/>
  <c r="AN186" i="229"/>
  <c r="AN188" i="229" s="1"/>
  <c r="AN248" i="229" s="1"/>
  <c r="AL175" i="229"/>
  <c r="AL177" i="229" s="1"/>
  <c r="AL247" i="229" s="1"/>
  <c r="AN128" i="229"/>
  <c r="AN129" i="229" s="1"/>
  <c r="AN205" i="229" s="1"/>
  <c r="AM172" i="229"/>
  <c r="AM173" i="229" s="1"/>
  <c r="AM209" i="229" s="1"/>
  <c r="AN229" i="229"/>
  <c r="AM54" i="229"/>
  <c r="AM56" i="229" s="1"/>
  <c r="AM236" i="229" s="1"/>
  <c r="AN51" i="229"/>
  <c r="AN52" i="229" s="1"/>
  <c r="AN198" i="229" s="1"/>
  <c r="AL141" i="229"/>
  <c r="AL142" i="229" s="1"/>
  <c r="AL144" i="229" s="1"/>
  <c r="AL244" i="229" s="1"/>
  <c r="AN152" i="229"/>
  <c r="AL119" i="229"/>
  <c r="AO184" i="229"/>
  <c r="AO210" i="229" s="1"/>
  <c r="AL73" i="229"/>
  <c r="AK219" i="229"/>
  <c r="AK76" i="229"/>
  <c r="AK78" i="229" s="1"/>
  <c r="AK238" i="229" s="1"/>
  <c r="AQ30" i="229"/>
  <c r="AQ196" i="229" s="1"/>
  <c r="AM108" i="229"/>
  <c r="AV221" i="229"/>
  <c r="AJ63" i="229" l="1"/>
  <c r="AJ199" i="229" s="1"/>
  <c r="AV98" i="229"/>
  <c r="AV100" i="229" s="1"/>
  <c r="AV240" i="229" s="1"/>
  <c r="BU8" i="204"/>
  <c r="BU12" i="204"/>
  <c r="BV11" i="204" s="1"/>
  <c r="BU14" i="204"/>
  <c r="BU13" i="204"/>
  <c r="BL24" i="198"/>
  <c r="BL25" i="198" s="1"/>
  <c r="BL27" i="198" s="1"/>
  <c r="BT24" i="198"/>
  <c r="BT25" i="198" s="1"/>
  <c r="BT27" i="198" s="1"/>
  <c r="BM24" i="198"/>
  <c r="BM25" i="198" s="1"/>
  <c r="BM27" i="198" s="1"/>
  <c r="AY24" i="198"/>
  <c r="AY25" i="198" s="1"/>
  <c r="AY27" i="198" s="1"/>
  <c r="BI24" i="198"/>
  <c r="BI25" i="198" s="1"/>
  <c r="BI27" i="198" s="1"/>
  <c r="BF24" i="198"/>
  <c r="BF25" i="198" s="1"/>
  <c r="BF27" i="198" s="1"/>
  <c r="BK24" i="198"/>
  <c r="BK25" i="198" s="1"/>
  <c r="BK27" i="198" s="1"/>
  <c r="BN24" i="198"/>
  <c r="BN25" i="198" s="1"/>
  <c r="BN27" i="198" s="1"/>
  <c r="BU24" i="198"/>
  <c r="BU25" i="198" s="1"/>
  <c r="BU27" i="198" s="1"/>
  <c r="BO24" i="198"/>
  <c r="BO25" i="198" s="1"/>
  <c r="BO27" i="198" s="1"/>
  <c r="BC24" i="198"/>
  <c r="BC25" i="198" s="1"/>
  <c r="BC27" i="198" s="1"/>
  <c r="BP24" i="198"/>
  <c r="BP25" i="198" s="1"/>
  <c r="BP27" i="198" s="1"/>
  <c r="BD24" i="198"/>
  <c r="BD25" i="198" s="1"/>
  <c r="BD27" i="198" s="1"/>
  <c r="AZ24" i="198"/>
  <c r="AZ25" i="198" s="1"/>
  <c r="AZ27" i="198" s="1"/>
  <c r="BE24" i="198"/>
  <c r="BE25" i="198" s="1"/>
  <c r="BE27" i="198" s="1"/>
  <c r="BJ24" i="198"/>
  <c r="BJ25" i="198" s="1"/>
  <c r="BJ27" i="198" s="1"/>
  <c r="BR24" i="198"/>
  <c r="BR25" i="198" s="1"/>
  <c r="BR27" i="198" s="1"/>
  <c r="BG24" i="198"/>
  <c r="BG25" i="198" s="1"/>
  <c r="BG27" i="198" s="1"/>
  <c r="BH24" i="198"/>
  <c r="BH25" i="198" s="1"/>
  <c r="BH27" i="198" s="1"/>
  <c r="BB24" i="198"/>
  <c r="BB25" i="198" s="1"/>
  <c r="BB27" i="198" s="1"/>
  <c r="BS24" i="198"/>
  <c r="BS25" i="198" s="1"/>
  <c r="BS27" i="198" s="1"/>
  <c r="BA24" i="198"/>
  <c r="BA25" i="198" s="1"/>
  <c r="BA27" i="198" s="1"/>
  <c r="BQ24" i="198"/>
  <c r="BQ25" i="198" s="1"/>
  <c r="BQ27" i="198" s="1"/>
  <c r="AL225" i="229"/>
  <c r="AN130" i="229"/>
  <c r="AO128" i="229" s="1"/>
  <c r="AM139" i="229"/>
  <c r="AM140" i="229" s="1"/>
  <c r="AM206" i="229" s="1"/>
  <c r="AQ31" i="229"/>
  <c r="AQ215" i="229" s="1"/>
  <c r="P277" i="229" s="1"/>
  <c r="P321" i="229" s="1"/>
  <c r="AO163" i="229"/>
  <c r="AO227" i="229" s="1"/>
  <c r="AM174" i="229"/>
  <c r="AN172" i="229" s="1"/>
  <c r="AS86" i="229"/>
  <c r="AT84" i="229" s="1"/>
  <c r="AO185" i="229"/>
  <c r="AP183" i="229" s="1"/>
  <c r="AM117" i="229"/>
  <c r="AL223" i="229"/>
  <c r="AL120" i="229"/>
  <c r="AL122" i="229" s="1"/>
  <c r="AL242" i="229" s="1"/>
  <c r="AL74" i="229"/>
  <c r="AL200" i="229" s="1"/>
  <c r="AN53" i="229"/>
  <c r="AR42" i="229"/>
  <c r="AM222" i="229"/>
  <c r="O284" i="229" s="1"/>
  <c r="O328" i="229" s="1"/>
  <c r="AN106" i="229"/>
  <c r="AM109" i="229"/>
  <c r="AM111" i="229" s="1"/>
  <c r="AM241" i="229" s="1"/>
  <c r="AN226" i="229"/>
  <c r="AO150" i="229"/>
  <c r="AN153" i="229"/>
  <c r="AN155" i="229" s="1"/>
  <c r="AN245" i="229" s="1"/>
  <c r="AW96" i="229"/>
  <c r="AW202" i="229" s="1"/>
  <c r="DY27" i="198" l="1"/>
  <c r="P33" i="198" s="1"/>
  <c r="L64" i="251" s="1"/>
  <c r="AD64" i="251" s="1"/>
  <c r="AJ64" i="229"/>
  <c r="AJ65" i="229" s="1"/>
  <c r="AJ67" i="229" s="1"/>
  <c r="AJ237" i="229" s="1"/>
  <c r="AW97" i="229"/>
  <c r="AN131" i="229"/>
  <c r="AN133" i="229" s="1"/>
  <c r="AN243" i="229" s="1"/>
  <c r="AN224" i="229"/>
  <c r="AP161" i="229"/>
  <c r="AP162" i="229" s="1"/>
  <c r="AP208" i="229" s="1"/>
  <c r="AO164" i="229"/>
  <c r="AO166" i="229" s="1"/>
  <c r="AO246" i="229" s="1"/>
  <c r="DZ27" i="198"/>
  <c r="Q33" i="198" s="1"/>
  <c r="EC27" i="198"/>
  <c r="T33" i="198" s="1"/>
  <c r="P64" i="251" s="1"/>
  <c r="ED27" i="198"/>
  <c r="U33" i="198" s="1"/>
  <c r="Q64" i="251" s="1"/>
  <c r="EA27" i="198"/>
  <c r="R33" i="198" s="1"/>
  <c r="N64" i="251" s="1"/>
  <c r="AF64" i="251" s="1"/>
  <c r="BV8" i="204"/>
  <c r="BV12" i="204"/>
  <c r="BW11" i="204" s="1"/>
  <c r="BV14" i="204"/>
  <c r="BV13" i="204"/>
  <c r="EB27" i="198"/>
  <c r="S33" i="198" s="1"/>
  <c r="O64" i="251" s="1"/>
  <c r="AG64" i="251" s="1"/>
  <c r="AL75" i="229"/>
  <c r="AL76" i="229" s="1"/>
  <c r="AL78" i="229" s="1"/>
  <c r="AL238" i="229" s="1"/>
  <c r="AM175" i="229"/>
  <c r="AM177" i="229" s="1"/>
  <c r="AM247" i="229" s="1"/>
  <c r="AM228" i="229"/>
  <c r="O290" i="229" s="1"/>
  <c r="O334" i="229" s="1"/>
  <c r="AQ32" i="229"/>
  <c r="AQ34" i="229" s="1"/>
  <c r="AQ234" i="229" s="1"/>
  <c r="AR29" i="229"/>
  <c r="AR30" i="229" s="1"/>
  <c r="AR196" i="229" s="1"/>
  <c r="AS87" i="229"/>
  <c r="AS89" i="229" s="1"/>
  <c r="AS239" i="229" s="1"/>
  <c r="AS220" i="229"/>
  <c r="AO186" i="229"/>
  <c r="AO188" i="229" s="1"/>
  <c r="AO248" i="229" s="1"/>
  <c r="AO229" i="229"/>
  <c r="AM141" i="229"/>
  <c r="AM142" i="229" s="1"/>
  <c r="AM144" i="229" s="1"/>
  <c r="AM244" i="229" s="1"/>
  <c r="AO51" i="229"/>
  <c r="AN217" i="229"/>
  <c r="AN54" i="229"/>
  <c r="AN56" i="229" s="1"/>
  <c r="AN236" i="229" s="1"/>
  <c r="AM118" i="229"/>
  <c r="AM204" i="229" s="1"/>
  <c r="AO151" i="229"/>
  <c r="AO207" i="229" s="1"/>
  <c r="AT85" i="229"/>
  <c r="AT201" i="229" s="1"/>
  <c r="AP184" i="229"/>
  <c r="AP210" i="229" s="1"/>
  <c r="AN173" i="229"/>
  <c r="AN209" i="229" s="1"/>
  <c r="AO129" i="229"/>
  <c r="AO205" i="229" s="1"/>
  <c r="AN107" i="229"/>
  <c r="AN203" i="229" s="1"/>
  <c r="AR216" i="229"/>
  <c r="AS40" i="229"/>
  <c r="AR43" i="229"/>
  <c r="AR45" i="229" s="1"/>
  <c r="AR235" i="229" s="1"/>
  <c r="AW221" i="229"/>
  <c r="AX95" i="229"/>
  <c r="AW98" i="229"/>
  <c r="AW100" i="229" s="1"/>
  <c r="AW240" i="229" s="1"/>
  <c r="AK62" i="229" l="1"/>
  <c r="AK63" i="229" s="1"/>
  <c r="AK199" i="229" s="1"/>
  <c r="AJ218" i="229"/>
  <c r="P36" i="261"/>
  <c r="P52" i="261" s="1"/>
  <c r="AL219" i="229"/>
  <c r="AM73" i="229"/>
  <c r="AM74" i="229" s="1"/>
  <c r="AM200" i="229" s="1"/>
  <c r="AN108" i="229"/>
  <c r="AO106" i="229" s="1"/>
  <c r="BW8" i="204"/>
  <c r="BW12" i="204"/>
  <c r="BX11" i="204" s="1"/>
  <c r="BW14" i="204"/>
  <c r="BW13" i="204"/>
  <c r="M64" i="251"/>
  <c r="AE64" i="251" s="1"/>
  <c r="Q36" i="261"/>
  <c r="Q52" i="261" s="1"/>
  <c r="Q51" i="261" s="1"/>
  <c r="AM225" i="229"/>
  <c r="O287" i="229" s="1"/>
  <c r="O331" i="229" s="1"/>
  <c r="AN139" i="229"/>
  <c r="AN140" i="229" s="1"/>
  <c r="AN206" i="229" s="1"/>
  <c r="AR31" i="229"/>
  <c r="AR215" i="229" s="1"/>
  <c r="AT86" i="229"/>
  <c r="AT220" i="229" s="1"/>
  <c r="AP185" i="229"/>
  <c r="AP186" i="229" s="1"/>
  <c r="AP188" i="229" s="1"/>
  <c r="AP248" i="229" s="1"/>
  <c r="AS41" i="229"/>
  <c r="AS197" i="229" s="1"/>
  <c r="AO130" i="229"/>
  <c r="AO152" i="229"/>
  <c r="AP163" i="229"/>
  <c r="AO52" i="229"/>
  <c r="AO198" i="229" s="1"/>
  <c r="AN174" i="229"/>
  <c r="AM119" i="229"/>
  <c r="AX96" i="229"/>
  <c r="AX202" i="229" s="1"/>
  <c r="AK64" i="229" l="1"/>
  <c r="AK65" i="229" s="1"/>
  <c r="AK67" i="229" s="1"/>
  <c r="AK237" i="229" s="1"/>
  <c r="AN109" i="229"/>
  <c r="AN111" i="229" s="1"/>
  <c r="AN241" i="229" s="1"/>
  <c r="AN222" i="229"/>
  <c r="AS29" i="229"/>
  <c r="AS30" i="229" s="1"/>
  <c r="AS196" i="229" s="1"/>
  <c r="R36" i="261"/>
  <c r="P51" i="261"/>
  <c r="T51" i="261" s="1"/>
  <c r="T52" i="261"/>
  <c r="BX8" i="204"/>
  <c r="BX14" i="204"/>
  <c r="BX12" i="204"/>
  <c r="BY11" i="204" s="1"/>
  <c r="BX13" i="204"/>
  <c r="AM75" i="229"/>
  <c r="AM219" i="229" s="1"/>
  <c r="O281" i="229" s="1"/>
  <c r="O325" i="229" s="1"/>
  <c r="AX97" i="229"/>
  <c r="AX221" i="229" s="1"/>
  <c r="AN141" i="229"/>
  <c r="AN225" i="229" s="1"/>
  <c r="AR32" i="229"/>
  <c r="AR34" i="229" s="1"/>
  <c r="AR234" i="229" s="1"/>
  <c r="AT87" i="229"/>
  <c r="AT89" i="229" s="1"/>
  <c r="AT239" i="229" s="1"/>
  <c r="AQ183" i="229"/>
  <c r="AQ184" i="229" s="1"/>
  <c r="AQ210" i="229" s="1"/>
  <c r="AU84" i="229"/>
  <c r="AU85" i="229" s="1"/>
  <c r="AU201" i="229" s="1"/>
  <c r="AP229" i="229"/>
  <c r="AS42" i="229"/>
  <c r="AM120" i="229"/>
  <c r="AM122" i="229" s="1"/>
  <c r="AM242" i="229" s="1"/>
  <c r="AN117" i="229"/>
  <c r="AM223" i="229"/>
  <c r="O285" i="229" s="1"/>
  <c r="O329" i="229" s="1"/>
  <c r="O336" i="229" s="1"/>
  <c r="K22" i="224" s="1"/>
  <c r="K22" i="259" s="1"/>
  <c r="AN228" i="229"/>
  <c r="AO172" i="229"/>
  <c r="AN175" i="229"/>
  <c r="AN177" i="229" s="1"/>
  <c r="AN247" i="229" s="1"/>
  <c r="AO53" i="229"/>
  <c r="AP150" i="229"/>
  <c r="AO226" i="229"/>
  <c r="AO153" i="229"/>
  <c r="AO155" i="229" s="1"/>
  <c r="AO245" i="229" s="1"/>
  <c r="AQ161" i="229"/>
  <c r="AP227" i="229"/>
  <c r="AP164" i="229"/>
  <c r="AP166" i="229" s="1"/>
  <c r="AP246" i="229" s="1"/>
  <c r="AO224" i="229"/>
  <c r="AP128" i="229"/>
  <c r="AO131" i="229"/>
  <c r="AO133" i="229" s="1"/>
  <c r="AO243" i="229" s="1"/>
  <c r="AO107" i="229"/>
  <c r="AO203" i="229" s="1"/>
  <c r="AL62" i="229" l="1"/>
  <c r="AL63" i="229" s="1"/>
  <c r="AL199" i="229" s="1"/>
  <c r="AK218" i="229"/>
  <c r="AX98" i="229"/>
  <c r="AX100" i="229" s="1"/>
  <c r="AX240" i="229" s="1"/>
  <c r="AY95" i="229"/>
  <c r="AN73" i="229"/>
  <c r="AN74" i="229" s="1"/>
  <c r="AN200" i="229" s="1"/>
  <c r="AO139" i="229"/>
  <c r="AO140" i="229" s="1"/>
  <c r="AO206" i="229" s="1"/>
  <c r="AM76" i="229"/>
  <c r="AM78" i="229" s="1"/>
  <c r="AM238" i="229" s="1"/>
  <c r="AN142" i="229"/>
  <c r="AN144" i="229" s="1"/>
  <c r="AN244" i="229" s="1"/>
  <c r="BY8" i="204"/>
  <c r="BY12" i="204"/>
  <c r="BZ11" i="204" s="1"/>
  <c r="BY14" i="204"/>
  <c r="BY13" i="204"/>
  <c r="AQ185" i="229"/>
  <c r="AQ229" i="229" s="1"/>
  <c r="P291" i="229" s="1"/>
  <c r="P335" i="229" s="1"/>
  <c r="AS31" i="229"/>
  <c r="AT29" i="229" s="1"/>
  <c r="AO108" i="229"/>
  <c r="AP106" i="229" s="1"/>
  <c r="AQ162" i="229"/>
  <c r="AQ208" i="229" s="1"/>
  <c r="AU86" i="229"/>
  <c r="AN118" i="229"/>
  <c r="AN204" i="229" s="1"/>
  <c r="AP151" i="229"/>
  <c r="AP207" i="229" s="1"/>
  <c r="AO173" i="229"/>
  <c r="AO209" i="229" s="1"/>
  <c r="AO217" i="229"/>
  <c r="AP51" i="229"/>
  <c r="AO54" i="229"/>
  <c r="AO56" i="229" s="1"/>
  <c r="AO236" i="229" s="1"/>
  <c r="AP129" i="229"/>
  <c r="AP205" i="229" s="1"/>
  <c r="AS216" i="229"/>
  <c r="AT40" i="229"/>
  <c r="AS43" i="229"/>
  <c r="AS45" i="229" s="1"/>
  <c r="AS235" i="229" s="1"/>
  <c r="AY96" i="229"/>
  <c r="AY202" i="229" s="1"/>
  <c r="AL64" i="229" l="1"/>
  <c r="AM62" i="229" s="1"/>
  <c r="AQ186" i="229"/>
  <c r="AQ188" i="229" s="1"/>
  <c r="AQ248" i="229" s="1"/>
  <c r="AY97" i="229"/>
  <c r="AY98" i="229" s="1"/>
  <c r="AY100" i="229" s="1"/>
  <c r="AY240" i="229" s="1"/>
  <c r="AS32" i="229"/>
  <c r="AS34" i="229" s="1"/>
  <c r="AS234" i="229" s="1"/>
  <c r="AR183" i="229"/>
  <c r="AR184" i="229" s="1"/>
  <c r="AR210" i="229" s="1"/>
  <c r="BZ8" i="204"/>
  <c r="BZ12" i="204"/>
  <c r="CA11" i="204" s="1"/>
  <c r="BZ14" i="204"/>
  <c r="BZ13" i="204"/>
  <c r="AN119" i="229"/>
  <c r="AN223" i="229" s="1"/>
  <c r="AO109" i="229"/>
  <c r="AO111" i="229" s="1"/>
  <c r="AO241" i="229" s="1"/>
  <c r="AS215" i="229"/>
  <c r="AO222" i="229"/>
  <c r="AP152" i="229"/>
  <c r="AP226" i="229" s="1"/>
  <c r="AO141" i="229"/>
  <c r="AO142" i="229" s="1"/>
  <c r="AO144" i="229" s="1"/>
  <c r="AO244" i="229" s="1"/>
  <c r="AN75" i="229"/>
  <c r="AO73" i="229" s="1"/>
  <c r="AT30" i="229"/>
  <c r="AT196" i="229" s="1"/>
  <c r="AO117" i="229"/>
  <c r="AP107" i="229"/>
  <c r="AP203" i="229" s="1"/>
  <c r="AV84" i="229"/>
  <c r="AU220" i="229"/>
  <c r="Q282" i="229" s="1"/>
  <c r="Q326" i="229" s="1"/>
  <c r="AU87" i="229"/>
  <c r="AU89" i="229" s="1"/>
  <c r="AU239" i="229" s="1"/>
  <c r="AP52" i="229"/>
  <c r="AP198" i="229" s="1"/>
  <c r="AT41" i="229"/>
  <c r="AT197" i="229" s="1"/>
  <c r="AQ163" i="229"/>
  <c r="AP130" i="229"/>
  <c r="AO174" i="229"/>
  <c r="AY221" i="229"/>
  <c r="R283" i="229" s="1"/>
  <c r="R327" i="229" s="1"/>
  <c r="AZ95" i="229"/>
  <c r="AL65" i="229" l="1"/>
  <c r="AL67" i="229" s="1"/>
  <c r="AL237" i="229" s="1"/>
  <c r="AL218" i="229"/>
  <c r="AM63" i="229"/>
  <c r="AM199" i="229" s="1"/>
  <c r="AN120" i="229"/>
  <c r="AN122" i="229" s="1"/>
  <c r="AN242" i="229" s="1"/>
  <c r="CA12" i="204"/>
  <c r="CB11" i="204" s="1"/>
  <c r="CA8" i="204"/>
  <c r="CA14" i="204"/>
  <c r="CA13" i="204"/>
  <c r="AN76" i="229"/>
  <c r="AN78" i="229" s="1"/>
  <c r="AN238" i="229" s="1"/>
  <c r="AN219" i="229"/>
  <c r="AP153" i="229"/>
  <c r="AP155" i="229" s="1"/>
  <c r="AP245" i="229" s="1"/>
  <c r="AQ150" i="229"/>
  <c r="AQ151" i="229" s="1"/>
  <c r="AQ207" i="229" s="1"/>
  <c r="AO225" i="229"/>
  <c r="AP139" i="229"/>
  <c r="AP140" i="229" s="1"/>
  <c r="AP206" i="229" s="1"/>
  <c r="AT31" i="229"/>
  <c r="AU29" i="229" s="1"/>
  <c r="AT42" i="229"/>
  <c r="AU40" i="229" s="1"/>
  <c r="AR185" i="229"/>
  <c r="AO118" i="229"/>
  <c r="AO204" i="229" s="1"/>
  <c r="AO74" i="229"/>
  <c r="AO200" i="229" s="1"/>
  <c r="AP108" i="229"/>
  <c r="AP53" i="229"/>
  <c r="AO228" i="229"/>
  <c r="AP172" i="229"/>
  <c r="AO175" i="229"/>
  <c r="AO177" i="229" s="1"/>
  <c r="AO247" i="229" s="1"/>
  <c r="AP224" i="229"/>
  <c r="AQ128" i="229"/>
  <c r="AP131" i="229"/>
  <c r="AP133" i="229" s="1"/>
  <c r="AP243" i="229" s="1"/>
  <c r="AV85" i="229"/>
  <c r="AV201" i="229" s="1"/>
  <c r="AQ227" i="229"/>
  <c r="P289" i="229" s="1"/>
  <c r="P333" i="229" s="1"/>
  <c r="AR161" i="229"/>
  <c r="AQ164" i="229"/>
  <c r="AQ166" i="229" s="1"/>
  <c r="AQ246" i="229" s="1"/>
  <c r="AZ96" i="229"/>
  <c r="AZ202" i="229" s="1"/>
  <c r="AM64" i="229" l="1"/>
  <c r="AM218" i="229" s="1"/>
  <c r="O280" i="229" s="1"/>
  <c r="O324" i="229" s="1"/>
  <c r="O320" i="229" s="1"/>
  <c r="H65" i="251" s="1"/>
  <c r="Z65" i="251" s="1"/>
  <c r="CB8" i="204"/>
  <c r="CB12" i="204"/>
  <c r="CB14" i="204"/>
  <c r="CB13" i="204"/>
  <c r="AZ97" i="229"/>
  <c r="AZ98" i="229" s="1"/>
  <c r="AZ100" i="229" s="1"/>
  <c r="AZ240" i="229" s="1"/>
  <c r="AT215" i="229"/>
  <c r="AT32" i="229"/>
  <c r="AT34" i="229" s="1"/>
  <c r="AT234" i="229" s="1"/>
  <c r="AQ152" i="229"/>
  <c r="AR150" i="229" s="1"/>
  <c r="AV86" i="229"/>
  <c r="AV87" i="229" s="1"/>
  <c r="AV89" i="229" s="1"/>
  <c r="AV239" i="229" s="1"/>
  <c r="AT43" i="229"/>
  <c r="AT45" i="229" s="1"/>
  <c r="AT235" i="229" s="1"/>
  <c r="AT216" i="229"/>
  <c r="AO119" i="229"/>
  <c r="AP117" i="229" s="1"/>
  <c r="AP141" i="229"/>
  <c r="AP225" i="229" s="1"/>
  <c r="AQ129" i="229"/>
  <c r="AQ205" i="229" s="1"/>
  <c r="AU30" i="229"/>
  <c r="AU196" i="229" s="1"/>
  <c r="AP173" i="229"/>
  <c r="AP209" i="229" s="1"/>
  <c r="AQ51" i="229"/>
  <c r="AP217" i="229"/>
  <c r="AP54" i="229"/>
  <c r="AP56" i="229" s="1"/>
  <c r="AP236" i="229" s="1"/>
  <c r="AQ106" i="229"/>
  <c r="AP222" i="229"/>
  <c r="AP109" i="229"/>
  <c r="AP111" i="229" s="1"/>
  <c r="AP241" i="229" s="1"/>
  <c r="AU41" i="229"/>
  <c r="AU197" i="229" s="1"/>
  <c r="AR162" i="229"/>
  <c r="AR208" i="229" s="1"/>
  <c r="AO75" i="229"/>
  <c r="AS183" i="229"/>
  <c r="AR229" i="229"/>
  <c r="AR186" i="229"/>
  <c r="AR188" i="229" s="1"/>
  <c r="AR248" i="229" s="1"/>
  <c r="BA95" i="229"/>
  <c r="AM65" i="229" l="1"/>
  <c r="AM67" i="229" s="1"/>
  <c r="AM237" i="229" s="1"/>
  <c r="AN62" i="229"/>
  <c r="AN63" i="229" s="1"/>
  <c r="AN199" i="229" s="1"/>
  <c r="AZ221" i="229"/>
  <c r="AW84" i="229"/>
  <c r="AW85" i="229" s="1"/>
  <c r="AW201" i="229" s="1"/>
  <c r="AQ153" i="229"/>
  <c r="AQ155" i="229" s="1"/>
  <c r="AQ245" i="229" s="1"/>
  <c r="AQ226" i="229"/>
  <c r="P288" i="229" s="1"/>
  <c r="P332" i="229" s="1"/>
  <c r="CC11" i="204"/>
  <c r="R55" i="253"/>
  <c r="R57" i="253" s="1"/>
  <c r="Q55" i="253"/>
  <c r="Q57" i="253" s="1"/>
  <c r="S55" i="253"/>
  <c r="S57" i="253" s="1"/>
  <c r="P55" i="253"/>
  <c r="P57" i="253" s="1"/>
  <c r="AV220" i="229"/>
  <c r="AR163" i="229"/>
  <c r="AS161" i="229" s="1"/>
  <c r="AQ139" i="229"/>
  <c r="AQ140" i="229" s="1"/>
  <c r="AQ206" i="229" s="1"/>
  <c r="AP174" i="229"/>
  <c r="AQ172" i="229" s="1"/>
  <c r="AU31" i="229"/>
  <c r="AU215" i="229" s="1"/>
  <c r="Q277" i="229" s="1"/>
  <c r="Q321" i="229" s="1"/>
  <c r="AQ130" i="229"/>
  <c r="AQ224" i="229" s="1"/>
  <c r="P286" i="229" s="1"/>
  <c r="P330" i="229" s="1"/>
  <c r="AO120" i="229"/>
  <c r="AO122" i="229" s="1"/>
  <c r="AO242" i="229" s="1"/>
  <c r="AO223" i="229"/>
  <c r="AP142" i="229"/>
  <c r="AP144" i="229" s="1"/>
  <c r="AP244" i="229" s="1"/>
  <c r="AR151" i="229"/>
  <c r="AR207" i="229" s="1"/>
  <c r="AS184" i="229"/>
  <c r="AS210" i="229" s="1"/>
  <c r="AP73" i="229"/>
  <c r="AO219" i="229"/>
  <c r="AO76" i="229"/>
  <c r="AO78" i="229" s="1"/>
  <c r="AO238" i="229" s="1"/>
  <c r="AQ107" i="229"/>
  <c r="AQ203" i="229" s="1"/>
  <c r="AP118" i="229"/>
  <c r="AP204" i="229" s="1"/>
  <c r="AU42" i="229"/>
  <c r="AQ52" i="229"/>
  <c r="AQ198" i="229" s="1"/>
  <c r="BA96" i="229"/>
  <c r="BA202" i="229" s="1"/>
  <c r="AN64" i="229" l="1"/>
  <c r="AN218" i="229" s="1"/>
  <c r="AR164" i="229"/>
  <c r="AR166" i="229" s="1"/>
  <c r="AR246" i="229" s="1"/>
  <c r="AR227" i="229"/>
  <c r="BA97" i="229"/>
  <c r="P56" i="253"/>
  <c r="P61" i="253"/>
  <c r="S56" i="253"/>
  <c r="S61" i="253"/>
  <c r="Q56" i="253"/>
  <c r="Q61" i="253"/>
  <c r="R56" i="253"/>
  <c r="R61" i="253"/>
  <c r="CC8" i="204"/>
  <c r="CC12" i="204"/>
  <c r="CD11" i="204" s="1"/>
  <c r="CC14" i="204"/>
  <c r="CC13" i="204"/>
  <c r="AU32" i="229"/>
  <c r="AU34" i="229" s="1"/>
  <c r="AU234" i="229" s="1"/>
  <c r="AP175" i="229"/>
  <c r="AP177" i="229" s="1"/>
  <c r="AP247" i="229" s="1"/>
  <c r="AP228" i="229"/>
  <c r="AQ131" i="229"/>
  <c r="AQ133" i="229" s="1"/>
  <c r="AQ243" i="229" s="1"/>
  <c r="AV29" i="229"/>
  <c r="AV30" i="229" s="1"/>
  <c r="AV196" i="229" s="1"/>
  <c r="AR128" i="229"/>
  <c r="AR129" i="229" s="1"/>
  <c r="AR205" i="229" s="1"/>
  <c r="AR152" i="229"/>
  <c r="AS150" i="229" s="1"/>
  <c r="AQ141" i="229"/>
  <c r="AQ225" i="229" s="1"/>
  <c r="P287" i="229" s="1"/>
  <c r="P331" i="229" s="1"/>
  <c r="AW86" i="229"/>
  <c r="AX84" i="229" s="1"/>
  <c r="AQ53" i="229"/>
  <c r="AQ54" i="229" s="1"/>
  <c r="AQ56" i="229" s="1"/>
  <c r="AQ236" i="229" s="1"/>
  <c r="AS185" i="229"/>
  <c r="AT183" i="229" s="1"/>
  <c r="AQ108" i="229"/>
  <c r="AQ109" i="229" s="1"/>
  <c r="AQ111" i="229" s="1"/>
  <c r="AQ241" i="229" s="1"/>
  <c r="AV40" i="229"/>
  <c r="AU216" i="229"/>
  <c r="Q278" i="229" s="1"/>
  <c r="Q322" i="229" s="1"/>
  <c r="AU43" i="229"/>
  <c r="AU45" i="229" s="1"/>
  <c r="AU235" i="229" s="1"/>
  <c r="AQ173" i="229"/>
  <c r="AQ209" i="229" s="1"/>
  <c r="AP119" i="229"/>
  <c r="AS162" i="229"/>
  <c r="AS208" i="229" s="1"/>
  <c r="AP74" i="229"/>
  <c r="AP200" i="229" s="1"/>
  <c r="BA221" i="229"/>
  <c r="BB95" i="229"/>
  <c r="BA98" i="229"/>
  <c r="BA100" i="229" s="1"/>
  <c r="BA240" i="229" s="1"/>
  <c r="AO62" i="229" l="1"/>
  <c r="AO63" i="229" s="1"/>
  <c r="AO199" i="229" s="1"/>
  <c r="AN65" i="229"/>
  <c r="AN67" i="229" s="1"/>
  <c r="AN237" i="229" s="1"/>
  <c r="Q80" i="253"/>
  <c r="Q87" i="253"/>
  <c r="Q91" i="253" s="1"/>
  <c r="R87" i="253"/>
  <c r="R91" i="253" s="1"/>
  <c r="R80" i="253"/>
  <c r="Q60" i="253"/>
  <c r="Q79" i="253" s="1"/>
  <c r="Q50" i="253"/>
  <c r="Q121" i="251" s="1"/>
  <c r="Q124" i="251" s="1"/>
  <c r="Q63" i="253"/>
  <c r="S87" i="253"/>
  <c r="S91" i="253" s="1"/>
  <c r="S80" i="253"/>
  <c r="S60" i="253"/>
  <c r="S79" i="253" s="1"/>
  <c r="S50" i="253"/>
  <c r="S121" i="251" s="1"/>
  <c r="S124" i="251" s="1"/>
  <c r="S63" i="253"/>
  <c r="CD8" i="204"/>
  <c r="CD12" i="204"/>
  <c r="CE11" i="204" s="1"/>
  <c r="CD14" i="204"/>
  <c r="CD13" i="204"/>
  <c r="P87" i="253"/>
  <c r="P91" i="253" s="1"/>
  <c r="P80" i="253"/>
  <c r="R60" i="253"/>
  <c r="R79" i="253" s="1"/>
  <c r="R50" i="253"/>
  <c r="R121" i="251" s="1"/>
  <c r="R124" i="251" s="1"/>
  <c r="R63" i="253"/>
  <c r="P60" i="253"/>
  <c r="P79" i="253" s="1"/>
  <c r="P63" i="253"/>
  <c r="P50" i="253"/>
  <c r="P121" i="251" s="1"/>
  <c r="P124" i="251" s="1"/>
  <c r="AR153" i="229"/>
  <c r="AR155" i="229" s="1"/>
  <c r="AR245" i="229" s="1"/>
  <c r="AR226" i="229"/>
  <c r="AQ142" i="229"/>
  <c r="AQ144" i="229" s="1"/>
  <c r="AQ244" i="229" s="1"/>
  <c r="AR139" i="229"/>
  <c r="AR140" i="229" s="1"/>
  <c r="AR206" i="229" s="1"/>
  <c r="AQ222" i="229"/>
  <c r="P284" i="229" s="1"/>
  <c r="P328" i="229" s="1"/>
  <c r="AR106" i="229"/>
  <c r="AR107" i="229" s="1"/>
  <c r="AR203" i="229" s="1"/>
  <c r="AP75" i="229"/>
  <c r="AP76" i="229" s="1"/>
  <c r="AP78" i="229" s="1"/>
  <c r="AP238" i="229" s="1"/>
  <c r="AV31" i="229"/>
  <c r="AW29" i="229" s="1"/>
  <c r="AR51" i="229"/>
  <c r="AR52" i="229" s="1"/>
  <c r="AR198" i="229" s="1"/>
  <c r="AQ217" i="229"/>
  <c r="P279" i="229" s="1"/>
  <c r="P323" i="229" s="1"/>
  <c r="AW87" i="229"/>
  <c r="AW89" i="229" s="1"/>
  <c r="AW239" i="229" s="1"/>
  <c r="AS186" i="229"/>
  <c r="AS188" i="229" s="1"/>
  <c r="AS248" i="229" s="1"/>
  <c r="AS163" i="229"/>
  <c r="AS227" i="229" s="1"/>
  <c r="AW220" i="229"/>
  <c r="AS229" i="229"/>
  <c r="AR130" i="229"/>
  <c r="AR224" i="229" s="1"/>
  <c r="AV41" i="229"/>
  <c r="AV197" i="229" s="1"/>
  <c r="AX85" i="229"/>
  <c r="AX201" i="229" s="1"/>
  <c r="AQ117" i="229"/>
  <c r="AP223" i="229"/>
  <c r="AP120" i="229"/>
  <c r="AP122" i="229" s="1"/>
  <c r="AP242" i="229" s="1"/>
  <c r="AT184" i="229"/>
  <c r="AT210" i="229" s="1"/>
  <c r="AS151" i="229"/>
  <c r="AS207" i="229" s="1"/>
  <c r="AQ174" i="229"/>
  <c r="BB96" i="229"/>
  <c r="BB202" i="229" s="1"/>
  <c r="AO64" i="229" l="1"/>
  <c r="AP62" i="229" s="1"/>
  <c r="BB97" i="229"/>
  <c r="S92" i="253"/>
  <c r="S95" i="253" s="1"/>
  <c r="S94" i="253"/>
  <c r="P66" i="253"/>
  <c r="P84" i="253" s="1"/>
  <c r="P47" i="251" s="1"/>
  <c r="P40" i="251" s="1"/>
  <c r="P64" i="253"/>
  <c r="P67" i="253" s="1"/>
  <c r="P85" i="253" s="1"/>
  <c r="Q66" i="253"/>
  <c r="Q84" i="253" s="1"/>
  <c r="Q47" i="251" s="1"/>
  <c r="Q40" i="251" s="1"/>
  <c r="Q64" i="253"/>
  <c r="Q67" i="253" s="1"/>
  <c r="Q85" i="253" s="1"/>
  <c r="Q78" i="253"/>
  <c r="Q82" i="253" s="1"/>
  <c r="T18" i="255"/>
  <c r="T11" i="255" s="1"/>
  <c r="Q39" i="251"/>
  <c r="Q32" i="251" s="1"/>
  <c r="S66" i="253"/>
  <c r="S84" i="253" s="1"/>
  <c r="S47" i="251" s="1"/>
  <c r="S40" i="251" s="1"/>
  <c r="S64" i="253"/>
  <c r="S67" i="253" s="1"/>
  <c r="S85" i="253" s="1"/>
  <c r="R94" i="253"/>
  <c r="R92" i="253"/>
  <c r="R95" i="253" s="1"/>
  <c r="CE8" i="204"/>
  <c r="CE12" i="204"/>
  <c r="CF11" i="204" s="1"/>
  <c r="CE14" i="204"/>
  <c r="CE13" i="204"/>
  <c r="V18" i="255"/>
  <c r="V11" i="255" s="1"/>
  <c r="S78" i="253"/>
  <c r="AM78" i="253" s="1"/>
  <c r="S39" i="251"/>
  <c r="S32" i="251" s="1"/>
  <c r="Q92" i="253"/>
  <c r="Q95" i="253" s="1"/>
  <c r="Q94" i="253"/>
  <c r="P39" i="251"/>
  <c r="P32" i="251" s="1"/>
  <c r="P78" i="253"/>
  <c r="S18" i="255"/>
  <c r="S11" i="255" s="1"/>
  <c r="R66" i="253"/>
  <c r="R84" i="253" s="1"/>
  <c r="R47" i="251" s="1"/>
  <c r="R40" i="251" s="1"/>
  <c r="R64" i="253"/>
  <c r="R67" i="253" s="1"/>
  <c r="R85" i="253" s="1"/>
  <c r="R78" i="253"/>
  <c r="U18" i="255"/>
  <c r="U11" i="255" s="1"/>
  <c r="R39" i="251"/>
  <c r="R32" i="251" s="1"/>
  <c r="P92" i="253"/>
  <c r="P95" i="253" s="1"/>
  <c r="P94" i="253"/>
  <c r="AQ73" i="229"/>
  <c r="AQ74" i="229" s="1"/>
  <c r="AQ200" i="229" s="1"/>
  <c r="AP219" i="229"/>
  <c r="AV215" i="229"/>
  <c r="AV32" i="229"/>
  <c r="AV34" i="229" s="1"/>
  <c r="AV234" i="229" s="1"/>
  <c r="AS164" i="229"/>
  <c r="AS166" i="229" s="1"/>
  <c r="AS246" i="229" s="1"/>
  <c r="AT161" i="229"/>
  <c r="AT162" i="229" s="1"/>
  <c r="AT208" i="229" s="1"/>
  <c r="AV42" i="229"/>
  <c r="AV43" i="229" s="1"/>
  <c r="AV45" i="229" s="1"/>
  <c r="AV235" i="229" s="1"/>
  <c r="AS152" i="229"/>
  <c r="AT150" i="229" s="1"/>
  <c r="AR141" i="229"/>
  <c r="AR225" i="229" s="1"/>
  <c r="AS128" i="229"/>
  <c r="AS129" i="229" s="1"/>
  <c r="AS205" i="229" s="1"/>
  <c r="AX86" i="229"/>
  <c r="AY84" i="229" s="1"/>
  <c r="AR131" i="229"/>
  <c r="AR133" i="229" s="1"/>
  <c r="AR243" i="229" s="1"/>
  <c r="AR108" i="229"/>
  <c r="AS106" i="229" s="1"/>
  <c r="AW30" i="229"/>
  <c r="AW196" i="229" s="1"/>
  <c r="AQ228" i="229"/>
  <c r="P290" i="229" s="1"/>
  <c r="P334" i="229" s="1"/>
  <c r="AR172" i="229"/>
  <c r="AQ175" i="229"/>
  <c r="AQ177" i="229" s="1"/>
  <c r="AQ247" i="229" s="1"/>
  <c r="AQ118" i="229"/>
  <c r="AQ204" i="229" s="1"/>
  <c r="AT185" i="229"/>
  <c r="AR53" i="229"/>
  <c r="BB221" i="229"/>
  <c r="BC95" i="229"/>
  <c r="BB98" i="229"/>
  <c r="BB100" i="229" s="1"/>
  <c r="BB240" i="229" s="1"/>
  <c r="AO65" i="229" l="1"/>
  <c r="AO67" i="229" s="1"/>
  <c r="AO237" i="229" s="1"/>
  <c r="AO218" i="229"/>
  <c r="AP63" i="229"/>
  <c r="AP199" i="229" s="1"/>
  <c r="AJ40" i="251"/>
  <c r="S82" i="253"/>
  <c r="S81" i="253"/>
  <c r="T38" i="255"/>
  <c r="T35" i="255" s="1"/>
  <c r="T42" i="255"/>
  <c r="T24" i="255"/>
  <c r="T21" i="255" s="1"/>
  <c r="T31" i="255"/>
  <c r="T28" i="255" s="1"/>
  <c r="Q81" i="253"/>
  <c r="AK78" i="253"/>
  <c r="U24" i="255"/>
  <c r="U21" i="255" s="1"/>
  <c r="U42" i="255"/>
  <c r="R129" i="251" s="1"/>
  <c r="R130" i="251" s="1"/>
  <c r="U31" i="255"/>
  <c r="U28" i="255" s="1"/>
  <c r="U38" i="255"/>
  <c r="U35" i="255" s="1"/>
  <c r="R81" i="253"/>
  <c r="AL78" i="253"/>
  <c r="AK51" i="251"/>
  <c r="AK60" i="251"/>
  <c r="S69" i="251"/>
  <c r="AK57" i="251"/>
  <c r="AK56" i="251"/>
  <c r="AK54" i="251"/>
  <c r="S52" i="251"/>
  <c r="S55" i="251"/>
  <c r="AK58" i="251"/>
  <c r="BD32" i="251"/>
  <c r="AK59" i="251"/>
  <c r="S48" i="251"/>
  <c r="CF8" i="204"/>
  <c r="CF14" i="204"/>
  <c r="CF12" i="204"/>
  <c r="CG11" i="204" s="1"/>
  <c r="CG23" i="198" s="1"/>
  <c r="CF13" i="204"/>
  <c r="BV23" i="198"/>
  <c r="CB23" i="198"/>
  <c r="CE23" i="198"/>
  <c r="CC23" i="198"/>
  <c r="BW23" i="198"/>
  <c r="BZ23" i="198"/>
  <c r="BX23" i="198"/>
  <c r="CF23" i="198"/>
  <c r="BY23" i="198"/>
  <c r="CD23" i="198"/>
  <c r="CA23" i="198"/>
  <c r="Q48" i="251"/>
  <c r="AI40" i="251"/>
  <c r="V38" i="255"/>
  <c r="V35" i="255" s="1"/>
  <c r="V24" i="255"/>
  <c r="V21" i="255" s="1"/>
  <c r="V31" i="255"/>
  <c r="V28" i="255" s="1"/>
  <c r="V42" i="255"/>
  <c r="S129" i="251" s="1"/>
  <c r="S130" i="251" s="1"/>
  <c r="R82" i="253"/>
  <c r="S24" i="255"/>
  <c r="S21" i="255" s="1"/>
  <c r="S38" i="255"/>
  <c r="S35" i="255" s="1"/>
  <c r="S42" i="255"/>
  <c r="S31" i="255"/>
  <c r="S28" i="255" s="1"/>
  <c r="P81" i="253"/>
  <c r="AJ78" i="253"/>
  <c r="P82" i="253"/>
  <c r="AH40" i="251"/>
  <c r="P69" i="251"/>
  <c r="AH59" i="251"/>
  <c r="P52" i="251"/>
  <c r="BA32" i="251"/>
  <c r="AH58" i="251"/>
  <c r="AH60" i="251"/>
  <c r="AH51" i="251"/>
  <c r="AH56" i="251"/>
  <c r="AH54" i="251"/>
  <c r="AH57" i="251"/>
  <c r="P55" i="251"/>
  <c r="P48" i="251"/>
  <c r="AH64" i="251"/>
  <c r="AK40" i="251"/>
  <c r="AJ57" i="251"/>
  <c r="AJ58" i="251"/>
  <c r="R52" i="251"/>
  <c r="R69" i="251"/>
  <c r="AJ60" i="251"/>
  <c r="AJ56" i="251"/>
  <c r="AJ54" i="251"/>
  <c r="BC32" i="251"/>
  <c r="AJ51" i="251"/>
  <c r="AJ59" i="251"/>
  <c r="R55" i="251"/>
  <c r="R48" i="251"/>
  <c r="Q52" i="251"/>
  <c r="Q69" i="251"/>
  <c r="AI54" i="251"/>
  <c r="BB32" i="251"/>
  <c r="AI58" i="251"/>
  <c r="AI51" i="251"/>
  <c r="Q55" i="251"/>
  <c r="AI60" i="251"/>
  <c r="AI57" i="251"/>
  <c r="AI59" i="251"/>
  <c r="AI56" i="251"/>
  <c r="AI64" i="251"/>
  <c r="AW40" i="229"/>
  <c r="AW41" i="229" s="1"/>
  <c r="AW197" i="229" s="1"/>
  <c r="AV216" i="229"/>
  <c r="AS153" i="229"/>
  <c r="AS155" i="229" s="1"/>
  <c r="AS245" i="229" s="1"/>
  <c r="AQ75" i="229"/>
  <c r="AQ219" i="229" s="1"/>
  <c r="P281" i="229" s="1"/>
  <c r="P325" i="229" s="1"/>
  <c r="AS226" i="229"/>
  <c r="AS130" i="229"/>
  <c r="AS224" i="229" s="1"/>
  <c r="AT163" i="229"/>
  <c r="AU161" i="229" s="1"/>
  <c r="AX87" i="229"/>
  <c r="AX89" i="229" s="1"/>
  <c r="AX239" i="229" s="1"/>
  <c r="AS139" i="229"/>
  <c r="AS140" i="229" s="1"/>
  <c r="AS206" i="229" s="1"/>
  <c r="AR109" i="229"/>
  <c r="AR111" i="229" s="1"/>
  <c r="AR241" i="229" s="1"/>
  <c r="AR222" i="229"/>
  <c r="AX220" i="229"/>
  <c r="AW31" i="229"/>
  <c r="AW32" i="229" s="1"/>
  <c r="AW34" i="229" s="1"/>
  <c r="AW234" i="229" s="1"/>
  <c r="AR142" i="229"/>
  <c r="AR144" i="229" s="1"/>
  <c r="AR244" i="229" s="1"/>
  <c r="AQ119" i="229"/>
  <c r="AQ223" i="229" s="1"/>
  <c r="P285" i="229" s="1"/>
  <c r="P329" i="229" s="1"/>
  <c r="P336" i="229" s="1"/>
  <c r="L22" i="224" s="1"/>
  <c r="L22" i="259" s="1"/>
  <c r="AR217" i="229"/>
  <c r="AS51" i="229"/>
  <c r="AR54" i="229"/>
  <c r="AR56" i="229" s="1"/>
  <c r="AR236" i="229" s="1"/>
  <c r="AT151" i="229"/>
  <c r="AT207" i="229" s="1"/>
  <c r="AY85" i="229"/>
  <c r="AY201" i="229" s="1"/>
  <c r="AU183" i="229"/>
  <c r="AT229" i="229"/>
  <c r="AT186" i="229"/>
  <c r="AT188" i="229" s="1"/>
  <c r="AT248" i="229" s="1"/>
  <c r="AS107" i="229"/>
  <c r="AS203" i="229" s="1"/>
  <c r="AR173" i="229"/>
  <c r="AR209" i="229" s="1"/>
  <c r="BC96" i="229"/>
  <c r="BC202" i="229" s="1"/>
  <c r="AQ76" i="229" l="1"/>
  <c r="AQ78" i="229" s="1"/>
  <c r="AQ238" i="229" s="1"/>
  <c r="AP64" i="229"/>
  <c r="AQ62" i="229" s="1"/>
  <c r="AR73" i="229"/>
  <c r="AR74" i="229" s="1"/>
  <c r="AR200" i="229" s="1"/>
  <c r="AW215" i="229"/>
  <c r="AT164" i="229"/>
  <c r="AT166" i="229" s="1"/>
  <c r="AT246" i="229" s="1"/>
  <c r="P50" i="251"/>
  <c r="P93" i="251"/>
  <c r="S20" i="224"/>
  <c r="S20" i="259" s="1"/>
  <c r="P129" i="251"/>
  <c r="P130" i="251" s="1"/>
  <c r="AK48" i="251"/>
  <c r="Q93" i="251"/>
  <c r="Q50" i="251"/>
  <c r="P53" i="251"/>
  <c r="P97" i="251"/>
  <c r="AJ48" i="251"/>
  <c r="S44" i="255"/>
  <c r="S45" i="255" s="1"/>
  <c r="S19" i="224"/>
  <c r="S19" i="259" s="1"/>
  <c r="S40" i="255"/>
  <c r="S41" i="255" s="1"/>
  <c r="S39" i="255"/>
  <c r="AI48" i="251"/>
  <c r="U25" i="255"/>
  <c r="U26" i="255"/>
  <c r="U27" i="255" s="1"/>
  <c r="Q53" i="251"/>
  <c r="Q97" i="251"/>
  <c r="R53" i="251"/>
  <c r="R97" i="251"/>
  <c r="R50" i="251"/>
  <c r="R93" i="251"/>
  <c r="S17" i="224"/>
  <c r="S17" i="259" s="1"/>
  <c r="S25" i="255"/>
  <c r="S26" i="255"/>
  <c r="S27" i="255" s="1"/>
  <c r="S97" i="251"/>
  <c r="S53" i="251"/>
  <c r="T18" i="224"/>
  <c r="T18" i="259" s="1"/>
  <c r="T32" i="255"/>
  <c r="T33" i="255"/>
  <c r="T34" i="255" s="1"/>
  <c r="CB24" i="198"/>
  <c r="CB25" i="198" s="1"/>
  <c r="CB27" i="198" s="1"/>
  <c r="CG24" i="198"/>
  <c r="CG25" i="198" s="1"/>
  <c r="CG27" i="198" s="1"/>
  <c r="BV24" i="198"/>
  <c r="BV25" i="198" s="1"/>
  <c r="BV27" i="198" s="1"/>
  <c r="BX24" i="198"/>
  <c r="BX25" i="198" s="1"/>
  <c r="BX27" i="198" s="1"/>
  <c r="BW24" i="198"/>
  <c r="BW25" i="198" s="1"/>
  <c r="BW27" i="198" s="1"/>
  <c r="CD24" i="198"/>
  <c r="CD25" i="198" s="1"/>
  <c r="CD27" i="198" s="1"/>
  <c r="BY24" i="198"/>
  <c r="BY25" i="198" s="1"/>
  <c r="BY27" i="198" s="1"/>
  <c r="CC24" i="198"/>
  <c r="CC25" i="198" s="1"/>
  <c r="CC27" i="198" s="1"/>
  <c r="BZ24" i="198"/>
  <c r="BZ25" i="198" s="1"/>
  <c r="BZ27" i="198" s="1"/>
  <c r="CE24" i="198"/>
  <c r="CE25" i="198" s="1"/>
  <c r="CE27" i="198" s="1"/>
  <c r="CA24" i="198"/>
  <c r="CA25" i="198" s="1"/>
  <c r="CA27" i="198" s="1"/>
  <c r="CF24" i="198"/>
  <c r="CF25" i="198" s="1"/>
  <c r="CF27" i="198" s="1"/>
  <c r="CG8" i="204"/>
  <c r="CG12" i="204"/>
  <c r="CH11" i="204" s="1"/>
  <c r="CG14" i="204"/>
  <c r="CG13" i="204"/>
  <c r="S93" i="251"/>
  <c r="S50" i="251"/>
  <c r="T26" i="255"/>
  <c r="T27" i="255" s="1"/>
  <c r="T25" i="255"/>
  <c r="T17" i="224"/>
  <c r="T17" i="259" s="1"/>
  <c r="V33" i="255"/>
  <c r="V34" i="255" s="1"/>
  <c r="V32" i="255"/>
  <c r="V26" i="255"/>
  <c r="V27" i="255" s="1"/>
  <c r="V25" i="255"/>
  <c r="U40" i="255"/>
  <c r="U41" i="255" s="1"/>
  <c r="U39" i="255"/>
  <c r="U44" i="255"/>
  <c r="U45" i="255" s="1"/>
  <c r="Q129" i="251"/>
  <c r="Q130" i="251" s="1"/>
  <c r="T20" i="224"/>
  <c r="T20" i="259" s="1"/>
  <c r="AH48" i="251"/>
  <c r="S32" i="255"/>
  <c r="S33" i="255"/>
  <c r="S34" i="255" s="1"/>
  <c r="S18" i="224"/>
  <c r="S18" i="259" s="1"/>
  <c r="V44" i="255"/>
  <c r="V45" i="255" s="1"/>
  <c r="V39" i="255"/>
  <c r="V40" i="255"/>
  <c r="V41" i="255" s="1"/>
  <c r="U32" i="255"/>
  <c r="U33" i="255"/>
  <c r="U34" i="255" s="1"/>
  <c r="T40" i="255"/>
  <c r="T41" i="255" s="1"/>
  <c r="T19" i="224"/>
  <c r="T19" i="259" s="1"/>
  <c r="T39" i="255"/>
  <c r="T44" i="255"/>
  <c r="T45" i="255" s="1"/>
  <c r="AT227" i="229"/>
  <c r="AQ120" i="229"/>
  <c r="AQ122" i="229" s="1"/>
  <c r="AQ242" i="229" s="1"/>
  <c r="AS131" i="229"/>
  <c r="AS133" i="229" s="1"/>
  <c r="AS243" i="229" s="1"/>
  <c r="AT128" i="229"/>
  <c r="AT129" i="229" s="1"/>
  <c r="AT205" i="229" s="1"/>
  <c r="AX29" i="229"/>
  <c r="AX30" i="229" s="1"/>
  <c r="AX196" i="229" s="1"/>
  <c r="AR117" i="229"/>
  <c r="AR118" i="229" s="1"/>
  <c r="AR204" i="229" s="1"/>
  <c r="AR174" i="229"/>
  <c r="AR175" i="229" s="1"/>
  <c r="AR177" i="229" s="1"/>
  <c r="AR247" i="229" s="1"/>
  <c r="AY86" i="229"/>
  <c r="AY87" i="229" s="1"/>
  <c r="AY89" i="229" s="1"/>
  <c r="AY239" i="229" s="1"/>
  <c r="AS108" i="229"/>
  <c r="AT106" i="229" s="1"/>
  <c r="AT152" i="229"/>
  <c r="AT226" i="229" s="1"/>
  <c r="AU184" i="229"/>
  <c r="AU210" i="229" s="1"/>
  <c r="AU162" i="229"/>
  <c r="AU208" i="229" s="1"/>
  <c r="AS141" i="229"/>
  <c r="AW42" i="229"/>
  <c r="AS52" i="229"/>
  <c r="AS198" i="229" s="1"/>
  <c r="BC97" i="229"/>
  <c r="EE27" i="198" l="1"/>
  <c r="V33" i="198" s="1"/>
  <c r="R64" i="251" s="1"/>
  <c r="AJ64" i="251" s="1"/>
  <c r="AP65" i="229"/>
  <c r="AP67" i="229" s="1"/>
  <c r="AP237" i="229" s="1"/>
  <c r="AP218" i="229"/>
  <c r="AQ63" i="229"/>
  <c r="AQ199" i="229" s="1"/>
  <c r="AI50" i="251"/>
  <c r="Q91" i="251"/>
  <c r="Q94" i="251" s="1"/>
  <c r="S95" i="251"/>
  <c r="S98" i="251" s="1"/>
  <c r="S61" i="251"/>
  <c r="AK53" i="251"/>
  <c r="R61" i="251"/>
  <c r="R95" i="251"/>
  <c r="R98" i="251" s="1"/>
  <c r="AJ53" i="251"/>
  <c r="CH8" i="204"/>
  <c r="CH12" i="204"/>
  <c r="CI11" i="204" s="1"/>
  <c r="CH14" i="204"/>
  <c r="CH13" i="204"/>
  <c r="EG27" i="198"/>
  <c r="X33" i="198" s="1"/>
  <c r="T64" i="251" s="1"/>
  <c r="Q95" i="251"/>
  <c r="Q98" i="251" s="1"/>
  <c r="AI53" i="251"/>
  <c r="Q61" i="251"/>
  <c r="EF27" i="198"/>
  <c r="W33" i="198" s="1"/>
  <c r="S64" i="251" s="1"/>
  <c r="AK64" i="251" s="1"/>
  <c r="AK50" i="251"/>
  <c r="S91" i="251"/>
  <c r="S94" i="251" s="1"/>
  <c r="AJ50" i="251"/>
  <c r="R91" i="251"/>
  <c r="R94" i="251" s="1"/>
  <c r="P61" i="251"/>
  <c r="P95" i="251"/>
  <c r="P98" i="251" s="1"/>
  <c r="AH53" i="251"/>
  <c r="AH50" i="251"/>
  <c r="P91" i="251"/>
  <c r="P94" i="251" s="1"/>
  <c r="AS172" i="229"/>
  <c r="AS173" i="229" s="1"/>
  <c r="AS209" i="229" s="1"/>
  <c r="AZ84" i="229"/>
  <c r="AZ85" i="229" s="1"/>
  <c r="AZ201" i="229" s="1"/>
  <c r="AR228" i="229"/>
  <c r="AT153" i="229"/>
  <c r="AT155" i="229" s="1"/>
  <c r="AT245" i="229" s="1"/>
  <c r="AR119" i="229"/>
  <c r="AR120" i="229" s="1"/>
  <c r="AR122" i="229" s="1"/>
  <c r="AR242" i="229" s="1"/>
  <c r="AU185" i="229"/>
  <c r="AV183" i="229" s="1"/>
  <c r="AY220" i="229"/>
  <c r="R282" i="229" s="1"/>
  <c r="R326" i="229" s="1"/>
  <c r="AU150" i="229"/>
  <c r="AU151" i="229" s="1"/>
  <c r="AU207" i="229" s="1"/>
  <c r="AS109" i="229"/>
  <c r="AS111" i="229" s="1"/>
  <c r="AS241" i="229" s="1"/>
  <c r="AX31" i="229"/>
  <c r="AX32" i="229" s="1"/>
  <c r="AX34" i="229" s="1"/>
  <c r="AX234" i="229" s="1"/>
  <c r="AS222" i="229"/>
  <c r="AT130" i="229"/>
  <c r="AU128" i="229" s="1"/>
  <c r="AR75" i="229"/>
  <c r="AR76" i="229" s="1"/>
  <c r="AR78" i="229" s="1"/>
  <c r="AR238" i="229" s="1"/>
  <c r="AU163" i="229"/>
  <c r="AV161" i="229" s="1"/>
  <c r="AS225" i="229"/>
  <c r="AT139" i="229"/>
  <c r="AS142" i="229"/>
  <c r="AS144" i="229" s="1"/>
  <c r="AS244" i="229" s="1"/>
  <c r="AW43" i="229"/>
  <c r="AW45" i="229" s="1"/>
  <c r="AW235" i="229" s="1"/>
  <c r="AX40" i="229"/>
  <c r="AW216" i="229"/>
  <c r="AS53" i="229"/>
  <c r="AT107" i="229"/>
  <c r="AT203" i="229" s="1"/>
  <c r="BC221" i="229"/>
  <c r="S283" i="229" s="1"/>
  <c r="S327" i="229" s="1"/>
  <c r="BD95" i="229"/>
  <c r="BC98" i="229"/>
  <c r="BC100" i="229" s="1"/>
  <c r="BC240" i="229" s="1"/>
  <c r="AQ64" i="229" l="1"/>
  <c r="AR62" i="229" s="1"/>
  <c r="AJ61" i="251"/>
  <c r="R62" i="251"/>
  <c r="AJ62" i="251" s="1"/>
  <c r="AJ68" i="251" s="1"/>
  <c r="R68" i="251" s="1"/>
  <c r="AK61" i="251"/>
  <c r="S62" i="251"/>
  <c r="AK62" i="251" s="1"/>
  <c r="AK68" i="251" s="1"/>
  <c r="S68" i="251" s="1"/>
  <c r="CI12" i="204"/>
  <c r="CJ11" i="204" s="1"/>
  <c r="CI14" i="204"/>
  <c r="CI8" i="204"/>
  <c r="CI13" i="204"/>
  <c r="AI61" i="251"/>
  <c r="Q62" i="251"/>
  <c r="AI62" i="251" s="1"/>
  <c r="AI68" i="251" s="1"/>
  <c r="Q68" i="251" s="1"/>
  <c r="AH61" i="251"/>
  <c r="P62" i="251"/>
  <c r="AH62" i="251" s="1"/>
  <c r="AH68" i="251" s="1"/>
  <c r="P68" i="251" s="1"/>
  <c r="AU229" i="229"/>
  <c r="Q291" i="229" s="1"/>
  <c r="Q335" i="229" s="1"/>
  <c r="AS117" i="229"/>
  <c r="AS118" i="229" s="1"/>
  <c r="AS204" i="229" s="1"/>
  <c r="AR223" i="229"/>
  <c r="AR219" i="229"/>
  <c r="AU227" i="229"/>
  <c r="Q289" i="229" s="1"/>
  <c r="Q333" i="229" s="1"/>
  <c r="AS73" i="229"/>
  <c r="AS74" i="229" s="1"/>
  <c r="AS200" i="229" s="1"/>
  <c r="AU186" i="229"/>
  <c r="AU188" i="229" s="1"/>
  <c r="AU248" i="229" s="1"/>
  <c r="AU164" i="229"/>
  <c r="AU166" i="229" s="1"/>
  <c r="AU246" i="229" s="1"/>
  <c r="AX215" i="229"/>
  <c r="AY29" i="229"/>
  <c r="AY30" i="229" s="1"/>
  <c r="AY196" i="229" s="1"/>
  <c r="AT131" i="229"/>
  <c r="AT133" i="229" s="1"/>
  <c r="AT243" i="229" s="1"/>
  <c r="AT224" i="229"/>
  <c r="AU152" i="229"/>
  <c r="AV150" i="229" s="1"/>
  <c r="AT108" i="229"/>
  <c r="AT109" i="229" s="1"/>
  <c r="AT111" i="229" s="1"/>
  <c r="AT241" i="229" s="1"/>
  <c r="AS174" i="229"/>
  <c r="AS175" i="229" s="1"/>
  <c r="AS177" i="229" s="1"/>
  <c r="AS247" i="229" s="1"/>
  <c r="AX41" i="229"/>
  <c r="AX197" i="229" s="1"/>
  <c r="AV162" i="229"/>
  <c r="AV208" i="229" s="1"/>
  <c r="AU129" i="229"/>
  <c r="AU205" i="229" s="1"/>
  <c r="AZ86" i="229"/>
  <c r="AS217" i="229"/>
  <c r="AT51" i="229"/>
  <c r="AS54" i="229"/>
  <c r="AS56" i="229" s="1"/>
  <c r="AS236" i="229" s="1"/>
  <c r="AT140" i="229"/>
  <c r="AT206" i="229" s="1"/>
  <c r="AV184" i="229"/>
  <c r="AV210" i="229" s="1"/>
  <c r="BD96" i="229"/>
  <c r="BD202" i="229" s="1"/>
  <c r="AQ65" i="229" l="1"/>
  <c r="AQ67" i="229" s="1"/>
  <c r="AQ237" i="229" s="1"/>
  <c r="AQ218" i="229"/>
  <c r="P280" i="229" s="1"/>
  <c r="P324" i="229" s="1"/>
  <c r="P320" i="229" s="1"/>
  <c r="I65" i="251" s="1"/>
  <c r="AA65" i="251" s="1"/>
  <c r="AR63" i="229"/>
  <c r="AR199" i="229" s="1"/>
  <c r="CJ8" i="204"/>
  <c r="CJ12" i="204"/>
  <c r="CJ14" i="204"/>
  <c r="CJ13" i="204"/>
  <c r="AS228" i="229"/>
  <c r="AU226" i="229"/>
  <c r="Q288" i="229" s="1"/>
  <c r="Q332" i="229" s="1"/>
  <c r="AU153" i="229"/>
  <c r="AU155" i="229" s="1"/>
  <c r="AU245" i="229" s="1"/>
  <c r="AT172" i="229"/>
  <c r="AT173" i="229" s="1"/>
  <c r="AT209" i="229" s="1"/>
  <c r="AX42" i="229"/>
  <c r="AX43" i="229" s="1"/>
  <c r="AX45" i="229" s="1"/>
  <c r="AX235" i="229" s="1"/>
  <c r="AV185" i="229"/>
  <c r="AW183" i="229" s="1"/>
  <c r="AT222" i="229"/>
  <c r="AU106" i="229"/>
  <c r="AU107" i="229" s="1"/>
  <c r="AU203" i="229" s="1"/>
  <c r="AY31" i="229"/>
  <c r="AY215" i="229" s="1"/>
  <c r="R277" i="229" s="1"/>
  <c r="R321" i="229" s="1"/>
  <c r="AT141" i="229"/>
  <c r="AT142" i="229" s="1"/>
  <c r="AT144" i="229" s="1"/>
  <c r="AT244" i="229" s="1"/>
  <c r="AS75" i="229"/>
  <c r="AT73" i="229" s="1"/>
  <c r="AZ220" i="229"/>
  <c r="BA84" i="229"/>
  <c r="AZ87" i="229"/>
  <c r="AZ89" i="229" s="1"/>
  <c r="AZ239" i="229" s="1"/>
  <c r="AS119" i="229"/>
  <c r="AV151" i="229"/>
  <c r="AV207" i="229" s="1"/>
  <c r="AU130" i="229"/>
  <c r="AV163" i="229"/>
  <c r="AT52" i="229"/>
  <c r="AT198" i="229" s="1"/>
  <c r="BD97" i="229"/>
  <c r="AY40" i="229" l="1"/>
  <c r="AX216" i="229"/>
  <c r="AR64" i="229"/>
  <c r="AR65" i="229" s="1"/>
  <c r="AR67" i="229" s="1"/>
  <c r="AR237" i="229" s="1"/>
  <c r="AY32" i="229"/>
  <c r="AY34" i="229" s="1"/>
  <c r="AY234" i="229" s="1"/>
  <c r="AZ29" i="229"/>
  <c r="AZ30" i="229" s="1"/>
  <c r="AZ196" i="229" s="1"/>
  <c r="CK11" i="204"/>
  <c r="T55" i="253"/>
  <c r="T57" i="253" s="1"/>
  <c r="U55" i="253"/>
  <c r="U57" i="253" s="1"/>
  <c r="AU139" i="229"/>
  <c r="AU140" i="229" s="1"/>
  <c r="AU206" i="229" s="1"/>
  <c r="AT225" i="229"/>
  <c r="AV186" i="229"/>
  <c r="AV188" i="229" s="1"/>
  <c r="AV248" i="229" s="1"/>
  <c r="AV229" i="229"/>
  <c r="AT174" i="229"/>
  <c r="AT175" i="229" s="1"/>
  <c r="AT177" i="229" s="1"/>
  <c r="AT247" i="229" s="1"/>
  <c r="AS76" i="229"/>
  <c r="AS78" i="229" s="1"/>
  <c r="AS238" i="229" s="1"/>
  <c r="AS219" i="229"/>
  <c r="AU108" i="229"/>
  <c r="AU222" i="229" s="1"/>
  <c r="Q284" i="229" s="1"/>
  <c r="Q328" i="229" s="1"/>
  <c r="AW161" i="229"/>
  <c r="AV227" i="229"/>
  <c r="AV164" i="229"/>
  <c r="AV166" i="229" s="1"/>
  <c r="AV246" i="229" s="1"/>
  <c r="AU224" i="229"/>
  <c r="Q286" i="229" s="1"/>
  <c r="Q330" i="229" s="1"/>
  <c r="AV128" i="229"/>
  <c r="AU131" i="229"/>
  <c r="AU133" i="229" s="1"/>
  <c r="AU243" i="229" s="1"/>
  <c r="BA85" i="229"/>
  <c r="BA201" i="229" s="1"/>
  <c r="AT53" i="229"/>
  <c r="AY41" i="229"/>
  <c r="AY197" i="229" s="1"/>
  <c r="AT74" i="229"/>
  <c r="AT200" i="229" s="1"/>
  <c r="AV152" i="229"/>
  <c r="AS223" i="229"/>
  <c r="AT117" i="229"/>
  <c r="AS120" i="229"/>
  <c r="AS122" i="229" s="1"/>
  <c r="AS242" i="229" s="1"/>
  <c r="AW184" i="229"/>
  <c r="AW210" i="229" s="1"/>
  <c r="BD221" i="229"/>
  <c r="BE95" i="229"/>
  <c r="BD98" i="229"/>
  <c r="BD100" i="229" s="1"/>
  <c r="BD240" i="229" s="1"/>
  <c r="AS62" i="229" l="1"/>
  <c r="AS63" i="229" s="1"/>
  <c r="AS199" i="229" s="1"/>
  <c r="AR218" i="229"/>
  <c r="U56" i="253"/>
  <c r="U61" i="253"/>
  <c r="T56" i="253"/>
  <c r="T61" i="253"/>
  <c r="CK8" i="204"/>
  <c r="CK12" i="204"/>
  <c r="CL11" i="204" s="1"/>
  <c r="CK14" i="204"/>
  <c r="CK13" i="204"/>
  <c r="AT228" i="229"/>
  <c r="AU172" i="229"/>
  <c r="AU173" i="229" s="1"/>
  <c r="AU209" i="229" s="1"/>
  <c r="AY42" i="229"/>
  <c r="AY216" i="229" s="1"/>
  <c r="R278" i="229" s="1"/>
  <c r="R322" i="229" s="1"/>
  <c r="AZ31" i="229"/>
  <c r="AZ215" i="229" s="1"/>
  <c r="AU109" i="229"/>
  <c r="AU111" i="229" s="1"/>
  <c r="AU241" i="229" s="1"/>
  <c r="AV106" i="229"/>
  <c r="AV107" i="229" s="1"/>
  <c r="AV203" i="229" s="1"/>
  <c r="BA86" i="229"/>
  <c r="BA220" i="229" s="1"/>
  <c r="AU141" i="229"/>
  <c r="AU225" i="229" s="1"/>
  <c r="Q287" i="229" s="1"/>
  <c r="Q331" i="229" s="1"/>
  <c r="AV129" i="229"/>
  <c r="AV205" i="229" s="1"/>
  <c r="AV153" i="229"/>
  <c r="AV155" i="229" s="1"/>
  <c r="AV245" i="229" s="1"/>
  <c r="AV226" i="229"/>
  <c r="AW150" i="229"/>
  <c r="AT54" i="229"/>
  <c r="AT56" i="229" s="1"/>
  <c r="AT236" i="229" s="1"/>
  <c r="AT217" i="229"/>
  <c r="AU51" i="229"/>
  <c r="AW185" i="229"/>
  <c r="AW162" i="229"/>
  <c r="AW208" i="229" s="1"/>
  <c r="AT118" i="229"/>
  <c r="AT204" i="229" s="1"/>
  <c r="AT75" i="229"/>
  <c r="BE96" i="229"/>
  <c r="BE202" i="229" s="1"/>
  <c r="AS64" i="229" l="1"/>
  <c r="AS218" i="229" s="1"/>
  <c r="BA29" i="229"/>
  <c r="BA30" i="229" s="1"/>
  <c r="BA196" i="229" s="1"/>
  <c r="AZ40" i="229"/>
  <c r="AZ41" i="229" s="1"/>
  <c r="AZ197" i="229" s="1"/>
  <c r="AZ32" i="229"/>
  <c r="AZ34" i="229" s="1"/>
  <c r="AZ234" i="229" s="1"/>
  <c r="T80" i="253"/>
  <c r="T87" i="253"/>
  <c r="T91" i="253" s="1"/>
  <c r="U87" i="253"/>
  <c r="U91" i="253" s="1"/>
  <c r="U80" i="253"/>
  <c r="CL8" i="204"/>
  <c r="CL12" i="204"/>
  <c r="CM11" i="204" s="1"/>
  <c r="CM23" i="198" s="1"/>
  <c r="CL14" i="204"/>
  <c r="CL13" i="204"/>
  <c r="CK23" i="198"/>
  <c r="CJ23" i="198"/>
  <c r="CH23" i="198"/>
  <c r="CL23" i="198"/>
  <c r="CI23" i="198"/>
  <c r="T60" i="253"/>
  <c r="T50" i="253"/>
  <c r="T121" i="251" s="1"/>
  <c r="T124" i="251" s="1"/>
  <c r="T63" i="253"/>
  <c r="T64" i="253" s="1"/>
  <c r="T67" i="253" s="1"/>
  <c r="T85" i="253" s="1"/>
  <c r="U60" i="253"/>
  <c r="U79" i="253" s="1"/>
  <c r="U50" i="253"/>
  <c r="U63" i="253"/>
  <c r="AY43" i="229"/>
  <c r="AY45" i="229" s="1"/>
  <c r="AY235" i="229" s="1"/>
  <c r="BB84" i="229"/>
  <c r="BB85" i="229" s="1"/>
  <c r="BB201" i="229" s="1"/>
  <c r="AU142" i="229"/>
  <c r="AU144" i="229" s="1"/>
  <c r="AU244" i="229" s="1"/>
  <c r="BA87" i="229"/>
  <c r="BA89" i="229" s="1"/>
  <c r="BA239" i="229" s="1"/>
  <c r="AT119" i="229"/>
  <c r="AT223" i="229" s="1"/>
  <c r="AV139" i="229"/>
  <c r="AV140" i="229" s="1"/>
  <c r="AV206" i="229" s="1"/>
  <c r="AV108" i="229"/>
  <c r="AV109" i="229" s="1"/>
  <c r="AV111" i="229" s="1"/>
  <c r="AV241" i="229" s="1"/>
  <c r="AW163" i="229"/>
  <c r="AX161" i="229" s="1"/>
  <c r="AU52" i="229"/>
  <c r="AU198" i="229" s="1"/>
  <c r="AX183" i="229"/>
  <c r="AW229" i="229"/>
  <c r="AW186" i="229"/>
  <c r="AW188" i="229" s="1"/>
  <c r="AW248" i="229" s="1"/>
  <c r="AV130" i="229"/>
  <c r="AU73" i="229"/>
  <c r="AT219" i="229"/>
  <c r="AT76" i="229"/>
  <c r="AT78" i="229" s="1"/>
  <c r="AT238" i="229" s="1"/>
  <c r="AU174" i="229"/>
  <c r="AW151" i="229"/>
  <c r="AW207" i="229" s="1"/>
  <c r="BE97" i="229"/>
  <c r="AT62" i="229" l="1"/>
  <c r="AT63" i="229" s="1"/>
  <c r="AT199" i="229" s="1"/>
  <c r="AS65" i="229"/>
  <c r="AS67" i="229" s="1"/>
  <c r="AS237" i="229" s="1"/>
  <c r="T66" i="253"/>
  <c r="T84" i="253" s="1"/>
  <c r="T79" i="253"/>
  <c r="CM8" i="204"/>
  <c r="CM12" i="204"/>
  <c r="CN11" i="204" s="1"/>
  <c r="CM14" i="204"/>
  <c r="CM13" i="204"/>
  <c r="U66" i="253"/>
  <c r="U84" i="253" s="1"/>
  <c r="U64" i="253"/>
  <c r="U67" i="253" s="1"/>
  <c r="U85" i="253" s="1"/>
  <c r="CL24" i="198"/>
  <c r="CL25" i="198" s="1"/>
  <c r="CL27" i="198" s="1"/>
  <c r="U94" i="253"/>
  <c r="U92" i="253"/>
  <c r="U95" i="253" s="1"/>
  <c r="U78" i="253"/>
  <c r="U82" i="253" s="1"/>
  <c r="X18" i="255"/>
  <c r="X11" i="255" s="1"/>
  <c r="T92" i="253"/>
  <c r="T95" i="253" s="1"/>
  <c r="T94" i="253"/>
  <c r="CJ24" i="198"/>
  <c r="CJ25" i="198" s="1"/>
  <c r="CJ27" i="198" s="1"/>
  <c r="CH24" i="198"/>
  <c r="CH25" i="198" s="1"/>
  <c r="CH27" i="198" s="1"/>
  <c r="CK24" i="198"/>
  <c r="CK25" i="198" s="1"/>
  <c r="CK27" i="198" s="1"/>
  <c r="CI24" i="198"/>
  <c r="CI25" i="198" s="1"/>
  <c r="CI27" i="198" s="1"/>
  <c r="CM24" i="198"/>
  <c r="CM25" i="198" s="1"/>
  <c r="CM27" i="198" s="1"/>
  <c r="AT120" i="229"/>
  <c r="AT122" i="229" s="1"/>
  <c r="AT242" i="229" s="1"/>
  <c r="AU117" i="229"/>
  <c r="AU118" i="229" s="1"/>
  <c r="AU204" i="229" s="1"/>
  <c r="AW106" i="229"/>
  <c r="AW107" i="229" s="1"/>
  <c r="AW203" i="229" s="1"/>
  <c r="BB86" i="229"/>
  <c r="BC84" i="229" s="1"/>
  <c r="AV222" i="229"/>
  <c r="AU53" i="229"/>
  <c r="AU217" i="229" s="1"/>
  <c r="Q279" i="229" s="1"/>
  <c r="Q323" i="229" s="1"/>
  <c r="AW164" i="229"/>
  <c r="AW166" i="229" s="1"/>
  <c r="AW246" i="229" s="1"/>
  <c r="AW227" i="229"/>
  <c r="AW152" i="229"/>
  <c r="AX150" i="229" s="1"/>
  <c r="AZ42" i="229"/>
  <c r="AZ216" i="229" s="1"/>
  <c r="AV224" i="229"/>
  <c r="AW128" i="229"/>
  <c r="AV131" i="229"/>
  <c r="AV133" i="229" s="1"/>
  <c r="AV243" i="229" s="1"/>
  <c r="AU74" i="229"/>
  <c r="AU200" i="229" s="1"/>
  <c r="BA31" i="229"/>
  <c r="AV141" i="229"/>
  <c r="AU228" i="229"/>
  <c r="Q290" i="229" s="1"/>
  <c r="Q334" i="229" s="1"/>
  <c r="AV172" i="229"/>
  <c r="AU175" i="229"/>
  <c r="AU177" i="229" s="1"/>
  <c r="AU247" i="229" s="1"/>
  <c r="AX184" i="229"/>
  <c r="AX210" i="229" s="1"/>
  <c r="AX162" i="229"/>
  <c r="AX208" i="229" s="1"/>
  <c r="BE221" i="229"/>
  <c r="BF95" i="229"/>
  <c r="BE98" i="229"/>
  <c r="BE100" i="229" s="1"/>
  <c r="BE240" i="229" s="1"/>
  <c r="AT64" i="229" l="1"/>
  <c r="AT218" i="229" s="1"/>
  <c r="AW226" i="229"/>
  <c r="T47" i="251"/>
  <c r="T40" i="251" s="1"/>
  <c r="X38" i="255"/>
  <c r="X35" i="255" s="1"/>
  <c r="X42" i="255"/>
  <c r="X31" i="255"/>
  <c r="X28" i="255" s="1"/>
  <c r="X24" i="255"/>
  <c r="X21" i="255" s="1"/>
  <c r="U81" i="253"/>
  <c r="AO78" i="253"/>
  <c r="CN8" i="204"/>
  <c r="CN12" i="204"/>
  <c r="CN14" i="204"/>
  <c r="CN13" i="204"/>
  <c r="W18" i="255"/>
  <c r="W11" i="255" s="1"/>
  <c r="T78" i="253"/>
  <c r="T81" i="253" s="1"/>
  <c r="T39" i="251"/>
  <c r="T32" i="251" s="1"/>
  <c r="EH27" i="198"/>
  <c r="Y33" i="198" s="1"/>
  <c r="AU119" i="229"/>
  <c r="AU120" i="229" s="1"/>
  <c r="AU122" i="229" s="1"/>
  <c r="AU242" i="229" s="1"/>
  <c r="AU54" i="229"/>
  <c r="AU56" i="229" s="1"/>
  <c r="AU236" i="229" s="1"/>
  <c r="BB87" i="229"/>
  <c r="BB89" i="229" s="1"/>
  <c r="BB239" i="229" s="1"/>
  <c r="AV51" i="229"/>
  <c r="AV52" i="229" s="1"/>
  <c r="AV198" i="229" s="1"/>
  <c r="AU75" i="229"/>
  <c r="AU219" i="229" s="1"/>
  <c r="Q281" i="229" s="1"/>
  <c r="Q325" i="229" s="1"/>
  <c r="BB220" i="229"/>
  <c r="AW153" i="229"/>
  <c r="AW155" i="229" s="1"/>
  <c r="AW245" i="229" s="1"/>
  <c r="AX185" i="229"/>
  <c r="AY183" i="229" s="1"/>
  <c r="AW108" i="229"/>
  <c r="AW222" i="229" s="1"/>
  <c r="AZ43" i="229"/>
  <c r="AZ45" i="229" s="1"/>
  <c r="AZ235" i="229" s="1"/>
  <c r="BA40" i="229"/>
  <c r="BA41" i="229" s="1"/>
  <c r="BA197" i="229" s="1"/>
  <c r="AX163" i="229"/>
  <c r="AX151" i="229"/>
  <c r="AX207" i="229" s="1"/>
  <c r="BC85" i="229"/>
  <c r="BC201" i="229" s="1"/>
  <c r="AV173" i="229"/>
  <c r="AV209" i="229" s="1"/>
  <c r="AW129" i="229"/>
  <c r="AW205" i="229" s="1"/>
  <c r="AV117" i="229"/>
  <c r="AW139" i="229"/>
  <c r="AV225" i="229"/>
  <c r="AV142" i="229"/>
  <c r="AV144" i="229" s="1"/>
  <c r="AV244" i="229" s="1"/>
  <c r="BB29" i="229"/>
  <c r="BA215" i="229"/>
  <c r="BA32" i="229"/>
  <c r="BA34" i="229" s="1"/>
  <c r="BA234" i="229" s="1"/>
  <c r="BF96" i="229"/>
  <c r="BF202" i="229" s="1"/>
  <c r="AU223" i="229" l="1"/>
  <c r="Q285" i="229" s="1"/>
  <c r="Q329" i="229" s="1"/>
  <c r="Q336" i="229" s="1"/>
  <c r="M22" i="224" s="1"/>
  <c r="M22" i="259" s="1"/>
  <c r="AU62" i="229"/>
  <c r="AU63" i="229" s="1"/>
  <c r="AU199" i="229" s="1"/>
  <c r="AT65" i="229"/>
  <c r="AT67" i="229" s="1"/>
  <c r="AT237" i="229" s="1"/>
  <c r="AL40" i="251"/>
  <c r="CO11" i="204"/>
  <c r="V55" i="253"/>
  <c r="V57" i="253" s="1"/>
  <c r="T52" i="251"/>
  <c r="AL56" i="251"/>
  <c r="AL60" i="251"/>
  <c r="T55" i="251"/>
  <c r="AL59" i="251"/>
  <c r="AL58" i="251"/>
  <c r="AL57" i="251"/>
  <c r="AL51" i="251"/>
  <c r="AL54" i="251"/>
  <c r="BE32" i="251"/>
  <c r="T69" i="251"/>
  <c r="T48" i="251"/>
  <c r="AL64" i="251"/>
  <c r="AN78" i="253"/>
  <c r="T82" i="253"/>
  <c r="W42" i="255"/>
  <c r="T129" i="251" s="1"/>
  <c r="T130" i="251" s="1"/>
  <c r="W38" i="255"/>
  <c r="W35" i="255" s="1"/>
  <c r="W31" i="255"/>
  <c r="W28" i="255" s="1"/>
  <c r="W24" i="255"/>
  <c r="W21" i="255" s="1"/>
  <c r="X25" i="255"/>
  <c r="X26" i="255"/>
  <c r="X27" i="255" s="1"/>
  <c r="X33" i="255"/>
  <c r="X34" i="255" s="1"/>
  <c r="X32" i="255"/>
  <c r="X44" i="255"/>
  <c r="X45" i="255" s="1"/>
  <c r="X40" i="255"/>
  <c r="X41" i="255" s="1"/>
  <c r="X39" i="255"/>
  <c r="BF97" i="229"/>
  <c r="BF98" i="229" s="1"/>
  <c r="BF100" i="229" s="1"/>
  <c r="BF240" i="229" s="1"/>
  <c r="AU76" i="229"/>
  <c r="AU78" i="229" s="1"/>
  <c r="AU238" i="229" s="1"/>
  <c r="AV73" i="229"/>
  <c r="AV74" i="229" s="1"/>
  <c r="AV200" i="229" s="1"/>
  <c r="AV174" i="229"/>
  <c r="AW172" i="229" s="1"/>
  <c r="AV53" i="229"/>
  <c r="AW51" i="229" s="1"/>
  <c r="BC86" i="229"/>
  <c r="BC87" i="229" s="1"/>
  <c r="BC89" i="229" s="1"/>
  <c r="BC239" i="229" s="1"/>
  <c r="AX186" i="229"/>
  <c r="AX188" i="229" s="1"/>
  <c r="AX248" i="229" s="1"/>
  <c r="AW109" i="229"/>
  <c r="AW111" i="229" s="1"/>
  <c r="AW241" i="229" s="1"/>
  <c r="AX106" i="229"/>
  <c r="AX107" i="229" s="1"/>
  <c r="AX203" i="229" s="1"/>
  <c r="AX229" i="229"/>
  <c r="BA42" i="229"/>
  <c r="BA43" i="229" s="1"/>
  <c r="BA45" i="229" s="1"/>
  <c r="BA235" i="229" s="1"/>
  <c r="AY161" i="229"/>
  <c r="AX227" i="229"/>
  <c r="AX164" i="229"/>
  <c r="AX166" i="229" s="1"/>
  <c r="AX246" i="229" s="1"/>
  <c r="AW130" i="229"/>
  <c r="AW140" i="229"/>
  <c r="AW206" i="229" s="1"/>
  <c r="BB30" i="229"/>
  <c r="BB196" i="229" s="1"/>
  <c r="AV118" i="229"/>
  <c r="AV204" i="229" s="1"/>
  <c r="AY184" i="229"/>
  <c r="AY210" i="229" s="1"/>
  <c r="AX152" i="229"/>
  <c r="AU64" i="229" l="1"/>
  <c r="AU65" i="229" s="1"/>
  <c r="AU67" i="229" s="1"/>
  <c r="AU237" i="229" s="1"/>
  <c r="BF221" i="229"/>
  <c r="BG95" i="229"/>
  <c r="AV175" i="229"/>
  <c r="AV177" i="229" s="1"/>
  <c r="AV247" i="229" s="1"/>
  <c r="AV228" i="229"/>
  <c r="AL48" i="251"/>
  <c r="T97" i="251"/>
  <c r="T53" i="251"/>
  <c r="W26" i="255"/>
  <c r="W27" i="255" s="1"/>
  <c r="W25" i="255"/>
  <c r="W33" i="255"/>
  <c r="W34" i="255" s="1"/>
  <c r="W32" i="255"/>
  <c r="W39" i="255"/>
  <c r="W44" i="255"/>
  <c r="W45" i="255" s="1"/>
  <c r="W40" i="255"/>
  <c r="W41" i="255" s="1"/>
  <c r="T50" i="251"/>
  <c r="T93" i="251"/>
  <c r="V56" i="253"/>
  <c r="V61" i="253"/>
  <c r="CO8" i="204"/>
  <c r="CO12" i="204"/>
  <c r="CP11" i="204" s="1"/>
  <c r="CP23" i="198" s="1"/>
  <c r="CO14" i="204"/>
  <c r="CO13" i="204"/>
  <c r="CO23" i="198"/>
  <c r="BB40" i="229"/>
  <c r="BB41" i="229" s="1"/>
  <c r="BB197" i="229" s="1"/>
  <c r="BD84" i="229"/>
  <c r="BD85" i="229" s="1"/>
  <c r="BD201" i="229" s="1"/>
  <c r="BA216" i="229"/>
  <c r="BC220" i="229"/>
  <c r="S282" i="229" s="1"/>
  <c r="S326" i="229" s="1"/>
  <c r="AV54" i="229"/>
  <c r="AV56" i="229" s="1"/>
  <c r="AV236" i="229" s="1"/>
  <c r="AV217" i="229"/>
  <c r="AW141" i="229"/>
  <c r="AW225" i="229" s="1"/>
  <c r="AY150" i="229"/>
  <c r="AX226" i="229"/>
  <c r="AX153" i="229"/>
  <c r="AX155" i="229" s="1"/>
  <c r="AX245" i="229" s="1"/>
  <c r="AV75" i="229"/>
  <c r="AW173" i="229"/>
  <c r="AW209" i="229" s="1"/>
  <c r="AX108" i="229"/>
  <c r="AV119" i="229"/>
  <c r="AY185" i="229"/>
  <c r="BB31" i="229"/>
  <c r="AX128" i="229"/>
  <c r="AW224" i="229"/>
  <c r="AW131" i="229"/>
  <c r="AW133" i="229" s="1"/>
  <c r="AW243" i="229" s="1"/>
  <c r="AY162" i="229"/>
  <c r="AY208" i="229" s="1"/>
  <c r="AW52" i="229"/>
  <c r="AW198" i="229" s="1"/>
  <c r="BG96" i="229"/>
  <c r="BG202" i="229" s="1"/>
  <c r="AV62" i="229" l="1"/>
  <c r="AV63" i="229" s="1"/>
  <c r="AV199" i="229" s="1"/>
  <c r="AU218" i="229"/>
  <c r="Q280" i="229" s="1"/>
  <c r="Q324" i="229" s="1"/>
  <c r="Q320" i="229" s="1"/>
  <c r="J65" i="251" s="1"/>
  <c r="AB65" i="251" s="1"/>
  <c r="BG97" i="229"/>
  <c r="V80" i="253"/>
  <c r="V87" i="253"/>
  <c r="V91" i="253" s="1"/>
  <c r="V60" i="253"/>
  <c r="V79" i="253" s="1"/>
  <c r="V50" i="253"/>
  <c r="V63" i="253"/>
  <c r="T91" i="251"/>
  <c r="T94" i="251" s="1"/>
  <c r="AL50" i="251"/>
  <c r="AL53" i="251"/>
  <c r="T95" i="251"/>
  <c r="T98" i="251" s="1"/>
  <c r="T61" i="251"/>
  <c r="CP8" i="204"/>
  <c r="CP12" i="204"/>
  <c r="CQ11" i="204" s="1"/>
  <c r="CP14" i="204"/>
  <c r="CP13" i="204"/>
  <c r="AW142" i="229"/>
  <c r="AW144" i="229" s="1"/>
  <c r="AW244" i="229" s="1"/>
  <c r="AX139" i="229"/>
  <c r="AX140" i="229" s="1"/>
  <c r="AX206" i="229" s="1"/>
  <c r="AW174" i="229"/>
  <c r="AW228" i="229" s="1"/>
  <c r="AW53" i="229"/>
  <c r="AW217" i="229" s="1"/>
  <c r="BD86" i="229"/>
  <c r="BD220" i="229" s="1"/>
  <c r="AY163" i="229"/>
  <c r="AY227" i="229" s="1"/>
  <c r="R289" i="229" s="1"/>
  <c r="R333" i="229" s="1"/>
  <c r="BB42" i="229"/>
  <c r="BB216" i="229" s="1"/>
  <c r="AX222" i="229"/>
  <c r="AY106" i="229"/>
  <c r="AX109" i="229"/>
  <c r="AX111" i="229" s="1"/>
  <c r="AX241" i="229" s="1"/>
  <c r="AX172" i="229"/>
  <c r="AX129" i="229"/>
  <c r="AX205" i="229" s="1"/>
  <c r="BB215" i="229"/>
  <c r="BC29" i="229"/>
  <c r="BB32" i="229"/>
  <c r="BB34" i="229" s="1"/>
  <c r="BB234" i="229" s="1"/>
  <c r="AY151" i="229"/>
  <c r="AY207" i="229" s="1"/>
  <c r="AY229" i="229"/>
  <c r="R291" i="229" s="1"/>
  <c r="R335" i="229" s="1"/>
  <c r="AZ183" i="229"/>
  <c r="AY186" i="229"/>
  <c r="AY188" i="229" s="1"/>
  <c r="AY248" i="229" s="1"/>
  <c r="AV219" i="229"/>
  <c r="AW73" i="229"/>
  <c r="AV76" i="229"/>
  <c r="AV78" i="229" s="1"/>
  <c r="AV238" i="229" s="1"/>
  <c r="AW117" i="229"/>
  <c r="AV223" i="229"/>
  <c r="AV120" i="229"/>
  <c r="AV122" i="229" s="1"/>
  <c r="AV242" i="229" s="1"/>
  <c r="BG221" i="229"/>
  <c r="T283" i="229" s="1"/>
  <c r="T327" i="229" s="1"/>
  <c r="BH95" i="229"/>
  <c r="BG98" i="229"/>
  <c r="BG100" i="229" s="1"/>
  <c r="BG240" i="229" s="1"/>
  <c r="AW175" i="229" l="1"/>
  <c r="AW177" i="229" s="1"/>
  <c r="AW247" i="229" s="1"/>
  <c r="AV64" i="229"/>
  <c r="AV218" i="229" s="1"/>
  <c r="V66" i="253"/>
  <c r="V84" i="253" s="1"/>
  <c r="V64" i="253"/>
  <c r="V67" i="253" s="1"/>
  <c r="V85" i="253" s="1"/>
  <c r="CQ8" i="204"/>
  <c r="CQ14" i="204"/>
  <c r="CQ12" i="204"/>
  <c r="CQ13" i="204"/>
  <c r="CN23" i="198"/>
  <c r="CS23" i="198"/>
  <c r="DH23" i="198"/>
  <c r="DB23" i="198"/>
  <c r="DJ23" i="198"/>
  <c r="CV23" i="198"/>
  <c r="DC23" i="198"/>
  <c r="DA23" i="198"/>
  <c r="CQ23" i="198"/>
  <c r="DI23" i="198"/>
  <c r="CX23" i="198"/>
  <c r="CU23" i="198"/>
  <c r="CW23" i="198"/>
  <c r="DF23" i="198"/>
  <c r="DD23" i="198"/>
  <c r="CT23" i="198"/>
  <c r="DK23" i="198"/>
  <c r="CZ23" i="198"/>
  <c r="DG23" i="198"/>
  <c r="DE23" i="198"/>
  <c r="CY23" i="198"/>
  <c r="CR23" i="198"/>
  <c r="Z18" i="255"/>
  <c r="Z11" i="255" s="1"/>
  <c r="Y18" i="255"/>
  <c r="Y11" i="255" s="1"/>
  <c r="V78" i="253"/>
  <c r="AL61" i="251"/>
  <c r="T62" i="251"/>
  <c r="AL62" i="251" s="1"/>
  <c r="AL68" i="251" s="1"/>
  <c r="T68" i="251" s="1"/>
  <c r="V92" i="253"/>
  <c r="V95" i="253" s="1"/>
  <c r="V94" i="253"/>
  <c r="BD87" i="229"/>
  <c r="BD89" i="229" s="1"/>
  <c r="BD239" i="229" s="1"/>
  <c r="BC40" i="229"/>
  <c r="BC41" i="229" s="1"/>
  <c r="BC197" i="229" s="1"/>
  <c r="BE84" i="229"/>
  <c r="BE85" i="229" s="1"/>
  <c r="BE201" i="229" s="1"/>
  <c r="AY164" i="229"/>
  <c r="AY166" i="229" s="1"/>
  <c r="AY246" i="229" s="1"/>
  <c r="AX130" i="229"/>
  <c r="AX224" i="229" s="1"/>
  <c r="AZ161" i="229"/>
  <c r="AZ162" i="229" s="1"/>
  <c r="AZ208" i="229" s="1"/>
  <c r="AW54" i="229"/>
  <c r="AW56" i="229" s="1"/>
  <c r="AW236" i="229" s="1"/>
  <c r="AX51" i="229"/>
  <c r="AX52" i="229" s="1"/>
  <c r="AX198" i="229" s="1"/>
  <c r="AY152" i="229"/>
  <c r="AY226" i="229" s="1"/>
  <c r="R288" i="229" s="1"/>
  <c r="R332" i="229" s="1"/>
  <c r="AX141" i="229"/>
  <c r="AX225" i="229" s="1"/>
  <c r="BB43" i="229"/>
  <c r="BB45" i="229" s="1"/>
  <c r="BB235" i="229" s="1"/>
  <c r="BC30" i="229"/>
  <c r="BC196" i="229" s="1"/>
  <c r="AW118" i="229"/>
  <c r="AW204" i="229" s="1"/>
  <c r="AX173" i="229"/>
  <c r="AX209" i="229" s="1"/>
  <c r="AW74" i="229"/>
  <c r="AW200" i="229" s="1"/>
  <c r="AZ184" i="229"/>
  <c r="AZ210" i="229" s="1"/>
  <c r="AY107" i="229"/>
  <c r="AY203" i="229" s="1"/>
  <c r="BH96" i="229"/>
  <c r="BH202" i="229" s="1"/>
  <c r="AW62" i="229" l="1"/>
  <c r="AW63" i="229" s="1"/>
  <c r="AW199" i="229" s="1"/>
  <c r="AV65" i="229"/>
  <c r="AV67" i="229" s="1"/>
  <c r="AV237" i="229" s="1"/>
  <c r="BH97" i="229"/>
  <c r="AX131" i="229"/>
  <c r="AX133" i="229" s="1"/>
  <c r="AX243" i="229" s="1"/>
  <c r="AY128" i="229"/>
  <c r="V81" i="253"/>
  <c r="AP78" i="253"/>
  <c r="DF24" i="198"/>
  <c r="DF25" i="198" s="1"/>
  <c r="DF27" i="198" s="1"/>
  <c r="DI24" i="198"/>
  <c r="DI25" i="198" s="1"/>
  <c r="DI27" i="198" s="1"/>
  <c r="CO24" i="198"/>
  <c r="CO25" i="198" s="1"/>
  <c r="CO27" i="198" s="1"/>
  <c r="DG24" i="198"/>
  <c r="DG25" i="198" s="1"/>
  <c r="DG27" i="198" s="1"/>
  <c r="CW24" i="198"/>
  <c r="CW25" i="198" s="1"/>
  <c r="CW27" i="198" s="1"/>
  <c r="CU24" i="198"/>
  <c r="CU25" i="198" s="1"/>
  <c r="CU27" i="198" s="1"/>
  <c r="CP24" i="198"/>
  <c r="CP25" i="198" s="1"/>
  <c r="CP27" i="198" s="1"/>
  <c r="DH24" i="198"/>
  <c r="DH25" i="198" s="1"/>
  <c r="DH27" i="198" s="1"/>
  <c r="CN24" i="198"/>
  <c r="CN25" i="198" s="1"/>
  <c r="CN27" i="198" s="1"/>
  <c r="DC24" i="198"/>
  <c r="DC25" i="198" s="1"/>
  <c r="DC27" i="198" s="1"/>
  <c r="DJ24" i="198"/>
  <c r="DJ25" i="198" s="1"/>
  <c r="DJ27" i="198" s="1"/>
  <c r="CR24" i="198"/>
  <c r="CR25" i="198" s="1"/>
  <c r="CR27" i="198" s="1"/>
  <c r="DD24" i="198"/>
  <c r="DD25" i="198" s="1"/>
  <c r="DD27" i="198" s="1"/>
  <c r="CV24" i="198"/>
  <c r="CV25" i="198" s="1"/>
  <c r="CV27" i="198" s="1"/>
  <c r="DB24" i="198"/>
  <c r="DB25" i="198" s="1"/>
  <c r="DB27" i="198" s="1"/>
  <c r="CY24" i="198"/>
  <c r="CY25" i="198" s="1"/>
  <c r="CY27" i="198" s="1"/>
  <c r="DE24" i="198"/>
  <c r="DE25" i="198" s="1"/>
  <c r="DE27" i="198" s="1"/>
  <c r="DK24" i="198"/>
  <c r="DK25" i="198" s="1"/>
  <c r="DK27" i="198" s="1"/>
  <c r="CZ24" i="198"/>
  <c r="CZ25" i="198" s="1"/>
  <c r="CZ27" i="198" s="1"/>
  <c r="CT24" i="198"/>
  <c r="CT25" i="198" s="1"/>
  <c r="CT27" i="198" s="1"/>
  <c r="CX24" i="198"/>
  <c r="CX25" i="198" s="1"/>
  <c r="CX27" i="198" s="1"/>
  <c r="CQ24" i="198"/>
  <c r="CQ25" i="198" s="1"/>
  <c r="CQ27" i="198" s="1"/>
  <c r="DA24" i="198"/>
  <c r="DA25" i="198" s="1"/>
  <c r="DA27" i="198" s="1"/>
  <c r="CS24" i="198"/>
  <c r="CS25" i="198" s="1"/>
  <c r="CS27" i="198" s="1"/>
  <c r="Y24" i="255"/>
  <c r="Y21" i="255" s="1"/>
  <c r="Y38" i="255"/>
  <c r="Y35" i="255" s="1"/>
  <c r="Y31" i="255"/>
  <c r="Y28" i="255" s="1"/>
  <c r="Y42" i="255"/>
  <c r="Z31" i="255"/>
  <c r="Z28" i="255" s="1"/>
  <c r="Z42" i="255"/>
  <c r="Z38" i="255"/>
  <c r="Z35" i="255" s="1"/>
  <c r="Z24" i="255"/>
  <c r="Z21" i="255" s="1"/>
  <c r="V82" i="253"/>
  <c r="CT20" i="204"/>
  <c r="CT18" i="204" s="1"/>
  <c r="CU20" i="204"/>
  <c r="CU22" i="204"/>
  <c r="CX20" i="204"/>
  <c r="CX18" i="204" s="1"/>
  <c r="CT22" i="204"/>
  <c r="CV22" i="204"/>
  <c r="CV20" i="204"/>
  <c r="CV18" i="204" s="1"/>
  <c r="CW22" i="204"/>
  <c r="CZ20" i="204"/>
  <c r="CZ18" i="204" s="1"/>
  <c r="CW20" i="204"/>
  <c r="CW18" i="204" s="1"/>
  <c r="CX22" i="204"/>
  <c r="DA41" i="204"/>
  <c r="K14" i="224" s="1"/>
  <c r="K14" i="259" s="1"/>
  <c r="CY20" i="204"/>
  <c r="CY18" i="204" s="1"/>
  <c r="CY22" i="204"/>
  <c r="DB40" i="204"/>
  <c r="DA32" i="204"/>
  <c r="DA39" i="204"/>
  <c r="DB39" i="204"/>
  <c r="DA35" i="204"/>
  <c r="DA40" i="204"/>
  <c r="CZ22" i="204"/>
  <c r="DB38" i="204"/>
  <c r="DA22" i="204"/>
  <c r="DA38" i="204"/>
  <c r="DC22" i="204"/>
  <c r="DB22" i="204"/>
  <c r="DB35" i="204"/>
  <c r="DA37" i="204"/>
  <c r="DB20" i="204"/>
  <c r="DB37" i="204"/>
  <c r="DC40" i="204"/>
  <c r="DA20" i="204"/>
  <c r="DA18" i="204" s="1"/>
  <c r="DB41" i="204"/>
  <c r="L14" i="224" s="1"/>
  <c r="L14" i="259" s="1"/>
  <c r="DC41" i="204"/>
  <c r="M14" i="224" s="1"/>
  <c r="M14" i="259" s="1"/>
  <c r="DC32" i="204"/>
  <c r="DD20" i="204"/>
  <c r="DC39" i="204"/>
  <c r="DD39" i="204"/>
  <c r="DC38" i="204"/>
  <c r="DB32" i="204"/>
  <c r="DC20" i="204"/>
  <c r="DE40" i="204"/>
  <c r="DD40" i="204"/>
  <c r="DD22" i="204"/>
  <c r="DE39" i="204"/>
  <c r="DC37" i="204"/>
  <c r="DE20" i="204"/>
  <c r="DF22" i="204"/>
  <c r="DD41" i="204"/>
  <c r="N14" i="224" s="1"/>
  <c r="N14" i="259" s="1"/>
  <c r="DC35" i="204"/>
  <c r="DD38" i="204"/>
  <c r="DE22" i="204"/>
  <c r="DE41" i="204"/>
  <c r="O14" i="224" s="1"/>
  <c r="O14" i="259" s="1"/>
  <c r="DD35" i="204"/>
  <c r="DE35" i="204"/>
  <c r="DD32" i="204"/>
  <c r="DD37" i="204"/>
  <c r="DF38" i="204"/>
  <c r="DH41" i="204"/>
  <c r="R14" i="224" s="1"/>
  <c r="R14" i="259" s="1"/>
  <c r="DF20" i="204"/>
  <c r="DE38" i="204"/>
  <c r="DF39" i="204"/>
  <c r="DF40" i="204"/>
  <c r="DF37" i="204"/>
  <c r="DE32" i="204"/>
  <c r="DF35" i="204"/>
  <c r="DE37" i="204"/>
  <c r="DF32" i="204"/>
  <c r="DJ20" i="204"/>
  <c r="DG22" i="204"/>
  <c r="DG32" i="204"/>
  <c r="DG37" i="204"/>
  <c r="DG40" i="204"/>
  <c r="DF41" i="204"/>
  <c r="P14" i="224" s="1"/>
  <c r="P14" i="259" s="1"/>
  <c r="DG39" i="204"/>
  <c r="DG38" i="204"/>
  <c r="DG35" i="204"/>
  <c r="DH40" i="204"/>
  <c r="DG20" i="204"/>
  <c r="DG41" i="204"/>
  <c r="Q14" i="224" s="1"/>
  <c r="Q14" i="259" s="1"/>
  <c r="DH32" i="204"/>
  <c r="DH38" i="204"/>
  <c r="DH37" i="204"/>
  <c r="DH20" i="204"/>
  <c r="DH39" i="204"/>
  <c r="DH35" i="204"/>
  <c r="DJ40" i="204"/>
  <c r="DH22" i="204"/>
  <c r="DI40" i="204"/>
  <c r="DJ37" i="204"/>
  <c r="DJ35" i="204"/>
  <c r="DJ38" i="204"/>
  <c r="DJ39" i="204"/>
  <c r="DI32" i="204"/>
  <c r="DI35" i="204"/>
  <c r="DI38" i="204"/>
  <c r="DK32" i="204"/>
  <c r="DM35" i="204"/>
  <c r="DJ41" i="204"/>
  <c r="T14" i="224" s="1"/>
  <c r="T14" i="259" s="1"/>
  <c r="DI37" i="204"/>
  <c r="DL40" i="204"/>
  <c r="DI22" i="204"/>
  <c r="DI20" i="204"/>
  <c r="DI39" i="204"/>
  <c r="DJ32" i="204"/>
  <c r="DJ22" i="204"/>
  <c r="DI41" i="204"/>
  <c r="S14" i="224" s="1"/>
  <c r="S14" i="259" s="1"/>
  <c r="DM39" i="204"/>
  <c r="DK22" i="204"/>
  <c r="DK37" i="204"/>
  <c r="DL20" i="204"/>
  <c r="DK39" i="204"/>
  <c r="DK38" i="204"/>
  <c r="DK40" i="204"/>
  <c r="DL38" i="204"/>
  <c r="DM40" i="204"/>
  <c r="DL32" i="204"/>
  <c r="DK35" i="204"/>
  <c r="DK41" i="204"/>
  <c r="DL39" i="204"/>
  <c r="DL37" i="204"/>
  <c r="DL41" i="204"/>
  <c r="DK20" i="204"/>
  <c r="DL22" i="204"/>
  <c r="DM37" i="204"/>
  <c r="DM41" i="204"/>
  <c r="DL35" i="204"/>
  <c r="DM20" i="204"/>
  <c r="DN40" i="204"/>
  <c r="DM38" i="204"/>
  <c r="DO40" i="204"/>
  <c r="DM32" i="204"/>
  <c r="Q27" i="259"/>
  <c r="Q105" i="259" s="1"/>
  <c r="DN32" i="204"/>
  <c r="DO35" i="204"/>
  <c r="DO38" i="204"/>
  <c r="DO37" i="204"/>
  <c r="DN35" i="204"/>
  <c r="DO41" i="204"/>
  <c r="DN22" i="204"/>
  <c r="DM22" i="204"/>
  <c r="DO22" i="204"/>
  <c r="DN38" i="204"/>
  <c r="DN39" i="204"/>
  <c r="DP40" i="204"/>
  <c r="DO32" i="204"/>
  <c r="DO20" i="204"/>
  <c r="DN20" i="204"/>
  <c r="DN37" i="204"/>
  <c r="DP35" i="204"/>
  <c r="S27" i="259"/>
  <c r="S105" i="259" s="1"/>
  <c r="DP38" i="204"/>
  <c r="DP22" i="204"/>
  <c r="Q27" i="224"/>
  <c r="Q105" i="224" s="1"/>
  <c r="K27" i="259"/>
  <c r="K105" i="259" s="1"/>
  <c r="R27" i="224"/>
  <c r="R105" i="224" s="1"/>
  <c r="M27" i="259"/>
  <c r="M105" i="259" s="1"/>
  <c r="DP32" i="204"/>
  <c r="DP37" i="204"/>
  <c r="DP20" i="204"/>
  <c r="N27" i="224"/>
  <c r="N105" i="224" s="1"/>
  <c r="D27" i="259"/>
  <c r="T27" i="224"/>
  <c r="T105" i="224" s="1"/>
  <c r="K27" i="224"/>
  <c r="K105" i="224" s="1"/>
  <c r="S27" i="224"/>
  <c r="S105" i="224" s="1"/>
  <c r="N27" i="259"/>
  <c r="N105" i="259" s="1"/>
  <c r="DP41" i="204"/>
  <c r="DN41" i="204"/>
  <c r="T27" i="259"/>
  <c r="T105" i="259" s="1"/>
  <c r="L27" i="224"/>
  <c r="L105" i="224" s="1"/>
  <c r="DP39" i="204"/>
  <c r="L27" i="259"/>
  <c r="L105" i="259" s="1"/>
  <c r="O27" i="259"/>
  <c r="O105" i="259" s="1"/>
  <c r="D27" i="224"/>
  <c r="O27" i="224"/>
  <c r="O105" i="224" s="1"/>
  <c r="R27" i="259"/>
  <c r="R105" i="259" s="1"/>
  <c r="M27" i="224"/>
  <c r="M105" i="224" s="1"/>
  <c r="P27" i="224"/>
  <c r="P105" i="224" s="1"/>
  <c r="P27" i="259"/>
  <c r="P105" i="259" s="1"/>
  <c r="DO39" i="204"/>
  <c r="H27" i="259"/>
  <c r="H105" i="259" s="1"/>
  <c r="J27" i="259"/>
  <c r="J105" i="259" s="1"/>
  <c r="F27" i="259"/>
  <c r="F105" i="259" s="1"/>
  <c r="H27" i="224"/>
  <c r="H105" i="224" s="1"/>
  <c r="I27" i="259"/>
  <c r="I105" i="259" s="1"/>
  <c r="F27" i="224"/>
  <c r="F105" i="224" s="1"/>
  <c r="G27" i="224"/>
  <c r="G105" i="224" s="1"/>
  <c r="G27" i="259"/>
  <c r="G105" i="259" s="1"/>
  <c r="I27" i="224"/>
  <c r="I105" i="224" s="1"/>
  <c r="E27" i="224"/>
  <c r="E105" i="224" s="1"/>
  <c r="J27" i="224"/>
  <c r="J105" i="224" s="1"/>
  <c r="E27" i="259"/>
  <c r="E105" i="259" s="1"/>
  <c r="K6" i="261"/>
  <c r="CZ37" i="204"/>
  <c r="J6" i="261"/>
  <c r="O6" i="261"/>
  <c r="Q6" i="261"/>
  <c r="CY32" i="204"/>
  <c r="CZ40" i="204"/>
  <c r="P6" i="261"/>
  <c r="M6" i="261"/>
  <c r="CZ35" i="204"/>
  <c r="CW38" i="204"/>
  <c r="CV38" i="204"/>
  <c r="CV35" i="204"/>
  <c r="CV41" i="204"/>
  <c r="F14" i="224" s="1"/>
  <c r="CW39" i="204"/>
  <c r="CY38" i="204"/>
  <c r="CY39" i="204"/>
  <c r="I6" i="261"/>
  <c r="CU35" i="204"/>
  <c r="H6" i="261"/>
  <c r="CT37" i="204"/>
  <c r="CW37" i="204"/>
  <c r="CX37" i="204"/>
  <c r="G6" i="261"/>
  <c r="G70" i="261" s="1"/>
  <c r="G71" i="261" s="1"/>
  <c r="CW35" i="204"/>
  <c r="CT35" i="204"/>
  <c r="L6" i="261"/>
  <c r="CT39" i="204"/>
  <c r="CX35" i="204"/>
  <c r="CT38" i="204"/>
  <c r="CV39" i="204"/>
  <c r="CU38" i="204"/>
  <c r="CY37" i="204"/>
  <c r="CZ38" i="204"/>
  <c r="CZ39" i="204"/>
  <c r="CU39" i="204"/>
  <c r="F6" i="261"/>
  <c r="F70" i="261" s="1"/>
  <c r="F71" i="261" s="1"/>
  <c r="CX38" i="204"/>
  <c r="CU37" i="204"/>
  <c r="CZ41" i="204"/>
  <c r="J14" i="224" s="1"/>
  <c r="CV37" i="204"/>
  <c r="N6" i="261"/>
  <c r="CY35" i="204"/>
  <c r="CV32" i="204"/>
  <c r="CX39" i="204"/>
  <c r="CU32" i="204"/>
  <c r="CY40" i="204"/>
  <c r="CX41" i="204"/>
  <c r="H14" i="224" s="1"/>
  <c r="CZ32" i="204"/>
  <c r="CW32" i="204"/>
  <c r="CU40" i="204"/>
  <c r="E6" i="261"/>
  <c r="CU41" i="204"/>
  <c r="E14" i="224" s="1"/>
  <c r="CY41" i="204"/>
  <c r="I14" i="224" s="1"/>
  <c r="CT32" i="204"/>
  <c r="CX40" i="204"/>
  <c r="CX32" i="204"/>
  <c r="CW40" i="204"/>
  <c r="CT40" i="204"/>
  <c r="CV40" i="204"/>
  <c r="CW41" i="204"/>
  <c r="G14" i="224" s="1"/>
  <c r="G14" i="259" s="1"/>
  <c r="CT41" i="204"/>
  <c r="D14" i="224" s="1"/>
  <c r="AY153" i="229"/>
  <c r="AY155" i="229" s="1"/>
  <c r="AY245" i="229" s="1"/>
  <c r="AX142" i="229"/>
  <c r="AX144" i="229" s="1"/>
  <c r="AX244" i="229" s="1"/>
  <c r="AY139" i="229"/>
  <c r="AY140" i="229" s="1"/>
  <c r="AY206" i="229" s="1"/>
  <c r="AZ150" i="229"/>
  <c r="AZ151" i="229" s="1"/>
  <c r="AZ207" i="229" s="1"/>
  <c r="AX174" i="229"/>
  <c r="AX175" i="229" s="1"/>
  <c r="AX177" i="229" s="1"/>
  <c r="AX247" i="229" s="1"/>
  <c r="BC31" i="229"/>
  <c r="BC215" i="229" s="1"/>
  <c r="S277" i="229" s="1"/>
  <c r="S321" i="229" s="1"/>
  <c r="AZ163" i="229"/>
  <c r="AZ227" i="229" s="1"/>
  <c r="AY129" i="229"/>
  <c r="AY205" i="229" s="1"/>
  <c r="AZ185" i="229"/>
  <c r="AX53" i="229"/>
  <c r="AW119" i="229"/>
  <c r="AW75" i="229"/>
  <c r="BE86" i="229"/>
  <c r="BC42" i="229"/>
  <c r="AY108" i="229"/>
  <c r="BH221" i="229"/>
  <c r="BI95" i="229"/>
  <c r="BH98" i="229"/>
  <c r="BH100" i="229" s="1"/>
  <c r="BH240" i="229" s="1"/>
  <c r="H14" i="259" l="1"/>
  <c r="J14" i="259"/>
  <c r="I14" i="259"/>
  <c r="EN27" i="198"/>
  <c r="AW64" i="229"/>
  <c r="AW218" i="229" s="1"/>
  <c r="AX228" i="229"/>
  <c r="EJ27" i="198"/>
  <c r="AA33" i="198" s="1"/>
  <c r="EK27" i="198"/>
  <c r="AB33" i="198" s="1"/>
  <c r="E14" i="259"/>
  <c r="E15" i="259" s="1"/>
  <c r="E24" i="259" s="1"/>
  <c r="E103" i="259" s="1"/>
  <c r="E15" i="224"/>
  <c r="E24" i="224" s="1"/>
  <c r="Q70" i="261"/>
  <c r="Q71" i="261" s="1"/>
  <c r="Q15" i="261"/>
  <c r="H70" i="261"/>
  <c r="H71" i="261" s="1"/>
  <c r="H15" i="261"/>
  <c r="O70" i="261"/>
  <c r="O71" i="261" s="1"/>
  <c r="O15" i="261"/>
  <c r="Z32" i="255"/>
  <c r="Z33" i="255"/>
  <c r="Z34" i="255" s="1"/>
  <c r="EL27" i="198"/>
  <c r="H65" i="260"/>
  <c r="L70" i="261"/>
  <c r="L71" i="261" s="1"/>
  <c r="L15" i="261"/>
  <c r="J70" i="261"/>
  <c r="J71" i="261" s="1"/>
  <c r="J15" i="261"/>
  <c r="N70" i="261"/>
  <c r="N71" i="261" s="1"/>
  <c r="N15" i="261"/>
  <c r="I70" i="261"/>
  <c r="I71" i="261" s="1"/>
  <c r="I15" i="261"/>
  <c r="D105" i="259"/>
  <c r="C27" i="259"/>
  <c r="CU21" i="204"/>
  <c r="CV21" i="204" s="1"/>
  <c r="CW21" i="204" s="1"/>
  <c r="CX21" i="204" s="1"/>
  <c r="CY21" i="204" s="1"/>
  <c r="CZ21" i="204" s="1"/>
  <c r="DA21" i="204" s="1"/>
  <c r="DB21" i="204" s="1"/>
  <c r="DC21" i="204" s="1"/>
  <c r="DD21" i="204" s="1"/>
  <c r="DE21" i="204" s="1"/>
  <c r="DF21" i="204" s="1"/>
  <c r="DG21" i="204" s="1"/>
  <c r="DH21" i="204" s="1"/>
  <c r="DI21" i="204" s="1"/>
  <c r="DJ21" i="204" s="1"/>
  <c r="DK21" i="204" s="1"/>
  <c r="DL21" i="204" s="1"/>
  <c r="DM21" i="204" s="1"/>
  <c r="DN21" i="204" s="1"/>
  <c r="DO21" i="204" s="1"/>
  <c r="DP21" i="204" s="1"/>
  <c r="CU18" i="204"/>
  <c r="CU23" i="204" s="1"/>
  <c r="CV23" i="204" s="1"/>
  <c r="CW23" i="204" s="1"/>
  <c r="CX23" i="204" s="1"/>
  <c r="Y32" i="255"/>
  <c r="Y33" i="255"/>
  <c r="Y34" i="255" s="1"/>
  <c r="M70" i="261"/>
  <c r="M71" i="261" s="1"/>
  <c r="M15" i="261"/>
  <c r="K70" i="261"/>
  <c r="K71" i="261" s="1"/>
  <c r="K15" i="261"/>
  <c r="Y40" i="255"/>
  <c r="Y41" i="255" s="1"/>
  <c r="Y44" i="255"/>
  <c r="Y45" i="255" s="1"/>
  <c r="Y39" i="255"/>
  <c r="EO27" i="198"/>
  <c r="P70" i="261"/>
  <c r="P71" i="261" s="1"/>
  <c r="P15" i="261"/>
  <c r="Y25" i="255"/>
  <c r="Y26" i="255"/>
  <c r="Y27" i="255" s="1"/>
  <c r="EI27" i="198"/>
  <c r="Z33" i="198" s="1"/>
  <c r="Z26" i="255"/>
  <c r="Z27" i="255" s="1"/>
  <c r="Z25" i="255"/>
  <c r="D14" i="259"/>
  <c r="D15" i="224"/>
  <c r="D24" i="224" s="1"/>
  <c r="F15" i="224"/>
  <c r="F24" i="224" s="1"/>
  <c r="F14" i="259"/>
  <c r="F15" i="259" s="1"/>
  <c r="F24" i="259" s="1"/>
  <c r="F103" i="259" s="1"/>
  <c r="D105" i="224"/>
  <c r="C27" i="224"/>
  <c r="Z44" i="255"/>
  <c r="Z45" i="255" s="1"/>
  <c r="Z40" i="255"/>
  <c r="Z41" i="255" s="1"/>
  <c r="Z39" i="255"/>
  <c r="EM27" i="198"/>
  <c r="BA161" i="229"/>
  <c r="BA162" i="229" s="1"/>
  <c r="BA208" i="229" s="1"/>
  <c r="AZ164" i="229"/>
  <c r="AZ166" i="229" s="1"/>
  <c r="AZ246" i="229" s="1"/>
  <c r="BC32" i="229"/>
  <c r="BC34" i="229" s="1"/>
  <c r="BC234" i="229" s="1"/>
  <c r="AY172" i="229"/>
  <c r="AY173" i="229" s="1"/>
  <c r="AY209" i="229" s="1"/>
  <c r="BD29" i="229"/>
  <c r="BD30" i="229" s="1"/>
  <c r="BD196" i="229" s="1"/>
  <c r="AY141" i="229"/>
  <c r="AY225" i="229" s="1"/>
  <c r="R287" i="229" s="1"/>
  <c r="R331" i="229" s="1"/>
  <c r="AZ152" i="229"/>
  <c r="AZ226" i="229" s="1"/>
  <c r="AY130" i="229"/>
  <c r="AY131" i="229" s="1"/>
  <c r="AY133" i="229" s="1"/>
  <c r="AY243" i="229" s="1"/>
  <c r="BE87" i="229"/>
  <c r="BE89" i="229" s="1"/>
  <c r="BE239" i="229" s="1"/>
  <c r="BE220" i="229"/>
  <c r="BF84" i="229"/>
  <c r="AX73" i="229"/>
  <c r="AW219" i="229"/>
  <c r="AW76" i="229"/>
  <c r="AW78" i="229" s="1"/>
  <c r="AW238" i="229" s="1"/>
  <c r="AW223" i="229"/>
  <c r="AX117" i="229"/>
  <c r="AW120" i="229"/>
  <c r="AW122" i="229" s="1"/>
  <c r="AW242" i="229" s="1"/>
  <c r="AY222" i="229"/>
  <c r="R284" i="229" s="1"/>
  <c r="R328" i="229" s="1"/>
  <c r="AZ106" i="229"/>
  <c r="AY109" i="229"/>
  <c r="AY111" i="229" s="1"/>
  <c r="AY241" i="229" s="1"/>
  <c r="AX217" i="229"/>
  <c r="AY51" i="229"/>
  <c r="AX54" i="229"/>
  <c r="AX56" i="229" s="1"/>
  <c r="AX236" i="229" s="1"/>
  <c r="BD40" i="229"/>
  <c r="BC216" i="229"/>
  <c r="S278" i="229" s="1"/>
  <c r="S322" i="229" s="1"/>
  <c r="BC43" i="229"/>
  <c r="BC45" i="229" s="1"/>
  <c r="BC235" i="229" s="1"/>
  <c r="BA183" i="229"/>
  <c r="AZ229" i="229"/>
  <c r="AZ186" i="229"/>
  <c r="AZ188" i="229" s="1"/>
  <c r="AZ248" i="229" s="1"/>
  <c r="BI96" i="229"/>
  <c r="BI202" i="229" s="1"/>
  <c r="C14" i="224" l="1"/>
  <c r="A14" i="224" s="1"/>
  <c r="V14" i="224"/>
  <c r="D32" i="260" s="1"/>
  <c r="I32" i="260" s="1"/>
  <c r="AW65" i="229"/>
  <c r="AW67" i="229" s="1"/>
  <c r="AW237" i="229" s="1"/>
  <c r="AX62" i="229"/>
  <c r="AX63" i="229" s="1"/>
  <c r="AX199" i="229" s="1"/>
  <c r="F103" i="224"/>
  <c r="G9" i="261"/>
  <c r="G12" i="261" s="1"/>
  <c r="G67" i="261" s="1"/>
  <c r="G69" i="261" s="1"/>
  <c r="G72" i="261" s="1"/>
  <c r="G73" i="261" s="1"/>
  <c r="G74" i="261" s="1"/>
  <c r="D103" i="224"/>
  <c r="D113" i="224" s="1"/>
  <c r="D119" i="224" s="1"/>
  <c r="E9" i="261"/>
  <c r="E12" i="261" s="1"/>
  <c r="D35" i="224"/>
  <c r="H64" i="260"/>
  <c r="J65" i="260"/>
  <c r="F9" i="261"/>
  <c r="F12" i="261" s="1"/>
  <c r="F67" i="261" s="1"/>
  <c r="F69" i="261" s="1"/>
  <c r="F72" i="261" s="1"/>
  <c r="F73" i="261" s="1"/>
  <c r="F74" i="261" s="1"/>
  <c r="E103" i="224"/>
  <c r="D15" i="259"/>
  <c r="D24" i="259" s="1"/>
  <c r="C14" i="259"/>
  <c r="BI97" i="229"/>
  <c r="BI221" i="229" s="1"/>
  <c r="BA150" i="229"/>
  <c r="BA151" i="229" s="1"/>
  <c r="BA207" i="229" s="1"/>
  <c r="AZ128" i="229"/>
  <c r="AZ129" i="229" s="1"/>
  <c r="AZ205" i="229" s="1"/>
  <c r="BD31" i="229"/>
  <c r="BD215" i="229" s="1"/>
  <c r="AY142" i="229"/>
  <c r="AY144" i="229" s="1"/>
  <c r="AY244" i="229" s="1"/>
  <c r="AZ153" i="229"/>
  <c r="AZ155" i="229" s="1"/>
  <c r="AZ245" i="229" s="1"/>
  <c r="AZ139" i="229"/>
  <c r="AZ140" i="229" s="1"/>
  <c r="AZ206" i="229" s="1"/>
  <c r="AY224" i="229"/>
  <c r="R286" i="229" s="1"/>
  <c r="R330" i="229" s="1"/>
  <c r="AY174" i="229"/>
  <c r="AZ172" i="229" s="1"/>
  <c r="BA163" i="229"/>
  <c r="BB161" i="229" s="1"/>
  <c r="AZ107" i="229"/>
  <c r="AZ203" i="229" s="1"/>
  <c r="BE29" i="229"/>
  <c r="BD41" i="229"/>
  <c r="BD197" i="229" s="1"/>
  <c r="BA184" i="229"/>
  <c r="BA210" i="229" s="1"/>
  <c r="AX74" i="229"/>
  <c r="AX200" i="229" s="1"/>
  <c r="BF85" i="229"/>
  <c r="BF201" i="229" s="1"/>
  <c r="AY52" i="229"/>
  <c r="AY198" i="229" s="1"/>
  <c r="AX118" i="229"/>
  <c r="AX204" i="229" s="1"/>
  <c r="BD32" i="229" l="1"/>
  <c r="BD34" i="229" s="1"/>
  <c r="BD234" i="229" s="1"/>
  <c r="AX64" i="229"/>
  <c r="AX65" i="229" s="1"/>
  <c r="AX67" i="229" s="1"/>
  <c r="AX237" i="229" s="1"/>
  <c r="BI98" i="229"/>
  <c r="BI100" i="229" s="1"/>
  <c r="BI240" i="229" s="1"/>
  <c r="BJ95" i="229"/>
  <c r="J64" i="260"/>
  <c r="H76" i="260"/>
  <c r="J76" i="260" s="1"/>
  <c r="D40" i="224"/>
  <c r="D42" i="224" s="1"/>
  <c r="D194" i="224"/>
  <c r="D197" i="224" s="1"/>
  <c r="D137" i="224"/>
  <c r="D120" i="224"/>
  <c r="D129" i="224"/>
  <c r="D124" i="224"/>
  <c r="D133" i="224" s="1"/>
  <c r="D35" i="259"/>
  <c r="D103" i="259"/>
  <c r="D113" i="259" s="1"/>
  <c r="D119" i="259" s="1"/>
  <c r="AY175" i="229"/>
  <c r="AY177" i="229" s="1"/>
  <c r="AY247" i="229" s="1"/>
  <c r="BA227" i="229"/>
  <c r="AY228" i="229"/>
  <c r="R290" i="229" s="1"/>
  <c r="R334" i="229" s="1"/>
  <c r="BA164" i="229"/>
  <c r="BA166" i="229" s="1"/>
  <c r="BA246" i="229" s="1"/>
  <c r="BA152" i="229"/>
  <c r="BB150" i="229" s="1"/>
  <c r="AZ108" i="229"/>
  <c r="BA106" i="229" s="1"/>
  <c r="AZ130" i="229"/>
  <c r="AZ224" i="229" s="1"/>
  <c r="BD42" i="229"/>
  <c r="BD216" i="229" s="1"/>
  <c r="AX75" i="229"/>
  <c r="AY73" i="229" s="1"/>
  <c r="AY53" i="229"/>
  <c r="AY217" i="229" s="1"/>
  <c r="R279" i="229" s="1"/>
  <c r="R323" i="229" s="1"/>
  <c r="BA185" i="229"/>
  <c r="BB183" i="229" s="1"/>
  <c r="BE30" i="229"/>
  <c r="BE196" i="229" s="1"/>
  <c r="BB162" i="229"/>
  <c r="BB208" i="229" s="1"/>
  <c r="AZ173" i="229"/>
  <c r="AZ209" i="229" s="1"/>
  <c r="AX119" i="229"/>
  <c r="BF86" i="229"/>
  <c r="AZ141" i="229"/>
  <c r="BJ96" i="229"/>
  <c r="BJ202" i="229" s="1"/>
  <c r="AY62" i="229" l="1"/>
  <c r="AY63" i="229" s="1"/>
  <c r="AY199" i="229" s="1"/>
  <c r="AX218" i="229"/>
  <c r="BA153" i="229"/>
  <c r="BA155" i="229" s="1"/>
  <c r="BA245" i="229" s="1"/>
  <c r="BJ97" i="229"/>
  <c r="BA226" i="229"/>
  <c r="D138" i="224"/>
  <c r="D125" i="224"/>
  <c r="D134" i="224" s="1"/>
  <c r="D130" i="224"/>
  <c r="D47" i="224"/>
  <c r="D48" i="224" s="1"/>
  <c r="D120" i="259"/>
  <c r="D124" i="259"/>
  <c r="D133" i="259" s="1"/>
  <c r="D137" i="259"/>
  <c r="D129" i="259"/>
  <c r="D195" i="259"/>
  <c r="D198" i="259" s="1"/>
  <c r="D40" i="259"/>
  <c r="BE40" i="229"/>
  <c r="BE41" i="229" s="1"/>
  <c r="BE197" i="229" s="1"/>
  <c r="AZ109" i="229"/>
  <c r="AZ111" i="229" s="1"/>
  <c r="AZ241" i="229" s="1"/>
  <c r="AZ222" i="229"/>
  <c r="AZ131" i="229"/>
  <c r="AZ133" i="229" s="1"/>
  <c r="AZ243" i="229" s="1"/>
  <c r="BA128" i="229"/>
  <c r="BA129" i="229" s="1"/>
  <c r="BA205" i="229" s="1"/>
  <c r="BA229" i="229"/>
  <c r="BD43" i="229"/>
  <c r="BD45" i="229" s="1"/>
  <c r="BD235" i="229" s="1"/>
  <c r="AX76" i="229"/>
  <c r="AX78" i="229" s="1"/>
  <c r="AX238" i="229" s="1"/>
  <c r="AZ51" i="229"/>
  <c r="AZ52" i="229" s="1"/>
  <c r="AZ198" i="229" s="1"/>
  <c r="BB163" i="229"/>
  <c r="BB227" i="229" s="1"/>
  <c r="AX219" i="229"/>
  <c r="BE31" i="229"/>
  <c r="BF29" i="229" s="1"/>
  <c r="BA186" i="229"/>
  <c r="BA188" i="229" s="1"/>
  <c r="BA248" i="229" s="1"/>
  <c r="AY54" i="229"/>
  <c r="AY56" i="229" s="1"/>
  <c r="AY236" i="229" s="1"/>
  <c r="BF87" i="229"/>
  <c r="BF89" i="229" s="1"/>
  <c r="BF239" i="229" s="1"/>
  <c r="BF220" i="229"/>
  <c r="BG84" i="229"/>
  <c r="AX223" i="229"/>
  <c r="AY117" i="229"/>
  <c r="AX120" i="229"/>
  <c r="AX122" i="229" s="1"/>
  <c r="AX242" i="229" s="1"/>
  <c r="BB151" i="229"/>
  <c r="BB207" i="229" s="1"/>
  <c r="BA107" i="229"/>
  <c r="BA203" i="229" s="1"/>
  <c r="AZ174" i="229"/>
  <c r="AZ225" i="229"/>
  <c r="BA139" i="229"/>
  <c r="AZ142" i="229"/>
  <c r="AZ144" i="229" s="1"/>
  <c r="AZ244" i="229" s="1"/>
  <c r="BB184" i="229"/>
  <c r="BB210" i="229" s="1"/>
  <c r="AY74" i="229"/>
  <c r="AY200" i="229" s="1"/>
  <c r="BJ221" i="229"/>
  <c r="BK95" i="229"/>
  <c r="BJ98" i="229"/>
  <c r="BJ100" i="229" s="1"/>
  <c r="BJ240" i="229" s="1"/>
  <c r="AY64" i="229" l="1"/>
  <c r="AZ62" i="229" s="1"/>
  <c r="D138" i="259"/>
  <c r="D125" i="259"/>
  <c r="D134" i="259" s="1"/>
  <c r="D130" i="259"/>
  <c r="D46" i="224"/>
  <c r="D63" i="224" s="1"/>
  <c r="D42" i="259"/>
  <c r="D47" i="259" s="1"/>
  <c r="D48" i="259" s="1"/>
  <c r="BB164" i="229"/>
  <c r="BB166" i="229" s="1"/>
  <c r="BB246" i="229" s="1"/>
  <c r="BE32" i="229"/>
  <c r="BE34" i="229" s="1"/>
  <c r="BE234" i="229" s="1"/>
  <c r="BC161" i="229"/>
  <c r="BC162" i="229" s="1"/>
  <c r="BC208" i="229" s="1"/>
  <c r="BE215" i="229"/>
  <c r="AY75" i="229"/>
  <c r="AZ73" i="229" s="1"/>
  <c r="BA130" i="229"/>
  <c r="BA224" i="229" s="1"/>
  <c r="BA108" i="229"/>
  <c r="BA109" i="229" s="1"/>
  <c r="BA111" i="229" s="1"/>
  <c r="BA241" i="229" s="1"/>
  <c r="AZ53" i="229"/>
  <c r="BA51" i="229" s="1"/>
  <c r="BB152" i="229"/>
  <c r="BB226" i="229" s="1"/>
  <c r="AZ228" i="229"/>
  <c r="BA172" i="229"/>
  <c r="AZ175" i="229"/>
  <c r="AZ177" i="229" s="1"/>
  <c r="AZ247" i="229" s="1"/>
  <c r="BA140" i="229"/>
  <c r="BA206" i="229" s="1"/>
  <c r="AY118" i="229"/>
  <c r="AY204" i="229" s="1"/>
  <c r="BG85" i="229"/>
  <c r="BG201" i="229" s="1"/>
  <c r="BB185" i="229"/>
  <c r="BF30" i="229"/>
  <c r="BF196" i="229" s="1"/>
  <c r="BE42" i="229"/>
  <c r="BK96" i="229"/>
  <c r="BK202" i="229" s="1"/>
  <c r="AY65" i="229" l="1"/>
  <c r="AY67" i="229" s="1"/>
  <c r="AY237" i="229" s="1"/>
  <c r="AY218" i="229"/>
  <c r="R280" i="229" s="1"/>
  <c r="R324" i="229" s="1"/>
  <c r="AZ63" i="229"/>
  <c r="AZ199" i="229" s="1"/>
  <c r="D46" i="259"/>
  <c r="D63" i="259" s="1"/>
  <c r="D73" i="224"/>
  <c r="D81" i="224"/>
  <c r="D83" i="224" s="1"/>
  <c r="D68" i="224"/>
  <c r="D77" i="224" s="1"/>
  <c r="D64" i="224"/>
  <c r="BA222" i="229"/>
  <c r="BB128" i="229"/>
  <c r="BB129" i="229" s="1"/>
  <c r="BB205" i="229" s="1"/>
  <c r="AY76" i="229"/>
  <c r="AY78" i="229" s="1"/>
  <c r="AY238" i="229" s="1"/>
  <c r="AY219" i="229"/>
  <c r="R281" i="229" s="1"/>
  <c r="R325" i="229" s="1"/>
  <c r="AY119" i="229"/>
  <c r="AY120" i="229" s="1"/>
  <c r="AY122" i="229" s="1"/>
  <c r="AY242" i="229" s="1"/>
  <c r="BB106" i="229"/>
  <c r="BB107" i="229" s="1"/>
  <c r="BB203" i="229" s="1"/>
  <c r="BC163" i="229"/>
  <c r="BD161" i="229" s="1"/>
  <c r="BG86" i="229"/>
  <c r="BG220" i="229" s="1"/>
  <c r="T282" i="229" s="1"/>
  <c r="T326" i="229" s="1"/>
  <c r="BA131" i="229"/>
  <c r="BA133" i="229" s="1"/>
  <c r="BA243" i="229" s="1"/>
  <c r="BA141" i="229"/>
  <c r="BB139" i="229" s="1"/>
  <c r="AZ217" i="229"/>
  <c r="BB153" i="229"/>
  <c r="BB155" i="229" s="1"/>
  <c r="BB245" i="229" s="1"/>
  <c r="BC150" i="229"/>
  <c r="BC151" i="229" s="1"/>
  <c r="BC207" i="229" s="1"/>
  <c r="AZ54" i="229"/>
  <c r="AZ56" i="229" s="1"/>
  <c r="AZ236" i="229" s="1"/>
  <c r="BC183" i="229"/>
  <c r="BB229" i="229"/>
  <c r="BB186" i="229"/>
  <c r="BB188" i="229" s="1"/>
  <c r="BB248" i="229" s="1"/>
  <c r="BA52" i="229"/>
  <c r="BA198" i="229" s="1"/>
  <c r="BF40" i="229"/>
  <c r="BE216" i="229"/>
  <c r="BE43" i="229"/>
  <c r="BE45" i="229" s="1"/>
  <c r="BE235" i="229" s="1"/>
  <c r="BF31" i="229"/>
  <c r="AZ74" i="229"/>
  <c r="AZ200" i="229" s="1"/>
  <c r="BA173" i="229"/>
  <c r="BA209" i="229" s="1"/>
  <c r="BK97" i="229"/>
  <c r="AY223" i="229" l="1"/>
  <c r="R285" i="229" s="1"/>
  <c r="R329" i="229" s="1"/>
  <c r="R336" i="229" s="1"/>
  <c r="N22" i="224" s="1"/>
  <c r="N22" i="259" s="1"/>
  <c r="AZ117" i="229"/>
  <c r="AZ118" i="229" s="1"/>
  <c r="AZ204" i="229" s="1"/>
  <c r="R320" i="229"/>
  <c r="K65" i="251" s="1"/>
  <c r="AC65" i="251" s="1"/>
  <c r="AZ64" i="229"/>
  <c r="AZ218" i="229" s="1"/>
  <c r="BA225" i="229"/>
  <c r="BA142" i="229"/>
  <c r="BA144" i="229" s="1"/>
  <c r="BA244" i="229" s="1"/>
  <c r="D82" i="224"/>
  <c r="D84" i="224" s="1"/>
  <c r="D74" i="224"/>
  <c r="D69" i="224"/>
  <c r="D78" i="224" s="1"/>
  <c r="D68" i="259"/>
  <c r="D77" i="259" s="1"/>
  <c r="D81" i="259"/>
  <c r="D83" i="259" s="1"/>
  <c r="D64" i="259"/>
  <c r="D73" i="259"/>
  <c r="BC164" i="229"/>
  <c r="BC166" i="229" s="1"/>
  <c r="BC246" i="229" s="1"/>
  <c r="BH84" i="229"/>
  <c r="BH85" i="229" s="1"/>
  <c r="BH201" i="229" s="1"/>
  <c r="BG87" i="229"/>
  <c r="BG89" i="229" s="1"/>
  <c r="BG239" i="229" s="1"/>
  <c r="BC227" i="229"/>
  <c r="S289" i="229" s="1"/>
  <c r="S333" i="229" s="1"/>
  <c r="BA174" i="229"/>
  <c r="BB172" i="229" s="1"/>
  <c r="BB108" i="229"/>
  <c r="BB222" i="229" s="1"/>
  <c r="BB130" i="229"/>
  <c r="BB224" i="229" s="1"/>
  <c r="BC152" i="229"/>
  <c r="BC153" i="229" s="1"/>
  <c r="BC155" i="229" s="1"/>
  <c r="BC245" i="229" s="1"/>
  <c r="AZ75" i="229"/>
  <c r="AZ76" i="229" s="1"/>
  <c r="AZ78" i="229" s="1"/>
  <c r="AZ238" i="229" s="1"/>
  <c r="BA53" i="229"/>
  <c r="BA54" i="229" s="1"/>
  <c r="BA56" i="229" s="1"/>
  <c r="BA236" i="229" s="1"/>
  <c r="BD162" i="229"/>
  <c r="BD208" i="229" s="1"/>
  <c r="BF41" i="229"/>
  <c r="BF197" i="229" s="1"/>
  <c r="BB140" i="229"/>
  <c r="BB206" i="229" s="1"/>
  <c r="BG29" i="229"/>
  <c r="BF215" i="229"/>
  <c r="BF32" i="229"/>
  <c r="BF34" i="229" s="1"/>
  <c r="BF234" i="229" s="1"/>
  <c r="BC184" i="229"/>
  <c r="BC210" i="229" s="1"/>
  <c r="BK221" i="229"/>
  <c r="U283" i="229" s="1"/>
  <c r="U327" i="229" s="1"/>
  <c r="BL95" i="229"/>
  <c r="BK98" i="229"/>
  <c r="BK100" i="229" s="1"/>
  <c r="BK240" i="229" s="1"/>
  <c r="BA62" i="229" l="1"/>
  <c r="BA63" i="229" s="1"/>
  <c r="BA199" i="229" s="1"/>
  <c r="AZ65" i="229"/>
  <c r="AZ67" i="229" s="1"/>
  <c r="AZ237" i="229" s="1"/>
  <c r="AZ119" i="229"/>
  <c r="BA117" i="229" s="1"/>
  <c r="BC106" i="229"/>
  <c r="BC107" i="229" s="1"/>
  <c r="BC203" i="229" s="1"/>
  <c r="D69" i="259"/>
  <c r="D78" i="259" s="1"/>
  <c r="D82" i="259"/>
  <c r="D84" i="259" s="1"/>
  <c r="D74" i="259"/>
  <c r="BA175" i="229"/>
  <c r="BA177" i="229" s="1"/>
  <c r="BA247" i="229" s="1"/>
  <c r="BA228" i="229"/>
  <c r="BC226" i="229"/>
  <c r="S288" i="229" s="1"/>
  <c r="S332" i="229" s="1"/>
  <c r="BD150" i="229"/>
  <c r="BD151" i="229" s="1"/>
  <c r="BD207" i="229" s="1"/>
  <c r="BC128" i="229"/>
  <c r="BC129" i="229" s="1"/>
  <c r="BC205" i="229" s="1"/>
  <c r="BB109" i="229"/>
  <c r="BB111" i="229" s="1"/>
  <c r="BB241" i="229" s="1"/>
  <c r="BB131" i="229"/>
  <c r="BB133" i="229" s="1"/>
  <c r="BB243" i="229" s="1"/>
  <c r="BB51" i="229"/>
  <c r="BB52" i="229" s="1"/>
  <c r="BB198" i="229" s="1"/>
  <c r="AZ219" i="229"/>
  <c r="BA217" i="229"/>
  <c r="BA73" i="229"/>
  <c r="BA74" i="229" s="1"/>
  <c r="BA200" i="229" s="1"/>
  <c r="BD163" i="229"/>
  <c r="BE161" i="229" s="1"/>
  <c r="BH86" i="229"/>
  <c r="BI84" i="229" s="1"/>
  <c r="BB141" i="229"/>
  <c r="BB225" i="229" s="1"/>
  <c r="BF42" i="229"/>
  <c r="BF43" i="229" s="1"/>
  <c r="BF45" i="229" s="1"/>
  <c r="BF235" i="229" s="1"/>
  <c r="BB173" i="229"/>
  <c r="BB209" i="229" s="1"/>
  <c r="BG30" i="229"/>
  <c r="BG196" i="229" s="1"/>
  <c r="BC185" i="229"/>
  <c r="BL96" i="229"/>
  <c r="BL202" i="229" s="1"/>
  <c r="AZ223" i="229" l="1"/>
  <c r="AZ120" i="229"/>
  <c r="AZ122" i="229" s="1"/>
  <c r="AZ242" i="229" s="1"/>
  <c r="BA64" i="229"/>
  <c r="BB62" i="229" s="1"/>
  <c r="BB174" i="229"/>
  <c r="BB228" i="229" s="1"/>
  <c r="BF216" i="229"/>
  <c r="BG40" i="229"/>
  <c r="BG41" i="229" s="1"/>
  <c r="BG197" i="229" s="1"/>
  <c r="BD164" i="229"/>
  <c r="BD166" i="229" s="1"/>
  <c r="BD246" i="229" s="1"/>
  <c r="BG31" i="229"/>
  <c r="BH29" i="229" s="1"/>
  <c r="BD227" i="229"/>
  <c r="BB142" i="229"/>
  <c r="BB144" i="229" s="1"/>
  <c r="BB244" i="229" s="1"/>
  <c r="BH87" i="229"/>
  <c r="BH89" i="229" s="1"/>
  <c r="BH239" i="229" s="1"/>
  <c r="BH220" i="229"/>
  <c r="BC139" i="229"/>
  <c r="BC140" i="229" s="1"/>
  <c r="BC206" i="229" s="1"/>
  <c r="BB53" i="229"/>
  <c r="BB217" i="229" s="1"/>
  <c r="BA118" i="229"/>
  <c r="BA204" i="229" s="1"/>
  <c r="BC108" i="229"/>
  <c r="BA75" i="229"/>
  <c r="BE162" i="229"/>
  <c r="BE208" i="229" s="1"/>
  <c r="BC130" i="229"/>
  <c r="BD152" i="229"/>
  <c r="BD183" i="229"/>
  <c r="BC229" i="229"/>
  <c r="S291" i="229" s="1"/>
  <c r="S335" i="229" s="1"/>
  <c r="BC186" i="229"/>
  <c r="BC188" i="229" s="1"/>
  <c r="BC248" i="229" s="1"/>
  <c r="BI85" i="229"/>
  <c r="BI201" i="229" s="1"/>
  <c r="BL97" i="229"/>
  <c r="BA65" i="229" l="1"/>
  <c r="BA67" i="229" s="1"/>
  <c r="BA237" i="229" s="1"/>
  <c r="BA218" i="229"/>
  <c r="BB175" i="229"/>
  <c r="BB177" i="229" s="1"/>
  <c r="BB247" i="229" s="1"/>
  <c r="BC172" i="229"/>
  <c r="BC173" i="229" s="1"/>
  <c r="BC209" i="229" s="1"/>
  <c r="BG32" i="229"/>
  <c r="BG34" i="229" s="1"/>
  <c r="BG234" i="229" s="1"/>
  <c r="BG215" i="229"/>
  <c r="T277" i="229" s="1"/>
  <c r="T321" i="229" s="1"/>
  <c r="BB63" i="229"/>
  <c r="BB199" i="229" s="1"/>
  <c r="BC51" i="229"/>
  <c r="BC52" i="229" s="1"/>
  <c r="BC198" i="229" s="1"/>
  <c r="BB54" i="229"/>
  <c r="BB56" i="229" s="1"/>
  <c r="BB236" i="229" s="1"/>
  <c r="BA119" i="229"/>
  <c r="BB117" i="229" s="1"/>
  <c r="BI86" i="229"/>
  <c r="BI220" i="229" s="1"/>
  <c r="BG42" i="229"/>
  <c r="BB73" i="229"/>
  <c r="BA219" i="229"/>
  <c r="BA76" i="229"/>
  <c r="BA78" i="229" s="1"/>
  <c r="BA238" i="229" s="1"/>
  <c r="BC222" i="229"/>
  <c r="S284" i="229" s="1"/>
  <c r="S328" i="229" s="1"/>
  <c r="BD106" i="229"/>
  <c r="BC109" i="229"/>
  <c r="BC111" i="229" s="1"/>
  <c r="BC241" i="229" s="1"/>
  <c r="BE150" i="229"/>
  <c r="BD226" i="229"/>
  <c r="BD153" i="229"/>
  <c r="BD155" i="229" s="1"/>
  <c r="BD245" i="229" s="1"/>
  <c r="BC224" i="229"/>
  <c r="S286" i="229" s="1"/>
  <c r="S330" i="229" s="1"/>
  <c r="BD128" i="229"/>
  <c r="BC131" i="229"/>
  <c r="BC133" i="229" s="1"/>
  <c r="BC243" i="229" s="1"/>
  <c r="BH30" i="229"/>
  <c r="BH196" i="229" s="1"/>
  <c r="BE163" i="229"/>
  <c r="BC141" i="229"/>
  <c r="BD184" i="229"/>
  <c r="BD210" i="229" s="1"/>
  <c r="BL221" i="229"/>
  <c r="BM95" i="229"/>
  <c r="BL98" i="229"/>
  <c r="BL100" i="229" s="1"/>
  <c r="BL240" i="229" s="1"/>
  <c r="BB64" i="229" l="1"/>
  <c r="BB65" i="229" s="1"/>
  <c r="BB67" i="229" s="1"/>
  <c r="BB237" i="229" s="1"/>
  <c r="BA120" i="229"/>
  <c r="BA122" i="229" s="1"/>
  <c r="BA242" i="229" s="1"/>
  <c r="BA223" i="229"/>
  <c r="BH31" i="229"/>
  <c r="BH215" i="229" s="1"/>
  <c r="BC174" i="229"/>
  <c r="BC228" i="229" s="1"/>
  <c r="S290" i="229" s="1"/>
  <c r="S334" i="229" s="1"/>
  <c r="BI87" i="229"/>
  <c r="BI89" i="229" s="1"/>
  <c r="BI239" i="229" s="1"/>
  <c r="BJ84" i="229"/>
  <c r="BJ85" i="229" s="1"/>
  <c r="BJ201" i="229" s="1"/>
  <c r="BC53" i="229"/>
  <c r="BC54" i="229" s="1"/>
  <c r="BC56" i="229" s="1"/>
  <c r="BC236" i="229" s="1"/>
  <c r="BC225" i="229"/>
  <c r="S287" i="229" s="1"/>
  <c r="S331" i="229" s="1"/>
  <c r="BD139" i="229"/>
  <c r="BC142" i="229"/>
  <c r="BC144" i="229" s="1"/>
  <c r="BC244" i="229" s="1"/>
  <c r="BB118" i="229"/>
  <c r="BB204" i="229" s="1"/>
  <c r="BF161" i="229"/>
  <c r="BE227" i="229"/>
  <c r="BE164" i="229"/>
  <c r="BE166" i="229" s="1"/>
  <c r="BE246" i="229" s="1"/>
  <c r="BD129" i="229"/>
  <c r="BD205" i="229" s="1"/>
  <c r="BE151" i="229"/>
  <c r="BE207" i="229" s="1"/>
  <c r="BD185" i="229"/>
  <c r="BD107" i="229"/>
  <c r="BD203" i="229" s="1"/>
  <c r="BB74" i="229"/>
  <c r="BB200" i="229" s="1"/>
  <c r="BH40" i="229"/>
  <c r="BG216" i="229"/>
  <c r="T278" i="229" s="1"/>
  <c r="T322" i="229" s="1"/>
  <c r="BG43" i="229"/>
  <c r="BG45" i="229" s="1"/>
  <c r="BG235" i="229" s="1"/>
  <c r="BM96" i="229"/>
  <c r="BM202" i="229" s="1"/>
  <c r="BD51" i="229" l="1"/>
  <c r="BC62" i="229"/>
  <c r="BB218" i="229"/>
  <c r="BC217" i="229"/>
  <c r="S279" i="229" s="1"/>
  <c r="S323" i="229" s="1"/>
  <c r="BI29" i="229"/>
  <c r="BI30" i="229" s="1"/>
  <c r="BI196" i="229" s="1"/>
  <c r="BH32" i="229"/>
  <c r="BH34" i="229" s="1"/>
  <c r="BH234" i="229" s="1"/>
  <c r="BC175" i="229"/>
  <c r="BC177" i="229" s="1"/>
  <c r="BC247" i="229" s="1"/>
  <c r="BD108" i="229"/>
  <c r="BD222" i="229" s="1"/>
  <c r="BD172" i="229"/>
  <c r="BD173" i="229" s="1"/>
  <c r="BD209" i="229" s="1"/>
  <c r="BC63" i="229"/>
  <c r="BC199" i="229" s="1"/>
  <c r="BM97" i="229"/>
  <c r="BM221" i="229" s="1"/>
  <c r="BB119" i="229"/>
  <c r="BB223" i="229" s="1"/>
  <c r="BE152" i="229"/>
  <c r="BF150" i="229" s="1"/>
  <c r="BJ86" i="229"/>
  <c r="BK84" i="229" s="1"/>
  <c r="BK85" i="229" s="1"/>
  <c r="BK201" i="229" s="1"/>
  <c r="BD130" i="229"/>
  <c r="BE128" i="229" s="1"/>
  <c r="BF162" i="229"/>
  <c r="BF208" i="229" s="1"/>
  <c r="BD52" i="229"/>
  <c r="BD198" i="229" s="1"/>
  <c r="BH41" i="229"/>
  <c r="BH197" i="229" s="1"/>
  <c r="BD186" i="229"/>
  <c r="BD188" i="229" s="1"/>
  <c r="BD248" i="229" s="1"/>
  <c r="BD229" i="229"/>
  <c r="BE183" i="229"/>
  <c r="BB75" i="229"/>
  <c r="BD140" i="229"/>
  <c r="BD206" i="229" s="1"/>
  <c r="BN95" i="229"/>
  <c r="BM98" i="229"/>
  <c r="BM100" i="229" s="1"/>
  <c r="BM240" i="229" s="1"/>
  <c r="BD109" i="229" l="1"/>
  <c r="BD111" i="229" s="1"/>
  <c r="BD241" i="229" s="1"/>
  <c r="BE106" i="229"/>
  <c r="BE107" i="229" s="1"/>
  <c r="BE203" i="229" s="1"/>
  <c r="BC64" i="229"/>
  <c r="BC65" i="229" s="1"/>
  <c r="BC67" i="229" s="1"/>
  <c r="BC237" i="229" s="1"/>
  <c r="BB120" i="229"/>
  <c r="BB122" i="229" s="1"/>
  <c r="BB242" i="229" s="1"/>
  <c r="BC117" i="229"/>
  <c r="BC118" i="229" s="1"/>
  <c r="BC204" i="229" s="1"/>
  <c r="BD174" i="229"/>
  <c r="BD228" i="229" s="1"/>
  <c r="BD131" i="229"/>
  <c r="BD133" i="229" s="1"/>
  <c r="BD243" i="229" s="1"/>
  <c r="BE153" i="229"/>
  <c r="BE155" i="229" s="1"/>
  <c r="BE245" i="229" s="1"/>
  <c r="BE226" i="229"/>
  <c r="BJ220" i="229"/>
  <c r="BJ87" i="229"/>
  <c r="BJ89" i="229" s="1"/>
  <c r="BJ239" i="229" s="1"/>
  <c r="BH42" i="229"/>
  <c r="BH43" i="229" s="1"/>
  <c r="BH45" i="229" s="1"/>
  <c r="BH235" i="229" s="1"/>
  <c r="BI31" i="229"/>
  <c r="BI32" i="229" s="1"/>
  <c r="BI34" i="229" s="1"/>
  <c r="BI234" i="229" s="1"/>
  <c r="BD141" i="229"/>
  <c r="BD142" i="229" s="1"/>
  <c r="BD144" i="229" s="1"/>
  <c r="BD244" i="229" s="1"/>
  <c r="BD224" i="229"/>
  <c r="BD53" i="229"/>
  <c r="BD217" i="229" s="1"/>
  <c r="BK86" i="229"/>
  <c r="BK220" i="229" s="1"/>
  <c r="U282" i="229" s="1"/>
  <c r="U326" i="229" s="1"/>
  <c r="BC73" i="229"/>
  <c r="BB219" i="229"/>
  <c r="BB76" i="229"/>
  <c r="BB78" i="229" s="1"/>
  <c r="BB238" i="229" s="1"/>
  <c r="BF163" i="229"/>
  <c r="BF151" i="229"/>
  <c r="BF207" i="229" s="1"/>
  <c r="BE129" i="229"/>
  <c r="BE205" i="229" s="1"/>
  <c r="BE184" i="229"/>
  <c r="BE210" i="229" s="1"/>
  <c r="BN96" i="229"/>
  <c r="BN202" i="229" s="1"/>
  <c r="BN97" i="229"/>
  <c r="BI40" i="229" l="1"/>
  <c r="BI41" i="229" s="1"/>
  <c r="BI197" i="229" s="1"/>
  <c r="BE108" i="229"/>
  <c r="BE222" i="229" s="1"/>
  <c r="BC218" i="229"/>
  <c r="S280" i="229" s="1"/>
  <c r="S324" i="229" s="1"/>
  <c r="BD62" i="229"/>
  <c r="BD63" i="229" s="1"/>
  <c r="BD199" i="229" s="1"/>
  <c r="BD175" i="229"/>
  <c r="BD177" i="229" s="1"/>
  <c r="BD247" i="229" s="1"/>
  <c r="BE172" i="229"/>
  <c r="BE173" i="229" s="1"/>
  <c r="BE209" i="229" s="1"/>
  <c r="BL84" i="229"/>
  <c r="BL85" i="229" s="1"/>
  <c r="BL201" i="229" s="1"/>
  <c r="BH216" i="229"/>
  <c r="BE139" i="229"/>
  <c r="BE140" i="229" s="1"/>
  <c r="BE206" i="229" s="1"/>
  <c r="BJ29" i="229"/>
  <c r="BJ30" i="229" s="1"/>
  <c r="BJ196" i="229" s="1"/>
  <c r="BD225" i="229"/>
  <c r="BI215" i="229"/>
  <c r="BK87" i="229"/>
  <c r="BK89" i="229" s="1"/>
  <c r="BK239" i="229" s="1"/>
  <c r="BD54" i="229"/>
  <c r="BD56" i="229" s="1"/>
  <c r="BD236" i="229" s="1"/>
  <c r="BE51" i="229"/>
  <c r="BE52" i="229" s="1"/>
  <c r="BE198" i="229" s="1"/>
  <c r="BE185" i="229"/>
  <c r="BE186" i="229" s="1"/>
  <c r="BE188" i="229" s="1"/>
  <c r="BE248" i="229" s="1"/>
  <c r="BC119" i="229"/>
  <c r="BC223" i="229" s="1"/>
  <c r="S285" i="229" s="1"/>
  <c r="S329" i="229" s="1"/>
  <c r="S336" i="229" s="1"/>
  <c r="O22" i="224" s="1"/>
  <c r="O22" i="259" s="1"/>
  <c r="BF152" i="229"/>
  <c r="BF226" i="229" s="1"/>
  <c r="BF227" i="229"/>
  <c r="BG161" i="229"/>
  <c r="BF164" i="229"/>
  <c r="BF166" i="229" s="1"/>
  <c r="BF246" i="229" s="1"/>
  <c r="BE109" i="229"/>
  <c r="BE111" i="229" s="1"/>
  <c r="BE241" i="229" s="1"/>
  <c r="BF106" i="229"/>
  <c r="BE130" i="229"/>
  <c r="BC74" i="229"/>
  <c r="BC200" i="229" s="1"/>
  <c r="BN221" i="229"/>
  <c r="BO95" i="229"/>
  <c r="BN98" i="229"/>
  <c r="BN100" i="229" s="1"/>
  <c r="BN240" i="229" s="1"/>
  <c r="BD64" i="229" l="1"/>
  <c r="BD218" i="229" s="1"/>
  <c r="BF153" i="229"/>
  <c r="BF155" i="229" s="1"/>
  <c r="BF245" i="229" s="1"/>
  <c r="BG150" i="229"/>
  <c r="BG151" i="229" s="1"/>
  <c r="BG207" i="229" s="1"/>
  <c r="BE229" i="229"/>
  <c r="BF183" i="229"/>
  <c r="BF184" i="229" s="1"/>
  <c r="BF210" i="229" s="1"/>
  <c r="BC120" i="229"/>
  <c r="BC122" i="229" s="1"/>
  <c r="BC242" i="229" s="1"/>
  <c r="BD117" i="229"/>
  <c r="BD118" i="229" s="1"/>
  <c r="BD204" i="229" s="1"/>
  <c r="BI42" i="229"/>
  <c r="BI43" i="229" s="1"/>
  <c r="BI45" i="229" s="1"/>
  <c r="BI235" i="229" s="1"/>
  <c r="BJ31" i="229"/>
  <c r="BJ32" i="229" s="1"/>
  <c r="BJ34" i="229" s="1"/>
  <c r="BJ234" i="229" s="1"/>
  <c r="BE53" i="229"/>
  <c r="BE217" i="229" s="1"/>
  <c r="BC75" i="229"/>
  <c r="BC219" i="229" s="1"/>
  <c r="S281" i="229" s="1"/>
  <c r="S325" i="229" s="1"/>
  <c r="S320" i="229" s="1"/>
  <c r="L65" i="251" s="1"/>
  <c r="AD65" i="251" s="1"/>
  <c r="BF107" i="229"/>
  <c r="BF203" i="229" s="1"/>
  <c r="BE141" i="229"/>
  <c r="BG162" i="229"/>
  <c r="BG208" i="229" s="1"/>
  <c r="BE224" i="229"/>
  <c r="BF128" i="229"/>
  <c r="BE131" i="229"/>
  <c r="BE133" i="229" s="1"/>
  <c r="BE243" i="229" s="1"/>
  <c r="BE174" i="229"/>
  <c r="BL86" i="229"/>
  <c r="BL87" i="229" s="1"/>
  <c r="BL89" i="229" s="1"/>
  <c r="BL239" i="229" s="1"/>
  <c r="BO96" i="229"/>
  <c r="BO202" i="229" s="1"/>
  <c r="BD65" i="229" l="1"/>
  <c r="BD67" i="229" s="1"/>
  <c r="BD237" i="229" s="1"/>
  <c r="BE62" i="229"/>
  <c r="BE63" i="229" s="1"/>
  <c r="BE199" i="229" s="1"/>
  <c r="BO97" i="229"/>
  <c r="BJ40" i="229"/>
  <c r="BJ41" i="229" s="1"/>
  <c r="BJ197" i="229" s="1"/>
  <c r="BI216" i="229"/>
  <c r="BD73" i="229"/>
  <c r="BD74" i="229" s="1"/>
  <c r="BD200" i="229" s="1"/>
  <c r="BJ215" i="229"/>
  <c r="BK29" i="229"/>
  <c r="BK30" i="229" s="1"/>
  <c r="BK196" i="229" s="1"/>
  <c r="BC76" i="229"/>
  <c r="BC78" i="229" s="1"/>
  <c r="BC238" i="229" s="1"/>
  <c r="BF108" i="229"/>
  <c r="BF222" i="229" s="1"/>
  <c r="BG152" i="229"/>
  <c r="BG153" i="229" s="1"/>
  <c r="BG155" i="229" s="1"/>
  <c r="BG245" i="229" s="1"/>
  <c r="BE54" i="229"/>
  <c r="BE56" i="229" s="1"/>
  <c r="BE236" i="229" s="1"/>
  <c r="BF51" i="229"/>
  <c r="BF52" i="229" s="1"/>
  <c r="BF198" i="229" s="1"/>
  <c r="BD119" i="229"/>
  <c r="BF129" i="229"/>
  <c r="BF205" i="229" s="1"/>
  <c r="BF185" i="229"/>
  <c r="BF172" i="229"/>
  <c r="BE228" i="229"/>
  <c r="BE175" i="229"/>
  <c r="BE177" i="229" s="1"/>
  <c r="BE247" i="229" s="1"/>
  <c r="BF139" i="229"/>
  <c r="BE225" i="229"/>
  <c r="BE142" i="229"/>
  <c r="BE144" i="229" s="1"/>
  <c r="BE244" i="229" s="1"/>
  <c r="BG163" i="229"/>
  <c r="BM84" i="229"/>
  <c r="BM85" i="229" s="1"/>
  <c r="BM201" i="229" s="1"/>
  <c r="BL220" i="229"/>
  <c r="BO221" i="229"/>
  <c r="V283" i="229" s="1"/>
  <c r="V327" i="229" s="1"/>
  <c r="BP95" i="229"/>
  <c r="BO98" i="229"/>
  <c r="BO100" i="229" s="1"/>
  <c r="BO240" i="229" s="1"/>
  <c r="BE64" i="229" l="1"/>
  <c r="BE218" i="229" s="1"/>
  <c r="BF109" i="229"/>
  <c r="BF111" i="229" s="1"/>
  <c r="BF241" i="229" s="1"/>
  <c r="BG226" i="229"/>
  <c r="T288" i="229" s="1"/>
  <c r="T332" i="229" s="1"/>
  <c r="BG106" i="229"/>
  <c r="BG107" i="229" s="1"/>
  <c r="BG203" i="229" s="1"/>
  <c r="BD75" i="229"/>
  <c r="BD219" i="229" s="1"/>
  <c r="BH150" i="229"/>
  <c r="BH151" i="229" s="1"/>
  <c r="BH207" i="229" s="1"/>
  <c r="BF130" i="229"/>
  <c r="BG128" i="229" s="1"/>
  <c r="BJ42" i="229"/>
  <c r="BJ216" i="229" s="1"/>
  <c r="BF53" i="229"/>
  <c r="BF54" i="229" s="1"/>
  <c r="BF56" i="229" s="1"/>
  <c r="BF236" i="229" s="1"/>
  <c r="BD120" i="229"/>
  <c r="BD122" i="229" s="1"/>
  <c r="BD242" i="229" s="1"/>
  <c r="BD223" i="229"/>
  <c r="BE117" i="229"/>
  <c r="BF173" i="229"/>
  <c r="BF209" i="229" s="1"/>
  <c r="BG227" i="229"/>
  <c r="T289" i="229" s="1"/>
  <c r="T333" i="229" s="1"/>
  <c r="BH161" i="229"/>
  <c r="BG164" i="229"/>
  <c r="BG166" i="229" s="1"/>
  <c r="BG246" i="229" s="1"/>
  <c r="BF229" i="229"/>
  <c r="BG183" i="229"/>
  <c r="BF186" i="229"/>
  <c r="BF188" i="229" s="1"/>
  <c r="BF248" i="229" s="1"/>
  <c r="BF140" i="229"/>
  <c r="BF206" i="229" s="1"/>
  <c r="BK31" i="229"/>
  <c r="BM86" i="229"/>
  <c r="BN84" i="229" s="1"/>
  <c r="BP96" i="229"/>
  <c r="BP202" i="229" s="1"/>
  <c r="BE65" i="229" l="1"/>
  <c r="BE67" i="229" s="1"/>
  <c r="BE237" i="229" s="1"/>
  <c r="BF62" i="229"/>
  <c r="BF63" i="229" s="1"/>
  <c r="BF199" i="229" s="1"/>
  <c r="BF131" i="229"/>
  <c r="BF133" i="229" s="1"/>
  <c r="BF243" i="229" s="1"/>
  <c r="BE73" i="229"/>
  <c r="BE74" i="229" s="1"/>
  <c r="BE200" i="229" s="1"/>
  <c r="BG51" i="229"/>
  <c r="BG52" i="229" s="1"/>
  <c r="BG198" i="229" s="1"/>
  <c r="BF217" i="229"/>
  <c r="BD76" i="229"/>
  <c r="BD78" i="229" s="1"/>
  <c r="BD238" i="229" s="1"/>
  <c r="BF224" i="229"/>
  <c r="BK40" i="229"/>
  <c r="BK41" i="229" s="1"/>
  <c r="BK197" i="229" s="1"/>
  <c r="BJ43" i="229"/>
  <c r="BJ45" i="229" s="1"/>
  <c r="BJ235" i="229" s="1"/>
  <c r="BG108" i="229"/>
  <c r="BH152" i="229"/>
  <c r="BH162" i="229"/>
  <c r="BH208" i="229" s="1"/>
  <c r="BE118" i="229"/>
  <c r="BE204" i="229" s="1"/>
  <c r="BK215" i="229"/>
  <c r="U277" i="229" s="1"/>
  <c r="U321" i="229" s="1"/>
  <c r="BL29" i="229"/>
  <c r="BK32" i="229"/>
  <c r="BK34" i="229" s="1"/>
  <c r="BK234" i="229" s="1"/>
  <c r="BG184" i="229"/>
  <c r="BG210" i="229" s="1"/>
  <c r="BF174" i="229"/>
  <c r="BF141" i="229"/>
  <c r="BG129" i="229"/>
  <c r="BG205" i="229" s="1"/>
  <c r="BM87" i="229"/>
  <c r="BM89" i="229" s="1"/>
  <c r="BM239" i="229" s="1"/>
  <c r="BM220" i="229"/>
  <c r="BP97" i="229"/>
  <c r="BN85" i="229"/>
  <c r="BN201" i="229" s="1"/>
  <c r="BF64" i="229" l="1"/>
  <c r="BG62" i="229" s="1"/>
  <c r="BK42" i="229"/>
  <c r="BK43" i="229" s="1"/>
  <c r="BK45" i="229" s="1"/>
  <c r="BK235" i="229" s="1"/>
  <c r="BG185" i="229"/>
  <c r="BG186" i="229" s="1"/>
  <c r="BG188" i="229" s="1"/>
  <c r="BG248" i="229" s="1"/>
  <c r="BE119" i="229"/>
  <c r="BE223" i="229" s="1"/>
  <c r="BG130" i="229"/>
  <c r="BG131" i="229" s="1"/>
  <c r="BG133" i="229" s="1"/>
  <c r="BG243" i="229" s="1"/>
  <c r="BH163" i="229"/>
  <c r="BI161" i="229" s="1"/>
  <c r="BG139" i="229"/>
  <c r="BF225" i="229"/>
  <c r="BF142" i="229"/>
  <c r="BF144" i="229" s="1"/>
  <c r="BF244" i="229" s="1"/>
  <c r="BF228" i="229"/>
  <c r="BG172" i="229"/>
  <c r="BF175" i="229"/>
  <c r="BF177" i="229" s="1"/>
  <c r="BF247" i="229" s="1"/>
  <c r="BH153" i="229"/>
  <c r="BH155" i="229" s="1"/>
  <c r="BH245" i="229" s="1"/>
  <c r="BH226" i="229"/>
  <c r="BI150" i="229"/>
  <c r="BE75" i="229"/>
  <c r="BG53" i="229"/>
  <c r="BL30" i="229"/>
  <c r="BL196" i="229" s="1"/>
  <c r="BG109" i="229"/>
  <c r="BG111" i="229" s="1"/>
  <c r="BG241" i="229" s="1"/>
  <c r="BH106" i="229"/>
  <c r="BG222" i="229"/>
  <c r="T284" i="229" s="1"/>
  <c r="T328" i="229" s="1"/>
  <c r="BN86" i="229"/>
  <c r="BN220" i="229" s="1"/>
  <c r="BP221" i="229"/>
  <c r="BQ95" i="229"/>
  <c r="BP98" i="229"/>
  <c r="BP100" i="229" s="1"/>
  <c r="BP240" i="229" s="1"/>
  <c r="BL40" i="229" l="1"/>
  <c r="BF65" i="229"/>
  <c r="BF67" i="229" s="1"/>
  <c r="BF237" i="229" s="1"/>
  <c r="BF218" i="229"/>
  <c r="BK216" i="229"/>
  <c r="U278" i="229" s="1"/>
  <c r="U322" i="229" s="1"/>
  <c r="BH183" i="229"/>
  <c r="BH184" i="229" s="1"/>
  <c r="BH210" i="229" s="1"/>
  <c r="BG224" i="229"/>
  <c r="T286" i="229" s="1"/>
  <c r="T330" i="229" s="1"/>
  <c r="BG229" i="229"/>
  <c r="T291" i="229" s="1"/>
  <c r="T335" i="229" s="1"/>
  <c r="BG63" i="229"/>
  <c r="BG199" i="229" s="1"/>
  <c r="BH227" i="229"/>
  <c r="BE120" i="229"/>
  <c r="BE122" i="229" s="1"/>
  <c r="BE242" i="229" s="1"/>
  <c r="BH128" i="229"/>
  <c r="BH129" i="229" s="1"/>
  <c r="BH205" i="229" s="1"/>
  <c r="BF117" i="229"/>
  <c r="BF118" i="229" s="1"/>
  <c r="BF204" i="229" s="1"/>
  <c r="BH164" i="229"/>
  <c r="BH166" i="229" s="1"/>
  <c r="BH246" i="229" s="1"/>
  <c r="BL31" i="229"/>
  <c r="BL215" i="229" s="1"/>
  <c r="BI151" i="229"/>
  <c r="BI207" i="229" s="1"/>
  <c r="BH107" i="229"/>
  <c r="BH203" i="229" s="1"/>
  <c r="BG140" i="229"/>
  <c r="BG206" i="229" s="1"/>
  <c r="BG217" i="229"/>
  <c r="T279" i="229" s="1"/>
  <c r="T323" i="229" s="1"/>
  <c r="BH51" i="229"/>
  <c r="BG54" i="229"/>
  <c r="BG56" i="229" s="1"/>
  <c r="BG236" i="229" s="1"/>
  <c r="BG173" i="229"/>
  <c r="BG209" i="229" s="1"/>
  <c r="BL41" i="229"/>
  <c r="BL197" i="229" s="1"/>
  <c r="BF73" i="229"/>
  <c r="BE219" i="229"/>
  <c r="BE76" i="229"/>
  <c r="BE78" i="229" s="1"/>
  <c r="BE238" i="229" s="1"/>
  <c r="BI162" i="229"/>
  <c r="BI208" i="229" s="1"/>
  <c r="BN87" i="229"/>
  <c r="BN89" i="229" s="1"/>
  <c r="BN239" i="229" s="1"/>
  <c r="BO84" i="229"/>
  <c r="BO85" i="229" s="1"/>
  <c r="BO201" i="229" s="1"/>
  <c r="BQ96" i="229"/>
  <c r="BQ202" i="229" s="1"/>
  <c r="BG64" i="229" l="1"/>
  <c r="BG65" i="229" s="1"/>
  <c r="BG67" i="229" s="1"/>
  <c r="BG237" i="229" s="1"/>
  <c r="BM29" i="229"/>
  <c r="BL32" i="229"/>
  <c r="BL34" i="229" s="1"/>
  <c r="BL234" i="229" s="1"/>
  <c r="BI152" i="229"/>
  <c r="BJ150" i="229" s="1"/>
  <c r="BL42" i="229"/>
  <c r="BL43" i="229" s="1"/>
  <c r="BL45" i="229" s="1"/>
  <c r="BL235" i="229" s="1"/>
  <c r="BG141" i="229"/>
  <c r="BG225" i="229" s="1"/>
  <c r="T287" i="229" s="1"/>
  <c r="T331" i="229" s="1"/>
  <c r="BH108" i="229"/>
  <c r="BH222" i="229" s="1"/>
  <c r="BG174" i="229"/>
  <c r="BG228" i="229" s="1"/>
  <c r="T290" i="229" s="1"/>
  <c r="T334" i="229" s="1"/>
  <c r="BF119" i="229"/>
  <c r="BF223" i="229" s="1"/>
  <c r="BF74" i="229"/>
  <c r="BF200" i="229" s="1"/>
  <c r="BI163" i="229"/>
  <c r="BH130" i="229"/>
  <c r="BH52" i="229"/>
  <c r="BH198" i="229" s="1"/>
  <c r="BM30" i="229"/>
  <c r="BM196" i="229" s="1"/>
  <c r="BH185" i="229"/>
  <c r="BO86" i="229"/>
  <c r="BP84" i="229" s="1"/>
  <c r="BQ97" i="229"/>
  <c r="BH62" i="229" l="1"/>
  <c r="BH63" i="229" s="1"/>
  <c r="BH199" i="229" s="1"/>
  <c r="BG218" i="229"/>
  <c r="T280" i="229" s="1"/>
  <c r="T324" i="229" s="1"/>
  <c r="BI153" i="229"/>
  <c r="BI155" i="229" s="1"/>
  <c r="BI245" i="229" s="1"/>
  <c r="BI226" i="229"/>
  <c r="BH109" i="229"/>
  <c r="BH111" i="229" s="1"/>
  <c r="BH241" i="229" s="1"/>
  <c r="BI106" i="229"/>
  <c r="BI107" i="229" s="1"/>
  <c r="BI203" i="229" s="1"/>
  <c r="BL216" i="229"/>
  <c r="BG142" i="229"/>
  <c r="BG144" i="229" s="1"/>
  <c r="BG244" i="229" s="1"/>
  <c r="BH139" i="229"/>
  <c r="BH140" i="229" s="1"/>
  <c r="BH206" i="229" s="1"/>
  <c r="BM40" i="229"/>
  <c r="BM41" i="229" s="1"/>
  <c r="BM197" i="229" s="1"/>
  <c r="BM31" i="229"/>
  <c r="BM32" i="229" s="1"/>
  <c r="BM34" i="229" s="1"/>
  <c r="BM234" i="229" s="1"/>
  <c r="BG175" i="229"/>
  <c r="BG177" i="229" s="1"/>
  <c r="BG247" i="229" s="1"/>
  <c r="BF120" i="229"/>
  <c r="BF122" i="229" s="1"/>
  <c r="BF242" i="229" s="1"/>
  <c r="BG117" i="229"/>
  <c r="BG118" i="229" s="1"/>
  <c r="BG204" i="229" s="1"/>
  <c r="BF75" i="229"/>
  <c r="BF219" i="229" s="1"/>
  <c r="BH172" i="229"/>
  <c r="BH173" i="229" s="1"/>
  <c r="BH209" i="229" s="1"/>
  <c r="BH53" i="229"/>
  <c r="BH54" i="229" s="1"/>
  <c r="BH56" i="229" s="1"/>
  <c r="BH236" i="229" s="1"/>
  <c r="BJ151" i="229"/>
  <c r="BJ207" i="229" s="1"/>
  <c r="BI183" i="229"/>
  <c r="BH229" i="229"/>
  <c r="BH186" i="229"/>
  <c r="BH188" i="229" s="1"/>
  <c r="BH248" i="229" s="1"/>
  <c r="BI128" i="229"/>
  <c r="BH224" i="229"/>
  <c r="BH131" i="229"/>
  <c r="BH133" i="229" s="1"/>
  <c r="BH243" i="229" s="1"/>
  <c r="BI227" i="229"/>
  <c r="BJ161" i="229"/>
  <c r="BI164" i="229"/>
  <c r="BI166" i="229" s="1"/>
  <c r="BI246" i="229" s="1"/>
  <c r="BO220" i="229"/>
  <c r="V282" i="229" s="1"/>
  <c r="V326" i="229" s="1"/>
  <c r="BO87" i="229"/>
  <c r="BO89" i="229" s="1"/>
  <c r="BO239" i="229" s="1"/>
  <c r="BQ221" i="229"/>
  <c r="BR95" i="229"/>
  <c r="BQ98" i="229"/>
  <c r="BQ100" i="229" s="1"/>
  <c r="BQ240" i="229" s="1"/>
  <c r="BP85" i="229"/>
  <c r="BP201" i="229" s="1"/>
  <c r="BH64" i="229" l="1"/>
  <c r="BI62" i="229" s="1"/>
  <c r="BN29" i="229"/>
  <c r="BN30" i="229" s="1"/>
  <c r="BN196" i="229" s="1"/>
  <c r="BM215" i="229"/>
  <c r="BI51" i="229"/>
  <c r="BI52" i="229" s="1"/>
  <c r="BI198" i="229" s="1"/>
  <c r="BF76" i="229"/>
  <c r="BF78" i="229" s="1"/>
  <c r="BF238" i="229" s="1"/>
  <c r="BG73" i="229"/>
  <c r="BG74" i="229" s="1"/>
  <c r="BG200" i="229" s="1"/>
  <c r="BM42" i="229"/>
  <c r="BN40" i="229" s="1"/>
  <c r="BH217" i="229"/>
  <c r="BJ152" i="229"/>
  <c r="BJ226" i="229" s="1"/>
  <c r="BG119" i="229"/>
  <c r="BG120" i="229" s="1"/>
  <c r="BG122" i="229" s="1"/>
  <c r="BG242" i="229" s="1"/>
  <c r="BI108" i="229"/>
  <c r="BI109" i="229" s="1"/>
  <c r="BI111" i="229" s="1"/>
  <c r="BI241" i="229" s="1"/>
  <c r="BH141" i="229"/>
  <c r="BH174" i="229"/>
  <c r="BI129" i="229"/>
  <c r="BI205" i="229" s="1"/>
  <c r="BM216" i="229"/>
  <c r="BJ162" i="229"/>
  <c r="BJ208" i="229" s="1"/>
  <c r="BI184" i="229"/>
  <c r="BI210" i="229" s="1"/>
  <c r="BP86" i="229"/>
  <c r="BP87" i="229" s="1"/>
  <c r="BP89" i="229" s="1"/>
  <c r="BP239" i="229" s="1"/>
  <c r="BR96" i="229"/>
  <c r="BR202" i="229" s="1"/>
  <c r="BH218" i="229" l="1"/>
  <c r="BH65" i="229"/>
  <c r="BH67" i="229" s="1"/>
  <c r="BH237" i="229" s="1"/>
  <c r="BI63" i="229"/>
  <c r="BI199" i="229" s="1"/>
  <c r="BM43" i="229"/>
  <c r="BM45" i="229" s="1"/>
  <c r="BM235" i="229" s="1"/>
  <c r="BG223" i="229"/>
  <c r="T285" i="229" s="1"/>
  <c r="T329" i="229" s="1"/>
  <c r="T336" i="229" s="1"/>
  <c r="P22" i="224" s="1"/>
  <c r="P22" i="259" s="1"/>
  <c r="BJ153" i="229"/>
  <c r="BJ155" i="229" s="1"/>
  <c r="BJ245" i="229" s="1"/>
  <c r="BK150" i="229"/>
  <c r="BK151" i="229" s="1"/>
  <c r="BK207" i="229" s="1"/>
  <c r="BJ106" i="229"/>
  <c r="BJ107" i="229" s="1"/>
  <c r="BJ203" i="229" s="1"/>
  <c r="BH117" i="229"/>
  <c r="BH118" i="229" s="1"/>
  <c r="BH204" i="229" s="1"/>
  <c r="BI222" i="229"/>
  <c r="BI53" i="229"/>
  <c r="BI217" i="229" s="1"/>
  <c r="BJ163" i="229"/>
  <c r="BK161" i="229" s="1"/>
  <c r="BN41" i="229"/>
  <c r="BN197" i="229" s="1"/>
  <c r="BN31" i="229"/>
  <c r="BH228" i="229"/>
  <c r="BI172" i="229"/>
  <c r="BH175" i="229"/>
  <c r="BH177" i="229" s="1"/>
  <c r="BH247" i="229" s="1"/>
  <c r="BI185" i="229"/>
  <c r="BG75" i="229"/>
  <c r="BI130" i="229"/>
  <c r="BI139" i="229"/>
  <c r="BH225" i="229"/>
  <c r="BH142" i="229"/>
  <c r="BH144" i="229" s="1"/>
  <c r="BH244" i="229" s="1"/>
  <c r="BQ84" i="229"/>
  <c r="BQ85" i="229" s="1"/>
  <c r="BQ201" i="229" s="1"/>
  <c r="BP220" i="229"/>
  <c r="BR97" i="229"/>
  <c r="BI64" i="229" l="1"/>
  <c r="BI65" i="229" s="1"/>
  <c r="BI67" i="229" s="1"/>
  <c r="BI237" i="229" s="1"/>
  <c r="BJ227" i="229"/>
  <c r="BK152" i="229"/>
  <c r="BK226" i="229" s="1"/>
  <c r="U288" i="229" s="1"/>
  <c r="U332" i="229" s="1"/>
  <c r="BI54" i="229"/>
  <c r="BI56" i="229" s="1"/>
  <c r="BI236" i="229" s="1"/>
  <c r="BJ51" i="229"/>
  <c r="BJ52" i="229" s="1"/>
  <c r="BJ198" i="229" s="1"/>
  <c r="BJ164" i="229"/>
  <c r="BJ166" i="229" s="1"/>
  <c r="BJ246" i="229" s="1"/>
  <c r="BN42" i="229"/>
  <c r="BO40" i="229" s="1"/>
  <c r="BJ108" i="229"/>
  <c r="BJ222" i="229" s="1"/>
  <c r="BH119" i="229"/>
  <c r="BI224" i="229"/>
  <c r="BJ128" i="229"/>
  <c r="BI131" i="229"/>
  <c r="BI133" i="229" s="1"/>
  <c r="BI243" i="229" s="1"/>
  <c r="BI229" i="229"/>
  <c r="BJ183" i="229"/>
  <c r="BI186" i="229"/>
  <c r="BI188" i="229" s="1"/>
  <c r="BI248" i="229" s="1"/>
  <c r="BI173" i="229"/>
  <c r="BI209" i="229" s="1"/>
  <c r="BK162" i="229"/>
  <c r="BK208" i="229" s="1"/>
  <c r="BH73" i="229"/>
  <c r="BG219" i="229"/>
  <c r="T281" i="229" s="1"/>
  <c r="T325" i="229" s="1"/>
  <c r="T320" i="229" s="1"/>
  <c r="M65" i="251" s="1"/>
  <c r="AE65" i="251" s="1"/>
  <c r="BG76" i="229"/>
  <c r="BG78" i="229" s="1"/>
  <c r="BG238" i="229" s="1"/>
  <c r="BN215" i="229"/>
  <c r="BO29" i="229"/>
  <c r="BN32" i="229"/>
  <c r="BN34" i="229" s="1"/>
  <c r="BN234" i="229" s="1"/>
  <c r="BI140" i="229"/>
  <c r="BI206" i="229" s="1"/>
  <c r="BR221" i="229"/>
  <c r="BS95" i="229"/>
  <c r="BR98" i="229"/>
  <c r="BR100" i="229" s="1"/>
  <c r="BR240" i="229" s="1"/>
  <c r="BQ86" i="229"/>
  <c r="BJ62" i="229" l="1"/>
  <c r="BJ63" i="229" s="1"/>
  <c r="BJ199" i="229" s="1"/>
  <c r="BI218" i="229"/>
  <c r="BL150" i="229"/>
  <c r="BL151" i="229" s="1"/>
  <c r="BL207" i="229" s="1"/>
  <c r="BN43" i="229"/>
  <c r="BN45" i="229" s="1"/>
  <c r="BN235" i="229" s="1"/>
  <c r="BK153" i="229"/>
  <c r="BK155" i="229" s="1"/>
  <c r="BK245" i="229" s="1"/>
  <c r="BN216" i="229"/>
  <c r="BK106" i="229"/>
  <c r="BK107" i="229" s="1"/>
  <c r="BK203" i="229" s="1"/>
  <c r="BJ109" i="229"/>
  <c r="BJ111" i="229" s="1"/>
  <c r="BJ241" i="229" s="1"/>
  <c r="BK163" i="229"/>
  <c r="BK227" i="229" s="1"/>
  <c r="U289" i="229" s="1"/>
  <c r="U333" i="229" s="1"/>
  <c r="BI174" i="229"/>
  <c r="BI228" i="229" s="1"/>
  <c r="BJ53" i="229"/>
  <c r="BJ54" i="229" s="1"/>
  <c r="BJ56" i="229" s="1"/>
  <c r="BJ236" i="229" s="1"/>
  <c r="BH74" i="229"/>
  <c r="BH200" i="229" s="1"/>
  <c r="BO41" i="229"/>
  <c r="BO197" i="229" s="1"/>
  <c r="BJ184" i="229"/>
  <c r="BJ210" i="229" s="1"/>
  <c r="BI141" i="229"/>
  <c r="BO30" i="229"/>
  <c r="BO196" i="229" s="1"/>
  <c r="BJ129" i="229"/>
  <c r="BJ205" i="229" s="1"/>
  <c r="BI117" i="229"/>
  <c r="BH223" i="229"/>
  <c r="BH120" i="229"/>
  <c r="BH122" i="229" s="1"/>
  <c r="BH242" i="229" s="1"/>
  <c r="BS96" i="229"/>
  <c r="BS202" i="229" s="1"/>
  <c r="BS97" i="229"/>
  <c r="BR84" i="229"/>
  <c r="BQ220" i="229"/>
  <c r="BQ87" i="229"/>
  <c r="BQ89" i="229" s="1"/>
  <c r="BQ239" i="229" s="1"/>
  <c r="BJ64" i="229" l="1"/>
  <c r="BK62" i="229" s="1"/>
  <c r="BL161" i="229"/>
  <c r="BL162" i="229" s="1"/>
  <c r="BL208" i="229" s="1"/>
  <c r="BK164" i="229"/>
  <c r="BK166" i="229" s="1"/>
  <c r="BK246" i="229" s="1"/>
  <c r="BJ217" i="229"/>
  <c r="BI175" i="229"/>
  <c r="BI177" i="229" s="1"/>
  <c r="BI247" i="229" s="1"/>
  <c r="BK51" i="229"/>
  <c r="BK52" i="229" s="1"/>
  <c r="BK198" i="229" s="1"/>
  <c r="BH75" i="229"/>
  <c r="BH76" i="229" s="1"/>
  <c r="BH78" i="229" s="1"/>
  <c r="BH238" i="229" s="1"/>
  <c r="BJ172" i="229"/>
  <c r="BJ173" i="229" s="1"/>
  <c r="BJ209" i="229" s="1"/>
  <c r="BK108" i="229"/>
  <c r="BK222" i="229" s="1"/>
  <c r="U284" i="229" s="1"/>
  <c r="U328" i="229" s="1"/>
  <c r="BO42" i="229"/>
  <c r="BO43" i="229" s="1"/>
  <c r="BO45" i="229" s="1"/>
  <c r="BO235" i="229" s="1"/>
  <c r="BO31" i="229"/>
  <c r="BO215" i="229" s="1"/>
  <c r="V277" i="229" s="1"/>
  <c r="V321" i="229" s="1"/>
  <c r="BJ130" i="229"/>
  <c r="BJ224" i="229" s="1"/>
  <c r="BI118" i="229"/>
  <c r="BI204" i="229" s="1"/>
  <c r="BI225" i="229"/>
  <c r="BJ139" i="229"/>
  <c r="BI142" i="229"/>
  <c r="BI144" i="229" s="1"/>
  <c r="BI244" i="229" s="1"/>
  <c r="BJ185" i="229"/>
  <c r="BL152" i="229"/>
  <c r="BS221" i="229"/>
  <c r="W283" i="229" s="1"/>
  <c r="W327" i="229" s="1"/>
  <c r="BT95" i="229"/>
  <c r="BS98" i="229"/>
  <c r="BS100" i="229" s="1"/>
  <c r="BS240" i="229" s="1"/>
  <c r="BR85" i="229"/>
  <c r="BR201" i="229" s="1"/>
  <c r="BJ65" i="229" l="1"/>
  <c r="BJ67" i="229" s="1"/>
  <c r="BJ237" i="229" s="1"/>
  <c r="BJ218" i="229"/>
  <c r="BO32" i="229"/>
  <c r="BO34" i="229" s="1"/>
  <c r="BO234" i="229" s="1"/>
  <c r="BP29" i="229"/>
  <c r="BP30" i="229" s="1"/>
  <c r="BP196" i="229" s="1"/>
  <c r="BK63" i="229"/>
  <c r="BK199" i="229" s="1"/>
  <c r="BI73" i="229"/>
  <c r="BI74" i="229" s="1"/>
  <c r="BI200" i="229" s="1"/>
  <c r="BH219" i="229"/>
  <c r="BK109" i="229"/>
  <c r="BK111" i="229" s="1"/>
  <c r="BK241" i="229" s="1"/>
  <c r="BO216" i="229"/>
  <c r="V278" i="229" s="1"/>
  <c r="V322" i="229" s="1"/>
  <c r="BL106" i="229"/>
  <c r="BL107" i="229" s="1"/>
  <c r="BL203" i="229" s="1"/>
  <c r="BP40" i="229"/>
  <c r="BP41" i="229" s="1"/>
  <c r="BP197" i="229" s="1"/>
  <c r="BK128" i="229"/>
  <c r="BK129" i="229" s="1"/>
  <c r="BK205" i="229" s="1"/>
  <c r="BJ131" i="229"/>
  <c r="BJ133" i="229" s="1"/>
  <c r="BJ243" i="229" s="1"/>
  <c r="BJ174" i="229"/>
  <c r="BK172" i="229" s="1"/>
  <c r="BK53" i="229"/>
  <c r="BK217" i="229" s="1"/>
  <c r="U279" i="229" s="1"/>
  <c r="U323" i="229" s="1"/>
  <c r="BI119" i="229"/>
  <c r="BJ117" i="229" s="1"/>
  <c r="BL163" i="229"/>
  <c r="BK183" i="229"/>
  <c r="BJ229" i="229"/>
  <c r="BJ186" i="229"/>
  <c r="BJ188" i="229" s="1"/>
  <c r="BJ248" i="229" s="1"/>
  <c r="BM150" i="229"/>
  <c r="BL226" i="229"/>
  <c r="BL153" i="229"/>
  <c r="BL155" i="229" s="1"/>
  <c r="BL245" i="229" s="1"/>
  <c r="BJ140" i="229"/>
  <c r="BJ206" i="229" s="1"/>
  <c r="BT96" i="229"/>
  <c r="BT202" i="229" s="1"/>
  <c r="BR86" i="229"/>
  <c r="BK64" i="229" l="1"/>
  <c r="BK65" i="229" s="1"/>
  <c r="BK67" i="229" s="1"/>
  <c r="BK237" i="229" s="1"/>
  <c r="BJ175" i="229"/>
  <c r="BJ177" i="229" s="1"/>
  <c r="BJ247" i="229" s="1"/>
  <c r="BJ228" i="229"/>
  <c r="BK54" i="229"/>
  <c r="BK56" i="229" s="1"/>
  <c r="BK236" i="229" s="1"/>
  <c r="BL51" i="229"/>
  <c r="BL52" i="229" s="1"/>
  <c r="BL198" i="229" s="1"/>
  <c r="BI120" i="229"/>
  <c r="BI122" i="229" s="1"/>
  <c r="BI242" i="229" s="1"/>
  <c r="BI223" i="229"/>
  <c r="BJ141" i="229"/>
  <c r="BJ142" i="229" s="1"/>
  <c r="BJ144" i="229" s="1"/>
  <c r="BJ244" i="229" s="1"/>
  <c r="BI75" i="229"/>
  <c r="BJ73" i="229" s="1"/>
  <c r="BP42" i="229"/>
  <c r="BP216" i="229" s="1"/>
  <c r="BJ118" i="229"/>
  <c r="BJ204" i="229" s="1"/>
  <c r="BM151" i="229"/>
  <c r="BM207" i="229" s="1"/>
  <c r="BK184" i="229"/>
  <c r="BK210" i="229" s="1"/>
  <c r="BL108" i="229"/>
  <c r="BK173" i="229"/>
  <c r="BK209" i="229" s="1"/>
  <c r="BP31" i="229"/>
  <c r="BK130" i="229"/>
  <c r="BM161" i="229"/>
  <c r="BL227" i="229"/>
  <c r="BL164" i="229"/>
  <c r="BL166" i="229" s="1"/>
  <c r="BL246" i="229" s="1"/>
  <c r="BT97" i="229"/>
  <c r="BS84" i="229"/>
  <c r="BR220" i="229"/>
  <c r="BR87" i="229"/>
  <c r="BR89" i="229" s="1"/>
  <c r="BR239" i="229" s="1"/>
  <c r="BK218" i="229" l="1"/>
  <c r="U280" i="229" s="1"/>
  <c r="U324" i="229" s="1"/>
  <c r="BL62" i="229"/>
  <c r="BL63" i="229" s="1"/>
  <c r="BL199" i="229" s="1"/>
  <c r="BI76" i="229"/>
  <c r="BI78" i="229" s="1"/>
  <c r="BI238" i="229" s="1"/>
  <c r="BI219" i="229"/>
  <c r="BK185" i="229"/>
  <c r="BK229" i="229" s="1"/>
  <c r="U291" i="229" s="1"/>
  <c r="U335" i="229" s="1"/>
  <c r="BK139" i="229"/>
  <c r="BK140" i="229" s="1"/>
  <c r="BK206" i="229" s="1"/>
  <c r="BJ225" i="229"/>
  <c r="BQ40" i="229"/>
  <c r="BQ41" i="229" s="1"/>
  <c r="BQ197" i="229" s="1"/>
  <c r="BP43" i="229"/>
  <c r="BP45" i="229" s="1"/>
  <c r="BP235" i="229" s="1"/>
  <c r="BJ119" i="229"/>
  <c r="BJ223" i="229" s="1"/>
  <c r="BL53" i="229"/>
  <c r="BM51" i="229" s="1"/>
  <c r="BM152" i="229"/>
  <c r="BN150" i="229" s="1"/>
  <c r="BK174" i="229"/>
  <c r="BL172" i="229" s="1"/>
  <c r="BJ74" i="229"/>
  <c r="BJ200" i="229" s="1"/>
  <c r="BM106" i="229"/>
  <c r="BL222" i="229"/>
  <c r="BL109" i="229"/>
  <c r="BL111" i="229" s="1"/>
  <c r="BL241" i="229" s="1"/>
  <c r="BM162" i="229"/>
  <c r="BM208" i="229" s="1"/>
  <c r="BK224" i="229"/>
  <c r="U286" i="229" s="1"/>
  <c r="U330" i="229" s="1"/>
  <c r="BL128" i="229"/>
  <c r="BK131" i="229"/>
  <c r="BK133" i="229" s="1"/>
  <c r="BK243" i="229" s="1"/>
  <c r="BP215" i="229"/>
  <c r="BQ29" i="229"/>
  <c r="BP32" i="229"/>
  <c r="BP34" i="229" s="1"/>
  <c r="BP234" i="229" s="1"/>
  <c r="BT221" i="229"/>
  <c r="BU95" i="229"/>
  <c r="BT98" i="229"/>
  <c r="BT100" i="229" s="1"/>
  <c r="BT240" i="229" s="1"/>
  <c r="BS85" i="229"/>
  <c r="BS201" i="229" s="1"/>
  <c r="BL64" i="229" l="1"/>
  <c r="BL218" i="229" s="1"/>
  <c r="BK186" i="229"/>
  <c r="BK188" i="229" s="1"/>
  <c r="BK248" i="229" s="1"/>
  <c r="BL183" i="229"/>
  <c r="BL184" i="229" s="1"/>
  <c r="BL210" i="229" s="1"/>
  <c r="BK117" i="229"/>
  <c r="BK118" i="229" s="1"/>
  <c r="BK204" i="229" s="1"/>
  <c r="BL217" i="229"/>
  <c r="BJ120" i="229"/>
  <c r="BJ122" i="229" s="1"/>
  <c r="BJ242" i="229" s="1"/>
  <c r="BJ75" i="229"/>
  <c r="BJ219" i="229" s="1"/>
  <c r="BK141" i="229"/>
  <c r="BK225" i="229" s="1"/>
  <c r="U287" i="229" s="1"/>
  <c r="U331" i="229" s="1"/>
  <c r="BK175" i="229"/>
  <c r="BK177" i="229" s="1"/>
  <c r="BK247" i="229" s="1"/>
  <c r="BK228" i="229"/>
  <c r="U290" i="229" s="1"/>
  <c r="U334" i="229" s="1"/>
  <c r="BL54" i="229"/>
  <c r="BL56" i="229" s="1"/>
  <c r="BL236" i="229" s="1"/>
  <c r="BQ42" i="229"/>
  <c r="BQ216" i="229" s="1"/>
  <c r="BM226" i="229"/>
  <c r="BM153" i="229"/>
  <c r="BM155" i="229" s="1"/>
  <c r="BM245" i="229" s="1"/>
  <c r="BM163" i="229"/>
  <c r="BM227" i="229" s="1"/>
  <c r="BN151" i="229"/>
  <c r="BN207" i="229" s="1"/>
  <c r="BL129" i="229"/>
  <c r="BL205" i="229" s="1"/>
  <c r="BL173" i="229"/>
  <c r="BL209" i="229" s="1"/>
  <c r="BQ30" i="229"/>
  <c r="BQ196" i="229" s="1"/>
  <c r="BM52" i="229"/>
  <c r="BM198" i="229" s="1"/>
  <c r="BM107" i="229"/>
  <c r="BM203" i="229" s="1"/>
  <c r="BU96" i="229"/>
  <c r="BU202" i="229" s="1"/>
  <c r="BS86" i="229"/>
  <c r="BL65" i="229" l="1"/>
  <c r="BL67" i="229" s="1"/>
  <c r="BL237" i="229" s="1"/>
  <c r="BM62" i="229"/>
  <c r="BK142" i="229"/>
  <c r="BK144" i="229" s="1"/>
  <c r="BK244" i="229" s="1"/>
  <c r="BL139" i="229"/>
  <c r="BL140" i="229" s="1"/>
  <c r="BL206" i="229" s="1"/>
  <c r="BJ76" i="229"/>
  <c r="BJ78" i="229" s="1"/>
  <c r="BJ238" i="229" s="1"/>
  <c r="BK73" i="229"/>
  <c r="BK74" i="229" s="1"/>
  <c r="BK200" i="229" s="1"/>
  <c r="BL185" i="229"/>
  <c r="BL229" i="229" s="1"/>
  <c r="BL130" i="229"/>
  <c r="BL224" i="229" s="1"/>
  <c r="BM164" i="229"/>
  <c r="BM166" i="229" s="1"/>
  <c r="BM246" i="229" s="1"/>
  <c r="BN161" i="229"/>
  <c r="BN162" i="229" s="1"/>
  <c r="BN208" i="229" s="1"/>
  <c r="BR40" i="229"/>
  <c r="BQ43" i="229"/>
  <c r="BQ45" i="229" s="1"/>
  <c r="BQ235" i="229" s="1"/>
  <c r="BK119" i="229"/>
  <c r="BL117" i="229" s="1"/>
  <c r="BM53" i="229"/>
  <c r="BM217" i="229" s="1"/>
  <c r="BQ31" i="229"/>
  <c r="BN152" i="229"/>
  <c r="BM108" i="229"/>
  <c r="BL174" i="229"/>
  <c r="BU97" i="229"/>
  <c r="BS220" i="229"/>
  <c r="W282" i="229" s="1"/>
  <c r="W326" i="229" s="1"/>
  <c r="BT84" i="229"/>
  <c r="BS87" i="229"/>
  <c r="BS89" i="229" s="1"/>
  <c r="BS239" i="229" s="1"/>
  <c r="BM63" i="229" l="1"/>
  <c r="BM199" i="229" s="1"/>
  <c r="BM183" i="229"/>
  <c r="BL186" i="229"/>
  <c r="BL188" i="229" s="1"/>
  <c r="BL248" i="229" s="1"/>
  <c r="BR41" i="229"/>
  <c r="BR197" i="229" s="1"/>
  <c r="BL131" i="229"/>
  <c r="BL133" i="229" s="1"/>
  <c r="BL243" i="229" s="1"/>
  <c r="BM128" i="229"/>
  <c r="BM129" i="229" s="1"/>
  <c r="BM205" i="229" s="1"/>
  <c r="BK120" i="229"/>
  <c r="BK122" i="229" s="1"/>
  <c r="BK242" i="229" s="1"/>
  <c r="BK223" i="229"/>
  <c r="U285" i="229" s="1"/>
  <c r="U329" i="229" s="1"/>
  <c r="U336" i="229" s="1"/>
  <c r="Q22" i="224" s="1"/>
  <c r="Q22" i="259" s="1"/>
  <c r="BM54" i="229"/>
  <c r="BM56" i="229" s="1"/>
  <c r="BM236" i="229" s="1"/>
  <c r="BN51" i="229"/>
  <c r="BN52" i="229" s="1"/>
  <c r="BN198" i="229" s="1"/>
  <c r="BL141" i="229"/>
  <c r="BL142" i="229" s="1"/>
  <c r="BL144" i="229" s="1"/>
  <c r="BL244" i="229" s="1"/>
  <c r="BK75" i="229"/>
  <c r="BK76" i="229" s="1"/>
  <c r="BK78" i="229" s="1"/>
  <c r="BK238" i="229" s="1"/>
  <c r="BN163" i="229"/>
  <c r="BM184" i="229"/>
  <c r="BM210" i="229" s="1"/>
  <c r="BM172" i="229"/>
  <c r="BL228" i="229"/>
  <c r="BL175" i="229"/>
  <c r="BL177" i="229" s="1"/>
  <c r="BL247" i="229" s="1"/>
  <c r="BN106" i="229"/>
  <c r="BM222" i="229"/>
  <c r="BM109" i="229"/>
  <c r="BM111" i="229" s="1"/>
  <c r="BM241" i="229" s="1"/>
  <c r="BO150" i="229"/>
  <c r="BN226" i="229"/>
  <c r="BN153" i="229"/>
  <c r="BN155" i="229" s="1"/>
  <c r="BN245" i="229" s="1"/>
  <c r="BL118" i="229"/>
  <c r="BL204" i="229" s="1"/>
  <c r="BR29" i="229"/>
  <c r="BQ215" i="229"/>
  <c r="BQ32" i="229"/>
  <c r="BQ34" i="229" s="1"/>
  <c r="BQ234" i="229" s="1"/>
  <c r="BL73" i="229"/>
  <c r="BU221" i="229"/>
  <c r="BV95" i="229"/>
  <c r="BU98" i="229"/>
  <c r="BU100" i="229" s="1"/>
  <c r="BU240" i="229" s="1"/>
  <c r="BT85" i="229"/>
  <c r="BT201" i="229" s="1"/>
  <c r="BM64" i="229" l="1"/>
  <c r="BM218" i="229" s="1"/>
  <c r="BM139" i="229"/>
  <c r="BM140" i="229" s="1"/>
  <c r="BM206" i="229" s="1"/>
  <c r="BL225" i="229"/>
  <c r="BR42" i="229"/>
  <c r="BN53" i="229"/>
  <c r="BN217" i="229" s="1"/>
  <c r="BK219" i="229"/>
  <c r="U281" i="229" s="1"/>
  <c r="U325" i="229" s="1"/>
  <c r="U320" i="229" s="1"/>
  <c r="N65" i="251" s="1"/>
  <c r="AF65" i="251" s="1"/>
  <c r="BM185" i="229"/>
  <c r="BN183" i="229" s="1"/>
  <c r="BN107" i="229"/>
  <c r="BN203" i="229" s="1"/>
  <c r="BM130" i="229"/>
  <c r="BM173" i="229"/>
  <c r="BM209" i="229" s="1"/>
  <c r="BO151" i="229"/>
  <c r="BO207" i="229" s="1"/>
  <c r="BL74" i="229"/>
  <c r="BL200" i="229" s="1"/>
  <c r="BR30" i="229"/>
  <c r="BR196" i="229" s="1"/>
  <c r="BL119" i="229"/>
  <c r="BO161" i="229"/>
  <c r="BN227" i="229"/>
  <c r="BN164" i="229"/>
  <c r="BN166" i="229" s="1"/>
  <c r="BN246" i="229" s="1"/>
  <c r="BT86" i="229"/>
  <c r="BT220" i="229" s="1"/>
  <c r="BV96" i="229"/>
  <c r="BV202" i="229" s="1"/>
  <c r="BM65" i="229" l="1"/>
  <c r="BM67" i="229" s="1"/>
  <c r="BM237" i="229" s="1"/>
  <c r="BN62" i="229"/>
  <c r="BN63" i="229" s="1"/>
  <c r="BN199" i="229" s="1"/>
  <c r="BN108" i="229"/>
  <c r="BN222" i="229" s="1"/>
  <c r="BM186" i="229"/>
  <c r="BM188" i="229" s="1"/>
  <c r="BM248" i="229" s="1"/>
  <c r="BM229" i="229"/>
  <c r="BN54" i="229"/>
  <c r="BN56" i="229" s="1"/>
  <c r="BN236" i="229" s="1"/>
  <c r="BO51" i="229"/>
  <c r="BO52" i="229" s="1"/>
  <c r="BO198" i="229" s="1"/>
  <c r="BR216" i="229"/>
  <c r="BS40" i="229"/>
  <c r="BS41" i="229" s="1"/>
  <c r="BS197" i="229" s="1"/>
  <c r="BR43" i="229"/>
  <c r="BR45" i="229" s="1"/>
  <c r="BR235" i="229" s="1"/>
  <c r="BM141" i="229"/>
  <c r="BN139" i="229" s="1"/>
  <c r="BL75" i="229"/>
  <c r="BM73" i="229" s="1"/>
  <c r="BM174" i="229"/>
  <c r="BM228" i="229" s="1"/>
  <c r="BN128" i="229"/>
  <c r="BM224" i="229"/>
  <c r="BM131" i="229"/>
  <c r="BM133" i="229" s="1"/>
  <c r="BM243" i="229" s="1"/>
  <c r="BO162" i="229"/>
  <c r="BO208" i="229" s="1"/>
  <c r="BM117" i="229"/>
  <c r="BL223" i="229"/>
  <c r="BL120" i="229"/>
  <c r="BL122" i="229" s="1"/>
  <c r="BL242" i="229" s="1"/>
  <c r="BN184" i="229"/>
  <c r="BN210" i="229" s="1"/>
  <c r="BR31" i="229"/>
  <c r="BO152" i="229"/>
  <c r="BU84" i="229"/>
  <c r="BU85" i="229" s="1"/>
  <c r="BU201" i="229" s="1"/>
  <c r="BT87" i="229"/>
  <c r="BT89" i="229" s="1"/>
  <c r="BT239" i="229" s="1"/>
  <c r="BV97" i="229"/>
  <c r="BO106" i="229" l="1"/>
  <c r="BM175" i="229"/>
  <c r="BM177" i="229" s="1"/>
  <c r="BM247" i="229" s="1"/>
  <c r="BN64" i="229"/>
  <c r="BO62" i="229" s="1"/>
  <c r="BO63" i="229" s="1"/>
  <c r="BO199" i="229" s="1"/>
  <c r="BL219" i="229"/>
  <c r="BN109" i="229"/>
  <c r="BN111" i="229" s="1"/>
  <c r="BN241" i="229" s="1"/>
  <c r="BN172" i="229"/>
  <c r="BS42" i="229"/>
  <c r="BS216" i="229" s="1"/>
  <c r="W278" i="229" s="1"/>
  <c r="W322" i="229" s="1"/>
  <c r="BM142" i="229"/>
  <c r="BM144" i="229" s="1"/>
  <c r="BM244" i="229" s="1"/>
  <c r="BM225" i="229"/>
  <c r="BL76" i="229"/>
  <c r="BL78" i="229" s="1"/>
  <c r="BL238" i="229" s="1"/>
  <c r="BO64" i="229"/>
  <c r="BO218" i="229" s="1"/>
  <c r="V280" i="229" s="1"/>
  <c r="V324" i="229" s="1"/>
  <c r="BN185" i="229"/>
  <c r="BN229" i="229" s="1"/>
  <c r="BP150" i="229"/>
  <c r="BO226" i="229"/>
  <c r="V288" i="229" s="1"/>
  <c r="V332" i="229" s="1"/>
  <c r="BO153" i="229"/>
  <c r="BO155" i="229" s="1"/>
  <c r="BO245" i="229" s="1"/>
  <c r="BO53" i="229"/>
  <c r="BR215" i="229"/>
  <c r="BS29" i="229"/>
  <c r="BR32" i="229"/>
  <c r="BR34" i="229" s="1"/>
  <c r="BR234" i="229" s="1"/>
  <c r="BN129" i="229"/>
  <c r="BN205" i="229" s="1"/>
  <c r="BO107" i="229"/>
  <c r="BO203" i="229" s="1"/>
  <c r="BN173" i="229"/>
  <c r="BN209" i="229" s="1"/>
  <c r="BM118" i="229"/>
  <c r="BM204" i="229" s="1"/>
  <c r="BM74" i="229"/>
  <c r="BM200" i="229" s="1"/>
  <c r="BN140" i="229"/>
  <c r="BN206" i="229" s="1"/>
  <c r="BO163" i="229"/>
  <c r="BV221" i="229"/>
  <c r="BW95" i="229"/>
  <c r="BV98" i="229"/>
  <c r="BV100" i="229" s="1"/>
  <c r="BV240" i="229" s="1"/>
  <c r="BU86" i="229"/>
  <c r="BS43" i="229" l="1"/>
  <c r="BS45" i="229" s="1"/>
  <c r="BS235" i="229" s="1"/>
  <c r="BN218" i="229"/>
  <c r="BN65" i="229"/>
  <c r="BN67" i="229" s="1"/>
  <c r="BN237" i="229" s="1"/>
  <c r="BT40" i="229"/>
  <c r="BT41" i="229" s="1"/>
  <c r="BT197" i="229" s="1"/>
  <c r="BN186" i="229"/>
  <c r="BN188" i="229" s="1"/>
  <c r="BN248" i="229" s="1"/>
  <c r="BO183" i="229"/>
  <c r="BP62" i="229"/>
  <c r="BP63" i="229" s="1"/>
  <c r="BP199" i="229" s="1"/>
  <c r="BO65" i="229"/>
  <c r="BO67" i="229" s="1"/>
  <c r="BO237" i="229" s="1"/>
  <c r="BN130" i="229"/>
  <c r="BN131" i="229" s="1"/>
  <c r="BN133" i="229" s="1"/>
  <c r="BN243" i="229" s="1"/>
  <c r="BS30" i="229"/>
  <c r="BS196" i="229" s="1"/>
  <c r="BO217" i="229"/>
  <c r="V279" i="229" s="1"/>
  <c r="V323" i="229" s="1"/>
  <c r="BP51" i="229"/>
  <c r="BO54" i="229"/>
  <c r="BO56" i="229" s="1"/>
  <c r="BO236" i="229" s="1"/>
  <c r="BM75" i="229"/>
  <c r="BN174" i="229"/>
  <c r="BO227" i="229"/>
  <c r="V289" i="229" s="1"/>
  <c r="V333" i="229" s="1"/>
  <c r="BP161" i="229"/>
  <c r="BO164" i="229"/>
  <c r="BO166" i="229" s="1"/>
  <c r="BO246" i="229" s="1"/>
  <c r="BO184" i="229"/>
  <c r="BO210" i="229" s="1"/>
  <c r="BN141" i="229"/>
  <c r="BM119" i="229"/>
  <c r="BO108" i="229"/>
  <c r="BP151" i="229"/>
  <c r="BP207" i="229" s="1"/>
  <c r="BW96" i="229"/>
  <c r="BW202" i="229" s="1"/>
  <c r="BV84" i="229"/>
  <c r="BU220" i="229"/>
  <c r="BU87" i="229"/>
  <c r="BU89" i="229" s="1"/>
  <c r="BU239" i="229" s="1"/>
  <c r="BO128" i="229" l="1"/>
  <c r="BO129" i="229" s="1"/>
  <c r="BO205" i="229" s="1"/>
  <c r="BN224" i="229"/>
  <c r="BP152" i="229"/>
  <c r="BP226" i="229" s="1"/>
  <c r="BW97" i="229"/>
  <c r="BS31" i="229"/>
  <c r="BS215" i="229" s="1"/>
  <c r="W277" i="229" s="1"/>
  <c r="W321" i="229" s="1"/>
  <c r="BO185" i="229"/>
  <c r="BO186" i="229" s="1"/>
  <c r="BO188" i="229" s="1"/>
  <c r="BO248" i="229" s="1"/>
  <c r="BO222" i="229"/>
  <c r="V284" i="229" s="1"/>
  <c r="V328" i="229" s="1"/>
  <c r="BP106" i="229"/>
  <c r="BO109" i="229"/>
  <c r="BO111" i="229" s="1"/>
  <c r="BO241" i="229" s="1"/>
  <c r="BM223" i="229"/>
  <c r="BN117" i="229"/>
  <c r="BM120" i="229"/>
  <c r="BM122" i="229" s="1"/>
  <c r="BM242" i="229" s="1"/>
  <c r="BN228" i="229"/>
  <c r="BO172" i="229"/>
  <c r="BN175" i="229"/>
  <c r="BN177" i="229" s="1"/>
  <c r="BN247" i="229" s="1"/>
  <c r="BT42" i="229"/>
  <c r="BN142" i="229"/>
  <c r="BN144" i="229" s="1"/>
  <c r="BN244" i="229" s="1"/>
  <c r="BO139" i="229"/>
  <c r="BN225" i="229"/>
  <c r="BN73" i="229"/>
  <c r="BM219" i="229"/>
  <c r="BM76" i="229"/>
  <c r="BM78" i="229" s="1"/>
  <c r="BM238" i="229" s="1"/>
  <c r="BP183" i="229"/>
  <c r="BP52" i="229"/>
  <c r="BP198" i="229" s="1"/>
  <c r="BP162" i="229"/>
  <c r="BP208" i="229" s="1"/>
  <c r="BP64" i="229"/>
  <c r="BW221" i="229"/>
  <c r="X283" i="229" s="1"/>
  <c r="X327" i="229" s="1"/>
  <c r="BX95" i="229"/>
  <c r="BW98" i="229"/>
  <c r="BW100" i="229" s="1"/>
  <c r="BW240" i="229" s="1"/>
  <c r="BV85" i="229"/>
  <c r="BV201" i="229" s="1"/>
  <c r="BO229" i="229" l="1"/>
  <c r="V291" i="229" s="1"/>
  <c r="V335" i="229" s="1"/>
  <c r="BP153" i="229"/>
  <c r="BP155" i="229" s="1"/>
  <c r="BP245" i="229" s="1"/>
  <c r="BQ150" i="229"/>
  <c r="BQ151" i="229" s="1"/>
  <c r="BQ207" i="229" s="1"/>
  <c r="BT29" i="229"/>
  <c r="BT30" i="229" s="1"/>
  <c r="BT196" i="229" s="1"/>
  <c r="BS32" i="229"/>
  <c r="BS34" i="229" s="1"/>
  <c r="BS234" i="229" s="1"/>
  <c r="BO130" i="229"/>
  <c r="BP128" i="229" s="1"/>
  <c r="BP53" i="229"/>
  <c r="BP54" i="229" s="1"/>
  <c r="BP56" i="229" s="1"/>
  <c r="BP236" i="229" s="1"/>
  <c r="BO140" i="229"/>
  <c r="BO206" i="229" s="1"/>
  <c r="BP184" i="229"/>
  <c r="BP210" i="229" s="1"/>
  <c r="BN118" i="229"/>
  <c r="BN204" i="229" s="1"/>
  <c r="BQ62" i="229"/>
  <c r="BP218" i="229"/>
  <c r="BP65" i="229"/>
  <c r="BP67" i="229" s="1"/>
  <c r="BP237" i="229" s="1"/>
  <c r="BT216" i="229"/>
  <c r="BU40" i="229"/>
  <c r="BT43" i="229"/>
  <c r="BT45" i="229" s="1"/>
  <c r="BT235" i="229" s="1"/>
  <c r="BP163" i="229"/>
  <c r="BN74" i="229"/>
  <c r="BN200" i="229" s="1"/>
  <c r="BO173" i="229"/>
  <c r="BO209" i="229" s="1"/>
  <c r="BP107" i="229"/>
  <c r="BP203" i="229" s="1"/>
  <c r="BX96" i="229"/>
  <c r="BX202" i="229" s="1"/>
  <c r="BV86" i="229"/>
  <c r="BO131" i="229" l="1"/>
  <c r="BO133" i="229" s="1"/>
  <c r="BO243" i="229" s="1"/>
  <c r="BQ51" i="229"/>
  <c r="BO224" i="229"/>
  <c r="V286" i="229" s="1"/>
  <c r="V330" i="229" s="1"/>
  <c r="BP217" i="229"/>
  <c r="BN119" i="229"/>
  <c r="BO117" i="229" s="1"/>
  <c r="BO141" i="229"/>
  <c r="BO142" i="229" s="1"/>
  <c r="BO144" i="229" s="1"/>
  <c r="BO244" i="229" s="1"/>
  <c r="BP185" i="229"/>
  <c r="BP229" i="229" s="1"/>
  <c r="BQ152" i="229"/>
  <c r="BQ226" i="229" s="1"/>
  <c r="BT31" i="229"/>
  <c r="BT215" i="229" s="1"/>
  <c r="BO174" i="229"/>
  <c r="BU41" i="229"/>
  <c r="BU197" i="229" s="1"/>
  <c r="BN75" i="229"/>
  <c r="BP129" i="229"/>
  <c r="BP205" i="229" s="1"/>
  <c r="BQ52" i="229"/>
  <c r="BQ198" i="229" s="1"/>
  <c r="BP108" i="229"/>
  <c r="BP227" i="229"/>
  <c r="BQ161" i="229"/>
  <c r="BP164" i="229"/>
  <c r="BP166" i="229" s="1"/>
  <c r="BP246" i="229" s="1"/>
  <c r="BQ63" i="229"/>
  <c r="BQ199" i="229" s="1"/>
  <c r="BX97" i="229"/>
  <c r="BW84" i="229"/>
  <c r="BV220" i="229"/>
  <c r="BV87" i="229"/>
  <c r="BV89" i="229" s="1"/>
  <c r="BV239" i="229" s="1"/>
  <c r="BO225" i="229" l="1"/>
  <c r="V287" i="229" s="1"/>
  <c r="V331" i="229" s="1"/>
  <c r="BP139" i="229"/>
  <c r="BP140" i="229" s="1"/>
  <c r="BP206" i="229" s="1"/>
  <c r="BN120" i="229"/>
  <c r="BN122" i="229" s="1"/>
  <c r="BN242" i="229" s="1"/>
  <c r="BN223" i="229"/>
  <c r="BQ153" i="229"/>
  <c r="BQ155" i="229" s="1"/>
  <c r="BQ245" i="229" s="1"/>
  <c r="BR150" i="229"/>
  <c r="BR151" i="229" s="1"/>
  <c r="BR207" i="229" s="1"/>
  <c r="BP186" i="229"/>
  <c r="BP188" i="229" s="1"/>
  <c r="BP248" i="229" s="1"/>
  <c r="BQ183" i="229"/>
  <c r="BQ184" i="229" s="1"/>
  <c r="BQ210" i="229" s="1"/>
  <c r="BQ64" i="229"/>
  <c r="BQ218" i="229" s="1"/>
  <c r="BU42" i="229"/>
  <c r="BV40" i="229" s="1"/>
  <c r="BT32" i="229"/>
  <c r="BT34" i="229" s="1"/>
  <c r="BT234" i="229" s="1"/>
  <c r="BU29" i="229"/>
  <c r="BU30" i="229" s="1"/>
  <c r="BU196" i="229" s="1"/>
  <c r="BP130" i="229"/>
  <c r="BP224" i="229" s="1"/>
  <c r="BQ53" i="229"/>
  <c r="BQ54" i="229" s="1"/>
  <c r="BQ56" i="229" s="1"/>
  <c r="BQ236" i="229" s="1"/>
  <c r="BQ162" i="229"/>
  <c r="BQ208" i="229" s="1"/>
  <c r="BQ106" i="229"/>
  <c r="BP222" i="229"/>
  <c r="BP109" i="229"/>
  <c r="BP111" i="229" s="1"/>
  <c r="BP241" i="229" s="1"/>
  <c r="BO73" i="229"/>
  <c r="BN219" i="229"/>
  <c r="BN76" i="229"/>
  <c r="BN78" i="229" s="1"/>
  <c r="BN238" i="229" s="1"/>
  <c r="BO118" i="229"/>
  <c r="BO204" i="229" s="1"/>
  <c r="BP172" i="229"/>
  <c r="BO228" i="229"/>
  <c r="V290" i="229" s="1"/>
  <c r="V334" i="229" s="1"/>
  <c r="BO175" i="229"/>
  <c r="BO177" i="229" s="1"/>
  <c r="BO247" i="229" s="1"/>
  <c r="BX221" i="229"/>
  <c r="BY95" i="229"/>
  <c r="BX98" i="229"/>
  <c r="BX100" i="229" s="1"/>
  <c r="BX240" i="229" s="1"/>
  <c r="BW85" i="229"/>
  <c r="BW201" i="229" s="1"/>
  <c r="BR62" i="229" l="1"/>
  <c r="BQ65" i="229"/>
  <c r="BQ67" i="229" s="1"/>
  <c r="BQ237" i="229" s="1"/>
  <c r="BU43" i="229"/>
  <c r="BU45" i="229" s="1"/>
  <c r="BU235" i="229" s="1"/>
  <c r="BU216" i="229"/>
  <c r="BR51" i="229"/>
  <c r="BR52" i="229" s="1"/>
  <c r="BR198" i="229" s="1"/>
  <c r="BQ217" i="229"/>
  <c r="BQ163" i="229"/>
  <c r="BR161" i="229" s="1"/>
  <c r="BP131" i="229"/>
  <c r="BP133" i="229" s="1"/>
  <c r="BP243" i="229" s="1"/>
  <c r="BP141" i="229"/>
  <c r="BQ139" i="229" s="1"/>
  <c r="BQ128" i="229"/>
  <c r="BQ129" i="229" s="1"/>
  <c r="BQ205" i="229" s="1"/>
  <c r="BR152" i="229"/>
  <c r="BR153" i="229" s="1"/>
  <c r="BR155" i="229" s="1"/>
  <c r="BR245" i="229" s="1"/>
  <c r="BU31" i="229"/>
  <c r="BU215" i="229" s="1"/>
  <c r="BO119" i="229"/>
  <c r="BO223" i="229" s="1"/>
  <c r="V285" i="229" s="1"/>
  <c r="V329" i="229" s="1"/>
  <c r="V336" i="229" s="1"/>
  <c r="R22" i="224" s="1"/>
  <c r="R22" i="259" s="1"/>
  <c r="BQ185" i="229"/>
  <c r="BQ186" i="229" s="1"/>
  <c r="BQ188" i="229" s="1"/>
  <c r="BQ248" i="229" s="1"/>
  <c r="BR63" i="229"/>
  <c r="BR199" i="229" s="1"/>
  <c r="BP173" i="229"/>
  <c r="BP209" i="229" s="1"/>
  <c r="BV41" i="229"/>
  <c r="BV197" i="229" s="1"/>
  <c r="BQ107" i="229"/>
  <c r="BQ203" i="229" s="1"/>
  <c r="BO74" i="229"/>
  <c r="BO200" i="229" s="1"/>
  <c r="BY96" i="229"/>
  <c r="BY202" i="229" s="1"/>
  <c r="BW86" i="229"/>
  <c r="BQ227" i="229" l="1"/>
  <c r="BQ164" i="229"/>
  <c r="BQ166" i="229" s="1"/>
  <c r="BQ246" i="229" s="1"/>
  <c r="BU32" i="229"/>
  <c r="BU34" i="229" s="1"/>
  <c r="BU234" i="229" s="1"/>
  <c r="BR226" i="229"/>
  <c r="BS150" i="229"/>
  <c r="BS151" i="229" s="1"/>
  <c r="BS207" i="229" s="1"/>
  <c r="BP142" i="229"/>
  <c r="BP144" i="229" s="1"/>
  <c r="BP244" i="229" s="1"/>
  <c r="BP225" i="229"/>
  <c r="BR64" i="229"/>
  <c r="BS62" i="229" s="1"/>
  <c r="BR183" i="229"/>
  <c r="BR184" i="229" s="1"/>
  <c r="BR210" i="229" s="1"/>
  <c r="BV29" i="229"/>
  <c r="BV30" i="229" s="1"/>
  <c r="BV196" i="229" s="1"/>
  <c r="BO120" i="229"/>
  <c r="BO122" i="229" s="1"/>
  <c r="BO242" i="229" s="1"/>
  <c r="BQ229" i="229"/>
  <c r="BR53" i="229"/>
  <c r="BS51" i="229" s="1"/>
  <c r="BP117" i="229"/>
  <c r="BP118" i="229" s="1"/>
  <c r="BP204" i="229" s="1"/>
  <c r="BQ108" i="229"/>
  <c r="BQ109" i="229" s="1"/>
  <c r="BQ111" i="229" s="1"/>
  <c r="BQ241" i="229" s="1"/>
  <c r="BP174" i="229"/>
  <c r="BP228" i="229" s="1"/>
  <c r="BQ130" i="229"/>
  <c r="BQ224" i="229" s="1"/>
  <c r="BV42" i="229"/>
  <c r="BV43" i="229" s="1"/>
  <c r="BV45" i="229" s="1"/>
  <c r="BV235" i="229" s="1"/>
  <c r="BR162" i="229"/>
  <c r="BR208" i="229" s="1"/>
  <c r="BQ140" i="229"/>
  <c r="BQ206" i="229" s="1"/>
  <c r="BO75" i="229"/>
  <c r="BY97" i="229"/>
  <c r="BW220" i="229"/>
  <c r="X282" i="229" s="1"/>
  <c r="X326" i="229" s="1"/>
  <c r="BX84" i="229"/>
  <c r="BW87" i="229"/>
  <c r="BW89" i="229" s="1"/>
  <c r="BW239" i="229" s="1"/>
  <c r="BR65" i="229" l="1"/>
  <c r="BR67" i="229" s="1"/>
  <c r="BR237" i="229" s="1"/>
  <c r="BR218" i="229"/>
  <c r="BV216" i="229"/>
  <c r="BR163" i="229"/>
  <c r="BS161" i="229" s="1"/>
  <c r="BR106" i="229"/>
  <c r="BR107" i="229" s="1"/>
  <c r="BR203" i="229" s="1"/>
  <c r="BR54" i="229"/>
  <c r="BR56" i="229" s="1"/>
  <c r="BR236" i="229" s="1"/>
  <c r="BQ222" i="229"/>
  <c r="BR217" i="229"/>
  <c r="BP175" i="229"/>
  <c r="BP177" i="229" s="1"/>
  <c r="BP247" i="229" s="1"/>
  <c r="BQ172" i="229"/>
  <c r="BQ173" i="229" s="1"/>
  <c r="BQ209" i="229" s="1"/>
  <c r="BW40" i="229"/>
  <c r="BW41" i="229" s="1"/>
  <c r="BW197" i="229" s="1"/>
  <c r="BS152" i="229"/>
  <c r="BS226" i="229" s="1"/>
  <c r="W288" i="229" s="1"/>
  <c r="W332" i="229" s="1"/>
  <c r="BQ131" i="229"/>
  <c r="BQ133" i="229" s="1"/>
  <c r="BQ243" i="229" s="1"/>
  <c r="BR128" i="229"/>
  <c r="BR129" i="229" s="1"/>
  <c r="BR205" i="229" s="1"/>
  <c r="BV31" i="229"/>
  <c r="BV215" i="229" s="1"/>
  <c r="BR185" i="229"/>
  <c r="BS183" i="229" s="1"/>
  <c r="BQ141" i="229"/>
  <c r="BQ142" i="229" s="1"/>
  <c r="BQ144" i="229" s="1"/>
  <c r="BQ244" i="229" s="1"/>
  <c r="BO219" i="229"/>
  <c r="V281" i="229" s="1"/>
  <c r="V325" i="229" s="1"/>
  <c r="V320" i="229" s="1"/>
  <c r="O65" i="251" s="1"/>
  <c r="AG65" i="251" s="1"/>
  <c r="BP73" i="229"/>
  <c r="BO76" i="229"/>
  <c r="BO78" i="229" s="1"/>
  <c r="BO238" i="229" s="1"/>
  <c r="BS52" i="229"/>
  <c r="BS198" i="229" s="1"/>
  <c r="BS63" i="229"/>
  <c r="BS199" i="229" s="1"/>
  <c r="BP119" i="229"/>
  <c r="BY221" i="229"/>
  <c r="BZ95" i="229"/>
  <c r="BY98" i="229"/>
  <c r="BY100" i="229" s="1"/>
  <c r="BY240" i="229" s="1"/>
  <c r="BX85" i="229"/>
  <c r="BX201" i="229" s="1"/>
  <c r="BR164" i="229" l="1"/>
  <c r="BR166" i="229" s="1"/>
  <c r="BR246" i="229" s="1"/>
  <c r="BR227" i="229"/>
  <c r="BW29" i="229"/>
  <c r="BW30" i="229" s="1"/>
  <c r="BW196" i="229" s="1"/>
  <c r="BR108" i="229"/>
  <c r="BR222" i="229" s="1"/>
  <c r="BS153" i="229"/>
  <c r="BS155" i="229" s="1"/>
  <c r="BS245" i="229" s="1"/>
  <c r="BT150" i="229"/>
  <c r="BT151" i="229" s="1"/>
  <c r="BV32" i="229"/>
  <c r="BV34" i="229" s="1"/>
  <c r="BV234" i="229" s="1"/>
  <c r="BR186" i="229"/>
  <c r="BR188" i="229" s="1"/>
  <c r="BR248" i="229" s="1"/>
  <c r="BR229" i="229"/>
  <c r="BQ225" i="229"/>
  <c r="BR139" i="229"/>
  <c r="BR140" i="229" s="1"/>
  <c r="BR206" i="229" s="1"/>
  <c r="BQ174" i="229"/>
  <c r="BQ175" i="229" s="1"/>
  <c r="BQ177" i="229" s="1"/>
  <c r="BQ247" i="229" s="1"/>
  <c r="BR130" i="229"/>
  <c r="BS128" i="229" s="1"/>
  <c r="BS184" i="229"/>
  <c r="BS210" i="229" s="1"/>
  <c r="BS53" i="229"/>
  <c r="BP74" i="229"/>
  <c r="BP200" i="229" s="1"/>
  <c r="BW42" i="229"/>
  <c r="BP223" i="229"/>
  <c r="BQ117" i="229"/>
  <c r="BP120" i="229"/>
  <c r="BP122" i="229" s="1"/>
  <c r="BP242" i="229" s="1"/>
  <c r="BS162" i="229"/>
  <c r="BS208" i="229" s="1"/>
  <c r="BS64" i="229"/>
  <c r="BZ96" i="229"/>
  <c r="BZ202" i="229" s="1"/>
  <c r="BX86" i="229"/>
  <c r="BX87" i="229" s="1"/>
  <c r="BX89" i="229" s="1"/>
  <c r="BX239" i="229" s="1"/>
  <c r="BS106" i="229" l="1"/>
  <c r="BS107" i="229" s="1"/>
  <c r="BS203" i="229" s="1"/>
  <c r="BR109" i="229"/>
  <c r="BR111" i="229" s="1"/>
  <c r="BR241" i="229" s="1"/>
  <c r="BT207" i="229"/>
  <c r="BT152" i="229"/>
  <c r="BT226" i="229" s="1"/>
  <c r="BW31" i="229"/>
  <c r="BW215" i="229" s="1"/>
  <c r="X277" i="229" s="1"/>
  <c r="X321" i="229" s="1"/>
  <c r="BQ228" i="229"/>
  <c r="BR224" i="229"/>
  <c r="BR172" i="229"/>
  <c r="BR173" i="229" s="1"/>
  <c r="BR209" i="229" s="1"/>
  <c r="BR131" i="229"/>
  <c r="BR133" i="229" s="1"/>
  <c r="BR243" i="229" s="1"/>
  <c r="BR141" i="229"/>
  <c r="BS139" i="229" s="1"/>
  <c r="BP75" i="229"/>
  <c r="BQ73" i="229" s="1"/>
  <c r="BS185" i="229"/>
  <c r="BT183" i="229" s="1"/>
  <c r="BS163" i="229"/>
  <c r="BS218" i="229"/>
  <c r="W280" i="229" s="1"/>
  <c r="W324" i="229" s="1"/>
  <c r="BT62" i="229"/>
  <c r="BS65" i="229"/>
  <c r="BS67" i="229" s="1"/>
  <c r="BS237" i="229" s="1"/>
  <c r="BQ118" i="229"/>
  <c r="BQ204" i="229" s="1"/>
  <c r="BW216" i="229"/>
  <c r="X278" i="229" s="1"/>
  <c r="X322" i="229" s="1"/>
  <c r="BX40" i="229"/>
  <c r="BW43" i="229"/>
  <c r="BW45" i="229" s="1"/>
  <c r="BW235" i="229" s="1"/>
  <c r="BS129" i="229"/>
  <c r="BS205" i="229" s="1"/>
  <c r="BT51" i="229"/>
  <c r="BS217" i="229"/>
  <c r="W279" i="229" s="1"/>
  <c r="W323" i="229" s="1"/>
  <c r="BS54" i="229"/>
  <c r="BS56" i="229" s="1"/>
  <c r="BS236" i="229" s="1"/>
  <c r="BX220" i="229"/>
  <c r="BY84" i="229"/>
  <c r="BY85" i="229" s="1"/>
  <c r="BY201" i="229" s="1"/>
  <c r="BZ97" i="229"/>
  <c r="BU150" i="229" l="1"/>
  <c r="BT153" i="229"/>
  <c r="BT155" i="229" s="1"/>
  <c r="BT245" i="229" s="1"/>
  <c r="BW32" i="229"/>
  <c r="BW34" i="229" s="1"/>
  <c r="BW234" i="229" s="1"/>
  <c r="BP219" i="229"/>
  <c r="BP76" i="229"/>
  <c r="BP78" i="229" s="1"/>
  <c r="BP238" i="229" s="1"/>
  <c r="BX29" i="229"/>
  <c r="BX30" i="229" s="1"/>
  <c r="BX196" i="229" s="1"/>
  <c r="BS130" i="229"/>
  <c r="BS131" i="229" s="1"/>
  <c r="BS133" i="229" s="1"/>
  <c r="BS243" i="229" s="1"/>
  <c r="BR225" i="229"/>
  <c r="BS229" i="229"/>
  <c r="W291" i="229" s="1"/>
  <c r="W335" i="229" s="1"/>
  <c r="BR142" i="229"/>
  <c r="BR144" i="229" s="1"/>
  <c r="BR244" i="229" s="1"/>
  <c r="BS186" i="229"/>
  <c r="BS188" i="229" s="1"/>
  <c r="BS248" i="229" s="1"/>
  <c r="BR174" i="229"/>
  <c r="BR228" i="229" s="1"/>
  <c r="BS140" i="229"/>
  <c r="BS206" i="229" s="1"/>
  <c r="BQ74" i="229"/>
  <c r="BQ200" i="229" s="1"/>
  <c r="BT52" i="229"/>
  <c r="BT198" i="229" s="1"/>
  <c r="BT63" i="229"/>
  <c r="BT199" i="229" s="1"/>
  <c r="BU151" i="229"/>
  <c r="BU207" i="229" s="1"/>
  <c r="BX41" i="229"/>
  <c r="BX197" i="229" s="1"/>
  <c r="BS108" i="229"/>
  <c r="BT184" i="229"/>
  <c r="BT210" i="229" s="1"/>
  <c r="BQ119" i="229"/>
  <c r="BS227" i="229"/>
  <c r="W289" i="229" s="1"/>
  <c r="W333" i="229" s="1"/>
  <c r="BT161" i="229"/>
  <c r="BS164" i="229"/>
  <c r="BS166" i="229" s="1"/>
  <c r="BS246" i="229" s="1"/>
  <c r="BZ221" i="229"/>
  <c r="CA95" i="229"/>
  <c r="BZ98" i="229"/>
  <c r="BZ100" i="229" s="1"/>
  <c r="BZ240" i="229" s="1"/>
  <c r="BY86" i="229"/>
  <c r="BS172" i="229" l="1"/>
  <c r="BS173" i="229" s="1"/>
  <c r="BS209" i="229" s="1"/>
  <c r="BT128" i="229"/>
  <c r="BT129" i="229" s="1"/>
  <c r="BT205" i="229" s="1"/>
  <c r="BS224" i="229"/>
  <c r="W286" i="229" s="1"/>
  <c r="W330" i="229" s="1"/>
  <c r="BR175" i="229"/>
  <c r="BR177" i="229" s="1"/>
  <c r="BR247" i="229" s="1"/>
  <c r="BT64" i="229"/>
  <c r="BT65" i="229" s="1"/>
  <c r="BT67" i="229" s="1"/>
  <c r="BT237" i="229" s="1"/>
  <c r="BX31" i="229"/>
  <c r="BX215" i="229" s="1"/>
  <c r="BT53" i="229"/>
  <c r="BT217" i="229" s="1"/>
  <c r="BS141" i="229"/>
  <c r="BT139" i="229" s="1"/>
  <c r="BU152" i="229"/>
  <c r="BU153" i="229" s="1"/>
  <c r="BU155" i="229" s="1"/>
  <c r="BU245" i="229" s="1"/>
  <c r="BS222" i="229"/>
  <c r="W284" i="229" s="1"/>
  <c r="W328" i="229" s="1"/>
  <c r="BT106" i="229"/>
  <c r="BS109" i="229"/>
  <c r="BS111" i="229" s="1"/>
  <c r="BS241" i="229" s="1"/>
  <c r="BX42" i="229"/>
  <c r="BU62" i="229"/>
  <c r="BT162" i="229"/>
  <c r="BT208" i="229" s="1"/>
  <c r="BQ223" i="229"/>
  <c r="BR117" i="229"/>
  <c r="BQ120" i="229"/>
  <c r="BQ122" i="229" s="1"/>
  <c r="BQ242" i="229" s="1"/>
  <c r="BT185" i="229"/>
  <c r="BQ75" i="229"/>
  <c r="CA96" i="229"/>
  <c r="CA202" i="229" s="1"/>
  <c r="BZ84" i="229"/>
  <c r="BY220" i="229"/>
  <c r="BY87" i="229"/>
  <c r="BY89" i="229" s="1"/>
  <c r="BY239" i="229" s="1"/>
  <c r="BT218" i="229" l="1"/>
  <c r="BU51" i="229"/>
  <c r="BU52" i="229" s="1"/>
  <c r="BU198" i="229" s="1"/>
  <c r="BT54" i="229"/>
  <c r="BT56" i="229" s="1"/>
  <c r="BT236" i="229" s="1"/>
  <c r="BS142" i="229"/>
  <c r="BS144" i="229" s="1"/>
  <c r="BS244" i="229" s="1"/>
  <c r="BS225" i="229"/>
  <c r="W287" i="229" s="1"/>
  <c r="W331" i="229" s="1"/>
  <c r="BX32" i="229"/>
  <c r="BX34" i="229" s="1"/>
  <c r="BX234" i="229" s="1"/>
  <c r="BY29" i="229"/>
  <c r="BY30" i="229" s="1"/>
  <c r="BY196" i="229" s="1"/>
  <c r="BU226" i="229"/>
  <c r="BV150" i="229"/>
  <c r="BV151" i="229" s="1"/>
  <c r="BV207" i="229" s="1"/>
  <c r="BT163" i="229"/>
  <c r="BU161" i="229" s="1"/>
  <c r="BR118" i="229"/>
  <c r="BR204" i="229" s="1"/>
  <c r="BU63" i="229"/>
  <c r="BU199" i="229" s="1"/>
  <c r="BQ76" i="229"/>
  <c r="BQ78" i="229" s="1"/>
  <c r="BQ238" i="229" s="1"/>
  <c r="BR73" i="229"/>
  <c r="BQ219" i="229"/>
  <c r="BS174" i="229"/>
  <c r="BT130" i="229"/>
  <c r="BY40" i="229"/>
  <c r="BX216" i="229"/>
  <c r="BX43" i="229"/>
  <c r="BX45" i="229" s="1"/>
  <c r="BX235" i="229" s="1"/>
  <c r="BU183" i="229"/>
  <c r="BT229" i="229"/>
  <c r="BT186" i="229"/>
  <c r="BT188" i="229" s="1"/>
  <c r="BT248" i="229" s="1"/>
  <c r="BT140" i="229"/>
  <c r="BT206" i="229" s="1"/>
  <c r="BT107" i="229"/>
  <c r="BT203" i="229" s="1"/>
  <c r="CA97" i="229"/>
  <c r="BZ85" i="229"/>
  <c r="BZ201" i="229" s="1"/>
  <c r="BT164" i="229" l="1"/>
  <c r="BT166" i="229" s="1"/>
  <c r="BT246" i="229" s="1"/>
  <c r="BT227" i="229"/>
  <c r="BR119" i="229"/>
  <c r="BS117" i="229" s="1"/>
  <c r="BU53" i="229"/>
  <c r="BU54" i="229" s="1"/>
  <c r="BU56" i="229" s="1"/>
  <c r="BU236" i="229" s="1"/>
  <c r="BU64" i="229"/>
  <c r="BV62" i="229" s="1"/>
  <c r="BY31" i="229"/>
  <c r="BZ29" i="229" s="1"/>
  <c r="BY41" i="229"/>
  <c r="BY197" i="229" s="1"/>
  <c r="BT131" i="229"/>
  <c r="BT133" i="229" s="1"/>
  <c r="BT243" i="229" s="1"/>
  <c r="BU128" i="229"/>
  <c r="BT224" i="229"/>
  <c r="BS228" i="229"/>
  <c r="W290" i="229" s="1"/>
  <c r="W334" i="229" s="1"/>
  <c r="BT172" i="229"/>
  <c r="BS175" i="229"/>
  <c r="BS177" i="229" s="1"/>
  <c r="BS247" i="229" s="1"/>
  <c r="BU162" i="229"/>
  <c r="BU208" i="229" s="1"/>
  <c r="BU184" i="229"/>
  <c r="BU210" i="229" s="1"/>
  <c r="BR74" i="229"/>
  <c r="BR200" i="229" s="1"/>
  <c r="BT108" i="229"/>
  <c r="BT141" i="229"/>
  <c r="BV152" i="229"/>
  <c r="CA221" i="229"/>
  <c r="Y283" i="229" s="1"/>
  <c r="Y327" i="229" s="1"/>
  <c r="CB95" i="229"/>
  <c r="CA98" i="229"/>
  <c r="CA100" i="229" s="1"/>
  <c r="CA240" i="229" s="1"/>
  <c r="BZ86" i="229"/>
  <c r="BU217" i="229" l="1"/>
  <c r="BV51" i="229"/>
  <c r="BV52" i="229" s="1"/>
  <c r="BV198" i="229" s="1"/>
  <c r="BR120" i="229"/>
  <c r="BR122" i="229" s="1"/>
  <c r="BR242" i="229" s="1"/>
  <c r="BR223" i="229"/>
  <c r="BY215" i="229"/>
  <c r="BY32" i="229"/>
  <c r="BY34" i="229" s="1"/>
  <c r="BY234" i="229" s="1"/>
  <c r="BU65" i="229"/>
  <c r="BU67" i="229" s="1"/>
  <c r="BU237" i="229" s="1"/>
  <c r="BU218" i="229"/>
  <c r="BR75" i="229"/>
  <c r="BR219" i="229" s="1"/>
  <c r="BY42" i="229"/>
  <c r="BY216" i="229" s="1"/>
  <c r="BU185" i="229"/>
  <c r="BU186" i="229" s="1"/>
  <c r="BU188" i="229" s="1"/>
  <c r="BU248" i="229" s="1"/>
  <c r="BU163" i="229"/>
  <c r="BU227" i="229" s="1"/>
  <c r="BT222" i="229"/>
  <c r="BU106" i="229"/>
  <c r="BT109" i="229"/>
  <c r="BT111" i="229" s="1"/>
  <c r="BT241" i="229" s="1"/>
  <c r="BV63" i="229"/>
  <c r="BV199" i="229" s="1"/>
  <c r="BZ30" i="229"/>
  <c r="BZ196" i="229" s="1"/>
  <c r="BS118" i="229"/>
  <c r="BS204" i="229" s="1"/>
  <c r="BT173" i="229"/>
  <c r="BT209" i="229" s="1"/>
  <c r="BU129" i="229"/>
  <c r="BU205" i="229" s="1"/>
  <c r="BV226" i="229"/>
  <c r="BW150" i="229"/>
  <c r="BV153" i="229"/>
  <c r="BV155" i="229" s="1"/>
  <c r="BV245" i="229" s="1"/>
  <c r="BU139" i="229"/>
  <c r="BT225" i="229"/>
  <c r="BT142" i="229"/>
  <c r="BT144" i="229" s="1"/>
  <c r="BT244" i="229" s="1"/>
  <c r="CB96" i="229"/>
  <c r="CB202" i="229" s="1"/>
  <c r="CA84" i="229"/>
  <c r="BZ220" i="229"/>
  <c r="BZ87" i="229"/>
  <c r="BZ89" i="229" s="1"/>
  <c r="BZ239" i="229" s="1"/>
  <c r="BY43" i="229" l="1"/>
  <c r="BY45" i="229" s="1"/>
  <c r="BY235" i="229" s="1"/>
  <c r="BZ40" i="229"/>
  <c r="BV183" i="229"/>
  <c r="BV184" i="229" s="1"/>
  <c r="BV210" i="229" s="1"/>
  <c r="BU229" i="229"/>
  <c r="CB97" i="229"/>
  <c r="BR76" i="229"/>
  <c r="BR78" i="229" s="1"/>
  <c r="BR238" i="229" s="1"/>
  <c r="BS73" i="229"/>
  <c r="BS74" i="229" s="1"/>
  <c r="BS200" i="229" s="1"/>
  <c r="BV53" i="229"/>
  <c r="BV217" i="229" s="1"/>
  <c r="BU164" i="229"/>
  <c r="BU166" i="229" s="1"/>
  <c r="BU246" i="229" s="1"/>
  <c r="BV161" i="229"/>
  <c r="BV162" i="229" s="1"/>
  <c r="BV208" i="229" s="1"/>
  <c r="BU130" i="229"/>
  <c r="BU224" i="229" s="1"/>
  <c r="BS119" i="229"/>
  <c r="BS223" i="229" s="1"/>
  <c r="W285" i="229" s="1"/>
  <c r="W329" i="229" s="1"/>
  <c r="W336" i="229" s="1"/>
  <c r="S22" i="224" s="1"/>
  <c r="S22" i="259" s="1"/>
  <c r="BV64" i="229"/>
  <c r="BV218" i="229" s="1"/>
  <c r="BT174" i="229"/>
  <c r="BT175" i="229" s="1"/>
  <c r="BT177" i="229" s="1"/>
  <c r="BT247" i="229" s="1"/>
  <c r="BZ31" i="229"/>
  <c r="BZ215" i="229" s="1"/>
  <c r="BZ41" i="229"/>
  <c r="BZ197" i="229" s="1"/>
  <c r="BU140" i="229"/>
  <c r="BU206" i="229" s="1"/>
  <c r="BW151" i="229"/>
  <c r="BW207" i="229" s="1"/>
  <c r="BU107" i="229"/>
  <c r="BU203" i="229" s="1"/>
  <c r="CB221" i="229"/>
  <c r="CC95" i="229"/>
  <c r="CB98" i="229"/>
  <c r="CB100" i="229" s="1"/>
  <c r="CB240" i="229" s="1"/>
  <c r="CA85" i="229"/>
  <c r="CA201" i="229" s="1"/>
  <c r="BW51" i="229" l="1"/>
  <c r="BW52" i="229" s="1"/>
  <c r="BW198" i="229" s="1"/>
  <c r="BV128" i="229"/>
  <c r="BV129" i="229" s="1"/>
  <c r="BV205" i="229" s="1"/>
  <c r="BV54" i="229"/>
  <c r="BV56" i="229" s="1"/>
  <c r="BV236" i="229" s="1"/>
  <c r="BS120" i="229"/>
  <c r="BS122" i="229" s="1"/>
  <c r="BS242" i="229" s="1"/>
  <c r="BT117" i="229"/>
  <c r="BT118" i="229" s="1"/>
  <c r="BT204" i="229" s="1"/>
  <c r="BU141" i="229"/>
  <c r="BV139" i="229" s="1"/>
  <c r="BV65" i="229"/>
  <c r="BV67" i="229" s="1"/>
  <c r="BV237" i="229" s="1"/>
  <c r="BU108" i="229"/>
  <c r="BU222" i="229" s="1"/>
  <c r="BU131" i="229"/>
  <c r="BU133" i="229" s="1"/>
  <c r="BU243" i="229" s="1"/>
  <c r="CA29" i="229"/>
  <c r="CA30" i="229" s="1"/>
  <c r="CA196" i="229" s="1"/>
  <c r="BW62" i="229"/>
  <c r="BW63" i="229" s="1"/>
  <c r="BW199" i="229" s="1"/>
  <c r="BZ42" i="229"/>
  <c r="BZ216" i="229" s="1"/>
  <c r="BZ32" i="229"/>
  <c r="BZ34" i="229" s="1"/>
  <c r="BZ234" i="229" s="1"/>
  <c r="BU172" i="229"/>
  <c r="BU173" i="229" s="1"/>
  <c r="BU209" i="229" s="1"/>
  <c r="BT228" i="229"/>
  <c r="BV185" i="229"/>
  <c r="BV229" i="229" s="1"/>
  <c r="BV163" i="229"/>
  <c r="BV227" i="229" s="1"/>
  <c r="BW152" i="229"/>
  <c r="BW153" i="229" s="1"/>
  <c r="BW155" i="229" s="1"/>
  <c r="BW245" i="229" s="1"/>
  <c r="BS75" i="229"/>
  <c r="BS219" i="229" s="1"/>
  <c r="W281" i="229" s="1"/>
  <c r="W325" i="229" s="1"/>
  <c r="W320" i="229" s="1"/>
  <c r="P65" i="251" s="1"/>
  <c r="AH65" i="251" s="1"/>
  <c r="CA86" i="229"/>
  <c r="CA220" i="229" s="1"/>
  <c r="Y282" i="229" s="1"/>
  <c r="Y326" i="229" s="1"/>
  <c r="CC96" i="229"/>
  <c r="CC202" i="229" s="1"/>
  <c r="BU142" i="229" l="1"/>
  <c r="BU144" i="229" s="1"/>
  <c r="BU244" i="229" s="1"/>
  <c r="BV106" i="229"/>
  <c r="BV107" i="229" s="1"/>
  <c r="BV203" i="229" s="1"/>
  <c r="BU225" i="229"/>
  <c r="CC97" i="229"/>
  <c r="BU109" i="229"/>
  <c r="BU111" i="229" s="1"/>
  <c r="BU241" i="229" s="1"/>
  <c r="CA40" i="229"/>
  <c r="BZ43" i="229"/>
  <c r="BZ45" i="229" s="1"/>
  <c r="BZ235" i="229" s="1"/>
  <c r="BU174" i="229"/>
  <c r="BV172" i="229" s="1"/>
  <c r="BW226" i="229"/>
  <c r="X288" i="229" s="1"/>
  <c r="X332" i="229" s="1"/>
  <c r="BX150" i="229"/>
  <c r="BX151" i="229" s="1"/>
  <c r="BX207" i="229" s="1"/>
  <c r="BT119" i="229"/>
  <c r="BU117" i="229" s="1"/>
  <c r="BW161" i="229"/>
  <c r="BW162" i="229" s="1"/>
  <c r="BW208" i="229" s="1"/>
  <c r="BS76" i="229"/>
  <c r="BS78" i="229" s="1"/>
  <c r="BS238" i="229" s="1"/>
  <c r="BT73" i="229"/>
  <c r="BT74" i="229" s="1"/>
  <c r="BT200" i="229" s="1"/>
  <c r="BW64" i="229"/>
  <c r="BW218" i="229" s="1"/>
  <c r="X280" i="229" s="1"/>
  <c r="X324" i="229" s="1"/>
  <c r="BV186" i="229"/>
  <c r="BV188" i="229" s="1"/>
  <c r="BV248" i="229" s="1"/>
  <c r="BV164" i="229"/>
  <c r="BV166" i="229" s="1"/>
  <c r="BV246" i="229" s="1"/>
  <c r="BW183" i="229"/>
  <c r="BW184" i="229" s="1"/>
  <c r="BW210" i="229" s="1"/>
  <c r="BW53" i="229"/>
  <c r="BW54" i="229" s="1"/>
  <c r="BW56" i="229" s="1"/>
  <c r="BW236" i="229" s="1"/>
  <c r="BV130" i="229"/>
  <c r="BV140" i="229"/>
  <c r="BV206" i="229" s="1"/>
  <c r="CA41" i="229"/>
  <c r="CA197" i="229" s="1"/>
  <c r="CA31" i="229"/>
  <c r="CB84" i="229"/>
  <c r="CB85" i="229" s="1"/>
  <c r="CB201" i="229" s="1"/>
  <c r="CA87" i="229"/>
  <c r="CA89" i="229" s="1"/>
  <c r="CA239" i="229" s="1"/>
  <c r="CC221" i="229"/>
  <c r="CD95" i="229"/>
  <c r="CC98" i="229"/>
  <c r="CC100" i="229" s="1"/>
  <c r="CC240" i="229" s="1"/>
  <c r="BU175" i="229" l="1"/>
  <c r="BU177" i="229" s="1"/>
  <c r="BU247" i="229" s="1"/>
  <c r="BU228" i="229"/>
  <c r="BW65" i="229"/>
  <c r="BW67" i="229" s="1"/>
  <c r="BW237" i="229" s="1"/>
  <c r="BX62" i="229"/>
  <c r="BX63" i="229" s="1"/>
  <c r="BX199" i="229" s="1"/>
  <c r="BT120" i="229"/>
  <c r="BT122" i="229" s="1"/>
  <c r="BT242" i="229" s="1"/>
  <c r="BT223" i="229"/>
  <c r="BW217" i="229"/>
  <c r="X279" i="229" s="1"/>
  <c r="X323" i="229" s="1"/>
  <c r="BX51" i="229"/>
  <c r="BX52" i="229" s="1"/>
  <c r="BX198" i="229" s="1"/>
  <c r="BW185" i="229"/>
  <c r="BX183" i="229" s="1"/>
  <c r="BV141" i="229"/>
  <c r="BW139" i="229" s="1"/>
  <c r="CA42" i="229"/>
  <c r="CA216" i="229" s="1"/>
  <c r="Y278" i="229" s="1"/>
  <c r="Y322" i="229" s="1"/>
  <c r="BW163" i="229"/>
  <c r="BW227" i="229" s="1"/>
  <c r="X289" i="229" s="1"/>
  <c r="X333" i="229" s="1"/>
  <c r="BX152" i="229"/>
  <c r="BX226" i="229" s="1"/>
  <c r="BV108" i="229"/>
  <c r="BV222" i="229" s="1"/>
  <c r="BV173" i="229"/>
  <c r="BV209" i="229" s="1"/>
  <c r="BU118" i="229"/>
  <c r="BU204" i="229" s="1"/>
  <c r="BT75" i="229"/>
  <c r="CB29" i="229"/>
  <c r="CA215" i="229"/>
  <c r="Y277" i="229" s="1"/>
  <c r="Y321" i="229" s="1"/>
  <c r="CA32" i="229"/>
  <c r="CA34" i="229" s="1"/>
  <c r="CA234" i="229" s="1"/>
  <c r="BW128" i="229"/>
  <c r="BV224" i="229"/>
  <c r="BV131" i="229"/>
  <c r="BV133" i="229" s="1"/>
  <c r="BV243" i="229" s="1"/>
  <c r="CB86" i="229"/>
  <c r="CB87" i="229" s="1"/>
  <c r="CB89" i="229" s="1"/>
  <c r="CB239" i="229" s="1"/>
  <c r="CD96" i="229"/>
  <c r="CD202" i="229" s="1"/>
  <c r="CA43" i="229" l="1"/>
  <c r="CA45" i="229" s="1"/>
  <c r="CA235" i="229" s="1"/>
  <c r="CB40" i="229"/>
  <c r="CB41" i="229" s="1"/>
  <c r="CB197" i="229" s="1"/>
  <c r="BW229" i="229"/>
  <c r="X291" i="229" s="1"/>
  <c r="X335" i="229" s="1"/>
  <c r="BV225" i="229"/>
  <c r="BY150" i="229"/>
  <c r="BY151" i="229" s="1"/>
  <c r="BY207" i="229" s="1"/>
  <c r="BV142" i="229"/>
  <c r="BV144" i="229" s="1"/>
  <c r="BV244" i="229" s="1"/>
  <c r="BX153" i="229"/>
  <c r="BX155" i="229" s="1"/>
  <c r="BX245" i="229" s="1"/>
  <c r="BW186" i="229"/>
  <c r="BW188" i="229" s="1"/>
  <c r="BW248" i="229" s="1"/>
  <c r="BX161" i="229"/>
  <c r="BX162" i="229" s="1"/>
  <c r="BX208" i="229" s="1"/>
  <c r="BW164" i="229"/>
  <c r="BW166" i="229" s="1"/>
  <c r="BW246" i="229" s="1"/>
  <c r="BV109" i="229"/>
  <c r="BV111" i="229" s="1"/>
  <c r="BV241" i="229" s="1"/>
  <c r="BX64" i="229"/>
  <c r="BX218" i="229" s="1"/>
  <c r="BW106" i="229"/>
  <c r="BW107" i="229" s="1"/>
  <c r="BW203" i="229" s="1"/>
  <c r="BX53" i="229"/>
  <c r="BY51" i="229" s="1"/>
  <c r="BV174" i="229"/>
  <c r="BV228" i="229" s="1"/>
  <c r="CB30" i="229"/>
  <c r="CB196" i="229" s="1"/>
  <c r="BW140" i="229"/>
  <c r="BW206" i="229" s="1"/>
  <c r="BT76" i="229"/>
  <c r="BT78" i="229" s="1"/>
  <c r="BT238" i="229" s="1"/>
  <c r="BT219" i="229"/>
  <c r="BU73" i="229"/>
  <c r="BW129" i="229"/>
  <c r="BW205" i="229" s="1"/>
  <c r="BU119" i="229"/>
  <c r="BX184" i="229"/>
  <c r="BX210" i="229" s="1"/>
  <c r="CC84" i="229"/>
  <c r="CC85" i="229" s="1"/>
  <c r="CC201" i="229" s="1"/>
  <c r="CB220" i="229"/>
  <c r="CD97" i="229"/>
  <c r="BX54" i="229" l="1"/>
  <c r="BX56" i="229" s="1"/>
  <c r="BX236" i="229" s="1"/>
  <c r="BY62" i="229"/>
  <c r="BX65" i="229"/>
  <c r="BX67" i="229" s="1"/>
  <c r="BX237" i="229" s="1"/>
  <c r="BX217" i="229"/>
  <c r="BW130" i="229"/>
  <c r="BW224" i="229" s="1"/>
  <c r="X286" i="229" s="1"/>
  <c r="X330" i="229" s="1"/>
  <c r="CB31" i="229"/>
  <c r="CC29" i="229" s="1"/>
  <c r="BX163" i="229"/>
  <c r="BX164" i="229" s="1"/>
  <c r="BX166" i="229" s="1"/>
  <c r="BX246" i="229" s="1"/>
  <c r="BW172" i="229"/>
  <c r="BW173" i="229" s="1"/>
  <c r="BW209" i="229" s="1"/>
  <c r="CB42" i="229"/>
  <c r="CB216" i="229" s="1"/>
  <c r="BV175" i="229"/>
  <c r="BV177" i="229" s="1"/>
  <c r="BV247" i="229" s="1"/>
  <c r="BW141" i="229"/>
  <c r="BW225" i="229" s="1"/>
  <c r="X287" i="229" s="1"/>
  <c r="X331" i="229" s="1"/>
  <c r="BW108" i="229"/>
  <c r="BW222" i="229" s="1"/>
  <c r="X284" i="229" s="1"/>
  <c r="X328" i="229" s="1"/>
  <c r="BY152" i="229"/>
  <c r="BY226" i="229" s="1"/>
  <c r="BY63" i="229"/>
  <c r="BY199" i="229" s="1"/>
  <c r="BY52" i="229"/>
  <c r="BY198" i="229" s="1"/>
  <c r="BX185" i="229"/>
  <c r="BU74" i="229"/>
  <c r="BU200" i="229" s="1"/>
  <c r="BV117" i="229"/>
  <c r="BU223" i="229"/>
  <c r="BU120" i="229"/>
  <c r="BU122" i="229" s="1"/>
  <c r="BU242" i="229" s="1"/>
  <c r="CD221" i="229"/>
  <c r="CE95" i="229"/>
  <c r="CD98" i="229"/>
  <c r="CD100" i="229" s="1"/>
  <c r="CD240" i="229" s="1"/>
  <c r="CC86" i="229"/>
  <c r="CB215" i="229" l="1"/>
  <c r="BW131" i="229"/>
  <c r="BW133" i="229" s="1"/>
  <c r="BW243" i="229" s="1"/>
  <c r="BX128" i="229"/>
  <c r="BX129" i="229" s="1"/>
  <c r="BX205" i="229" s="1"/>
  <c r="BZ150" i="229"/>
  <c r="BZ151" i="229" s="1"/>
  <c r="BZ207" i="229" s="1"/>
  <c r="BY153" i="229"/>
  <c r="BY155" i="229" s="1"/>
  <c r="BY245" i="229" s="1"/>
  <c r="CB32" i="229"/>
  <c r="CB34" i="229" s="1"/>
  <c r="CB234" i="229" s="1"/>
  <c r="BY161" i="229"/>
  <c r="BY162" i="229" s="1"/>
  <c r="BY208" i="229" s="1"/>
  <c r="BW142" i="229"/>
  <c r="BW144" i="229" s="1"/>
  <c r="BW244" i="229" s="1"/>
  <c r="BX227" i="229"/>
  <c r="BX139" i="229"/>
  <c r="BX140" i="229" s="1"/>
  <c r="BX206" i="229" s="1"/>
  <c r="BW109" i="229"/>
  <c r="BW111" i="229" s="1"/>
  <c r="BW241" i="229" s="1"/>
  <c r="CB43" i="229"/>
  <c r="CB45" i="229" s="1"/>
  <c r="CB235" i="229" s="1"/>
  <c r="BX106" i="229"/>
  <c r="BX107" i="229" s="1"/>
  <c r="CC40" i="229"/>
  <c r="CC41" i="229" s="1"/>
  <c r="CC197" i="229" s="1"/>
  <c r="BY64" i="229"/>
  <c r="BZ62" i="229" s="1"/>
  <c r="BY53" i="229"/>
  <c r="BY217" i="229" s="1"/>
  <c r="CC30" i="229"/>
  <c r="CC196" i="229" s="1"/>
  <c r="BY183" i="229"/>
  <c r="BX229" i="229"/>
  <c r="BX186" i="229"/>
  <c r="BX188" i="229" s="1"/>
  <c r="BX248" i="229" s="1"/>
  <c r="BV118" i="229"/>
  <c r="BV204" i="229" s="1"/>
  <c r="BU75" i="229"/>
  <c r="BW174" i="229"/>
  <c r="CE96" i="229"/>
  <c r="CE202" i="229" s="1"/>
  <c r="CD84" i="229"/>
  <c r="CC220" i="229"/>
  <c r="CC87" i="229"/>
  <c r="CC89" i="229" s="1"/>
  <c r="CC239" i="229" s="1"/>
  <c r="BX203" i="229" l="1"/>
  <c r="BX108" i="229"/>
  <c r="BY106" i="229" s="1"/>
  <c r="BY65" i="229"/>
  <c r="BY67" i="229" s="1"/>
  <c r="BY237" i="229" s="1"/>
  <c r="CC42" i="229"/>
  <c r="CC216" i="229" s="1"/>
  <c r="BY54" i="229"/>
  <c r="BY56" i="229" s="1"/>
  <c r="BY236" i="229" s="1"/>
  <c r="BV119" i="229"/>
  <c r="BV223" i="229" s="1"/>
  <c r="BX141" i="229"/>
  <c r="BX142" i="229" s="1"/>
  <c r="BX144" i="229" s="1"/>
  <c r="BX244" i="229" s="1"/>
  <c r="BZ51" i="229"/>
  <c r="BZ52" i="229" s="1"/>
  <c r="BZ198" i="229" s="1"/>
  <c r="CC31" i="229"/>
  <c r="CC215" i="229" s="1"/>
  <c r="BY218" i="229"/>
  <c r="BY163" i="229"/>
  <c r="BZ161" i="229" s="1"/>
  <c r="BZ152" i="229"/>
  <c r="CA150" i="229" s="1"/>
  <c r="BX172" i="229"/>
  <c r="BW228" i="229"/>
  <c r="X290" i="229" s="1"/>
  <c r="X334" i="229" s="1"/>
  <c r="BW175" i="229"/>
  <c r="BW177" i="229" s="1"/>
  <c r="BW247" i="229" s="1"/>
  <c r="BV73" i="229"/>
  <c r="BU219" i="229"/>
  <c r="BU76" i="229"/>
  <c r="BU78" i="229" s="1"/>
  <c r="BU238" i="229" s="1"/>
  <c r="BZ63" i="229"/>
  <c r="BZ199" i="229" s="1"/>
  <c r="BX130" i="229"/>
  <c r="BY184" i="229"/>
  <c r="BY210" i="229" s="1"/>
  <c r="CD29" i="229"/>
  <c r="CC32" i="229"/>
  <c r="CC34" i="229" s="1"/>
  <c r="CC234" i="229" s="1"/>
  <c r="CE97" i="229"/>
  <c r="CD85" i="229"/>
  <c r="CD201" i="229" s="1"/>
  <c r="CD40" i="229" l="1"/>
  <c r="BX222" i="229"/>
  <c r="BX109" i="229"/>
  <c r="BX111" i="229" s="1"/>
  <c r="BX241" i="229" s="1"/>
  <c r="BV120" i="229"/>
  <c r="BV122" i="229" s="1"/>
  <c r="BV242" i="229" s="1"/>
  <c r="CC43" i="229"/>
  <c r="CC45" i="229" s="1"/>
  <c r="CC235" i="229" s="1"/>
  <c r="BZ153" i="229"/>
  <c r="BZ155" i="229" s="1"/>
  <c r="BZ245" i="229" s="1"/>
  <c r="BZ226" i="229"/>
  <c r="BW117" i="229"/>
  <c r="BW118" i="229" s="1"/>
  <c r="BW204" i="229" s="1"/>
  <c r="BX225" i="229"/>
  <c r="BY139" i="229"/>
  <c r="BZ53" i="229"/>
  <c r="CA51" i="229" s="1"/>
  <c r="BZ64" i="229"/>
  <c r="BZ218" i="229" s="1"/>
  <c r="BY164" i="229"/>
  <c r="BY166" i="229" s="1"/>
  <c r="BY246" i="229" s="1"/>
  <c r="BY227" i="229"/>
  <c r="BV74" i="229"/>
  <c r="BV200" i="229" s="1"/>
  <c r="BY107" i="229"/>
  <c r="BY203" i="229" s="1"/>
  <c r="BY128" i="229"/>
  <c r="BX224" i="229"/>
  <c r="BX131" i="229"/>
  <c r="BX133" i="229" s="1"/>
  <c r="BX243" i="229" s="1"/>
  <c r="BY185" i="229"/>
  <c r="BZ162" i="229"/>
  <c r="BZ208" i="229" s="1"/>
  <c r="BX173" i="229"/>
  <c r="BX209" i="229" s="1"/>
  <c r="CD30" i="229"/>
  <c r="CD196" i="229" s="1"/>
  <c r="CA151" i="229"/>
  <c r="CA207" i="229" s="1"/>
  <c r="CD41" i="229"/>
  <c r="CD197" i="229" s="1"/>
  <c r="CE221" i="229"/>
  <c r="Z283" i="229" s="1"/>
  <c r="Z327" i="229" s="1"/>
  <c r="CF95" i="229"/>
  <c r="CE98" i="229"/>
  <c r="CE100" i="229" s="1"/>
  <c r="CE240" i="229" s="1"/>
  <c r="CD86" i="229"/>
  <c r="CE84" i="229" s="1"/>
  <c r="BX174" i="229" l="1"/>
  <c r="BX228" i="229" s="1"/>
  <c r="BZ54" i="229"/>
  <c r="BZ56" i="229" s="1"/>
  <c r="BZ236" i="229" s="1"/>
  <c r="BZ217" i="229"/>
  <c r="BY140" i="229"/>
  <c r="BY206" i="229" s="1"/>
  <c r="BY108" i="229"/>
  <c r="BY222" i="229" s="1"/>
  <c r="BZ65" i="229"/>
  <c r="BZ67" i="229" s="1"/>
  <c r="BZ237" i="229" s="1"/>
  <c r="BW119" i="229"/>
  <c r="BW223" i="229" s="1"/>
  <c r="X285" i="229" s="1"/>
  <c r="X329" i="229" s="1"/>
  <c r="X336" i="229" s="1"/>
  <c r="T22" i="224" s="1"/>
  <c r="T22" i="259" s="1"/>
  <c r="CA62" i="229"/>
  <c r="CA63" i="229" s="1"/>
  <c r="CA199" i="229" s="1"/>
  <c r="CD31" i="229"/>
  <c r="CD215" i="229" s="1"/>
  <c r="CD42" i="229"/>
  <c r="CD216" i="229" s="1"/>
  <c r="CA52" i="229"/>
  <c r="CA198" i="229" s="1"/>
  <c r="CA152" i="229"/>
  <c r="BZ163" i="229"/>
  <c r="BV75" i="229"/>
  <c r="BY129" i="229"/>
  <c r="BY205" i="229" s="1"/>
  <c r="BZ183" i="229"/>
  <c r="BY229" i="229"/>
  <c r="BY186" i="229"/>
  <c r="BY188" i="229" s="1"/>
  <c r="BY248" i="229" s="1"/>
  <c r="CD87" i="229"/>
  <c r="CD89" i="229" s="1"/>
  <c r="CD239" i="229" s="1"/>
  <c r="CD220" i="229"/>
  <c r="CF96" i="229"/>
  <c r="CF202" i="229" s="1"/>
  <c r="CE85" i="229"/>
  <c r="CE201" i="229" s="1"/>
  <c r="BX175" i="229" l="1"/>
  <c r="BX177" i="229" s="1"/>
  <c r="BX247" i="229" s="1"/>
  <c r="BY172" i="229"/>
  <c r="BY173" i="229" s="1"/>
  <c r="BY209" i="229" s="1"/>
  <c r="BZ106" i="229"/>
  <c r="BW120" i="229"/>
  <c r="BW122" i="229" s="1"/>
  <c r="BW242" i="229" s="1"/>
  <c r="BX117" i="229"/>
  <c r="CE29" i="229"/>
  <c r="BY109" i="229"/>
  <c r="BY111" i="229" s="1"/>
  <c r="BY241" i="229" s="1"/>
  <c r="CD32" i="229"/>
  <c r="CD34" i="229" s="1"/>
  <c r="CD234" i="229" s="1"/>
  <c r="BY141" i="229"/>
  <c r="CD43" i="229"/>
  <c r="CD45" i="229" s="1"/>
  <c r="CD235" i="229" s="1"/>
  <c r="CE40" i="229"/>
  <c r="CE41" i="229" s="1"/>
  <c r="CE197" i="229" s="1"/>
  <c r="CA64" i="229"/>
  <c r="CB62" i="229" s="1"/>
  <c r="CA53" i="229"/>
  <c r="CA217" i="229" s="1"/>
  <c r="Y279" i="229" s="1"/>
  <c r="Y323" i="229" s="1"/>
  <c r="BV219" i="229"/>
  <c r="BW73" i="229"/>
  <c r="BV76" i="229"/>
  <c r="BV78" i="229" s="1"/>
  <c r="BV238" i="229" s="1"/>
  <c r="BZ184" i="229"/>
  <c r="BZ210" i="229" s="1"/>
  <c r="CA161" i="229"/>
  <c r="BZ227" i="229"/>
  <c r="BZ164" i="229"/>
  <c r="BZ166" i="229" s="1"/>
  <c r="BZ246" i="229" s="1"/>
  <c r="CA153" i="229"/>
  <c r="CA155" i="229" s="1"/>
  <c r="CA245" i="229" s="1"/>
  <c r="CA226" i="229"/>
  <c r="Y288" i="229" s="1"/>
  <c r="Y332" i="229" s="1"/>
  <c r="CB150" i="229"/>
  <c r="BX118" i="229"/>
  <c r="BX204" i="229" s="1"/>
  <c r="CE30" i="229"/>
  <c r="CE196" i="229" s="1"/>
  <c r="BY130" i="229"/>
  <c r="BZ107" i="229"/>
  <c r="BZ203" i="229" s="1"/>
  <c r="CF97" i="229"/>
  <c r="CE86" i="229"/>
  <c r="CE220" i="229" s="1"/>
  <c r="Z282" i="229" s="1"/>
  <c r="Z326" i="229" s="1"/>
  <c r="CE31" i="229" l="1"/>
  <c r="CE215" i="229" s="1"/>
  <c r="Z277" i="229" s="1"/>
  <c r="Z321" i="229" s="1"/>
  <c r="CA218" i="229"/>
  <c r="Y280" i="229" s="1"/>
  <c r="Y324" i="229" s="1"/>
  <c r="CA65" i="229"/>
  <c r="CA67" i="229" s="1"/>
  <c r="CA237" i="229" s="1"/>
  <c r="BY225" i="229"/>
  <c r="BZ139" i="229"/>
  <c r="BZ140" i="229" s="1"/>
  <c r="BZ206" i="229" s="1"/>
  <c r="BY142" i="229"/>
  <c r="BY144" i="229" s="1"/>
  <c r="BY244" i="229" s="1"/>
  <c r="CA54" i="229"/>
  <c r="CA56" i="229" s="1"/>
  <c r="CA236" i="229" s="1"/>
  <c r="CB51" i="229"/>
  <c r="CB52" i="229" s="1"/>
  <c r="CB198" i="229" s="1"/>
  <c r="CE42" i="229"/>
  <c r="CF40" i="229" s="1"/>
  <c r="BZ108" i="229"/>
  <c r="BZ222" i="229" s="1"/>
  <c r="BY174" i="229"/>
  <c r="BY175" i="229" s="1"/>
  <c r="BY177" i="229" s="1"/>
  <c r="BY247" i="229" s="1"/>
  <c r="CB151" i="229"/>
  <c r="CB207" i="229" s="1"/>
  <c r="BW74" i="229"/>
  <c r="BW200" i="229" s="1"/>
  <c r="BX119" i="229"/>
  <c r="CA162" i="229"/>
  <c r="CA208" i="229" s="1"/>
  <c r="BZ128" i="229"/>
  <c r="BY224" i="229"/>
  <c r="BY131" i="229"/>
  <c r="BY133" i="229" s="1"/>
  <c r="BY243" i="229" s="1"/>
  <c r="CB63" i="229"/>
  <c r="CB199" i="229" s="1"/>
  <c r="BZ185" i="229"/>
  <c r="CF84" i="229"/>
  <c r="CF85" i="229" s="1"/>
  <c r="CF201" i="229" s="1"/>
  <c r="CE87" i="229"/>
  <c r="CE89" i="229" s="1"/>
  <c r="CE239" i="229" s="1"/>
  <c r="CF221" i="229"/>
  <c r="CG95" i="229"/>
  <c r="CF98" i="229"/>
  <c r="CF100" i="229" s="1"/>
  <c r="CF240" i="229" s="1"/>
  <c r="CE32" i="229" l="1"/>
  <c r="CE34" i="229" s="1"/>
  <c r="CE234" i="229" s="1"/>
  <c r="CF29" i="229"/>
  <c r="BZ141" i="229"/>
  <c r="CA139" i="229" s="1"/>
  <c r="BZ172" i="229"/>
  <c r="BZ173" i="229" s="1"/>
  <c r="BZ209" i="229" s="1"/>
  <c r="BY228" i="229"/>
  <c r="CA106" i="229"/>
  <c r="CA107" i="229" s="1"/>
  <c r="CA203" i="229" s="1"/>
  <c r="CE43" i="229"/>
  <c r="CE45" i="229" s="1"/>
  <c r="CE235" i="229" s="1"/>
  <c r="CE216" i="229"/>
  <c r="Z278" i="229" s="1"/>
  <c r="Z322" i="229" s="1"/>
  <c r="BZ109" i="229"/>
  <c r="BZ111" i="229" s="1"/>
  <c r="BZ241" i="229" s="1"/>
  <c r="CB53" i="229"/>
  <c r="CB217" i="229" s="1"/>
  <c r="BW75" i="229"/>
  <c r="BW219" i="229" s="1"/>
  <c r="X281" i="229" s="1"/>
  <c r="X325" i="229" s="1"/>
  <c r="X320" i="229" s="1"/>
  <c r="Q65" i="251" s="1"/>
  <c r="AI65" i="251" s="1"/>
  <c r="CA163" i="229"/>
  <c r="CB161" i="229" s="1"/>
  <c r="BX223" i="229"/>
  <c r="BY117" i="229"/>
  <c r="BX120" i="229"/>
  <c r="BX122" i="229" s="1"/>
  <c r="BX242" i="229" s="1"/>
  <c r="BZ229" i="229"/>
  <c r="CA183" i="229"/>
  <c r="BZ186" i="229"/>
  <c r="BZ188" i="229" s="1"/>
  <c r="BZ248" i="229" s="1"/>
  <c r="CB64" i="229"/>
  <c r="CF41" i="229"/>
  <c r="CF197" i="229" s="1"/>
  <c r="BZ129" i="229"/>
  <c r="BZ205" i="229" s="1"/>
  <c r="CB152" i="229"/>
  <c r="CF30" i="229"/>
  <c r="CF196" i="229" s="1"/>
  <c r="CF86" i="229"/>
  <c r="CG84" i="229" s="1"/>
  <c r="CG96" i="229"/>
  <c r="CG202" i="229" s="1"/>
  <c r="BZ142" i="229" l="1"/>
  <c r="BZ144" i="229" s="1"/>
  <c r="BZ244" i="229" s="1"/>
  <c r="BZ225" i="229"/>
  <c r="BX73" i="229"/>
  <c r="BX74" i="229" s="1"/>
  <c r="BX200" i="229" s="1"/>
  <c r="BW76" i="229"/>
  <c r="BW78" i="229" s="1"/>
  <c r="BW238" i="229" s="1"/>
  <c r="CA164" i="229"/>
  <c r="CA166" i="229" s="1"/>
  <c r="CA246" i="229" s="1"/>
  <c r="CA227" i="229"/>
  <c r="Y289" i="229" s="1"/>
  <c r="Y333" i="229" s="1"/>
  <c r="CB54" i="229"/>
  <c r="CB56" i="229" s="1"/>
  <c r="CB236" i="229" s="1"/>
  <c r="CC51" i="229"/>
  <c r="CC52" i="229" s="1"/>
  <c r="CC198" i="229" s="1"/>
  <c r="CA108" i="229"/>
  <c r="CA109" i="229" s="1"/>
  <c r="CA111" i="229" s="1"/>
  <c r="CA241" i="229" s="1"/>
  <c r="CF42" i="229"/>
  <c r="CF216" i="229" s="1"/>
  <c r="BZ130" i="229"/>
  <c r="BZ224" i="229" s="1"/>
  <c r="CA184" i="229"/>
  <c r="CA210" i="229" s="1"/>
  <c r="CB162" i="229"/>
  <c r="CB208" i="229" s="1"/>
  <c r="BZ174" i="229"/>
  <c r="CF31" i="229"/>
  <c r="BY118" i="229"/>
  <c r="BY204" i="229" s="1"/>
  <c r="CC62" i="229"/>
  <c r="CB218" i="229"/>
  <c r="CB65" i="229"/>
  <c r="CB67" i="229" s="1"/>
  <c r="CB237" i="229" s="1"/>
  <c r="CB226" i="229"/>
  <c r="CC150" i="229"/>
  <c r="CB153" i="229"/>
  <c r="CB155" i="229" s="1"/>
  <c r="CB245" i="229" s="1"/>
  <c r="CB106" i="229"/>
  <c r="CA222" i="229"/>
  <c r="Y284" i="229" s="1"/>
  <c r="Y328" i="229" s="1"/>
  <c r="CA140" i="229"/>
  <c r="CA206" i="229" s="1"/>
  <c r="CF87" i="229"/>
  <c r="CF89" i="229" s="1"/>
  <c r="CF239" i="229" s="1"/>
  <c r="CF220" i="229"/>
  <c r="CG97" i="229"/>
  <c r="CG85" i="229"/>
  <c r="CG201" i="229" s="1"/>
  <c r="CF43" i="229" l="1"/>
  <c r="CF45" i="229" s="1"/>
  <c r="CF235" i="229" s="1"/>
  <c r="CA185" i="229"/>
  <c r="CG40" i="229"/>
  <c r="CG41" i="229" s="1"/>
  <c r="CG197" i="229" s="1"/>
  <c r="BZ131" i="229"/>
  <c r="BZ133" i="229" s="1"/>
  <c r="BZ243" i="229" s="1"/>
  <c r="BX75" i="229"/>
  <c r="BY73" i="229" s="1"/>
  <c r="CA128" i="229"/>
  <c r="CA129" i="229" s="1"/>
  <c r="CA205" i="229" s="1"/>
  <c r="BY119" i="229"/>
  <c r="BY223" i="229" s="1"/>
  <c r="CC53" i="229"/>
  <c r="CC217" i="229" s="1"/>
  <c r="CC151" i="229"/>
  <c r="CC207" i="229" s="1"/>
  <c r="CF215" i="229"/>
  <c r="CG29" i="229"/>
  <c r="CF32" i="229"/>
  <c r="CF34" i="229" s="1"/>
  <c r="CF234" i="229" s="1"/>
  <c r="CA172" i="229"/>
  <c r="BZ228" i="229"/>
  <c r="BZ175" i="229"/>
  <c r="BZ177" i="229" s="1"/>
  <c r="BZ247" i="229" s="1"/>
  <c r="CB107" i="229"/>
  <c r="CB203" i="229" s="1"/>
  <c r="CB163" i="229"/>
  <c r="CC63" i="229"/>
  <c r="CC199" i="229" s="1"/>
  <c r="CA229" i="229"/>
  <c r="Y291" i="229" s="1"/>
  <c r="Y335" i="229" s="1"/>
  <c r="CB183" i="229"/>
  <c r="CA186" i="229"/>
  <c r="CA188" i="229" s="1"/>
  <c r="CA248" i="229" s="1"/>
  <c r="CA141" i="229"/>
  <c r="CG221" i="229"/>
  <c r="CH95" i="229"/>
  <c r="CG98" i="229"/>
  <c r="CG100" i="229" s="1"/>
  <c r="CG240" i="229" s="1"/>
  <c r="CG86" i="229"/>
  <c r="BX219" i="229" l="1"/>
  <c r="BZ117" i="229"/>
  <c r="BZ118" i="229" s="1"/>
  <c r="BZ204" i="229" s="1"/>
  <c r="CC64" i="229"/>
  <c r="CD62" i="229" s="1"/>
  <c r="BX76" i="229"/>
  <c r="BX78" i="229" s="1"/>
  <c r="BX238" i="229" s="1"/>
  <c r="BY120" i="229"/>
  <c r="BY122" i="229" s="1"/>
  <c r="BY242" i="229" s="1"/>
  <c r="CC54" i="229"/>
  <c r="CC56" i="229" s="1"/>
  <c r="CC236" i="229" s="1"/>
  <c r="CD51" i="229"/>
  <c r="CD52" i="229" s="1"/>
  <c r="CD198" i="229" s="1"/>
  <c r="CA130" i="229"/>
  <c r="CB128" i="229" s="1"/>
  <c r="CG42" i="229"/>
  <c r="CH40" i="229" s="1"/>
  <c r="CC152" i="229"/>
  <c r="CC226" i="229" s="1"/>
  <c r="CB184" i="229"/>
  <c r="CB210" i="229" s="1"/>
  <c r="CA173" i="229"/>
  <c r="CA209" i="229" s="1"/>
  <c r="CG30" i="229"/>
  <c r="CG196" i="229" s="1"/>
  <c r="BY74" i="229"/>
  <c r="BY200" i="229" s="1"/>
  <c r="CB227" i="229"/>
  <c r="CC161" i="229"/>
  <c r="CB164" i="229"/>
  <c r="CB166" i="229" s="1"/>
  <c r="CB246" i="229" s="1"/>
  <c r="CB139" i="229"/>
  <c r="CA225" i="229"/>
  <c r="Y287" i="229" s="1"/>
  <c r="Y331" i="229" s="1"/>
  <c r="CA142" i="229"/>
  <c r="CA144" i="229" s="1"/>
  <c r="CA244" i="229" s="1"/>
  <c r="CB108" i="229"/>
  <c r="CH96" i="229"/>
  <c r="CH202" i="229" s="1"/>
  <c r="CH84" i="229"/>
  <c r="CG220" i="229"/>
  <c r="CG87" i="229"/>
  <c r="CG89" i="229" s="1"/>
  <c r="CG239" i="229" s="1"/>
  <c r="CC218" i="229" l="1"/>
  <c r="CC65" i="229"/>
  <c r="CC67" i="229" s="1"/>
  <c r="CC237" i="229" s="1"/>
  <c r="CA131" i="229"/>
  <c r="CA133" i="229" s="1"/>
  <c r="CA243" i="229" s="1"/>
  <c r="CC153" i="229"/>
  <c r="CC155" i="229" s="1"/>
  <c r="CC245" i="229" s="1"/>
  <c r="CD150" i="229"/>
  <c r="CD151" i="229" s="1"/>
  <c r="CD207" i="229" s="1"/>
  <c r="CA224" i="229"/>
  <c r="Y286" i="229" s="1"/>
  <c r="Y330" i="229" s="1"/>
  <c r="CG216" i="229"/>
  <c r="CG43" i="229"/>
  <c r="CG45" i="229" s="1"/>
  <c r="CG235" i="229" s="1"/>
  <c r="CG31" i="229"/>
  <c r="CG32" i="229" s="1"/>
  <c r="CG34" i="229" s="1"/>
  <c r="CG234" i="229" s="1"/>
  <c r="BY75" i="229"/>
  <c r="BZ73" i="229" s="1"/>
  <c r="CA174" i="229"/>
  <c r="CA228" i="229" s="1"/>
  <c r="Y290" i="229" s="1"/>
  <c r="Y334" i="229" s="1"/>
  <c r="CB185" i="229"/>
  <c r="CB229" i="229" s="1"/>
  <c r="CD53" i="229"/>
  <c r="CD54" i="229" s="1"/>
  <c r="CD56" i="229" s="1"/>
  <c r="CD236" i="229" s="1"/>
  <c r="CC162" i="229"/>
  <c r="CC208" i="229" s="1"/>
  <c r="CB140" i="229"/>
  <c r="CB206" i="229" s="1"/>
  <c r="CH41" i="229"/>
  <c r="CH197" i="229" s="1"/>
  <c r="CB222" i="229"/>
  <c r="CC106" i="229"/>
  <c r="CB109" i="229"/>
  <c r="CB111" i="229" s="1"/>
  <c r="CB241" i="229" s="1"/>
  <c r="BZ119" i="229"/>
  <c r="CD63" i="229"/>
  <c r="CD199" i="229" s="1"/>
  <c r="CB129" i="229"/>
  <c r="CB205" i="229" s="1"/>
  <c r="CH97" i="229"/>
  <c r="CH85" i="229"/>
  <c r="CH201" i="229" s="1"/>
  <c r="BY76" i="229" l="1"/>
  <c r="BY78" i="229" s="1"/>
  <c r="BY238" i="229" s="1"/>
  <c r="CB172" i="229"/>
  <c r="CB173" i="229" s="1"/>
  <c r="CB209" i="229" s="1"/>
  <c r="BY219" i="229"/>
  <c r="CD217" i="229"/>
  <c r="CG215" i="229"/>
  <c r="CH29" i="229"/>
  <c r="CH30" i="229" s="1"/>
  <c r="CH196" i="229" s="1"/>
  <c r="CA175" i="229"/>
  <c r="CA177" i="229" s="1"/>
  <c r="CA247" i="229" s="1"/>
  <c r="CE51" i="229"/>
  <c r="CE52" i="229" s="1"/>
  <c r="CE198" i="229" s="1"/>
  <c r="CB186" i="229"/>
  <c r="CB188" i="229" s="1"/>
  <c r="CB248" i="229" s="1"/>
  <c r="CC183" i="229"/>
  <c r="CC184" i="229" s="1"/>
  <c r="CC210" i="229" s="1"/>
  <c r="CD152" i="229"/>
  <c r="CE150" i="229" s="1"/>
  <c r="CD64" i="229"/>
  <c r="CE62" i="229" s="1"/>
  <c r="CB130" i="229"/>
  <c r="CB224" i="229" s="1"/>
  <c r="CC163" i="229"/>
  <c r="CC164" i="229" s="1"/>
  <c r="CC166" i="229" s="1"/>
  <c r="CC246" i="229" s="1"/>
  <c r="CB141" i="229"/>
  <c r="CB142" i="229" s="1"/>
  <c r="CB144" i="229" s="1"/>
  <c r="CB244" i="229" s="1"/>
  <c r="BZ223" i="229"/>
  <c r="CA117" i="229"/>
  <c r="BZ120" i="229"/>
  <c r="BZ122" i="229" s="1"/>
  <c r="BZ242" i="229" s="1"/>
  <c r="CC107" i="229"/>
  <c r="CC203" i="229" s="1"/>
  <c r="CD65" i="229"/>
  <c r="CD67" i="229" s="1"/>
  <c r="CD237" i="229" s="1"/>
  <c r="CH42" i="229"/>
  <c r="BZ74" i="229"/>
  <c r="BZ200" i="229" s="1"/>
  <c r="CH221" i="229"/>
  <c r="CI95" i="229"/>
  <c r="CH98" i="229"/>
  <c r="CH100" i="229" s="1"/>
  <c r="CH240" i="229" s="1"/>
  <c r="CH86" i="229"/>
  <c r="CI84" i="229" s="1"/>
  <c r="CD218" i="229" l="1"/>
  <c r="CD226" i="229"/>
  <c r="CD153" i="229"/>
  <c r="CD155" i="229" s="1"/>
  <c r="CD245" i="229" s="1"/>
  <c r="CC185" i="229"/>
  <c r="CC186" i="229" s="1"/>
  <c r="CC188" i="229" s="1"/>
  <c r="CC248" i="229" s="1"/>
  <c r="CD161" i="229"/>
  <c r="CD162" i="229" s="1"/>
  <c r="CD208" i="229" s="1"/>
  <c r="CC128" i="229"/>
  <c r="CC129" i="229" s="1"/>
  <c r="CC205" i="229" s="1"/>
  <c r="CC227" i="229"/>
  <c r="CB131" i="229"/>
  <c r="CB133" i="229" s="1"/>
  <c r="CB243" i="229" s="1"/>
  <c r="CC139" i="229"/>
  <c r="CC140" i="229" s="1"/>
  <c r="CC206" i="229" s="1"/>
  <c r="CC108" i="229"/>
  <c r="CD106" i="229" s="1"/>
  <c r="CB225" i="229"/>
  <c r="CE53" i="229"/>
  <c r="CE54" i="229" s="1"/>
  <c r="CE56" i="229" s="1"/>
  <c r="CE236" i="229" s="1"/>
  <c r="CH31" i="229"/>
  <c r="CH32" i="229" s="1"/>
  <c r="CH34" i="229" s="1"/>
  <c r="CH234" i="229" s="1"/>
  <c r="CB174" i="229"/>
  <c r="CB228" i="229" s="1"/>
  <c r="BZ75" i="229"/>
  <c r="CE63" i="229"/>
  <c r="CE199" i="229" s="1"/>
  <c r="CH216" i="229"/>
  <c r="CI40" i="229"/>
  <c r="CH43" i="229"/>
  <c r="CH45" i="229" s="1"/>
  <c r="CH235" i="229" s="1"/>
  <c r="CE151" i="229"/>
  <c r="CE207" i="229" s="1"/>
  <c r="CA118" i="229"/>
  <c r="CA204" i="229" s="1"/>
  <c r="CH87" i="229"/>
  <c r="CH89" i="229" s="1"/>
  <c r="CH239" i="229" s="1"/>
  <c r="CH220" i="229"/>
  <c r="CI96" i="229"/>
  <c r="CI202" i="229" s="1"/>
  <c r="CI85" i="229"/>
  <c r="CI201" i="229" s="1"/>
  <c r="CC229" i="229" l="1"/>
  <c r="CD183" i="229"/>
  <c r="CC130" i="229"/>
  <c r="CC131" i="229" s="1"/>
  <c r="CC133" i="229" s="1"/>
  <c r="CC243" i="229" s="1"/>
  <c r="CI29" i="229"/>
  <c r="CI30" i="229" s="1"/>
  <c r="CI196" i="229" s="1"/>
  <c r="CH215" i="229"/>
  <c r="CB175" i="229"/>
  <c r="CB177" i="229" s="1"/>
  <c r="CB247" i="229" s="1"/>
  <c r="CC222" i="229"/>
  <c r="CC172" i="229"/>
  <c r="CC173" i="229" s="1"/>
  <c r="CC209" i="229" s="1"/>
  <c r="CF51" i="229"/>
  <c r="CF52" i="229" s="1"/>
  <c r="CF198" i="229" s="1"/>
  <c r="CC109" i="229"/>
  <c r="CC111" i="229" s="1"/>
  <c r="CC241" i="229" s="1"/>
  <c r="CE217" i="229"/>
  <c r="Z279" i="229" s="1"/>
  <c r="Z323" i="229" s="1"/>
  <c r="CA119" i="229"/>
  <c r="CA120" i="229" s="1"/>
  <c r="CA122" i="229" s="1"/>
  <c r="CA242" i="229" s="1"/>
  <c r="CC141" i="229"/>
  <c r="CC225" i="229" s="1"/>
  <c r="CE64" i="229"/>
  <c r="CE65" i="229" s="1"/>
  <c r="CE67" i="229" s="1"/>
  <c r="CE237" i="229" s="1"/>
  <c r="CD184" i="229"/>
  <c r="CD210" i="229" s="1"/>
  <c r="CA73" i="229"/>
  <c r="BZ219" i="229"/>
  <c r="BZ76" i="229"/>
  <c r="BZ78" i="229" s="1"/>
  <c r="BZ238" i="229" s="1"/>
  <c r="CC224" i="229"/>
  <c r="CD128" i="229"/>
  <c r="CC142" i="229"/>
  <c r="CC144" i="229" s="1"/>
  <c r="CC244" i="229" s="1"/>
  <c r="CI41" i="229"/>
  <c r="CI197" i="229" s="1"/>
  <c r="CD107" i="229"/>
  <c r="CD203" i="229" s="1"/>
  <c r="CE152" i="229"/>
  <c r="CD163" i="229"/>
  <c r="CI97" i="229"/>
  <c r="CI86" i="229"/>
  <c r="CJ84" i="229" s="1"/>
  <c r="CB117" i="229" l="1"/>
  <c r="CA223" i="229"/>
  <c r="Y285" i="229" s="1"/>
  <c r="Y329" i="229" s="1"/>
  <c r="Y336" i="229" s="1"/>
  <c r="CI42" i="229"/>
  <c r="CJ40" i="229" s="1"/>
  <c r="CD139" i="229"/>
  <c r="CD140" i="229" s="1"/>
  <c r="CD206" i="229" s="1"/>
  <c r="CE218" i="229"/>
  <c r="Z280" i="229" s="1"/>
  <c r="Z324" i="229" s="1"/>
  <c r="CF62" i="229"/>
  <c r="CF63" i="229" s="1"/>
  <c r="CF199" i="229" s="1"/>
  <c r="CD185" i="229"/>
  <c r="CD229" i="229" s="1"/>
  <c r="CI31" i="229"/>
  <c r="CJ29" i="229" s="1"/>
  <c r="CD129" i="229"/>
  <c r="CD205" i="229" s="1"/>
  <c r="CC174" i="229"/>
  <c r="CB118" i="229"/>
  <c r="CB204" i="229" s="1"/>
  <c r="CF53" i="229"/>
  <c r="CD227" i="229"/>
  <c r="CE161" i="229"/>
  <c r="CD164" i="229"/>
  <c r="CD166" i="229" s="1"/>
  <c r="CD246" i="229" s="1"/>
  <c r="CA74" i="229"/>
  <c r="CA200" i="229" s="1"/>
  <c r="CF150" i="229"/>
  <c r="CE226" i="229"/>
  <c r="Z288" i="229" s="1"/>
  <c r="Z332" i="229" s="1"/>
  <c r="CE153" i="229"/>
  <c r="CE155" i="229" s="1"/>
  <c r="CE245" i="229" s="1"/>
  <c r="CD108" i="229"/>
  <c r="CI87" i="229"/>
  <c r="CI89" i="229" s="1"/>
  <c r="CI239" i="229" s="1"/>
  <c r="CI220" i="229"/>
  <c r="AA282" i="229" s="1"/>
  <c r="AA326" i="229" s="1"/>
  <c r="CI221" i="229"/>
  <c r="AA283" i="229" s="1"/>
  <c r="AA327" i="229" s="1"/>
  <c r="CJ95" i="229"/>
  <c r="CI98" i="229"/>
  <c r="CI100" i="229" s="1"/>
  <c r="CI240" i="229" s="1"/>
  <c r="CJ85" i="229"/>
  <c r="CJ201" i="229" s="1"/>
  <c r="CI43" i="229" l="1"/>
  <c r="CI45" i="229" s="1"/>
  <c r="CI235" i="229" s="1"/>
  <c r="CE183" i="229"/>
  <c r="CI216" i="229"/>
  <c r="AA278" i="229" s="1"/>
  <c r="AA322" i="229" s="1"/>
  <c r="CB119" i="229"/>
  <c r="CB223" i="229" s="1"/>
  <c r="CI32" i="229"/>
  <c r="CI34" i="229" s="1"/>
  <c r="CI234" i="229" s="1"/>
  <c r="CD186" i="229"/>
  <c r="CD188" i="229" s="1"/>
  <c r="CD248" i="229" s="1"/>
  <c r="CD130" i="229"/>
  <c r="CE128" i="229" s="1"/>
  <c r="CI215" i="229"/>
  <c r="AA277" i="229" s="1"/>
  <c r="AA321" i="229" s="1"/>
  <c r="CD141" i="229"/>
  <c r="CE139" i="229" s="1"/>
  <c r="CF64" i="229"/>
  <c r="CF218" i="229" s="1"/>
  <c r="CA75" i="229"/>
  <c r="CB73" i="229" s="1"/>
  <c r="CJ41" i="229"/>
  <c r="CJ197" i="229" s="1"/>
  <c r="CD109" i="229"/>
  <c r="CD111" i="229" s="1"/>
  <c r="CD241" i="229" s="1"/>
  <c r="CE106" i="229"/>
  <c r="CD222" i="229"/>
  <c r="CF151" i="229"/>
  <c r="CF207" i="229" s="1"/>
  <c r="CE162" i="229"/>
  <c r="CE208" i="229" s="1"/>
  <c r="CE184" i="229"/>
  <c r="CE210" i="229" s="1"/>
  <c r="CG51" i="229"/>
  <c r="CF217" i="229"/>
  <c r="CF54" i="229"/>
  <c r="CF56" i="229" s="1"/>
  <c r="CF236" i="229" s="1"/>
  <c r="CC175" i="229"/>
  <c r="CC177" i="229" s="1"/>
  <c r="CC247" i="229" s="1"/>
  <c r="CD172" i="229"/>
  <c r="CC228" i="229"/>
  <c r="CJ30" i="229"/>
  <c r="CJ196" i="229" s="1"/>
  <c r="CJ96" i="229"/>
  <c r="CJ202" i="229" s="1"/>
  <c r="CJ86" i="229"/>
  <c r="CB120" i="229" l="1"/>
  <c r="CB122" i="229" s="1"/>
  <c r="CB242" i="229" s="1"/>
  <c r="CC117" i="229"/>
  <c r="CC118" i="229" s="1"/>
  <c r="CC204" i="229" s="1"/>
  <c r="CD131" i="229"/>
  <c r="CD133" i="229" s="1"/>
  <c r="CD243" i="229" s="1"/>
  <c r="CD224" i="229"/>
  <c r="CD225" i="229"/>
  <c r="CE163" i="229"/>
  <c r="CE227" i="229" s="1"/>
  <c r="Z289" i="229" s="1"/>
  <c r="Z333" i="229" s="1"/>
  <c r="CJ97" i="229"/>
  <c r="CF65" i="229"/>
  <c r="CF67" i="229" s="1"/>
  <c r="CF237" i="229" s="1"/>
  <c r="CG62" i="229"/>
  <c r="CG63" i="229" s="1"/>
  <c r="CG199" i="229" s="1"/>
  <c r="CA219" i="229"/>
  <c r="Y281" i="229" s="1"/>
  <c r="Y325" i="229" s="1"/>
  <c r="Y320" i="229" s="1"/>
  <c r="R65" i="251" s="1"/>
  <c r="AJ65" i="251" s="1"/>
  <c r="CA76" i="229"/>
  <c r="CA78" i="229" s="1"/>
  <c r="CA238" i="229" s="1"/>
  <c r="CD142" i="229"/>
  <c r="CD144" i="229" s="1"/>
  <c r="CD244" i="229" s="1"/>
  <c r="CJ42" i="229"/>
  <c r="CK40" i="229" s="1"/>
  <c r="CE185" i="229"/>
  <c r="CE229" i="229" s="1"/>
  <c r="Z291" i="229" s="1"/>
  <c r="Z335" i="229" s="1"/>
  <c r="CF152" i="229"/>
  <c r="CG150" i="229" s="1"/>
  <c r="CE129" i="229"/>
  <c r="CE205" i="229" s="1"/>
  <c r="CG52" i="229"/>
  <c r="CG198" i="229" s="1"/>
  <c r="CE140" i="229"/>
  <c r="CE206" i="229" s="1"/>
  <c r="CE107" i="229"/>
  <c r="CE203" i="229" s="1"/>
  <c r="CJ31" i="229"/>
  <c r="CD173" i="229"/>
  <c r="CD209" i="229" s="1"/>
  <c r="CB74" i="229"/>
  <c r="CB200" i="229" s="1"/>
  <c r="CJ221" i="229"/>
  <c r="CK95" i="229"/>
  <c r="CJ98" i="229"/>
  <c r="CJ100" i="229" s="1"/>
  <c r="CJ240" i="229" s="1"/>
  <c r="CK84" i="229"/>
  <c r="CJ220" i="229"/>
  <c r="CJ87" i="229"/>
  <c r="CJ89" i="229" s="1"/>
  <c r="CJ239" i="229" s="1"/>
  <c r="CD174" i="229" l="1"/>
  <c r="CD228" i="229" s="1"/>
  <c r="CE164" i="229"/>
  <c r="CE166" i="229" s="1"/>
  <c r="CE246" i="229" s="1"/>
  <c r="CF161" i="229"/>
  <c r="CF162" i="229" s="1"/>
  <c r="CF208" i="229" s="1"/>
  <c r="CF183" i="229"/>
  <c r="CF184" i="229" s="1"/>
  <c r="CF210" i="229" s="1"/>
  <c r="CF226" i="229"/>
  <c r="CJ216" i="229"/>
  <c r="CC119" i="229"/>
  <c r="CD117" i="229" s="1"/>
  <c r="CJ43" i="229"/>
  <c r="CJ45" i="229" s="1"/>
  <c r="CJ235" i="229" s="1"/>
  <c r="CE186" i="229"/>
  <c r="CE188" i="229" s="1"/>
  <c r="CE248" i="229" s="1"/>
  <c r="CG53" i="229"/>
  <c r="CG217" i="229" s="1"/>
  <c r="CF153" i="229"/>
  <c r="CF155" i="229" s="1"/>
  <c r="CF245" i="229" s="1"/>
  <c r="CE108" i="229"/>
  <c r="CE222" i="229" s="1"/>
  <c r="Z284" i="229" s="1"/>
  <c r="Z328" i="229" s="1"/>
  <c r="CE130" i="229"/>
  <c r="CE131" i="229" s="1"/>
  <c r="CE133" i="229" s="1"/>
  <c r="CE243" i="229" s="1"/>
  <c r="CG64" i="229"/>
  <c r="CG218" i="229" s="1"/>
  <c r="CB75" i="229"/>
  <c r="CC73" i="229" s="1"/>
  <c r="CE141" i="229"/>
  <c r="CE172" i="229"/>
  <c r="CK41" i="229"/>
  <c r="CK197" i="229" s="1"/>
  <c r="CG151" i="229"/>
  <c r="CG207" i="229" s="1"/>
  <c r="CJ215" i="229"/>
  <c r="CK29" i="229"/>
  <c r="CJ32" i="229"/>
  <c r="CJ34" i="229" s="1"/>
  <c r="CJ234" i="229" s="1"/>
  <c r="CK96" i="229"/>
  <c r="CK202" i="229" s="1"/>
  <c r="CK97" i="229"/>
  <c r="CK85" i="229"/>
  <c r="CK201" i="229" s="1"/>
  <c r="CF106" i="229" l="1"/>
  <c r="CD175" i="229"/>
  <c r="CD177" i="229" s="1"/>
  <c r="CD247" i="229" s="1"/>
  <c r="CE109" i="229"/>
  <c r="CE111" i="229" s="1"/>
  <c r="CE241" i="229" s="1"/>
  <c r="CC120" i="229"/>
  <c r="CC122" i="229" s="1"/>
  <c r="CC242" i="229" s="1"/>
  <c r="CG65" i="229"/>
  <c r="CG67" i="229" s="1"/>
  <c r="CG237" i="229" s="1"/>
  <c r="CB76" i="229"/>
  <c r="CB78" i="229" s="1"/>
  <c r="CB238" i="229" s="1"/>
  <c r="CB219" i="229"/>
  <c r="CF128" i="229"/>
  <c r="CF129" i="229" s="1"/>
  <c r="CF205" i="229" s="1"/>
  <c r="CE224" i="229"/>
  <c r="Z286" i="229" s="1"/>
  <c r="Z330" i="229" s="1"/>
  <c r="CC223" i="229"/>
  <c r="CG54" i="229"/>
  <c r="CG56" i="229" s="1"/>
  <c r="CG236" i="229" s="1"/>
  <c r="CH51" i="229"/>
  <c r="CH52" i="229" s="1"/>
  <c r="CH198" i="229" s="1"/>
  <c r="CH62" i="229"/>
  <c r="CH63" i="229" s="1"/>
  <c r="CH199" i="229" s="1"/>
  <c r="CK42" i="229"/>
  <c r="CL40" i="229" s="1"/>
  <c r="CF163" i="229"/>
  <c r="CF227" i="229" s="1"/>
  <c r="CF185" i="229"/>
  <c r="CG183" i="229" s="1"/>
  <c r="CF107" i="229"/>
  <c r="CF203" i="229" s="1"/>
  <c r="CC74" i="229"/>
  <c r="CC200" i="229" s="1"/>
  <c r="CE173" i="229"/>
  <c r="CE209" i="229" s="1"/>
  <c r="CD118" i="229"/>
  <c r="CD204" i="229" s="1"/>
  <c r="CK30" i="229"/>
  <c r="CK196" i="229" s="1"/>
  <c r="CG152" i="229"/>
  <c r="CF139" i="229"/>
  <c r="CE225" i="229"/>
  <c r="Z287" i="229" s="1"/>
  <c r="Z331" i="229" s="1"/>
  <c r="CE142" i="229"/>
  <c r="CE144" i="229" s="1"/>
  <c r="CE244" i="229" s="1"/>
  <c r="CK86" i="229"/>
  <c r="CL84" i="229" s="1"/>
  <c r="CK221" i="229"/>
  <c r="CL95" i="229"/>
  <c r="CK98" i="229"/>
  <c r="CK100" i="229" s="1"/>
  <c r="CK240" i="229" s="1"/>
  <c r="CF164" i="229" l="1"/>
  <c r="CF166" i="229" s="1"/>
  <c r="CF246" i="229" s="1"/>
  <c r="CK31" i="229"/>
  <c r="CL29" i="229" s="1"/>
  <c r="CF108" i="229"/>
  <c r="CG106" i="229" s="1"/>
  <c r="CK43" i="229"/>
  <c r="CK45" i="229" s="1"/>
  <c r="CK235" i="229" s="1"/>
  <c r="CF186" i="229"/>
  <c r="CF188" i="229" s="1"/>
  <c r="CF248" i="229" s="1"/>
  <c r="CF229" i="229"/>
  <c r="CK216" i="229"/>
  <c r="CG161" i="229"/>
  <c r="CG162" i="229" s="1"/>
  <c r="CG208" i="229" s="1"/>
  <c r="CF130" i="229"/>
  <c r="CF224" i="229" s="1"/>
  <c r="CE174" i="229"/>
  <c r="CE228" i="229" s="1"/>
  <c r="Z290" i="229" s="1"/>
  <c r="Z334" i="229" s="1"/>
  <c r="CG184" i="229"/>
  <c r="CG210" i="229" s="1"/>
  <c r="CD119" i="229"/>
  <c r="CL41" i="229"/>
  <c r="CL197" i="229" s="1"/>
  <c r="CH150" i="229"/>
  <c r="CG226" i="229"/>
  <c r="CG153" i="229"/>
  <c r="CG155" i="229" s="1"/>
  <c r="CG245" i="229" s="1"/>
  <c r="CH64" i="229"/>
  <c r="CH53" i="229"/>
  <c r="CC75" i="229"/>
  <c r="CF140" i="229"/>
  <c r="CF206" i="229" s="1"/>
  <c r="CK87" i="229"/>
  <c r="CK89" i="229" s="1"/>
  <c r="CK239" i="229" s="1"/>
  <c r="CK220" i="229"/>
  <c r="CL96" i="229"/>
  <c r="CL202" i="229" s="1"/>
  <c r="CL85" i="229"/>
  <c r="CL201" i="229" s="1"/>
  <c r="CF109" i="229" l="1"/>
  <c r="CF111" i="229" s="1"/>
  <c r="CF241" i="229" s="1"/>
  <c r="CF222" i="229"/>
  <c r="CK32" i="229"/>
  <c r="CK34" i="229" s="1"/>
  <c r="CK234" i="229" s="1"/>
  <c r="CK215" i="229"/>
  <c r="CF141" i="229"/>
  <c r="CF142" i="229" s="1"/>
  <c r="CF144" i="229" s="1"/>
  <c r="CF244" i="229" s="1"/>
  <c r="CG128" i="229"/>
  <c r="CG129" i="229" s="1"/>
  <c r="CG205" i="229" s="1"/>
  <c r="CF131" i="229"/>
  <c r="CF133" i="229" s="1"/>
  <c r="CF243" i="229" s="1"/>
  <c r="CF172" i="229"/>
  <c r="CF173" i="229" s="1"/>
  <c r="CF209" i="229" s="1"/>
  <c r="CE175" i="229"/>
  <c r="CE177" i="229" s="1"/>
  <c r="CE247" i="229" s="1"/>
  <c r="CL42" i="229"/>
  <c r="CL216" i="229" s="1"/>
  <c r="CG185" i="229"/>
  <c r="CG186" i="229" s="1"/>
  <c r="CG188" i="229" s="1"/>
  <c r="CG248" i="229" s="1"/>
  <c r="CG163" i="229"/>
  <c r="CH161" i="229" s="1"/>
  <c r="CC76" i="229"/>
  <c r="CC78" i="229" s="1"/>
  <c r="CC238" i="229" s="1"/>
  <c r="CD73" i="229"/>
  <c r="CC219" i="229"/>
  <c r="CH151" i="229"/>
  <c r="CH207" i="229" s="1"/>
  <c r="CG107" i="229"/>
  <c r="CG203" i="229" s="1"/>
  <c r="CI51" i="229"/>
  <c r="CH217" i="229"/>
  <c r="CH54" i="229"/>
  <c r="CH56" i="229" s="1"/>
  <c r="CH236" i="229" s="1"/>
  <c r="CF225" i="229"/>
  <c r="CE117" i="229"/>
  <c r="CD223" i="229"/>
  <c r="CD120" i="229"/>
  <c r="CD122" i="229" s="1"/>
  <c r="CD242" i="229" s="1"/>
  <c r="CL30" i="229"/>
  <c r="CL196" i="229" s="1"/>
  <c r="CH218" i="229"/>
  <c r="CI62" i="229"/>
  <c r="CH65" i="229"/>
  <c r="CH67" i="229" s="1"/>
  <c r="CH237" i="229" s="1"/>
  <c r="CL86" i="229"/>
  <c r="CM84" i="229" s="1"/>
  <c r="CL97" i="229"/>
  <c r="CG139" i="229" l="1"/>
  <c r="CG140" i="229" s="1"/>
  <c r="CG206" i="229" s="1"/>
  <c r="CH183" i="229"/>
  <c r="CH184" i="229" s="1"/>
  <c r="CH210" i="229" s="1"/>
  <c r="CG229" i="229"/>
  <c r="CF174" i="229"/>
  <c r="CF228" i="229" s="1"/>
  <c r="CL43" i="229"/>
  <c r="CL45" i="229" s="1"/>
  <c r="CL235" i="229" s="1"/>
  <c r="CM40" i="229"/>
  <c r="CM41" i="229" s="1"/>
  <c r="CM197" i="229" s="1"/>
  <c r="CL31" i="229"/>
  <c r="CL215" i="229" s="1"/>
  <c r="CG164" i="229"/>
  <c r="CG166" i="229" s="1"/>
  <c r="CG246" i="229" s="1"/>
  <c r="CG130" i="229"/>
  <c r="CG224" i="229" s="1"/>
  <c r="CG227" i="229"/>
  <c r="CG108" i="229"/>
  <c r="CH106" i="229" s="1"/>
  <c r="CE118" i="229"/>
  <c r="CE204" i="229" s="1"/>
  <c r="CD74" i="229"/>
  <c r="CD200" i="229" s="1"/>
  <c r="CI63" i="229"/>
  <c r="CI199" i="229" s="1"/>
  <c r="CH162" i="229"/>
  <c r="CH208" i="229" s="1"/>
  <c r="CI52" i="229"/>
  <c r="CI198" i="229" s="1"/>
  <c r="CH152" i="229"/>
  <c r="CL87" i="229"/>
  <c r="CL89" i="229" s="1"/>
  <c r="CL239" i="229" s="1"/>
  <c r="CL220" i="229"/>
  <c r="CL221" i="229"/>
  <c r="CM95" i="229"/>
  <c r="CL98" i="229"/>
  <c r="CL100" i="229" s="1"/>
  <c r="CL240" i="229" s="1"/>
  <c r="CM85" i="229"/>
  <c r="CM201" i="229" s="1"/>
  <c r="CF175" i="229" l="1"/>
  <c r="CF177" i="229" s="1"/>
  <c r="CF247" i="229" s="1"/>
  <c r="CG172" i="229"/>
  <c r="CG173" i="229" s="1"/>
  <c r="CG209" i="229" s="1"/>
  <c r="CL32" i="229"/>
  <c r="CL34" i="229" s="1"/>
  <c r="CL234" i="229" s="1"/>
  <c r="CM29" i="229"/>
  <c r="CG131" i="229"/>
  <c r="CG133" i="229" s="1"/>
  <c r="CG243" i="229" s="1"/>
  <c r="CH128" i="229"/>
  <c r="CH129" i="229" s="1"/>
  <c r="CH205" i="229" s="1"/>
  <c r="CH185" i="229"/>
  <c r="CH229" i="229" s="1"/>
  <c r="CG141" i="229"/>
  <c r="CH139" i="229" s="1"/>
  <c r="CI64" i="229"/>
  <c r="CI65" i="229" s="1"/>
  <c r="CI67" i="229" s="1"/>
  <c r="CI237" i="229" s="1"/>
  <c r="CG109" i="229"/>
  <c r="CG111" i="229" s="1"/>
  <c r="CG241" i="229" s="1"/>
  <c r="CG222" i="229"/>
  <c r="CM42" i="229"/>
  <c r="CM216" i="229" s="1"/>
  <c r="AB278" i="229" s="1"/>
  <c r="AB322" i="229" s="1"/>
  <c r="CH163" i="229"/>
  <c r="CH164" i="229" s="1"/>
  <c r="CH166" i="229" s="1"/>
  <c r="CH246" i="229" s="1"/>
  <c r="CE119" i="229"/>
  <c r="CF117" i="229" s="1"/>
  <c r="CI53" i="229"/>
  <c r="CJ51" i="229" s="1"/>
  <c r="CD75" i="229"/>
  <c r="CD219" i="229" s="1"/>
  <c r="CI150" i="229"/>
  <c r="CH226" i="229"/>
  <c r="CH153" i="229"/>
  <c r="CH155" i="229" s="1"/>
  <c r="CH245" i="229" s="1"/>
  <c r="CM30" i="229"/>
  <c r="CM196" i="229" s="1"/>
  <c r="CH107" i="229"/>
  <c r="CH203" i="229" s="1"/>
  <c r="CM96" i="229"/>
  <c r="CM202" i="229" s="1"/>
  <c r="CM86" i="229"/>
  <c r="CM97" i="229" l="1"/>
  <c r="CI183" i="229"/>
  <c r="CI184" i="229" s="1"/>
  <c r="CI210" i="229" s="1"/>
  <c r="CH186" i="229"/>
  <c r="CH188" i="229" s="1"/>
  <c r="CH248" i="229" s="1"/>
  <c r="CG142" i="229"/>
  <c r="CG144" i="229" s="1"/>
  <c r="CG244" i="229" s="1"/>
  <c r="CG225" i="229"/>
  <c r="CI218" i="229"/>
  <c r="AA280" i="229" s="1"/>
  <c r="AA324" i="229" s="1"/>
  <c r="CJ62" i="229"/>
  <c r="CJ63" i="229" s="1"/>
  <c r="CJ199" i="229" s="1"/>
  <c r="CH227" i="229"/>
  <c r="CM43" i="229"/>
  <c r="CM45" i="229" s="1"/>
  <c r="CM235" i="229" s="1"/>
  <c r="CN40" i="229"/>
  <c r="CN41" i="229" s="1"/>
  <c r="CI161" i="229"/>
  <c r="CI162" i="229" s="1"/>
  <c r="CI208" i="229" s="1"/>
  <c r="CI54" i="229"/>
  <c r="CI56" i="229" s="1"/>
  <c r="CI236" i="229" s="1"/>
  <c r="CE120" i="229"/>
  <c r="CE122" i="229" s="1"/>
  <c r="CE242" i="229" s="1"/>
  <c r="CI217" i="229"/>
  <c r="AA279" i="229" s="1"/>
  <c r="AA323" i="229" s="1"/>
  <c r="CE223" i="229"/>
  <c r="Z285" i="229" s="1"/>
  <c r="Z329" i="229" s="1"/>
  <c r="Z336" i="229" s="1"/>
  <c r="CD76" i="229"/>
  <c r="CD78" i="229" s="1"/>
  <c r="CD238" i="229" s="1"/>
  <c r="CE73" i="229"/>
  <c r="CE74" i="229" s="1"/>
  <c r="CE200" i="229" s="1"/>
  <c r="CM31" i="229"/>
  <c r="CN29" i="229" s="1"/>
  <c r="CG174" i="229"/>
  <c r="CH172" i="229" s="1"/>
  <c r="CH130" i="229"/>
  <c r="CI128" i="229" s="1"/>
  <c r="CH108" i="229"/>
  <c r="CF118" i="229"/>
  <c r="CF204" i="229" s="1"/>
  <c r="CH140" i="229"/>
  <c r="CH206" i="229" s="1"/>
  <c r="CJ52" i="229"/>
  <c r="CJ198" i="229" s="1"/>
  <c r="CI151" i="229"/>
  <c r="CI207" i="229" s="1"/>
  <c r="CM221" i="229"/>
  <c r="AB283" i="229" s="1"/>
  <c r="AB327" i="229" s="1"/>
  <c r="CN95" i="229"/>
  <c r="CM98" i="229"/>
  <c r="CM100" i="229" s="1"/>
  <c r="CM240" i="229" s="1"/>
  <c r="CM220" i="229"/>
  <c r="AB282" i="229" s="1"/>
  <c r="AB326" i="229" s="1"/>
  <c r="CN84" i="229"/>
  <c r="CM87" i="229"/>
  <c r="CM89" i="229" s="1"/>
  <c r="CM239" i="229" s="1"/>
  <c r="CN197" i="229" l="1"/>
  <c r="CN42" i="229"/>
  <c r="CN216" i="229" s="1"/>
  <c r="CF119" i="229"/>
  <c r="CF223" i="229" s="1"/>
  <c r="CM215" i="229"/>
  <c r="AB277" i="229" s="1"/>
  <c r="AB321" i="229" s="1"/>
  <c r="CM32" i="229"/>
  <c r="CM34" i="229" s="1"/>
  <c r="CM234" i="229" s="1"/>
  <c r="CH131" i="229"/>
  <c r="CH133" i="229" s="1"/>
  <c r="CH243" i="229" s="1"/>
  <c r="CH224" i="229"/>
  <c r="CJ53" i="229"/>
  <c r="CK51" i="229" s="1"/>
  <c r="CG228" i="229"/>
  <c r="CI185" i="229"/>
  <c r="CJ183" i="229" s="1"/>
  <c r="CI152" i="229"/>
  <c r="CJ150" i="229" s="1"/>
  <c r="CG175" i="229"/>
  <c r="CG177" i="229" s="1"/>
  <c r="CG247" i="229" s="1"/>
  <c r="CJ64" i="229"/>
  <c r="CJ65" i="229" s="1"/>
  <c r="CJ67" i="229" s="1"/>
  <c r="CJ237" i="229" s="1"/>
  <c r="CI163" i="229"/>
  <c r="CI164" i="229" s="1"/>
  <c r="CI166" i="229" s="1"/>
  <c r="CI246" i="229" s="1"/>
  <c r="CH141" i="229"/>
  <c r="CI139" i="229" s="1"/>
  <c r="CE75" i="229"/>
  <c r="CE219" i="229" s="1"/>
  <c r="Z281" i="229" s="1"/>
  <c r="Z325" i="229" s="1"/>
  <c r="Z320" i="229" s="1"/>
  <c r="S65" i="251" s="1"/>
  <c r="AK65" i="251" s="1"/>
  <c r="CI129" i="229"/>
  <c r="CI205" i="229" s="1"/>
  <c r="CH173" i="229"/>
  <c r="CH209" i="229" s="1"/>
  <c r="CH109" i="229"/>
  <c r="CH111" i="229" s="1"/>
  <c r="CH241" i="229" s="1"/>
  <c r="CI106" i="229"/>
  <c r="CH222" i="229"/>
  <c r="CN43" i="229"/>
  <c r="CN45" i="229" s="1"/>
  <c r="CN235" i="229" s="1"/>
  <c r="CO40" i="229"/>
  <c r="CN30" i="229"/>
  <c r="CN196" i="229" s="1"/>
  <c r="CN96" i="229"/>
  <c r="CN202" i="229" s="1"/>
  <c r="CN85" i="229"/>
  <c r="CN201" i="229" s="1"/>
  <c r="CG117" i="229" l="1"/>
  <c r="CH142" i="229"/>
  <c r="CH144" i="229" s="1"/>
  <c r="CH244" i="229" s="1"/>
  <c r="CH225" i="229"/>
  <c r="CF120" i="229"/>
  <c r="CF122" i="229" s="1"/>
  <c r="CF242" i="229" s="1"/>
  <c r="CJ217" i="229"/>
  <c r="CE76" i="229"/>
  <c r="CE78" i="229" s="1"/>
  <c r="CE238" i="229" s="1"/>
  <c r="CI186" i="229"/>
  <c r="CI188" i="229" s="1"/>
  <c r="CI248" i="229" s="1"/>
  <c r="CJ54" i="229"/>
  <c r="CJ56" i="229" s="1"/>
  <c r="CJ236" i="229" s="1"/>
  <c r="CI229" i="229"/>
  <c r="AA291" i="229" s="1"/>
  <c r="AA335" i="229" s="1"/>
  <c r="CK62" i="229"/>
  <c r="CK63" i="229" s="1"/>
  <c r="CK199" i="229" s="1"/>
  <c r="CJ218" i="229"/>
  <c r="CI153" i="229"/>
  <c r="CI155" i="229" s="1"/>
  <c r="CI245" i="229" s="1"/>
  <c r="CI226" i="229"/>
  <c r="AA288" i="229" s="1"/>
  <c r="AA332" i="229" s="1"/>
  <c r="CN31" i="229"/>
  <c r="CN215" i="229" s="1"/>
  <c r="CI227" i="229"/>
  <c r="AA289" i="229" s="1"/>
  <c r="AA333" i="229" s="1"/>
  <c r="CJ161" i="229"/>
  <c r="CJ162" i="229" s="1"/>
  <c r="CF73" i="229"/>
  <c r="CF74" i="229" s="1"/>
  <c r="CF200" i="229" s="1"/>
  <c r="CI130" i="229"/>
  <c r="CI131" i="229" s="1"/>
  <c r="CI133" i="229" s="1"/>
  <c r="CI243" i="229" s="1"/>
  <c r="CH174" i="229"/>
  <c r="CH175" i="229" s="1"/>
  <c r="CH177" i="229" s="1"/>
  <c r="CH247" i="229" s="1"/>
  <c r="CJ184" i="229"/>
  <c r="CJ210" i="229" s="1"/>
  <c r="CI140" i="229"/>
  <c r="CI206" i="229" s="1"/>
  <c r="CO41" i="229"/>
  <c r="CO197" i="229" s="1"/>
  <c r="CG118" i="229"/>
  <c r="CG204" i="229" s="1"/>
  <c r="CK52" i="229"/>
  <c r="CK198" i="229" s="1"/>
  <c r="CI107" i="229"/>
  <c r="CI203" i="229" s="1"/>
  <c r="CJ151" i="229"/>
  <c r="CJ207" i="229" s="1"/>
  <c r="CN97" i="229"/>
  <c r="CN86" i="229"/>
  <c r="CN32" i="229" l="1"/>
  <c r="CN34" i="229" s="1"/>
  <c r="CN234" i="229" s="1"/>
  <c r="CO29" i="229"/>
  <c r="CO42" i="229"/>
  <c r="CO216" i="229" s="1"/>
  <c r="CI141" i="229"/>
  <c r="CJ139" i="229" s="1"/>
  <c r="CJ152" i="229"/>
  <c r="CJ153" i="229" s="1"/>
  <c r="CJ155" i="229" s="1"/>
  <c r="CJ245" i="229" s="1"/>
  <c r="CJ128" i="229"/>
  <c r="CJ129" i="229" s="1"/>
  <c r="CJ205" i="229" s="1"/>
  <c r="CH228" i="229"/>
  <c r="CK64" i="229"/>
  <c r="CK65" i="229" s="1"/>
  <c r="CK67" i="229" s="1"/>
  <c r="CK237" i="229" s="1"/>
  <c r="CI172" i="229"/>
  <c r="CI173" i="229" s="1"/>
  <c r="CI209" i="229" s="1"/>
  <c r="CJ208" i="229"/>
  <c r="CJ163" i="229"/>
  <c r="CJ227" i="229" s="1"/>
  <c r="CJ185" i="229"/>
  <c r="CJ186" i="229" s="1"/>
  <c r="CJ188" i="229" s="1"/>
  <c r="CJ248" i="229" s="1"/>
  <c r="CI224" i="229"/>
  <c r="AA286" i="229" s="1"/>
  <c r="AA330" i="229" s="1"/>
  <c r="CG119" i="229"/>
  <c r="CG223" i="229" s="1"/>
  <c r="CI108" i="229"/>
  <c r="CJ106" i="229" s="1"/>
  <c r="CK53" i="229"/>
  <c r="CF75" i="229"/>
  <c r="CO30" i="229"/>
  <c r="CO196" i="229" s="1"/>
  <c r="CN221" i="229"/>
  <c r="CO95" i="229"/>
  <c r="CN98" i="229"/>
  <c r="CN100" i="229" s="1"/>
  <c r="CN240" i="229" s="1"/>
  <c r="CO84" i="229"/>
  <c r="CN220" i="229"/>
  <c r="CN87" i="229"/>
  <c r="CN89" i="229" s="1"/>
  <c r="CN239" i="229" s="1"/>
  <c r="CO43" i="229" l="1"/>
  <c r="CO45" i="229" s="1"/>
  <c r="CO235" i="229" s="1"/>
  <c r="CP40" i="229"/>
  <c r="CP41" i="229" s="1"/>
  <c r="CP197" i="229" s="1"/>
  <c r="CJ226" i="229"/>
  <c r="CK150" i="229"/>
  <c r="CK151" i="229" s="1"/>
  <c r="CK207" i="229" s="1"/>
  <c r="CI142" i="229"/>
  <c r="CI144" i="229" s="1"/>
  <c r="CI244" i="229" s="1"/>
  <c r="CG120" i="229"/>
  <c r="CG122" i="229" s="1"/>
  <c r="CG242" i="229" s="1"/>
  <c r="CL62" i="229"/>
  <c r="CH117" i="229"/>
  <c r="CH118" i="229" s="1"/>
  <c r="CH204" i="229" s="1"/>
  <c r="CI225" i="229"/>
  <c r="AA287" i="229" s="1"/>
  <c r="AA331" i="229" s="1"/>
  <c r="CK218" i="229"/>
  <c r="CI222" i="229"/>
  <c r="AA284" i="229" s="1"/>
  <c r="AA328" i="229" s="1"/>
  <c r="CI109" i="229"/>
  <c r="CI111" i="229" s="1"/>
  <c r="CI241" i="229" s="1"/>
  <c r="CO31" i="229"/>
  <c r="CP29" i="229" s="1"/>
  <c r="CJ164" i="229"/>
  <c r="CJ166" i="229" s="1"/>
  <c r="CJ246" i="229" s="1"/>
  <c r="CJ130" i="229"/>
  <c r="CJ224" i="229" s="1"/>
  <c r="CK183" i="229"/>
  <c r="CK184" i="229" s="1"/>
  <c r="CK210" i="229" s="1"/>
  <c r="CK161" i="229"/>
  <c r="CK162" i="229" s="1"/>
  <c r="CK208" i="229" s="1"/>
  <c r="CJ229" i="229"/>
  <c r="CI174" i="229"/>
  <c r="CI175" i="229" s="1"/>
  <c r="CI177" i="229" s="1"/>
  <c r="CI247" i="229" s="1"/>
  <c r="CF219" i="229"/>
  <c r="CG73" i="229"/>
  <c r="CF76" i="229"/>
  <c r="CF78" i="229" s="1"/>
  <c r="CF238" i="229" s="1"/>
  <c r="CL51" i="229"/>
  <c r="CK217" i="229"/>
  <c r="CK54" i="229"/>
  <c r="CK56" i="229" s="1"/>
  <c r="CK236" i="229" s="1"/>
  <c r="CJ140" i="229"/>
  <c r="CJ206" i="229" s="1"/>
  <c r="CL63" i="229"/>
  <c r="CL199" i="229" s="1"/>
  <c r="CJ107" i="229"/>
  <c r="CJ203" i="229" s="1"/>
  <c r="CO96" i="229"/>
  <c r="CO202" i="229" s="1"/>
  <c r="CO85" i="229"/>
  <c r="CO201" i="229" s="1"/>
  <c r="CO32" i="229" l="1"/>
  <c r="CO34" i="229" s="1"/>
  <c r="CO234" i="229" s="1"/>
  <c r="CO215" i="229"/>
  <c r="CL64" i="229"/>
  <c r="CM62" i="229" s="1"/>
  <c r="CK128" i="229"/>
  <c r="CK129" i="229" s="1"/>
  <c r="CK205" i="229" s="1"/>
  <c r="CJ131" i="229"/>
  <c r="CJ133" i="229" s="1"/>
  <c r="CJ243" i="229" s="1"/>
  <c r="CJ141" i="229"/>
  <c r="CK139" i="229" s="1"/>
  <c r="CP42" i="229"/>
  <c r="CP43" i="229" s="1"/>
  <c r="CP45" i="229" s="1"/>
  <c r="CP235" i="229" s="1"/>
  <c r="CJ172" i="229"/>
  <c r="CJ173" i="229" s="1"/>
  <c r="CJ209" i="229" s="1"/>
  <c r="CI228" i="229"/>
  <c r="AA290" i="229" s="1"/>
  <c r="AA334" i="229" s="1"/>
  <c r="CH119" i="229"/>
  <c r="CH120" i="229" s="1"/>
  <c r="CH122" i="229" s="1"/>
  <c r="CH242" i="229" s="1"/>
  <c r="CJ108" i="229"/>
  <c r="CK106" i="229" s="1"/>
  <c r="CK163" i="229"/>
  <c r="CK227" i="229" s="1"/>
  <c r="CK152" i="229"/>
  <c r="CK226" i="229" s="1"/>
  <c r="CL52" i="229"/>
  <c r="CL198" i="229" s="1"/>
  <c r="CG74" i="229"/>
  <c r="CG200" i="229" s="1"/>
  <c r="CP30" i="229"/>
  <c r="CP196" i="229" s="1"/>
  <c r="CK185" i="229"/>
  <c r="CO86" i="229"/>
  <c r="CO87" i="229" s="1"/>
  <c r="CO89" i="229" s="1"/>
  <c r="CO239" i="229" s="1"/>
  <c r="CO97" i="229"/>
  <c r="CL65" i="229" l="1"/>
  <c r="CL67" i="229" s="1"/>
  <c r="CL237" i="229" s="1"/>
  <c r="CL218" i="229"/>
  <c r="CL161" i="229"/>
  <c r="CL162" i="229" s="1"/>
  <c r="CL208" i="229" s="1"/>
  <c r="CJ142" i="229"/>
  <c r="CJ144" i="229" s="1"/>
  <c r="CJ244" i="229" s="1"/>
  <c r="CJ225" i="229"/>
  <c r="CQ40" i="229"/>
  <c r="CQ41" i="229" s="1"/>
  <c r="CQ197" i="229" s="1"/>
  <c r="CP216" i="229"/>
  <c r="CJ109" i="229"/>
  <c r="CJ111" i="229" s="1"/>
  <c r="CJ241" i="229" s="1"/>
  <c r="CK164" i="229"/>
  <c r="CK166" i="229" s="1"/>
  <c r="CK246" i="229" s="1"/>
  <c r="CJ174" i="229"/>
  <c r="CJ228" i="229" s="1"/>
  <c r="CJ222" i="229"/>
  <c r="CH223" i="229"/>
  <c r="CK153" i="229"/>
  <c r="CK155" i="229" s="1"/>
  <c r="CK245" i="229" s="1"/>
  <c r="CI117" i="229"/>
  <c r="CI118" i="229" s="1"/>
  <c r="CI204" i="229" s="1"/>
  <c r="CL150" i="229"/>
  <c r="CL151" i="229" s="1"/>
  <c r="CL207" i="229" s="1"/>
  <c r="CP31" i="229"/>
  <c r="CP215" i="229" s="1"/>
  <c r="CG75" i="229"/>
  <c r="CH73" i="229" s="1"/>
  <c r="CK130" i="229"/>
  <c r="CL128" i="229" s="1"/>
  <c r="CL53" i="229"/>
  <c r="CL54" i="229" s="1"/>
  <c r="CL56" i="229" s="1"/>
  <c r="CL236" i="229" s="1"/>
  <c r="CK229" i="229"/>
  <c r="CL183" i="229"/>
  <c r="CK186" i="229"/>
  <c r="CK188" i="229" s="1"/>
  <c r="CK248" i="229" s="1"/>
  <c r="CK140" i="229"/>
  <c r="CK206" i="229" s="1"/>
  <c r="CM63" i="229"/>
  <c r="CM199" i="229" s="1"/>
  <c r="CK107" i="229"/>
  <c r="CK203" i="229" s="1"/>
  <c r="CP84" i="229"/>
  <c r="CP85" i="229" s="1"/>
  <c r="CP201" i="229" s="1"/>
  <c r="CO220" i="229"/>
  <c r="CO221" i="229"/>
  <c r="CP95" i="229"/>
  <c r="CO98" i="229"/>
  <c r="CO100" i="229" s="1"/>
  <c r="CO240" i="229" s="1"/>
  <c r="CM51" i="229" l="1"/>
  <c r="CM52" i="229" s="1"/>
  <c r="CM198" i="229" s="1"/>
  <c r="CJ175" i="229"/>
  <c r="CJ177" i="229" s="1"/>
  <c r="CJ247" i="229" s="1"/>
  <c r="CK172" i="229"/>
  <c r="CK173" i="229" s="1"/>
  <c r="CK209" i="229" s="1"/>
  <c r="CL217" i="229"/>
  <c r="CK224" i="229"/>
  <c r="CK131" i="229"/>
  <c r="CK133" i="229" s="1"/>
  <c r="CK243" i="229" s="1"/>
  <c r="CG76" i="229"/>
  <c r="CG78" i="229" s="1"/>
  <c r="CG238" i="229" s="1"/>
  <c r="CG219" i="229"/>
  <c r="CP32" i="229"/>
  <c r="CP34" i="229" s="1"/>
  <c r="CP234" i="229" s="1"/>
  <c r="CQ29" i="229"/>
  <c r="CQ30" i="229" s="1"/>
  <c r="CQ196" i="229" s="1"/>
  <c r="CK108" i="229"/>
  <c r="CL106" i="229" s="1"/>
  <c r="CQ42" i="229"/>
  <c r="CR40" i="229" s="1"/>
  <c r="CL152" i="229"/>
  <c r="CL226" i="229" s="1"/>
  <c r="CI119" i="229"/>
  <c r="CI223" i="229" s="1"/>
  <c r="AA285" i="229" s="1"/>
  <c r="AA329" i="229" s="1"/>
  <c r="AA336" i="229" s="1"/>
  <c r="CK141" i="229"/>
  <c r="CL184" i="229"/>
  <c r="CL210" i="229" s="1"/>
  <c r="CM64" i="229"/>
  <c r="CL129" i="229"/>
  <c r="CL205" i="229" s="1"/>
  <c r="CL163" i="229"/>
  <c r="CH74" i="229"/>
  <c r="CH200" i="229" s="1"/>
  <c r="CP96" i="229"/>
  <c r="CP202" i="229" s="1"/>
  <c r="CP86" i="229"/>
  <c r="CQ43" i="229" l="1"/>
  <c r="CQ45" i="229" s="1"/>
  <c r="CQ235" i="229" s="1"/>
  <c r="CI120" i="229"/>
  <c r="CI122" i="229" s="1"/>
  <c r="CI242" i="229" s="1"/>
  <c r="CJ117" i="229"/>
  <c r="CJ118" i="229" s="1"/>
  <c r="CJ204" i="229" s="1"/>
  <c r="CQ216" i="229"/>
  <c r="AC278" i="229" s="1"/>
  <c r="AC322" i="229" s="1"/>
  <c r="CK109" i="229"/>
  <c r="CK111" i="229" s="1"/>
  <c r="CK241" i="229" s="1"/>
  <c r="CL153" i="229"/>
  <c r="CL155" i="229" s="1"/>
  <c r="CL245" i="229" s="1"/>
  <c r="CK222" i="229"/>
  <c r="CL130" i="229"/>
  <c r="CM128" i="229" s="1"/>
  <c r="CM150" i="229"/>
  <c r="CM151" i="229" s="1"/>
  <c r="CM207" i="229" s="1"/>
  <c r="CK174" i="229"/>
  <c r="CL172" i="229" s="1"/>
  <c r="CM53" i="229"/>
  <c r="CM54" i="229" s="1"/>
  <c r="CM56" i="229" s="1"/>
  <c r="CM236" i="229" s="1"/>
  <c r="CL185" i="229"/>
  <c r="CL186" i="229" s="1"/>
  <c r="CL188" i="229" s="1"/>
  <c r="CL248" i="229" s="1"/>
  <c r="CR41" i="229"/>
  <c r="CR197" i="229" s="1"/>
  <c r="CM161" i="229"/>
  <c r="CL227" i="229"/>
  <c r="CL164" i="229"/>
  <c r="CL166" i="229" s="1"/>
  <c r="CL246" i="229" s="1"/>
  <c r="CH75" i="229"/>
  <c r="CM218" i="229"/>
  <c r="AB280" i="229" s="1"/>
  <c r="AB324" i="229" s="1"/>
  <c r="CN62" i="229"/>
  <c r="CM65" i="229"/>
  <c r="CM67" i="229" s="1"/>
  <c r="CM237" i="229" s="1"/>
  <c r="CQ31" i="229"/>
  <c r="CL107" i="229"/>
  <c r="CL203" i="229" s="1"/>
  <c r="CK142" i="229"/>
  <c r="CK144" i="229" s="1"/>
  <c r="CK244" i="229" s="1"/>
  <c r="CL139" i="229"/>
  <c r="CK225" i="229"/>
  <c r="CP97" i="229"/>
  <c r="CQ84" i="229"/>
  <c r="CP220" i="229"/>
  <c r="CP87" i="229"/>
  <c r="CP89" i="229" s="1"/>
  <c r="CP239" i="229" s="1"/>
  <c r="CK175" i="229" l="1"/>
  <c r="CK177" i="229" s="1"/>
  <c r="CK247" i="229" s="1"/>
  <c r="CM217" i="229"/>
  <c r="AB279" i="229" s="1"/>
  <c r="AB323" i="229" s="1"/>
  <c r="CN51" i="229"/>
  <c r="CN52" i="229" s="1"/>
  <c r="CN198" i="229" s="1"/>
  <c r="CL224" i="229"/>
  <c r="CM183" i="229"/>
  <c r="CM184" i="229" s="1"/>
  <c r="CM210" i="229" s="1"/>
  <c r="CL131" i="229"/>
  <c r="CL133" i="229" s="1"/>
  <c r="CL243" i="229" s="1"/>
  <c r="CK228" i="229"/>
  <c r="CL229" i="229"/>
  <c r="CJ119" i="229"/>
  <c r="CJ120" i="229" s="1"/>
  <c r="CJ122" i="229" s="1"/>
  <c r="CJ242" i="229" s="1"/>
  <c r="CR42" i="229"/>
  <c r="CR216" i="229" s="1"/>
  <c r="CN63" i="229"/>
  <c r="CN199" i="229" s="1"/>
  <c r="CH76" i="229"/>
  <c r="CH78" i="229" s="1"/>
  <c r="CH238" i="229" s="1"/>
  <c r="CH219" i="229"/>
  <c r="CI73" i="229"/>
  <c r="CM162" i="229"/>
  <c r="CM208" i="229" s="1"/>
  <c r="CL140" i="229"/>
  <c r="CL206" i="229" s="1"/>
  <c r="CM152" i="229"/>
  <c r="CL108" i="229"/>
  <c r="CM129" i="229"/>
  <c r="CM205" i="229" s="1"/>
  <c r="CQ32" i="229"/>
  <c r="CQ34" i="229" s="1"/>
  <c r="CQ234" i="229" s="1"/>
  <c r="CR29" i="229"/>
  <c r="CQ215" i="229"/>
  <c r="AC277" i="229" s="1"/>
  <c r="AC321" i="229" s="1"/>
  <c r="CL173" i="229"/>
  <c r="CL209" i="229" s="1"/>
  <c r="CP221" i="229"/>
  <c r="CQ95" i="229"/>
  <c r="CP98" i="229"/>
  <c r="CP100" i="229" s="1"/>
  <c r="CP240" i="229" s="1"/>
  <c r="CQ85" i="229"/>
  <c r="CQ201" i="229" s="1"/>
  <c r="CJ223" i="229" l="1"/>
  <c r="CK117" i="229"/>
  <c r="CS40" i="229"/>
  <c r="CS41" i="229" s="1"/>
  <c r="CS197" i="229" s="1"/>
  <c r="CR43" i="229"/>
  <c r="CR45" i="229" s="1"/>
  <c r="CR235" i="229" s="1"/>
  <c r="CN64" i="229"/>
  <c r="CO62" i="229" s="1"/>
  <c r="CM130" i="229"/>
  <c r="CM224" i="229" s="1"/>
  <c r="AB286" i="229" s="1"/>
  <c r="AB330" i="229" s="1"/>
  <c r="CM185" i="229"/>
  <c r="CM229" i="229" s="1"/>
  <c r="AB291" i="229" s="1"/>
  <c r="AB335" i="229" s="1"/>
  <c r="CN53" i="229"/>
  <c r="CN54" i="229" s="1"/>
  <c r="CN56" i="229" s="1"/>
  <c r="CN236" i="229" s="1"/>
  <c r="CM163" i="229"/>
  <c r="CN161" i="229" s="1"/>
  <c r="CR30" i="229"/>
  <c r="CR196" i="229" s="1"/>
  <c r="CL109" i="229"/>
  <c r="CL111" i="229" s="1"/>
  <c r="CL241" i="229" s="1"/>
  <c r="CM106" i="229"/>
  <c r="CL222" i="229"/>
  <c r="CI74" i="229"/>
  <c r="CI200" i="229" s="1"/>
  <c r="CN150" i="229"/>
  <c r="CM226" i="229"/>
  <c r="AB288" i="229" s="1"/>
  <c r="AB332" i="229" s="1"/>
  <c r="CM153" i="229"/>
  <c r="CM155" i="229" s="1"/>
  <c r="CM245" i="229" s="1"/>
  <c r="CK118" i="229"/>
  <c r="CK204" i="229" s="1"/>
  <c r="CL174" i="229"/>
  <c r="CL141" i="229"/>
  <c r="CQ96" i="229"/>
  <c r="CQ202" i="229" s="1"/>
  <c r="CQ86" i="229"/>
  <c r="CO51" i="229" l="1"/>
  <c r="CN65" i="229"/>
  <c r="CN67" i="229" s="1"/>
  <c r="CN237" i="229" s="1"/>
  <c r="CN218" i="229"/>
  <c r="CM186" i="229"/>
  <c r="CM188" i="229" s="1"/>
  <c r="CM248" i="229" s="1"/>
  <c r="CN183" i="229"/>
  <c r="CN184" i="229" s="1"/>
  <c r="CN210" i="229" s="1"/>
  <c r="CN217" i="229"/>
  <c r="CM131" i="229"/>
  <c r="CM133" i="229" s="1"/>
  <c r="CM243" i="229" s="1"/>
  <c r="CN128" i="229"/>
  <c r="CN129" i="229" s="1"/>
  <c r="CN205" i="229" s="1"/>
  <c r="CM164" i="229"/>
  <c r="CM166" i="229" s="1"/>
  <c r="CM246" i="229" s="1"/>
  <c r="CM227" i="229"/>
  <c r="AB289" i="229" s="1"/>
  <c r="AB333" i="229" s="1"/>
  <c r="CI75" i="229"/>
  <c r="CI219" i="229" s="1"/>
  <c r="AA281" i="229" s="1"/>
  <c r="AA325" i="229" s="1"/>
  <c r="AA320" i="229" s="1"/>
  <c r="T65" i="251" s="1"/>
  <c r="AL65" i="251" s="1"/>
  <c r="CR31" i="229"/>
  <c r="CR32" i="229" s="1"/>
  <c r="CR34" i="229" s="1"/>
  <c r="CR234" i="229" s="1"/>
  <c r="CK119" i="229"/>
  <c r="CM107" i="229"/>
  <c r="CM203" i="229" s="1"/>
  <c r="CO63" i="229"/>
  <c r="CO199" i="229" s="1"/>
  <c r="CL225" i="229"/>
  <c r="CM139" i="229"/>
  <c r="CL142" i="229"/>
  <c r="CL144" i="229" s="1"/>
  <c r="CL244" i="229" s="1"/>
  <c r="CN151" i="229"/>
  <c r="CN207" i="229" s="1"/>
  <c r="CM172" i="229"/>
  <c r="CL228" i="229"/>
  <c r="CL175" i="229"/>
  <c r="CL177" i="229" s="1"/>
  <c r="CL247" i="229" s="1"/>
  <c r="CS42" i="229"/>
  <c r="CN162" i="229"/>
  <c r="CN208" i="229" s="1"/>
  <c r="CO52" i="229"/>
  <c r="CO198" i="229" s="1"/>
  <c r="CQ97" i="229"/>
  <c r="CQ220" i="229"/>
  <c r="AC282" i="229" s="1"/>
  <c r="AC326" i="229" s="1"/>
  <c r="CR84" i="229"/>
  <c r="CQ87" i="229"/>
  <c r="CQ89" i="229" s="1"/>
  <c r="CQ239" i="229" s="1"/>
  <c r="CS29" i="229" l="1"/>
  <c r="CS30" i="229" s="1"/>
  <c r="CS196" i="229" s="1"/>
  <c r="CJ73" i="229"/>
  <c r="CJ74" i="229" s="1"/>
  <c r="CJ200" i="229" s="1"/>
  <c r="CI76" i="229"/>
  <c r="CI78" i="229" s="1"/>
  <c r="CI238" i="229" s="1"/>
  <c r="CR215" i="229"/>
  <c r="CN152" i="229"/>
  <c r="CN153" i="229" s="1"/>
  <c r="CN155" i="229" s="1"/>
  <c r="CN245" i="229" s="1"/>
  <c r="CN185" i="229"/>
  <c r="CO183" i="229" s="1"/>
  <c r="CN130" i="229"/>
  <c r="CN131" i="229" s="1"/>
  <c r="CN133" i="229" s="1"/>
  <c r="CN243" i="229" s="1"/>
  <c r="CO53" i="229"/>
  <c r="CO217" i="229" s="1"/>
  <c r="CN163" i="229"/>
  <c r="CO161" i="229" s="1"/>
  <c r="CM108" i="229"/>
  <c r="CM222" i="229" s="1"/>
  <c r="AB284" i="229" s="1"/>
  <c r="AB328" i="229" s="1"/>
  <c r="CM173" i="229"/>
  <c r="CM209" i="229" s="1"/>
  <c r="CM140" i="229"/>
  <c r="CM206" i="229" s="1"/>
  <c r="CS216" i="229"/>
  <c r="CT40" i="229"/>
  <c r="CS43" i="229"/>
  <c r="CS45" i="229" s="1"/>
  <c r="CS235" i="229" s="1"/>
  <c r="CO64" i="229"/>
  <c r="CK223" i="229"/>
  <c r="CL117" i="229"/>
  <c r="CK120" i="229"/>
  <c r="CK122" i="229" s="1"/>
  <c r="CK242" i="229" s="1"/>
  <c r="CQ221" i="229"/>
  <c r="AC283" i="229" s="1"/>
  <c r="AC327" i="229" s="1"/>
  <c r="CR95" i="229"/>
  <c r="CQ98" i="229"/>
  <c r="CQ100" i="229" s="1"/>
  <c r="CQ240" i="229" s="1"/>
  <c r="CR85" i="229"/>
  <c r="CR201" i="229" s="1"/>
  <c r="CN186" i="229" l="1"/>
  <c r="CN188" i="229" s="1"/>
  <c r="CN248" i="229" s="1"/>
  <c r="CO54" i="229"/>
  <c r="CO56" i="229" s="1"/>
  <c r="CO236" i="229" s="1"/>
  <c r="CP51" i="229"/>
  <c r="CP52" i="229" s="1"/>
  <c r="CP198" i="229" s="1"/>
  <c r="CN229" i="229"/>
  <c r="CO150" i="229"/>
  <c r="CO151" i="229" s="1"/>
  <c r="CO207" i="229" s="1"/>
  <c r="CN226" i="229"/>
  <c r="CN227" i="229"/>
  <c r="CN224" i="229"/>
  <c r="CO128" i="229"/>
  <c r="CN164" i="229"/>
  <c r="CN166" i="229" s="1"/>
  <c r="CN246" i="229" s="1"/>
  <c r="CM109" i="229"/>
  <c r="CM111" i="229" s="1"/>
  <c r="CM241" i="229" s="1"/>
  <c r="CN106" i="229"/>
  <c r="CN107" i="229" s="1"/>
  <c r="CN203" i="229" s="1"/>
  <c r="CM141" i="229"/>
  <c r="CM142" i="229" s="1"/>
  <c r="CM144" i="229" s="1"/>
  <c r="CM244" i="229" s="1"/>
  <c r="CM174" i="229"/>
  <c r="CM228" i="229" s="1"/>
  <c r="AB290" i="229" s="1"/>
  <c r="AB334" i="229" s="1"/>
  <c r="CJ75" i="229"/>
  <c r="CJ76" i="229" s="1"/>
  <c r="CJ78" i="229" s="1"/>
  <c r="CJ238" i="229" s="1"/>
  <c r="CO162" i="229"/>
  <c r="CO208" i="229" s="1"/>
  <c r="CP62" i="229"/>
  <c r="CO218" i="229"/>
  <c r="CO65" i="229"/>
  <c r="CO67" i="229" s="1"/>
  <c r="CO237" i="229" s="1"/>
  <c r="CS31" i="229"/>
  <c r="CL118" i="229"/>
  <c r="CL204" i="229" s="1"/>
  <c r="CT41" i="229"/>
  <c r="CT197" i="229" s="1"/>
  <c r="CO184" i="229"/>
  <c r="CO210" i="229" s="1"/>
  <c r="CR86" i="229"/>
  <c r="CS84" i="229" s="1"/>
  <c r="CR96" i="229"/>
  <c r="CR202" i="229" s="1"/>
  <c r="CR97" i="229" l="1"/>
  <c r="CS95" i="229" s="1"/>
  <c r="CN172" i="229"/>
  <c r="CM175" i="229"/>
  <c r="CM177" i="229" s="1"/>
  <c r="CM247" i="229" s="1"/>
  <c r="CO129" i="229"/>
  <c r="CO205" i="229" s="1"/>
  <c r="CM225" i="229"/>
  <c r="AB287" i="229" s="1"/>
  <c r="AB331" i="229" s="1"/>
  <c r="CN139" i="229"/>
  <c r="CN140" i="229" s="1"/>
  <c r="CN206" i="229" s="1"/>
  <c r="CJ219" i="229"/>
  <c r="CO163" i="229"/>
  <c r="CO227" i="229" s="1"/>
  <c r="CK73" i="229"/>
  <c r="CK74" i="229" s="1"/>
  <c r="CK200" i="229" s="1"/>
  <c r="CN108" i="229"/>
  <c r="CN222" i="229" s="1"/>
  <c r="CO185" i="229"/>
  <c r="CO229" i="229" s="1"/>
  <c r="CT42" i="229"/>
  <c r="CT43" i="229" s="1"/>
  <c r="CT45" i="229" s="1"/>
  <c r="CT235" i="229" s="1"/>
  <c r="CL119" i="229"/>
  <c r="CL223" i="229" s="1"/>
  <c r="CN173" i="229"/>
  <c r="CN209" i="229" s="1"/>
  <c r="CS32" i="229"/>
  <c r="CS34" i="229" s="1"/>
  <c r="CS234" i="229" s="1"/>
  <c r="CT29" i="229"/>
  <c r="CS215" i="229"/>
  <c r="CP63" i="229"/>
  <c r="CP199" i="229" s="1"/>
  <c r="CO152" i="229"/>
  <c r="CP53" i="229"/>
  <c r="CR87" i="229"/>
  <c r="CR89" i="229" s="1"/>
  <c r="CR239" i="229" s="1"/>
  <c r="CR220" i="229"/>
  <c r="CR98" i="229"/>
  <c r="CR100" i="229" s="1"/>
  <c r="CR240" i="229" s="1"/>
  <c r="CS85" i="229"/>
  <c r="CS201" i="229" s="1"/>
  <c r="CR221" i="229" l="1"/>
  <c r="CO130" i="229"/>
  <c r="CN109" i="229"/>
  <c r="CN111" i="229" s="1"/>
  <c r="CN241" i="229" s="1"/>
  <c r="CP183" i="229"/>
  <c r="CP184" i="229" s="1"/>
  <c r="CP210" i="229" s="1"/>
  <c r="CT216" i="229"/>
  <c r="CP64" i="229"/>
  <c r="CP218" i="229" s="1"/>
  <c r="CO164" i="229"/>
  <c r="CO166" i="229" s="1"/>
  <c r="CO246" i="229" s="1"/>
  <c r="CL120" i="229"/>
  <c r="CL122" i="229" s="1"/>
  <c r="CL242" i="229" s="1"/>
  <c r="CO186" i="229"/>
  <c r="CO188" i="229" s="1"/>
  <c r="CO248" i="229" s="1"/>
  <c r="CP161" i="229"/>
  <c r="CP162" i="229" s="1"/>
  <c r="CP208" i="229" s="1"/>
  <c r="CM117" i="229"/>
  <c r="CM118" i="229" s="1"/>
  <c r="CM204" i="229" s="1"/>
  <c r="CO106" i="229"/>
  <c r="CO107" i="229" s="1"/>
  <c r="CO203" i="229" s="1"/>
  <c r="CU40" i="229"/>
  <c r="CU41" i="229" s="1"/>
  <c r="CU197" i="229" s="1"/>
  <c r="CN141" i="229"/>
  <c r="CN142" i="229" s="1"/>
  <c r="CN144" i="229" s="1"/>
  <c r="CN244" i="229" s="1"/>
  <c r="CK75" i="229"/>
  <c r="CK219" i="229" s="1"/>
  <c r="CP150" i="229"/>
  <c r="CO226" i="229"/>
  <c r="CO153" i="229"/>
  <c r="CO155" i="229" s="1"/>
  <c r="CO245" i="229" s="1"/>
  <c r="CQ51" i="229"/>
  <c r="CP217" i="229"/>
  <c r="CP54" i="229"/>
  <c r="CP56" i="229" s="1"/>
  <c r="CP236" i="229" s="1"/>
  <c r="CT30" i="229"/>
  <c r="CT196" i="229" s="1"/>
  <c r="CN174" i="229"/>
  <c r="CS86" i="229"/>
  <c r="CT84" i="229" s="1"/>
  <c r="CS96" i="229"/>
  <c r="CS202" i="229" s="1"/>
  <c r="CS97" i="229" l="1"/>
  <c r="CP65" i="229"/>
  <c r="CP67" i="229" s="1"/>
  <c r="CP237" i="229" s="1"/>
  <c r="CO131" i="229"/>
  <c r="CO133" i="229" s="1"/>
  <c r="CO243" i="229" s="1"/>
  <c r="CP128" i="229"/>
  <c r="CP129" i="229" s="1"/>
  <c r="CP205" i="229" s="1"/>
  <c r="CO224" i="229"/>
  <c r="CQ62" i="229"/>
  <c r="CQ63" i="229" s="1"/>
  <c r="CQ199" i="229" s="1"/>
  <c r="CO139" i="229"/>
  <c r="CO140" i="229" s="1"/>
  <c r="CO206" i="229" s="1"/>
  <c r="CN225" i="229"/>
  <c r="CL73" i="229"/>
  <c r="CK76" i="229"/>
  <c r="CK78" i="229" s="1"/>
  <c r="CK238" i="229" s="1"/>
  <c r="CP185" i="229"/>
  <c r="CP229" i="229" s="1"/>
  <c r="CM119" i="229"/>
  <c r="CN117" i="229" s="1"/>
  <c r="CO108" i="229"/>
  <c r="CO222" i="229" s="1"/>
  <c r="CQ52" i="229"/>
  <c r="CQ198" i="229" s="1"/>
  <c r="CN228" i="229"/>
  <c r="CO172" i="229"/>
  <c r="CN175" i="229"/>
  <c r="CN177" i="229" s="1"/>
  <c r="CN247" i="229" s="1"/>
  <c r="CU42" i="229"/>
  <c r="CT31" i="229"/>
  <c r="CP163" i="229"/>
  <c r="CP151" i="229"/>
  <c r="CP207" i="229" s="1"/>
  <c r="CS220" i="229"/>
  <c r="CS87" i="229"/>
  <c r="CS89" i="229" s="1"/>
  <c r="CS239" i="229" s="1"/>
  <c r="CS221" i="229"/>
  <c r="CT95" i="229"/>
  <c r="CS98" i="229"/>
  <c r="CS100" i="229" s="1"/>
  <c r="CS240" i="229" s="1"/>
  <c r="CT85" i="229"/>
  <c r="CT201" i="229" s="1"/>
  <c r="CP130" i="229" l="1"/>
  <c r="CQ128" i="229" s="1"/>
  <c r="CP186" i="229"/>
  <c r="CP188" i="229" s="1"/>
  <c r="CP248" i="229" s="1"/>
  <c r="CQ183" i="229"/>
  <c r="CQ184" i="229" s="1"/>
  <c r="CQ210" i="229" s="1"/>
  <c r="CL74" i="229"/>
  <c r="CL200" i="229" s="1"/>
  <c r="CO141" i="229"/>
  <c r="CP139" i="229" s="1"/>
  <c r="CQ64" i="229"/>
  <c r="CQ218" i="229" s="1"/>
  <c r="AC280" i="229" s="1"/>
  <c r="AC324" i="229" s="1"/>
  <c r="CP131" i="229"/>
  <c r="CP133" i="229" s="1"/>
  <c r="CP243" i="229" s="1"/>
  <c r="CP106" i="229"/>
  <c r="CP107" i="229" s="1"/>
  <c r="CP203" i="229" s="1"/>
  <c r="CM120" i="229"/>
  <c r="CM122" i="229" s="1"/>
  <c r="CM242" i="229" s="1"/>
  <c r="CM223" i="229"/>
  <c r="AB285" i="229" s="1"/>
  <c r="AB329" i="229" s="1"/>
  <c r="AB336" i="229" s="1"/>
  <c r="CQ53" i="229"/>
  <c r="CQ217" i="229" s="1"/>
  <c r="AC279" i="229" s="1"/>
  <c r="AC323" i="229" s="1"/>
  <c r="CO109" i="229"/>
  <c r="CO111" i="229" s="1"/>
  <c r="CO241" i="229" s="1"/>
  <c r="CP227" i="229"/>
  <c r="CQ161" i="229"/>
  <c r="CP164" i="229"/>
  <c r="CP166" i="229" s="1"/>
  <c r="CP246" i="229" s="1"/>
  <c r="CT215" i="229"/>
  <c r="CU29" i="229"/>
  <c r="CT32" i="229"/>
  <c r="CT34" i="229" s="1"/>
  <c r="CT234" i="229" s="1"/>
  <c r="CO173" i="229"/>
  <c r="CO209" i="229" s="1"/>
  <c r="CU43" i="229"/>
  <c r="CU45" i="229" s="1"/>
  <c r="CU235" i="229" s="1"/>
  <c r="CV40" i="229"/>
  <c r="CU216" i="229"/>
  <c r="AD278" i="229" s="1"/>
  <c r="AD322" i="229" s="1"/>
  <c r="CQ65" i="229"/>
  <c r="CQ67" i="229" s="1"/>
  <c r="CQ237" i="229" s="1"/>
  <c r="CP152" i="229"/>
  <c r="CN118" i="229"/>
  <c r="CN204" i="229" s="1"/>
  <c r="CQ129" i="229"/>
  <c r="CQ205" i="229" s="1"/>
  <c r="CT96" i="229"/>
  <c r="CT202" i="229" s="1"/>
  <c r="CT86" i="229"/>
  <c r="CP224" i="229" l="1"/>
  <c r="CR62" i="229"/>
  <c r="CR63" i="229" s="1"/>
  <c r="CR199" i="229" s="1"/>
  <c r="CO142" i="229"/>
  <c r="CO144" i="229" s="1"/>
  <c r="CO244" i="229" s="1"/>
  <c r="CT97" i="229"/>
  <c r="CO225" i="229"/>
  <c r="CQ54" i="229"/>
  <c r="CQ56" i="229" s="1"/>
  <c r="CQ236" i="229" s="1"/>
  <c r="CR51" i="229"/>
  <c r="CR52" i="229" s="1"/>
  <c r="CR198" i="229" s="1"/>
  <c r="CN119" i="229"/>
  <c r="CN223" i="229" s="1"/>
  <c r="CL75" i="229"/>
  <c r="CQ185" i="229"/>
  <c r="CQ186" i="229" s="1"/>
  <c r="CQ188" i="229" s="1"/>
  <c r="CQ248" i="229" s="1"/>
  <c r="CO174" i="229"/>
  <c r="CP172" i="229" s="1"/>
  <c r="CQ130" i="229"/>
  <c r="CQ131" i="229" s="1"/>
  <c r="CQ133" i="229" s="1"/>
  <c r="CQ243" i="229" s="1"/>
  <c r="CV41" i="229"/>
  <c r="CV197" i="229" s="1"/>
  <c r="CU30" i="229"/>
  <c r="CU196" i="229" s="1"/>
  <c r="CP140" i="229"/>
  <c r="CP206" i="229" s="1"/>
  <c r="CQ162" i="229"/>
  <c r="CQ208" i="229" s="1"/>
  <c r="CP153" i="229"/>
  <c r="CP155" i="229" s="1"/>
  <c r="CP245" i="229" s="1"/>
  <c r="CQ150" i="229"/>
  <c r="CP226" i="229"/>
  <c r="CP108" i="229"/>
  <c r="CT221" i="229"/>
  <c r="CU95" i="229"/>
  <c r="CT98" i="229"/>
  <c r="CT100" i="229" s="1"/>
  <c r="CT240" i="229" s="1"/>
  <c r="CU84" i="229"/>
  <c r="CT220" i="229"/>
  <c r="CT87" i="229"/>
  <c r="CT89" i="229" s="1"/>
  <c r="CT239" i="229" s="1"/>
  <c r="CR183" i="229" l="1"/>
  <c r="CR184" i="229" s="1"/>
  <c r="CR210" i="229" s="1"/>
  <c r="CQ229" i="229"/>
  <c r="AC291" i="229" s="1"/>
  <c r="AC335" i="229" s="1"/>
  <c r="CN120" i="229"/>
  <c r="CN122" i="229" s="1"/>
  <c r="CN242" i="229" s="1"/>
  <c r="CO117" i="229"/>
  <c r="CP141" i="229"/>
  <c r="CQ139" i="229" s="1"/>
  <c r="CO175" i="229"/>
  <c r="CO177" i="229" s="1"/>
  <c r="CO247" i="229" s="1"/>
  <c r="CO228" i="229"/>
  <c r="CR128" i="229"/>
  <c r="CR129" i="229" s="1"/>
  <c r="CR205" i="229" s="1"/>
  <c r="CQ224" i="229"/>
  <c r="AC286" i="229" s="1"/>
  <c r="AC330" i="229" s="1"/>
  <c r="CL76" i="229"/>
  <c r="CL78" i="229" s="1"/>
  <c r="CL238" i="229" s="1"/>
  <c r="CM73" i="229"/>
  <c r="CM74" i="229" s="1"/>
  <c r="CM200" i="229" s="1"/>
  <c r="CL219" i="229"/>
  <c r="CU31" i="229"/>
  <c r="CU215" i="229" s="1"/>
  <c r="AD277" i="229" s="1"/>
  <c r="AD321" i="229" s="1"/>
  <c r="CV42" i="229"/>
  <c r="CW40" i="229" s="1"/>
  <c r="CR64" i="229"/>
  <c r="CS62" i="229" s="1"/>
  <c r="CQ163" i="229"/>
  <c r="CQ227" i="229" s="1"/>
  <c r="AC289" i="229" s="1"/>
  <c r="AC333" i="229" s="1"/>
  <c r="CR53" i="229"/>
  <c r="CP222" i="229"/>
  <c r="CQ106" i="229"/>
  <c r="CP109" i="229"/>
  <c r="CP111" i="229" s="1"/>
  <c r="CP241" i="229" s="1"/>
  <c r="CQ151" i="229"/>
  <c r="CQ207" i="229" s="1"/>
  <c r="CP173" i="229"/>
  <c r="CP209" i="229" s="1"/>
  <c r="CO118" i="229"/>
  <c r="CO204" i="229" s="1"/>
  <c r="CU96" i="229"/>
  <c r="CU202" i="229" s="1"/>
  <c r="CU85" i="229"/>
  <c r="CU201" i="229" s="1"/>
  <c r="CP225" i="229" l="1"/>
  <c r="CP142" i="229"/>
  <c r="CP144" i="229" s="1"/>
  <c r="CP244" i="229" s="1"/>
  <c r="CM75" i="229"/>
  <c r="CM219" i="229" s="1"/>
  <c r="AB281" i="229" s="1"/>
  <c r="AB325" i="229" s="1"/>
  <c r="AB320" i="229" s="1"/>
  <c r="CU32" i="229"/>
  <c r="CU34" i="229" s="1"/>
  <c r="CU234" i="229" s="1"/>
  <c r="CV216" i="229"/>
  <c r="CV43" i="229"/>
  <c r="CV45" i="229" s="1"/>
  <c r="CV235" i="229" s="1"/>
  <c r="CV29" i="229"/>
  <c r="CV30" i="229" s="1"/>
  <c r="CV196" i="229" s="1"/>
  <c r="CR65" i="229"/>
  <c r="CR67" i="229" s="1"/>
  <c r="CR237" i="229" s="1"/>
  <c r="CR218" i="229"/>
  <c r="CR185" i="229"/>
  <c r="CR229" i="229" s="1"/>
  <c r="CR161" i="229"/>
  <c r="CR162" i="229" s="1"/>
  <c r="CR208" i="229" s="1"/>
  <c r="CQ164" i="229"/>
  <c r="CQ166" i="229" s="1"/>
  <c r="CQ246" i="229" s="1"/>
  <c r="CO119" i="229"/>
  <c r="CO223" i="229" s="1"/>
  <c r="CP174" i="229"/>
  <c r="CQ172" i="229" s="1"/>
  <c r="CR130" i="229"/>
  <c r="CQ140" i="229"/>
  <c r="CQ206" i="229" s="1"/>
  <c r="CS51" i="229"/>
  <c r="CR217" i="229"/>
  <c r="CR54" i="229"/>
  <c r="CR56" i="229" s="1"/>
  <c r="CR236" i="229" s="1"/>
  <c r="CQ152" i="229"/>
  <c r="CQ107" i="229"/>
  <c r="CQ203" i="229" s="1"/>
  <c r="CW41" i="229"/>
  <c r="CW197" i="229" s="1"/>
  <c r="CS63" i="229"/>
  <c r="CS199" i="229" s="1"/>
  <c r="CU86" i="229"/>
  <c r="CV84" i="229" s="1"/>
  <c r="CU97" i="229"/>
  <c r="CR186" i="229" l="1"/>
  <c r="CR188" i="229" s="1"/>
  <c r="CR248" i="229" s="1"/>
  <c r="CM76" i="229"/>
  <c r="CM78" i="229" s="1"/>
  <c r="CM238" i="229" s="1"/>
  <c r="CN73" i="229"/>
  <c r="CN74" i="229" s="1"/>
  <c r="CN200" i="229" s="1"/>
  <c r="CS183" i="229"/>
  <c r="CS184" i="229" s="1"/>
  <c r="CS210" i="229" s="1"/>
  <c r="CP228" i="229"/>
  <c r="CO120" i="229"/>
  <c r="CO122" i="229" s="1"/>
  <c r="CO242" i="229" s="1"/>
  <c r="CP117" i="229"/>
  <c r="CP118" i="229" s="1"/>
  <c r="CP204" i="229" s="1"/>
  <c r="CP175" i="229"/>
  <c r="CP177" i="229" s="1"/>
  <c r="CP247" i="229" s="1"/>
  <c r="CV31" i="229"/>
  <c r="CV215" i="229" s="1"/>
  <c r="CQ141" i="229"/>
  <c r="CQ142" i="229" s="1"/>
  <c r="CQ144" i="229" s="1"/>
  <c r="CQ244" i="229" s="1"/>
  <c r="CS64" i="229"/>
  <c r="CS65" i="229" s="1"/>
  <c r="CS67" i="229" s="1"/>
  <c r="CS237" i="229" s="1"/>
  <c r="CW42" i="229"/>
  <c r="CX40" i="229" s="1"/>
  <c r="CQ173" i="229"/>
  <c r="CQ209" i="229" s="1"/>
  <c r="CQ108" i="229"/>
  <c r="CS52" i="229"/>
  <c r="CS198" i="229" s="1"/>
  <c r="CR150" i="229"/>
  <c r="CQ226" i="229"/>
  <c r="AC288" i="229" s="1"/>
  <c r="AC332" i="229" s="1"/>
  <c r="CQ153" i="229"/>
  <c r="CQ155" i="229" s="1"/>
  <c r="CQ245" i="229" s="1"/>
  <c r="CR163" i="229"/>
  <c r="CS128" i="229"/>
  <c r="CR224" i="229"/>
  <c r="CR131" i="229"/>
  <c r="CR133" i="229" s="1"/>
  <c r="CR243" i="229" s="1"/>
  <c r="CU220" i="229"/>
  <c r="AD282" i="229" s="1"/>
  <c r="AD326" i="229" s="1"/>
  <c r="CU87" i="229"/>
  <c r="CU89" i="229" s="1"/>
  <c r="CU239" i="229" s="1"/>
  <c r="CU221" i="229"/>
  <c r="AD283" i="229" s="1"/>
  <c r="AD327" i="229" s="1"/>
  <c r="CV95" i="229"/>
  <c r="CU98" i="229"/>
  <c r="CU100" i="229" s="1"/>
  <c r="CU240" i="229" s="1"/>
  <c r="CV85" i="229"/>
  <c r="CV201" i="229" s="1"/>
  <c r="CN75" i="229" l="1"/>
  <c r="CO73" i="229" s="1"/>
  <c r="CV32" i="229"/>
  <c r="CV34" i="229" s="1"/>
  <c r="CV234" i="229" s="1"/>
  <c r="CW29" i="229"/>
  <c r="CW30" i="229" s="1"/>
  <c r="CW196" i="229" s="1"/>
  <c r="CQ225" i="229"/>
  <c r="AC287" i="229" s="1"/>
  <c r="AC331" i="229" s="1"/>
  <c r="CT62" i="229"/>
  <c r="CT63" i="229" s="1"/>
  <c r="CT199" i="229" s="1"/>
  <c r="CR139" i="229"/>
  <c r="CR140" i="229" s="1"/>
  <c r="CR206" i="229" s="1"/>
  <c r="CP119" i="229"/>
  <c r="CQ117" i="229" s="1"/>
  <c r="CS218" i="229"/>
  <c r="CW43" i="229"/>
  <c r="CW45" i="229" s="1"/>
  <c r="CW235" i="229" s="1"/>
  <c r="CW216" i="229"/>
  <c r="CS185" i="229"/>
  <c r="CT183" i="229" s="1"/>
  <c r="CS129" i="229"/>
  <c r="CS205" i="229" s="1"/>
  <c r="CX41" i="229"/>
  <c r="CX197" i="229" s="1"/>
  <c r="CR164" i="229"/>
  <c r="CR166" i="229" s="1"/>
  <c r="CR246" i="229" s="1"/>
  <c r="CS161" i="229"/>
  <c r="CR227" i="229"/>
  <c r="CS53" i="229"/>
  <c r="CR106" i="229"/>
  <c r="CQ222" i="229"/>
  <c r="AC284" i="229" s="1"/>
  <c r="AC328" i="229" s="1"/>
  <c r="CQ109" i="229"/>
  <c r="CQ111" i="229" s="1"/>
  <c r="CQ241" i="229" s="1"/>
  <c r="CR151" i="229"/>
  <c r="CR207" i="229" s="1"/>
  <c r="CQ174" i="229"/>
  <c r="CN219" i="229"/>
  <c r="CN76" i="229"/>
  <c r="CN78" i="229" s="1"/>
  <c r="CN238" i="229" s="1"/>
  <c r="CV96" i="229"/>
  <c r="CV202" i="229" s="1"/>
  <c r="CV86" i="229"/>
  <c r="CP120" i="229" l="1"/>
  <c r="CP122" i="229" s="1"/>
  <c r="CP242" i="229" s="1"/>
  <c r="CP223" i="229"/>
  <c r="CS186" i="229"/>
  <c r="CS188" i="229" s="1"/>
  <c r="CS248" i="229" s="1"/>
  <c r="CS229" i="229"/>
  <c r="CR141" i="229"/>
  <c r="CR225" i="229" s="1"/>
  <c r="CX42" i="229"/>
  <c r="CX216" i="229" s="1"/>
  <c r="CS130" i="229"/>
  <c r="CT128" i="229" s="1"/>
  <c r="CT184" i="229"/>
  <c r="CT210" i="229" s="1"/>
  <c r="CT51" i="229"/>
  <c r="CS217" i="229"/>
  <c r="CS54" i="229"/>
  <c r="CS56" i="229" s="1"/>
  <c r="CS236" i="229" s="1"/>
  <c r="CO74" i="229"/>
  <c r="CO200" i="229" s="1"/>
  <c r="CR107" i="229"/>
  <c r="CR203" i="229" s="1"/>
  <c r="CW31" i="229"/>
  <c r="CS162" i="229"/>
  <c r="CS208" i="229" s="1"/>
  <c r="CQ228" i="229"/>
  <c r="AC290" i="229" s="1"/>
  <c r="AC334" i="229" s="1"/>
  <c r="CR172" i="229"/>
  <c r="CQ175" i="229"/>
  <c r="CQ177" i="229" s="1"/>
  <c r="CQ247" i="229" s="1"/>
  <c r="CR152" i="229"/>
  <c r="CQ118" i="229"/>
  <c r="CQ204" i="229" s="1"/>
  <c r="CT64" i="229"/>
  <c r="CV97" i="229"/>
  <c r="CW84" i="229"/>
  <c r="CV220" i="229"/>
  <c r="CV87" i="229"/>
  <c r="CV89" i="229" s="1"/>
  <c r="CV239" i="229" s="1"/>
  <c r="CO75" i="229" l="1"/>
  <c r="CP73" i="229" s="1"/>
  <c r="CX43" i="229"/>
  <c r="CX45" i="229" s="1"/>
  <c r="CX235" i="229" s="1"/>
  <c r="CY40" i="229"/>
  <c r="CY41" i="229" s="1"/>
  <c r="CY197" i="229" s="1"/>
  <c r="CR142" i="229"/>
  <c r="CR144" i="229" s="1"/>
  <c r="CR244" i="229" s="1"/>
  <c r="CS139" i="229"/>
  <c r="CS140" i="229" s="1"/>
  <c r="CS206" i="229" s="1"/>
  <c r="CS131" i="229"/>
  <c r="CS133" i="229" s="1"/>
  <c r="CS243" i="229" s="1"/>
  <c r="CS163" i="229"/>
  <c r="CS227" i="229" s="1"/>
  <c r="CS224" i="229"/>
  <c r="CT185" i="229"/>
  <c r="CT229" i="229" s="1"/>
  <c r="CQ119" i="229"/>
  <c r="CR117" i="229" s="1"/>
  <c r="CR108" i="229"/>
  <c r="CR222" i="229" s="1"/>
  <c r="CU62" i="229"/>
  <c r="CT218" i="229"/>
  <c r="CT65" i="229"/>
  <c r="CT67" i="229" s="1"/>
  <c r="CT237" i="229" s="1"/>
  <c r="CR173" i="229"/>
  <c r="CR209" i="229" s="1"/>
  <c r="CT129" i="229"/>
  <c r="CT205" i="229" s="1"/>
  <c r="CW215" i="229"/>
  <c r="CX29" i="229"/>
  <c r="CW32" i="229"/>
  <c r="CW34" i="229" s="1"/>
  <c r="CW234" i="229" s="1"/>
  <c r="CT52" i="229"/>
  <c r="CT198" i="229" s="1"/>
  <c r="CR226" i="229"/>
  <c r="CS150" i="229"/>
  <c r="CR153" i="229"/>
  <c r="CR155" i="229" s="1"/>
  <c r="CR245" i="229" s="1"/>
  <c r="CV221" i="229"/>
  <c r="CW95" i="229"/>
  <c r="CV98" i="229"/>
  <c r="CV100" i="229" s="1"/>
  <c r="CV240" i="229" s="1"/>
  <c r="CW85" i="229"/>
  <c r="CW201" i="229" s="1"/>
  <c r="CO76" i="229" l="1"/>
  <c r="CO78" i="229" s="1"/>
  <c r="CO238" i="229" s="1"/>
  <c r="CO219" i="229"/>
  <c r="CU183" i="229"/>
  <c r="CS164" i="229"/>
  <c r="CS166" i="229" s="1"/>
  <c r="CS246" i="229" s="1"/>
  <c r="CT161" i="229"/>
  <c r="CT162" i="229" s="1"/>
  <c r="CT208" i="229" s="1"/>
  <c r="CR174" i="229"/>
  <c r="CS172" i="229" s="1"/>
  <c r="CT186" i="229"/>
  <c r="CT188" i="229" s="1"/>
  <c r="CT248" i="229" s="1"/>
  <c r="CQ120" i="229"/>
  <c r="CQ122" i="229" s="1"/>
  <c r="CQ242" i="229" s="1"/>
  <c r="CR109" i="229"/>
  <c r="CR111" i="229" s="1"/>
  <c r="CR241" i="229" s="1"/>
  <c r="CQ223" i="229"/>
  <c r="AC285" i="229" s="1"/>
  <c r="AC329" i="229" s="1"/>
  <c r="AC336" i="229" s="1"/>
  <c r="CS106" i="229"/>
  <c r="CS107" i="229" s="1"/>
  <c r="CS203" i="229" s="1"/>
  <c r="CY42" i="229"/>
  <c r="CY216" i="229" s="1"/>
  <c r="AE278" i="229" s="1"/>
  <c r="AE322" i="229" s="1"/>
  <c r="CT130" i="229"/>
  <c r="CT131" i="229" s="1"/>
  <c r="CT133" i="229" s="1"/>
  <c r="CT243" i="229" s="1"/>
  <c r="CS141" i="229"/>
  <c r="CS142" i="229" s="1"/>
  <c r="CS144" i="229" s="1"/>
  <c r="CS244" i="229" s="1"/>
  <c r="CX30" i="229"/>
  <c r="CX196" i="229" s="1"/>
  <c r="CS151" i="229"/>
  <c r="CS207" i="229" s="1"/>
  <c r="CU63" i="229"/>
  <c r="CU199" i="229" s="1"/>
  <c r="CT53" i="229"/>
  <c r="CU184" i="229"/>
  <c r="CU210" i="229" s="1"/>
  <c r="CR118" i="229"/>
  <c r="CR204" i="229" s="1"/>
  <c r="CP74" i="229"/>
  <c r="CP200" i="229" s="1"/>
  <c r="CW86" i="229"/>
  <c r="CW220" i="229" s="1"/>
  <c r="CW96" i="229"/>
  <c r="CW202" i="229" s="1"/>
  <c r="CS152" i="229" l="1"/>
  <c r="CS226" i="229" s="1"/>
  <c r="CR175" i="229"/>
  <c r="CR177" i="229" s="1"/>
  <c r="CR247" i="229" s="1"/>
  <c r="CR228" i="229"/>
  <c r="CZ40" i="229"/>
  <c r="CZ41" i="229" s="1"/>
  <c r="CZ197" i="229" s="1"/>
  <c r="CS225" i="229"/>
  <c r="CT139" i="229"/>
  <c r="CT140" i="229" s="1"/>
  <c r="CT206" i="229" s="1"/>
  <c r="CY43" i="229"/>
  <c r="CY45" i="229" s="1"/>
  <c r="CY235" i="229" s="1"/>
  <c r="CX31" i="229"/>
  <c r="CY29" i="229" s="1"/>
  <c r="CU128" i="229"/>
  <c r="CU129" i="229" s="1"/>
  <c r="CU205" i="229" s="1"/>
  <c r="CT224" i="229"/>
  <c r="CU64" i="229"/>
  <c r="CV62" i="229" s="1"/>
  <c r="CT163" i="229"/>
  <c r="CU161" i="229" s="1"/>
  <c r="CR119" i="229"/>
  <c r="CR223" i="229" s="1"/>
  <c r="CS108" i="229"/>
  <c r="CS222" i="229" s="1"/>
  <c r="CU185" i="229"/>
  <c r="CU186" i="229" s="1"/>
  <c r="CU188" i="229" s="1"/>
  <c r="CU248" i="229" s="1"/>
  <c r="CS173" i="229"/>
  <c r="CS209" i="229" s="1"/>
  <c r="CT150" i="229"/>
  <c r="CU51" i="229"/>
  <c r="CT217" i="229"/>
  <c r="CT54" i="229"/>
  <c r="CT56" i="229" s="1"/>
  <c r="CT236" i="229" s="1"/>
  <c r="CP75" i="229"/>
  <c r="CW87" i="229"/>
  <c r="CW89" i="229" s="1"/>
  <c r="CW239" i="229" s="1"/>
  <c r="CX84" i="229"/>
  <c r="CX85" i="229" s="1"/>
  <c r="CX201" i="229" s="1"/>
  <c r="CW97" i="229"/>
  <c r="CS153" i="229" l="1"/>
  <c r="CS155" i="229" s="1"/>
  <c r="CS245" i="229" s="1"/>
  <c r="CX32" i="229"/>
  <c r="CX34" i="229" s="1"/>
  <c r="CX234" i="229" s="1"/>
  <c r="CX215" i="229"/>
  <c r="CS117" i="229"/>
  <c r="CT227" i="229"/>
  <c r="CU65" i="229"/>
  <c r="CU67" i="229" s="1"/>
  <c r="CU237" i="229" s="1"/>
  <c r="CT164" i="229"/>
  <c r="CT166" i="229" s="1"/>
  <c r="CT246" i="229" s="1"/>
  <c r="CS109" i="229"/>
  <c r="CS111" i="229" s="1"/>
  <c r="CS241" i="229" s="1"/>
  <c r="CU218" i="229"/>
  <c r="AD280" i="229" s="1"/>
  <c r="AD324" i="229" s="1"/>
  <c r="CT106" i="229"/>
  <c r="CT107" i="229" s="1"/>
  <c r="CT203" i="229" s="1"/>
  <c r="CR120" i="229"/>
  <c r="CR122" i="229" s="1"/>
  <c r="CR242" i="229" s="1"/>
  <c r="CS174" i="229"/>
  <c r="CS228" i="229" s="1"/>
  <c r="CT141" i="229"/>
  <c r="CU139" i="229" s="1"/>
  <c r="CU130" i="229"/>
  <c r="CV128" i="229" s="1"/>
  <c r="CV183" i="229"/>
  <c r="CV184" i="229" s="1"/>
  <c r="CV210" i="229" s="1"/>
  <c r="CU229" i="229"/>
  <c r="AD291" i="229" s="1"/>
  <c r="AD335" i="229" s="1"/>
  <c r="CZ42" i="229"/>
  <c r="CU52" i="229"/>
  <c r="CU198" i="229" s="1"/>
  <c r="CT151" i="229"/>
  <c r="CT207" i="229" s="1"/>
  <c r="CP219" i="229"/>
  <c r="CQ73" i="229"/>
  <c r="CP76" i="229"/>
  <c r="CP78" i="229" s="1"/>
  <c r="CP238" i="229" s="1"/>
  <c r="CU162" i="229"/>
  <c r="CU208" i="229" s="1"/>
  <c r="CS118" i="229"/>
  <c r="CS204" i="229" s="1"/>
  <c r="CV63" i="229"/>
  <c r="CV199" i="229" s="1"/>
  <c r="CY30" i="229"/>
  <c r="CY196" i="229" s="1"/>
  <c r="CW221" i="229"/>
  <c r="CX95" i="229"/>
  <c r="CW98" i="229"/>
  <c r="CW100" i="229" s="1"/>
  <c r="CW240" i="229" s="1"/>
  <c r="CX86" i="229"/>
  <c r="CT225" i="229" l="1"/>
  <c r="CU224" i="229"/>
  <c r="AD286" i="229" s="1"/>
  <c r="AD330" i="229" s="1"/>
  <c r="CS175" i="229"/>
  <c r="CS177" i="229" s="1"/>
  <c r="CS247" i="229" s="1"/>
  <c r="CT172" i="229"/>
  <c r="CT173" i="229" s="1"/>
  <c r="CT209" i="229" s="1"/>
  <c r="CU131" i="229"/>
  <c r="CU133" i="229" s="1"/>
  <c r="CU243" i="229" s="1"/>
  <c r="CT142" i="229"/>
  <c r="CT144" i="229" s="1"/>
  <c r="CT244" i="229" s="1"/>
  <c r="CV64" i="229"/>
  <c r="CW62" i="229" s="1"/>
  <c r="CY31" i="229"/>
  <c r="CY215" i="229" s="1"/>
  <c r="AE277" i="229" s="1"/>
  <c r="AE321" i="229" s="1"/>
  <c r="CT108" i="229"/>
  <c r="CT222" i="229" s="1"/>
  <c r="CT152" i="229"/>
  <c r="CT153" i="229" s="1"/>
  <c r="CT155" i="229" s="1"/>
  <c r="CT245" i="229" s="1"/>
  <c r="CU163" i="229"/>
  <c r="CV129" i="229"/>
  <c r="CV205" i="229" s="1"/>
  <c r="DA40" i="229"/>
  <c r="CZ216" i="229"/>
  <c r="CZ43" i="229"/>
  <c r="CZ45" i="229" s="1"/>
  <c r="CZ235" i="229" s="1"/>
  <c r="CV185" i="229"/>
  <c r="CQ74" i="229"/>
  <c r="CQ200" i="229" s="1"/>
  <c r="CU140" i="229"/>
  <c r="CU206" i="229" s="1"/>
  <c r="CS119" i="229"/>
  <c r="CU53" i="229"/>
  <c r="CX96" i="229"/>
  <c r="CX202" i="229" s="1"/>
  <c r="CY84" i="229"/>
  <c r="CX220" i="229"/>
  <c r="CX87" i="229"/>
  <c r="CX89" i="229" s="1"/>
  <c r="CX239" i="229" s="1"/>
  <c r="CV65" i="229" l="1"/>
  <c r="CV67" i="229" s="1"/>
  <c r="CV237" i="229" s="1"/>
  <c r="CU106" i="229"/>
  <c r="CT109" i="229"/>
  <c r="CT111" i="229" s="1"/>
  <c r="CT241" i="229" s="1"/>
  <c r="CV218" i="229"/>
  <c r="CZ29" i="229"/>
  <c r="CY32" i="229"/>
  <c r="CY34" i="229" s="1"/>
  <c r="CY234" i="229" s="1"/>
  <c r="CQ75" i="229"/>
  <c r="CQ219" i="229" s="1"/>
  <c r="AC281" i="229" s="1"/>
  <c r="AC325" i="229" s="1"/>
  <c r="AC320" i="229" s="1"/>
  <c r="CT226" i="229"/>
  <c r="CU150" i="229"/>
  <c r="CU151" i="229" s="1"/>
  <c r="CU207" i="229" s="1"/>
  <c r="CT174" i="229"/>
  <c r="CU172" i="229" s="1"/>
  <c r="CU141" i="229"/>
  <c r="CV139" i="229" s="1"/>
  <c r="CV130" i="229"/>
  <c r="CV224" i="229" s="1"/>
  <c r="CU217" i="229"/>
  <c r="AD279" i="229" s="1"/>
  <c r="AD323" i="229" s="1"/>
  <c r="CV51" i="229"/>
  <c r="CU54" i="229"/>
  <c r="CU56" i="229" s="1"/>
  <c r="CU236" i="229" s="1"/>
  <c r="CZ30" i="229"/>
  <c r="CZ196" i="229" s="1"/>
  <c r="DA41" i="229"/>
  <c r="DA197" i="229" s="1"/>
  <c r="CS223" i="229"/>
  <c r="CT117" i="229"/>
  <c r="CS120" i="229"/>
  <c r="CS122" i="229" s="1"/>
  <c r="CS242" i="229" s="1"/>
  <c r="CW63" i="229"/>
  <c r="CW199" i="229" s="1"/>
  <c r="CU107" i="229"/>
  <c r="CU203" i="229" s="1"/>
  <c r="CV161" i="229"/>
  <c r="CU227" i="229"/>
  <c r="AD289" i="229" s="1"/>
  <c r="AD333" i="229" s="1"/>
  <c r="CU164" i="229"/>
  <c r="CU166" i="229" s="1"/>
  <c r="CU246" i="229" s="1"/>
  <c r="CV229" i="229"/>
  <c r="CV186" i="229"/>
  <c r="CV188" i="229" s="1"/>
  <c r="CV248" i="229" s="1"/>
  <c r="CW183" i="229"/>
  <c r="CT228" i="229"/>
  <c r="CT175" i="229"/>
  <c r="CT177" i="229" s="1"/>
  <c r="CT247" i="229" s="1"/>
  <c r="CX97" i="229"/>
  <c r="CY85" i="229"/>
  <c r="CY201" i="229" s="1"/>
  <c r="CU225" i="229" l="1"/>
  <c r="AD287" i="229" s="1"/>
  <c r="AD331" i="229" s="1"/>
  <c r="CQ76" i="229"/>
  <c r="CQ78" i="229" s="1"/>
  <c r="CQ238" i="229" s="1"/>
  <c r="CR73" i="229"/>
  <c r="CU142" i="229"/>
  <c r="CU144" i="229" s="1"/>
  <c r="CU244" i="229" s="1"/>
  <c r="CZ31" i="229"/>
  <c r="CZ215" i="229" s="1"/>
  <c r="CV131" i="229"/>
  <c r="CV133" i="229" s="1"/>
  <c r="CV243" i="229" s="1"/>
  <c r="CW128" i="229"/>
  <c r="CW129" i="229" s="1"/>
  <c r="CW205" i="229" s="1"/>
  <c r="CU108" i="229"/>
  <c r="CU109" i="229" s="1"/>
  <c r="CU111" i="229" s="1"/>
  <c r="CU241" i="229" s="1"/>
  <c r="CU152" i="229"/>
  <c r="CU226" i="229" s="1"/>
  <c r="AD288" i="229" s="1"/>
  <c r="AD332" i="229" s="1"/>
  <c r="DA42" i="229"/>
  <c r="DA43" i="229" s="1"/>
  <c r="DA45" i="229" s="1"/>
  <c r="DA235" i="229" s="1"/>
  <c r="CR74" i="229"/>
  <c r="CR200" i="229" s="1"/>
  <c r="CT118" i="229"/>
  <c r="CT204" i="229" s="1"/>
  <c r="DA29" i="229"/>
  <c r="CV140" i="229"/>
  <c r="CV206" i="229" s="1"/>
  <c r="CV162" i="229"/>
  <c r="CV208" i="229" s="1"/>
  <c r="CU173" i="229"/>
  <c r="CU209" i="229" s="1"/>
  <c r="CW184" i="229"/>
  <c r="CW210" i="229" s="1"/>
  <c r="CW64" i="229"/>
  <c r="CV52" i="229"/>
  <c r="CV198" i="229" s="1"/>
  <c r="CY86" i="229"/>
  <c r="CY220" i="229" s="1"/>
  <c r="AE282" i="229" s="1"/>
  <c r="AE326" i="229" s="1"/>
  <c r="CX221" i="229"/>
  <c r="CY95" i="229"/>
  <c r="CX98" i="229"/>
  <c r="CX100" i="229" s="1"/>
  <c r="CX240" i="229" s="1"/>
  <c r="CZ32" i="229" l="1"/>
  <c r="CZ34" i="229" s="1"/>
  <c r="CZ234" i="229" s="1"/>
  <c r="CU222" i="229"/>
  <c r="AD284" i="229" s="1"/>
  <c r="AD328" i="229" s="1"/>
  <c r="CV106" i="229"/>
  <c r="CV107" i="229" s="1"/>
  <c r="CV203" i="229" s="1"/>
  <c r="DB40" i="229"/>
  <c r="DB41" i="229" s="1"/>
  <c r="DB197" i="229" s="1"/>
  <c r="DA216" i="229"/>
  <c r="CU153" i="229"/>
  <c r="CU155" i="229" s="1"/>
  <c r="CU245" i="229" s="1"/>
  <c r="CV150" i="229"/>
  <c r="CV151" i="229" s="1"/>
  <c r="CV207" i="229" s="1"/>
  <c r="CR75" i="229"/>
  <c r="CR76" i="229" s="1"/>
  <c r="CR78" i="229" s="1"/>
  <c r="CR238" i="229" s="1"/>
  <c r="CT119" i="229"/>
  <c r="CT223" i="229" s="1"/>
  <c r="CW130" i="229"/>
  <c r="CX128" i="229" s="1"/>
  <c r="CV163" i="229"/>
  <c r="CV227" i="229" s="1"/>
  <c r="CV53" i="229"/>
  <c r="CV54" i="229" s="1"/>
  <c r="CV56" i="229" s="1"/>
  <c r="CV236" i="229" s="1"/>
  <c r="DA30" i="229"/>
  <c r="DA196" i="229" s="1"/>
  <c r="CX62" i="229"/>
  <c r="CW218" i="229"/>
  <c r="CW65" i="229"/>
  <c r="CW67" i="229" s="1"/>
  <c r="CW237" i="229" s="1"/>
  <c r="CW185" i="229"/>
  <c r="CU174" i="229"/>
  <c r="CV141" i="229"/>
  <c r="CY87" i="229"/>
  <c r="CY89" i="229" s="1"/>
  <c r="CY239" i="229" s="1"/>
  <c r="CZ84" i="229"/>
  <c r="CZ85" i="229" s="1"/>
  <c r="CZ201" i="229" s="1"/>
  <c r="CY96" i="229"/>
  <c r="CY202" i="229" s="1"/>
  <c r="CR219" i="229" l="1"/>
  <c r="CS73" i="229"/>
  <c r="CS74" i="229" s="1"/>
  <c r="CS200" i="229" s="1"/>
  <c r="CV164" i="229"/>
  <c r="CV166" i="229" s="1"/>
  <c r="CV246" i="229" s="1"/>
  <c r="CT120" i="229"/>
  <c r="CT122" i="229" s="1"/>
  <c r="CT242" i="229" s="1"/>
  <c r="CU117" i="229"/>
  <c r="CU118" i="229" s="1"/>
  <c r="CU204" i="229" s="1"/>
  <c r="CV217" i="229"/>
  <c r="CW51" i="229"/>
  <c r="CW52" i="229" s="1"/>
  <c r="CW198" i="229" s="1"/>
  <c r="CW131" i="229"/>
  <c r="CW133" i="229" s="1"/>
  <c r="CW243" i="229" s="1"/>
  <c r="CW161" i="229"/>
  <c r="CW162" i="229" s="1"/>
  <c r="CW208" i="229" s="1"/>
  <c r="CW224" i="229"/>
  <c r="CV108" i="229"/>
  <c r="CW106" i="229" s="1"/>
  <c r="CV152" i="229"/>
  <c r="CW150" i="229" s="1"/>
  <c r="CX63" i="229"/>
  <c r="CX199" i="229" s="1"/>
  <c r="CX129" i="229"/>
  <c r="CX205" i="229" s="1"/>
  <c r="DA31" i="229"/>
  <c r="DB42" i="229"/>
  <c r="CX183" i="229"/>
  <c r="CW229" i="229"/>
  <c r="CW186" i="229"/>
  <c r="CW188" i="229" s="1"/>
  <c r="CW248" i="229" s="1"/>
  <c r="CV225" i="229"/>
  <c r="CW139" i="229"/>
  <c r="CV142" i="229"/>
  <c r="CV144" i="229" s="1"/>
  <c r="CV244" i="229" s="1"/>
  <c r="CV172" i="229"/>
  <c r="CU228" i="229"/>
  <c r="AD290" i="229" s="1"/>
  <c r="AD334" i="229" s="1"/>
  <c r="CU175" i="229"/>
  <c r="CU177" i="229" s="1"/>
  <c r="CU247" i="229" s="1"/>
  <c r="CZ86" i="229"/>
  <c r="DA84" i="229" s="1"/>
  <c r="CY97" i="229"/>
  <c r="CV222" i="229" l="1"/>
  <c r="CV109" i="229"/>
  <c r="CV111" i="229" s="1"/>
  <c r="CV241" i="229" s="1"/>
  <c r="CX64" i="229"/>
  <c r="CY62" i="229" s="1"/>
  <c r="CV153" i="229"/>
  <c r="CV155" i="229" s="1"/>
  <c r="CV245" i="229" s="1"/>
  <c r="CW163" i="229"/>
  <c r="CW227" i="229" s="1"/>
  <c r="CV226" i="229"/>
  <c r="CU119" i="229"/>
  <c r="CV117" i="229" s="1"/>
  <c r="CX130" i="229"/>
  <c r="CX131" i="229" s="1"/>
  <c r="CX133" i="229" s="1"/>
  <c r="CX243" i="229" s="1"/>
  <c r="CS75" i="229"/>
  <c r="CS76" i="229" s="1"/>
  <c r="CS78" i="229" s="1"/>
  <c r="CS238" i="229" s="1"/>
  <c r="DC40" i="229"/>
  <c r="DB216" i="229"/>
  <c r="DB43" i="229"/>
  <c r="DB45" i="229" s="1"/>
  <c r="DB235" i="229" s="1"/>
  <c r="DA32" i="229"/>
  <c r="DA34" i="229" s="1"/>
  <c r="DA234" i="229" s="1"/>
  <c r="DA215" i="229"/>
  <c r="DB29" i="229"/>
  <c r="CV173" i="229"/>
  <c r="CV209" i="229" s="1"/>
  <c r="CW107" i="229"/>
  <c r="CW203" i="229" s="1"/>
  <c r="CW53" i="229"/>
  <c r="CW140" i="229"/>
  <c r="CW206" i="229" s="1"/>
  <c r="CX184" i="229"/>
  <c r="CX210" i="229" s="1"/>
  <c r="CW151" i="229"/>
  <c r="CW207" i="229" s="1"/>
  <c r="CZ87" i="229"/>
  <c r="CZ89" i="229" s="1"/>
  <c r="CZ239" i="229" s="1"/>
  <c r="CZ220" i="229"/>
  <c r="CY221" i="229"/>
  <c r="AE283" i="229" s="1"/>
  <c r="AE327" i="229" s="1"/>
  <c r="CZ95" i="229"/>
  <c r="CY98" i="229"/>
  <c r="CY100" i="229" s="1"/>
  <c r="CY240" i="229" s="1"/>
  <c r="DA85" i="229"/>
  <c r="DA201" i="229" s="1"/>
  <c r="CX65" i="229" l="1"/>
  <c r="CX67" i="229" s="1"/>
  <c r="CX237" i="229" s="1"/>
  <c r="CX218" i="229"/>
  <c r="CV174" i="229"/>
  <c r="CW172" i="229" s="1"/>
  <c r="CU223" i="229"/>
  <c r="AD285" i="229" s="1"/>
  <c r="AD329" i="229" s="1"/>
  <c r="AD336" i="229" s="1"/>
  <c r="CW164" i="229"/>
  <c r="CW166" i="229" s="1"/>
  <c r="CW246" i="229" s="1"/>
  <c r="CX161" i="229"/>
  <c r="CX162" i="229" s="1"/>
  <c r="CX208" i="229" s="1"/>
  <c r="CY128" i="229"/>
  <c r="CY129" i="229" s="1"/>
  <c r="CY205" i="229" s="1"/>
  <c r="CU120" i="229"/>
  <c r="CU122" i="229" s="1"/>
  <c r="CU242" i="229" s="1"/>
  <c r="CX224" i="229"/>
  <c r="CT73" i="229"/>
  <c r="CT74" i="229" s="1"/>
  <c r="CT200" i="229" s="1"/>
  <c r="CW108" i="229"/>
  <c r="CX106" i="229" s="1"/>
  <c r="CS219" i="229"/>
  <c r="CW217" i="229"/>
  <c r="CX51" i="229"/>
  <c r="CW54" i="229"/>
  <c r="CW56" i="229" s="1"/>
  <c r="CW236" i="229" s="1"/>
  <c r="CW152" i="229"/>
  <c r="CV118" i="229"/>
  <c r="CV204" i="229" s="1"/>
  <c r="CX185" i="229"/>
  <c r="CY63" i="229"/>
  <c r="CY199" i="229" s="1"/>
  <c r="CV228" i="229"/>
  <c r="DB30" i="229"/>
  <c r="DB196" i="229" s="1"/>
  <c r="CW141" i="229"/>
  <c r="DC41" i="229"/>
  <c r="DC197" i="229" s="1"/>
  <c r="DA86" i="229"/>
  <c r="DA87" i="229" s="1"/>
  <c r="DA89" i="229" s="1"/>
  <c r="DA239" i="229" s="1"/>
  <c r="CZ96" i="229"/>
  <c r="CZ202" i="229" s="1"/>
  <c r="CV175" i="229" l="1"/>
  <c r="CV177" i="229" s="1"/>
  <c r="CV247" i="229" s="1"/>
  <c r="CZ97" i="229"/>
  <c r="CT75" i="229"/>
  <c r="CU73" i="229" s="1"/>
  <c r="DB31" i="229"/>
  <c r="DB215" i="229" s="1"/>
  <c r="CX163" i="229"/>
  <c r="CX227" i="229" s="1"/>
  <c r="CW109" i="229"/>
  <c r="CW111" i="229" s="1"/>
  <c r="CW241" i="229" s="1"/>
  <c r="CW222" i="229"/>
  <c r="CY64" i="229"/>
  <c r="CY218" i="229" s="1"/>
  <c r="AE280" i="229" s="1"/>
  <c r="AE324" i="229" s="1"/>
  <c r="CY130" i="229"/>
  <c r="CZ128" i="229" s="1"/>
  <c r="DC42" i="229"/>
  <c r="DC43" i="229" s="1"/>
  <c r="DC45" i="229" s="1"/>
  <c r="DC235" i="229" s="1"/>
  <c r="CV119" i="229"/>
  <c r="CW117" i="229" s="1"/>
  <c r="CW225" i="229"/>
  <c r="CX139" i="229"/>
  <c r="CW142" i="229"/>
  <c r="CW144" i="229" s="1"/>
  <c r="CW244" i="229" s="1"/>
  <c r="CX229" i="229"/>
  <c r="CY183" i="229"/>
  <c r="CX186" i="229"/>
  <c r="CX188" i="229" s="1"/>
  <c r="CX248" i="229" s="1"/>
  <c r="CX107" i="229"/>
  <c r="CX203" i="229" s="1"/>
  <c r="CW173" i="229"/>
  <c r="CW209" i="229" s="1"/>
  <c r="CX52" i="229"/>
  <c r="CX198" i="229" s="1"/>
  <c r="CX150" i="229"/>
  <c r="CW226" i="229"/>
  <c r="CW153" i="229"/>
  <c r="CW155" i="229" s="1"/>
  <c r="CW245" i="229" s="1"/>
  <c r="DA220" i="229"/>
  <c r="DB84" i="229"/>
  <c r="DB85" i="229" s="1"/>
  <c r="DB201" i="229" s="1"/>
  <c r="CZ221" i="229"/>
  <c r="DA95" i="229"/>
  <c r="CZ98" i="229"/>
  <c r="CZ100" i="229" s="1"/>
  <c r="CZ240" i="229" s="1"/>
  <c r="CT219" i="229" l="1"/>
  <c r="CX164" i="229"/>
  <c r="CX166" i="229" s="1"/>
  <c r="CX246" i="229" s="1"/>
  <c r="CT76" i="229"/>
  <c r="CT78" i="229" s="1"/>
  <c r="CT238" i="229" s="1"/>
  <c r="DB32" i="229"/>
  <c r="DB34" i="229" s="1"/>
  <c r="DB234" i="229" s="1"/>
  <c r="DC29" i="229"/>
  <c r="CY161" i="229"/>
  <c r="CY162" i="229" s="1"/>
  <c r="CY208" i="229" s="1"/>
  <c r="CY131" i="229"/>
  <c r="CY133" i="229" s="1"/>
  <c r="CY243" i="229" s="1"/>
  <c r="CY224" i="229"/>
  <c r="AE286" i="229" s="1"/>
  <c r="AE330" i="229" s="1"/>
  <c r="CZ62" i="229"/>
  <c r="CZ63" i="229" s="1"/>
  <c r="CZ199" i="229" s="1"/>
  <c r="DC216" i="229"/>
  <c r="AF278" i="229" s="1"/>
  <c r="AF322" i="229" s="1"/>
  <c r="CY65" i="229"/>
  <c r="CY67" i="229" s="1"/>
  <c r="CY237" i="229" s="1"/>
  <c r="CX53" i="229"/>
  <c r="CX217" i="229" s="1"/>
  <c r="DD40" i="229"/>
  <c r="DD41" i="229" s="1"/>
  <c r="DD197" i="229" s="1"/>
  <c r="CV120" i="229"/>
  <c r="CV122" i="229" s="1"/>
  <c r="CV242" i="229" s="1"/>
  <c r="CV223" i="229"/>
  <c r="CX108" i="229"/>
  <c r="CW174" i="229"/>
  <c r="CY184" i="229"/>
  <c r="CY210" i="229" s="1"/>
  <c r="CU74" i="229"/>
  <c r="CU200" i="229" s="1"/>
  <c r="CW118" i="229"/>
  <c r="CW204" i="229" s="1"/>
  <c r="CX140" i="229"/>
  <c r="CX206" i="229" s="1"/>
  <c r="CX151" i="229"/>
  <c r="CX207" i="229" s="1"/>
  <c r="CZ129" i="229"/>
  <c r="CZ205" i="229" s="1"/>
  <c r="DC30" i="229"/>
  <c r="DC196" i="229" s="1"/>
  <c r="DB86" i="229"/>
  <c r="DB87" i="229" s="1"/>
  <c r="DB89" i="229" s="1"/>
  <c r="DB239" i="229" s="1"/>
  <c r="DA96" i="229"/>
  <c r="DA202" i="229" s="1"/>
  <c r="CY51" i="229" l="1"/>
  <c r="CX54" i="229"/>
  <c r="CX56" i="229" s="1"/>
  <c r="CX236" i="229" s="1"/>
  <c r="DC31" i="229"/>
  <c r="DC32" i="229" s="1"/>
  <c r="DC34" i="229" s="1"/>
  <c r="DC234" i="229" s="1"/>
  <c r="CY185" i="229"/>
  <c r="CY186" i="229" s="1"/>
  <c r="CY188" i="229" s="1"/>
  <c r="CY248" i="229" s="1"/>
  <c r="DD42" i="229"/>
  <c r="DD216" i="229" s="1"/>
  <c r="CY163" i="229"/>
  <c r="CY164" i="229" s="1"/>
  <c r="CY166" i="229" s="1"/>
  <c r="CY246" i="229" s="1"/>
  <c r="CX152" i="229"/>
  <c r="CX226" i="229" s="1"/>
  <c r="CU75" i="229"/>
  <c r="CU219" i="229" s="1"/>
  <c r="AD281" i="229" s="1"/>
  <c r="AD325" i="229" s="1"/>
  <c r="AD320" i="229" s="1"/>
  <c r="CX141" i="229"/>
  <c r="CX225" i="229" s="1"/>
  <c r="CZ130" i="229"/>
  <c r="CW119" i="229"/>
  <c r="CZ64" i="229"/>
  <c r="CW175" i="229"/>
  <c r="CW177" i="229" s="1"/>
  <c r="CW247" i="229" s="1"/>
  <c r="CW228" i="229"/>
  <c r="CX172" i="229"/>
  <c r="CX222" i="229"/>
  <c r="CY106" i="229"/>
  <c r="CX109" i="229"/>
  <c r="CX111" i="229" s="1"/>
  <c r="CX241" i="229" s="1"/>
  <c r="DC215" i="229"/>
  <c r="AF277" i="229" s="1"/>
  <c r="AF321" i="229" s="1"/>
  <c r="DD29" i="229"/>
  <c r="CY52" i="229"/>
  <c r="CY198" i="229" s="1"/>
  <c r="DB220" i="229"/>
  <c r="DC84" i="229"/>
  <c r="DC85" i="229" s="1"/>
  <c r="DC201" i="229" s="1"/>
  <c r="DA97" i="229"/>
  <c r="CZ161" i="229" l="1"/>
  <c r="CZ183" i="229"/>
  <c r="CY229" i="229"/>
  <c r="AE291" i="229" s="1"/>
  <c r="AE335" i="229" s="1"/>
  <c r="DD43" i="229"/>
  <c r="DD45" i="229" s="1"/>
  <c r="DD235" i="229" s="1"/>
  <c r="DE40" i="229"/>
  <c r="DE41" i="229" s="1"/>
  <c r="DE197" i="229" s="1"/>
  <c r="CY227" i="229"/>
  <c r="AE289" i="229" s="1"/>
  <c r="AE333" i="229" s="1"/>
  <c r="CX142" i="229"/>
  <c r="CX144" i="229" s="1"/>
  <c r="CX244" i="229" s="1"/>
  <c r="CU76" i="229"/>
  <c r="CU78" i="229" s="1"/>
  <c r="CU238" i="229" s="1"/>
  <c r="CY139" i="229"/>
  <c r="CY140" i="229" s="1"/>
  <c r="CY206" i="229" s="1"/>
  <c r="CV73" i="229"/>
  <c r="CV74" i="229" s="1"/>
  <c r="CX153" i="229"/>
  <c r="CX155" i="229" s="1"/>
  <c r="CX245" i="229" s="1"/>
  <c r="CY150" i="229"/>
  <c r="CY151" i="229" s="1"/>
  <c r="CY207" i="229" s="1"/>
  <c r="CY53" i="229"/>
  <c r="CY54" i="229" s="1"/>
  <c r="CY56" i="229" s="1"/>
  <c r="CY236" i="229" s="1"/>
  <c r="CZ162" i="229"/>
  <c r="CZ208" i="229" s="1"/>
  <c r="CX173" i="229"/>
  <c r="CX209" i="229" s="1"/>
  <c r="DD30" i="229"/>
  <c r="DD196" i="229" s="1"/>
  <c r="CZ218" i="229"/>
  <c r="DA62" i="229"/>
  <c r="CZ65" i="229"/>
  <c r="CZ67" i="229" s="1"/>
  <c r="CZ237" i="229" s="1"/>
  <c r="CZ184" i="229"/>
  <c r="CZ210" i="229" s="1"/>
  <c r="CW223" i="229"/>
  <c r="CX117" i="229"/>
  <c r="CW120" i="229"/>
  <c r="CW122" i="229" s="1"/>
  <c r="CW242" i="229" s="1"/>
  <c r="CY107" i="229"/>
  <c r="CY203" i="229" s="1"/>
  <c r="CZ224" i="229"/>
  <c r="DA128" i="229"/>
  <c r="CZ131" i="229"/>
  <c r="CZ133" i="229" s="1"/>
  <c r="CZ243" i="229" s="1"/>
  <c r="DA221" i="229"/>
  <c r="DB95" i="229"/>
  <c r="DA98" i="229"/>
  <c r="DA100" i="229" s="1"/>
  <c r="DA240" i="229" s="1"/>
  <c r="DC86" i="229"/>
  <c r="CV200" i="229" l="1"/>
  <c r="CV75" i="229"/>
  <c r="CW73" i="229" s="1"/>
  <c r="CZ51" i="229"/>
  <c r="CZ52" i="229" s="1"/>
  <c r="CZ198" i="229" s="1"/>
  <c r="CY217" i="229"/>
  <c r="AE279" i="229" s="1"/>
  <c r="AE323" i="229" s="1"/>
  <c r="CY141" i="229"/>
  <c r="CY142" i="229" s="1"/>
  <c r="CY144" i="229" s="1"/>
  <c r="CY244" i="229" s="1"/>
  <c r="DD31" i="229"/>
  <c r="DD215" i="229" s="1"/>
  <c r="CX174" i="229"/>
  <c r="CX228" i="229" s="1"/>
  <c r="CZ185" i="229"/>
  <c r="CZ229" i="229" s="1"/>
  <c r="CZ163" i="229"/>
  <c r="CZ227" i="229" s="1"/>
  <c r="CY108" i="229"/>
  <c r="CY222" i="229" s="1"/>
  <c r="AE284" i="229" s="1"/>
  <c r="AE328" i="229" s="1"/>
  <c r="DE42" i="229"/>
  <c r="DF40" i="229" s="1"/>
  <c r="DA129" i="229"/>
  <c r="DA205" i="229" s="1"/>
  <c r="CX118" i="229"/>
  <c r="CX204" i="229" s="1"/>
  <c r="DA63" i="229"/>
  <c r="DA199" i="229" s="1"/>
  <c r="CY152" i="229"/>
  <c r="CV219" i="229"/>
  <c r="DB96" i="229"/>
  <c r="DB202" i="229" s="1"/>
  <c r="DC220" i="229"/>
  <c r="AF282" i="229" s="1"/>
  <c r="AF326" i="229" s="1"/>
  <c r="DD84" i="229"/>
  <c r="DC87" i="229"/>
  <c r="DC89" i="229" s="1"/>
  <c r="DC239" i="229" s="1"/>
  <c r="DE43" i="229" l="1"/>
  <c r="DE45" i="229" s="1"/>
  <c r="DE235" i="229" s="1"/>
  <c r="DE216" i="229"/>
  <c r="CV76" i="229"/>
  <c r="CV78" i="229" s="1"/>
  <c r="CV238" i="229" s="1"/>
  <c r="DB97" i="229"/>
  <c r="CZ139" i="229"/>
  <c r="CZ140" i="229" s="1"/>
  <c r="CZ206" i="229" s="1"/>
  <c r="CY225" i="229"/>
  <c r="AE287" i="229" s="1"/>
  <c r="AE331" i="229" s="1"/>
  <c r="DE29" i="229"/>
  <c r="DE30" i="229" s="1"/>
  <c r="DE196" i="229" s="1"/>
  <c r="CX175" i="229"/>
  <c r="CX177" i="229" s="1"/>
  <c r="CX247" i="229" s="1"/>
  <c r="CY172" i="229"/>
  <c r="CY173" i="229" s="1"/>
  <c r="CY209" i="229" s="1"/>
  <c r="DA64" i="229"/>
  <c r="DB62" i="229" s="1"/>
  <c r="DD32" i="229"/>
  <c r="DD34" i="229" s="1"/>
  <c r="DD234" i="229" s="1"/>
  <c r="CZ53" i="229"/>
  <c r="CZ54" i="229" s="1"/>
  <c r="CZ56" i="229" s="1"/>
  <c r="CZ236" i="229" s="1"/>
  <c r="CZ186" i="229"/>
  <c r="CZ188" i="229" s="1"/>
  <c r="CZ248" i="229" s="1"/>
  <c r="DA161" i="229"/>
  <c r="DA162" i="229" s="1"/>
  <c r="CZ164" i="229"/>
  <c r="CZ166" i="229" s="1"/>
  <c r="CZ246" i="229" s="1"/>
  <c r="CY109" i="229"/>
  <c r="CY111" i="229" s="1"/>
  <c r="CY241" i="229" s="1"/>
  <c r="CZ106" i="229"/>
  <c r="CZ107" i="229" s="1"/>
  <c r="CZ203" i="229" s="1"/>
  <c r="DA183" i="229"/>
  <c r="DA184" i="229" s="1"/>
  <c r="DA210" i="229" s="1"/>
  <c r="DA130" i="229"/>
  <c r="DA224" i="229" s="1"/>
  <c r="CY226" i="229"/>
  <c r="AE288" i="229" s="1"/>
  <c r="AE332" i="229" s="1"/>
  <c r="CZ150" i="229"/>
  <c r="CY153" i="229"/>
  <c r="CY155" i="229" s="1"/>
  <c r="CY245" i="229" s="1"/>
  <c r="CX119" i="229"/>
  <c r="DF41" i="229"/>
  <c r="DF197" i="229" s="1"/>
  <c r="CW74" i="229"/>
  <c r="CW200" i="229" s="1"/>
  <c r="DB221" i="229"/>
  <c r="DC95" i="229"/>
  <c r="DB98" i="229"/>
  <c r="DB100" i="229" s="1"/>
  <c r="DB240" i="229" s="1"/>
  <c r="DD85" i="229"/>
  <c r="DD201" i="229" s="1"/>
  <c r="DA51" i="229" l="1"/>
  <c r="DA52" i="229" s="1"/>
  <c r="DA198" i="229" s="1"/>
  <c r="CZ217" i="229"/>
  <c r="DA65" i="229"/>
  <c r="DA67" i="229" s="1"/>
  <c r="DA237" i="229" s="1"/>
  <c r="DA218" i="229"/>
  <c r="DA208" i="229"/>
  <c r="DA163" i="229"/>
  <c r="DA164" i="229" s="1"/>
  <c r="DA166" i="229" s="1"/>
  <c r="DA246" i="229" s="1"/>
  <c r="DA131" i="229"/>
  <c r="DA133" i="229" s="1"/>
  <c r="DA243" i="229" s="1"/>
  <c r="DB128" i="229"/>
  <c r="DB129" i="229" s="1"/>
  <c r="DB205" i="229" s="1"/>
  <c r="CZ141" i="229"/>
  <c r="CZ225" i="229" s="1"/>
  <c r="CW75" i="229"/>
  <c r="CW219" i="229" s="1"/>
  <c r="CZ108" i="229"/>
  <c r="DA106" i="229" s="1"/>
  <c r="DA185" i="229"/>
  <c r="DA186" i="229" s="1"/>
  <c r="DA188" i="229" s="1"/>
  <c r="DA248" i="229" s="1"/>
  <c r="DE31" i="229"/>
  <c r="DF29" i="229" s="1"/>
  <c r="DB63" i="229"/>
  <c r="DB199" i="229" s="1"/>
  <c r="DF42" i="229"/>
  <c r="CY174" i="229"/>
  <c r="CZ151" i="229"/>
  <c r="CZ207" i="229" s="1"/>
  <c r="CX223" i="229"/>
  <c r="CY117" i="229"/>
  <c r="CX120" i="229"/>
  <c r="CX122" i="229" s="1"/>
  <c r="CX242" i="229" s="1"/>
  <c r="DD86" i="229"/>
  <c r="DD220" i="229" s="1"/>
  <c r="DC96" i="229"/>
  <c r="DC202" i="229" s="1"/>
  <c r="DB161" i="229" l="1"/>
  <c r="DC97" i="229"/>
  <c r="DA227" i="229"/>
  <c r="DA139" i="229"/>
  <c r="DA140" i="229" s="1"/>
  <c r="DA206" i="229" s="1"/>
  <c r="CX73" i="229"/>
  <c r="CX74" i="229" s="1"/>
  <c r="CX200" i="229" s="1"/>
  <c r="CZ142" i="229"/>
  <c r="CZ144" i="229" s="1"/>
  <c r="CZ244" i="229" s="1"/>
  <c r="CZ109" i="229"/>
  <c r="CZ111" i="229" s="1"/>
  <c r="CZ241" i="229" s="1"/>
  <c r="DA53" i="229"/>
  <c r="DA54" i="229" s="1"/>
  <c r="DA56" i="229" s="1"/>
  <c r="DA236" i="229" s="1"/>
  <c r="CZ152" i="229"/>
  <c r="CZ226" i="229" s="1"/>
  <c r="DE32" i="229"/>
  <c r="DE34" i="229" s="1"/>
  <c r="DE234" i="229" s="1"/>
  <c r="CW76" i="229"/>
  <c r="CW78" i="229" s="1"/>
  <c r="CW238" i="229" s="1"/>
  <c r="CZ222" i="229"/>
  <c r="DE215" i="229"/>
  <c r="DB183" i="229"/>
  <c r="DA229" i="229"/>
  <c r="DB130" i="229"/>
  <c r="DB224" i="229" s="1"/>
  <c r="DB162" i="229"/>
  <c r="DB208" i="229" s="1"/>
  <c r="DA107" i="229"/>
  <c r="DA203" i="229" s="1"/>
  <c r="CZ172" i="229"/>
  <c r="CY228" i="229"/>
  <c r="AE290" i="229" s="1"/>
  <c r="AE334" i="229" s="1"/>
  <c r="CY175" i="229"/>
  <c r="CY177" i="229" s="1"/>
  <c r="CY247" i="229" s="1"/>
  <c r="DG40" i="229"/>
  <c r="DF216" i="229"/>
  <c r="DF43" i="229"/>
  <c r="DF45" i="229" s="1"/>
  <c r="DF235" i="229" s="1"/>
  <c r="CY118" i="229"/>
  <c r="CY204" i="229" s="1"/>
  <c r="DF30" i="229"/>
  <c r="DF196" i="229" s="1"/>
  <c r="DB64" i="229"/>
  <c r="DE84" i="229"/>
  <c r="DE85" i="229" s="1"/>
  <c r="DE201" i="229" s="1"/>
  <c r="DD87" i="229"/>
  <c r="DD89" i="229" s="1"/>
  <c r="DD239" i="229" s="1"/>
  <c r="DC221" i="229"/>
  <c r="AF283" i="229" s="1"/>
  <c r="AF327" i="229" s="1"/>
  <c r="DD95" i="229"/>
  <c r="DC98" i="229"/>
  <c r="DC100" i="229" s="1"/>
  <c r="DC240" i="229" s="1"/>
  <c r="DA150" i="229" l="1"/>
  <c r="CZ153" i="229"/>
  <c r="CZ155" i="229" s="1"/>
  <c r="CZ245" i="229" s="1"/>
  <c r="DA217" i="229"/>
  <c r="DB51" i="229"/>
  <c r="DB52" i="229" s="1"/>
  <c r="DB198" i="229" s="1"/>
  <c r="DC128" i="229"/>
  <c r="DC129" i="229" s="1"/>
  <c r="DC205" i="229" s="1"/>
  <c r="DB163" i="229"/>
  <c r="DC161" i="229" s="1"/>
  <c r="DB184" i="229"/>
  <c r="DB210" i="229" s="1"/>
  <c r="DB131" i="229"/>
  <c r="DB133" i="229" s="1"/>
  <c r="DB243" i="229" s="1"/>
  <c r="CX75" i="229"/>
  <c r="CX76" i="229" s="1"/>
  <c r="CX78" i="229" s="1"/>
  <c r="CX238" i="229" s="1"/>
  <c r="CY119" i="229"/>
  <c r="CY223" i="229" s="1"/>
  <c r="AE285" i="229" s="1"/>
  <c r="AE329" i="229" s="1"/>
  <c r="AE336" i="229" s="1"/>
  <c r="DA141" i="229"/>
  <c r="DA225" i="229" s="1"/>
  <c r="CZ173" i="229"/>
  <c r="CZ209" i="229" s="1"/>
  <c r="DF31" i="229"/>
  <c r="DA108" i="229"/>
  <c r="DA151" i="229"/>
  <c r="DA207" i="229" s="1"/>
  <c r="DC62" i="229"/>
  <c r="DB218" i="229"/>
  <c r="DB65" i="229"/>
  <c r="DB67" i="229" s="1"/>
  <c r="DB237" i="229" s="1"/>
  <c r="DG41" i="229"/>
  <c r="DG197" i="229" s="1"/>
  <c r="DE86" i="229"/>
  <c r="DF84" i="229" s="1"/>
  <c r="DD96" i="229"/>
  <c r="DD202" i="229" s="1"/>
  <c r="DD97" i="229" l="1"/>
  <c r="CX219" i="229"/>
  <c r="DB227" i="229"/>
  <c r="DB164" i="229"/>
  <c r="DB166" i="229" s="1"/>
  <c r="DB246" i="229" s="1"/>
  <c r="CY73" i="229"/>
  <c r="CY74" i="229" s="1"/>
  <c r="CY200" i="229" s="1"/>
  <c r="CY120" i="229"/>
  <c r="CY122" i="229" s="1"/>
  <c r="CY242" i="229" s="1"/>
  <c r="DA142" i="229"/>
  <c r="DA144" i="229" s="1"/>
  <c r="DA244" i="229" s="1"/>
  <c r="DG42" i="229"/>
  <c r="DG43" i="229" s="1"/>
  <c r="DG45" i="229" s="1"/>
  <c r="DG235" i="229" s="1"/>
  <c r="DB185" i="229"/>
  <c r="CZ117" i="229"/>
  <c r="CZ118" i="229" s="1"/>
  <c r="CZ204" i="229" s="1"/>
  <c r="DB139" i="229"/>
  <c r="DB140" i="229" s="1"/>
  <c r="DB206" i="229" s="1"/>
  <c r="DC130" i="229"/>
  <c r="DC224" i="229" s="1"/>
  <c r="AF286" i="229" s="1"/>
  <c r="AF330" i="229" s="1"/>
  <c r="DB53" i="229"/>
  <c r="DB217" i="229" s="1"/>
  <c r="CZ174" i="229"/>
  <c r="CZ175" i="229" s="1"/>
  <c r="CZ177" i="229" s="1"/>
  <c r="CZ247" i="229" s="1"/>
  <c r="DA152" i="229"/>
  <c r="DB150" i="229" s="1"/>
  <c r="DC63" i="229"/>
  <c r="DC199" i="229" s="1"/>
  <c r="DB106" i="229"/>
  <c r="DA222" i="229"/>
  <c r="DA109" i="229"/>
  <c r="DA111" i="229" s="1"/>
  <c r="DA241" i="229" s="1"/>
  <c r="DF215" i="229"/>
  <c r="DG29" i="229"/>
  <c r="DF32" i="229"/>
  <c r="DF34" i="229" s="1"/>
  <c r="DF234" i="229" s="1"/>
  <c r="DC162" i="229"/>
  <c r="DC208" i="229" s="1"/>
  <c r="DE87" i="229"/>
  <c r="DE89" i="229" s="1"/>
  <c r="DE239" i="229" s="1"/>
  <c r="DE220" i="229"/>
  <c r="DD221" i="229"/>
  <c r="DE95" i="229"/>
  <c r="DD98" i="229"/>
  <c r="DD100" i="229" s="1"/>
  <c r="DD240" i="229" s="1"/>
  <c r="DF85" i="229"/>
  <c r="DF201" i="229" s="1"/>
  <c r="DH40" i="229" l="1"/>
  <c r="DG216" i="229"/>
  <c r="AG278" i="229" s="1"/>
  <c r="AG322" i="229" s="1"/>
  <c r="DC131" i="229"/>
  <c r="DC133" i="229" s="1"/>
  <c r="DC243" i="229" s="1"/>
  <c r="DD128" i="229"/>
  <c r="DD129" i="229" s="1"/>
  <c r="DD205" i="229" s="1"/>
  <c r="DB54" i="229"/>
  <c r="DB56" i="229" s="1"/>
  <c r="DB236" i="229" s="1"/>
  <c r="DB141" i="229"/>
  <c r="DB142" i="229" s="1"/>
  <c r="DB144" i="229" s="1"/>
  <c r="DB244" i="229" s="1"/>
  <c r="DC51" i="229"/>
  <c r="DC52" i="229" s="1"/>
  <c r="DC198" i="229" s="1"/>
  <c r="DA172" i="229"/>
  <c r="DA173" i="229" s="1"/>
  <c r="DA209" i="229" s="1"/>
  <c r="CZ228" i="229"/>
  <c r="DB229" i="229"/>
  <c r="DC183" i="229"/>
  <c r="DB186" i="229"/>
  <c r="DB188" i="229" s="1"/>
  <c r="DB248" i="229" s="1"/>
  <c r="DA153" i="229"/>
  <c r="DA155" i="229" s="1"/>
  <c r="DA245" i="229" s="1"/>
  <c r="DA226" i="229"/>
  <c r="DC163" i="229"/>
  <c r="DC227" i="229" s="1"/>
  <c r="AF289" i="229" s="1"/>
  <c r="AF333" i="229" s="1"/>
  <c r="DC64" i="229"/>
  <c r="DD62" i="229" s="1"/>
  <c r="CY75" i="229"/>
  <c r="CZ73" i="229" s="1"/>
  <c r="DH41" i="229"/>
  <c r="DH197" i="229" s="1"/>
  <c r="DB107" i="229"/>
  <c r="DB203" i="229" s="1"/>
  <c r="DG30" i="229"/>
  <c r="DG196" i="229" s="1"/>
  <c r="CZ119" i="229"/>
  <c r="DB151" i="229"/>
  <c r="DB207" i="229" s="1"/>
  <c r="DC139" i="229"/>
  <c r="DE96" i="229"/>
  <c r="DE202" i="229" s="1"/>
  <c r="DF86" i="229"/>
  <c r="DE97" i="229" l="1"/>
  <c r="DB225" i="229"/>
  <c r="DC53" i="229"/>
  <c r="DD51" i="229" s="1"/>
  <c r="DC184" i="229"/>
  <c r="DC210" i="229" s="1"/>
  <c r="DC164" i="229"/>
  <c r="DC166" i="229" s="1"/>
  <c r="DC246" i="229" s="1"/>
  <c r="DD161" i="229"/>
  <c r="DD162" i="229" s="1"/>
  <c r="DD208" i="229" s="1"/>
  <c r="DC65" i="229"/>
  <c r="DC67" i="229" s="1"/>
  <c r="DC237" i="229" s="1"/>
  <c r="DC218" i="229"/>
  <c r="AF280" i="229" s="1"/>
  <c r="AF324" i="229" s="1"/>
  <c r="CY219" i="229"/>
  <c r="AE281" i="229" s="1"/>
  <c r="AE325" i="229" s="1"/>
  <c r="AE320" i="229" s="1"/>
  <c r="DH42" i="229"/>
  <c r="DH216" i="229" s="1"/>
  <c r="DB108" i="229"/>
  <c r="DC106" i="229" s="1"/>
  <c r="DB152" i="229"/>
  <c r="DC150" i="229" s="1"/>
  <c r="DA174" i="229"/>
  <c r="DA228" i="229" s="1"/>
  <c r="CY76" i="229"/>
  <c r="CY78" i="229" s="1"/>
  <c r="CY238" i="229" s="1"/>
  <c r="DG31" i="229"/>
  <c r="DG215" i="229" s="1"/>
  <c r="AG277" i="229" s="1"/>
  <c r="AG321" i="229" s="1"/>
  <c r="DD130" i="229"/>
  <c r="DE128" i="229" s="1"/>
  <c r="DC140" i="229"/>
  <c r="DC206" i="229" s="1"/>
  <c r="CZ74" i="229"/>
  <c r="CZ200" i="229" s="1"/>
  <c r="DD63" i="229"/>
  <c r="DD199" i="229" s="1"/>
  <c r="DB109" i="229"/>
  <c r="DB111" i="229" s="1"/>
  <c r="DB241" i="229" s="1"/>
  <c r="CZ223" i="229"/>
  <c r="DA117" i="229"/>
  <c r="CZ120" i="229"/>
  <c r="CZ122" i="229" s="1"/>
  <c r="CZ242" i="229" s="1"/>
  <c r="DE221" i="229"/>
  <c r="DF95" i="229"/>
  <c r="DE98" i="229"/>
  <c r="DE100" i="229" s="1"/>
  <c r="DE240" i="229" s="1"/>
  <c r="DG84" i="229"/>
  <c r="DF220" i="229"/>
  <c r="DF87" i="229"/>
  <c r="DF89" i="229" s="1"/>
  <c r="DF239" i="229" s="1"/>
  <c r="DC54" i="229" l="1"/>
  <c r="DC56" i="229" s="1"/>
  <c r="DC236" i="229" s="1"/>
  <c r="DB222" i="229"/>
  <c r="DC217" i="229"/>
  <c r="AF279" i="229" s="1"/>
  <c r="AF323" i="229" s="1"/>
  <c r="DC185" i="229"/>
  <c r="DC186" i="229" s="1"/>
  <c r="DC188" i="229" s="1"/>
  <c r="DC248" i="229" s="1"/>
  <c r="DI40" i="229"/>
  <c r="DI41" i="229" s="1"/>
  <c r="DI197" i="229" s="1"/>
  <c r="DH43" i="229"/>
  <c r="DH45" i="229" s="1"/>
  <c r="DH235" i="229" s="1"/>
  <c r="DB153" i="229"/>
  <c r="DB155" i="229" s="1"/>
  <c r="DB245" i="229" s="1"/>
  <c r="DB226" i="229"/>
  <c r="DD224" i="229"/>
  <c r="DD131" i="229"/>
  <c r="DD133" i="229" s="1"/>
  <c r="DD243" i="229" s="1"/>
  <c r="DA175" i="229"/>
  <c r="DA177" i="229" s="1"/>
  <c r="DA247" i="229" s="1"/>
  <c r="DB172" i="229"/>
  <c r="DB173" i="229" s="1"/>
  <c r="CZ75" i="229"/>
  <c r="DA73" i="229" s="1"/>
  <c r="DC141" i="229"/>
  <c r="DD139" i="229" s="1"/>
  <c r="DG32" i="229"/>
  <c r="DG34" i="229" s="1"/>
  <c r="DG234" i="229" s="1"/>
  <c r="DH29" i="229"/>
  <c r="DH30" i="229" s="1"/>
  <c r="DH196" i="229" s="1"/>
  <c r="DD64" i="229"/>
  <c r="DD218" i="229" s="1"/>
  <c r="DE129" i="229"/>
  <c r="DE205" i="229" s="1"/>
  <c r="DA118" i="229"/>
  <c r="DA204" i="229" s="1"/>
  <c r="DC107" i="229"/>
  <c r="DC203" i="229" s="1"/>
  <c r="DC151" i="229"/>
  <c r="DC207" i="229" s="1"/>
  <c r="DD52" i="229"/>
  <c r="DD198" i="229" s="1"/>
  <c r="DD163" i="229"/>
  <c r="DF96" i="229"/>
  <c r="DF202" i="229" s="1"/>
  <c r="DG85" i="229"/>
  <c r="DG201" i="229" s="1"/>
  <c r="DC229" i="229" l="1"/>
  <c r="AF291" i="229" s="1"/>
  <c r="AF335" i="229" s="1"/>
  <c r="DD183" i="229"/>
  <c r="DD184" i="229" s="1"/>
  <c r="DD210" i="229" s="1"/>
  <c r="DF97" i="229"/>
  <c r="DC108" i="229"/>
  <c r="DD106" i="229" s="1"/>
  <c r="DD65" i="229"/>
  <c r="DD67" i="229" s="1"/>
  <c r="DD237" i="229" s="1"/>
  <c r="DE62" i="229"/>
  <c r="DE63" i="229" s="1"/>
  <c r="DE199" i="229" s="1"/>
  <c r="DB209" i="229"/>
  <c r="DB174" i="229"/>
  <c r="DB175" i="229" s="1"/>
  <c r="DB177" i="229" s="1"/>
  <c r="DB247" i="229" s="1"/>
  <c r="DC142" i="229"/>
  <c r="DC144" i="229" s="1"/>
  <c r="DC244" i="229" s="1"/>
  <c r="DC225" i="229"/>
  <c r="AF287" i="229" s="1"/>
  <c r="AF331" i="229" s="1"/>
  <c r="DH31" i="229"/>
  <c r="DH215" i="229" s="1"/>
  <c r="CZ76" i="229"/>
  <c r="CZ78" i="229" s="1"/>
  <c r="CZ238" i="229" s="1"/>
  <c r="CZ219" i="229"/>
  <c r="DI42" i="229"/>
  <c r="DI43" i="229" s="1"/>
  <c r="DI45" i="229" s="1"/>
  <c r="DI235" i="229" s="1"/>
  <c r="DE130" i="229"/>
  <c r="DD227" i="229"/>
  <c r="DE161" i="229"/>
  <c r="DD164" i="229"/>
  <c r="DD166" i="229" s="1"/>
  <c r="DD246" i="229" s="1"/>
  <c r="DD53" i="229"/>
  <c r="DD140" i="229"/>
  <c r="DD206" i="229" s="1"/>
  <c r="DA119" i="229"/>
  <c r="DC152" i="229"/>
  <c r="DA74" i="229"/>
  <c r="DA200" i="229" s="1"/>
  <c r="DG86" i="229"/>
  <c r="DG220" i="229" s="1"/>
  <c r="AG282" i="229" s="1"/>
  <c r="AG326" i="229" s="1"/>
  <c r="DF221" i="229"/>
  <c r="DG95" i="229"/>
  <c r="DF98" i="229"/>
  <c r="DF100" i="229" s="1"/>
  <c r="DF240" i="229" s="1"/>
  <c r="DC109" i="229" l="1"/>
  <c r="DC111" i="229" s="1"/>
  <c r="DC241" i="229" s="1"/>
  <c r="DC222" i="229"/>
  <c r="AF284" i="229" s="1"/>
  <c r="AF328" i="229" s="1"/>
  <c r="DC172" i="229"/>
  <c r="DC173" i="229" s="1"/>
  <c r="DC209" i="229" s="1"/>
  <c r="DB228" i="229"/>
  <c r="DD185" i="229"/>
  <c r="DD229" i="229" s="1"/>
  <c r="DI29" i="229"/>
  <c r="DI30" i="229" s="1"/>
  <c r="DI196" i="229" s="1"/>
  <c r="DH32" i="229"/>
  <c r="DH34" i="229" s="1"/>
  <c r="DH234" i="229" s="1"/>
  <c r="DJ40" i="229"/>
  <c r="DJ41" i="229" s="1"/>
  <c r="DJ197" i="229" s="1"/>
  <c r="DI216" i="229"/>
  <c r="DD141" i="229"/>
  <c r="DD142" i="229" s="1"/>
  <c r="DD144" i="229" s="1"/>
  <c r="DD244" i="229" s="1"/>
  <c r="DE64" i="229"/>
  <c r="DE218" i="229" s="1"/>
  <c r="DA75" i="229"/>
  <c r="DA219" i="229" s="1"/>
  <c r="DE51" i="229"/>
  <c r="DD217" i="229"/>
  <c r="DD54" i="229"/>
  <c r="DD56" i="229" s="1"/>
  <c r="DD236" i="229" s="1"/>
  <c r="DD107" i="229"/>
  <c r="DD203" i="229" s="1"/>
  <c r="DE162" i="229"/>
  <c r="DE208" i="229" s="1"/>
  <c r="DC226" i="229"/>
  <c r="AF288" i="229" s="1"/>
  <c r="AF332" i="229" s="1"/>
  <c r="DD150" i="229"/>
  <c r="DC153" i="229"/>
  <c r="DC155" i="229" s="1"/>
  <c r="DC245" i="229" s="1"/>
  <c r="DB117" i="229"/>
  <c r="DA223" i="229"/>
  <c r="DA120" i="229"/>
  <c r="DA122" i="229" s="1"/>
  <c r="DA242" i="229" s="1"/>
  <c r="DE224" i="229"/>
  <c r="DF128" i="229"/>
  <c r="DE131" i="229"/>
  <c r="DE133" i="229" s="1"/>
  <c r="DE243" i="229" s="1"/>
  <c r="DG87" i="229"/>
  <c r="DG89" i="229" s="1"/>
  <c r="DG239" i="229" s="1"/>
  <c r="DH84" i="229"/>
  <c r="DH85" i="229" s="1"/>
  <c r="DH201" i="229" s="1"/>
  <c r="DG96" i="229"/>
  <c r="DG202" i="229" s="1"/>
  <c r="DA76" i="229" l="1"/>
  <c r="DA78" i="229" s="1"/>
  <c r="DA238" i="229" s="1"/>
  <c r="DD186" i="229"/>
  <c r="DD188" i="229" s="1"/>
  <c r="DD248" i="229" s="1"/>
  <c r="DE183" i="229"/>
  <c r="DG97" i="229"/>
  <c r="DI31" i="229"/>
  <c r="DI215" i="229" s="1"/>
  <c r="DB73" i="229"/>
  <c r="DB74" i="229" s="1"/>
  <c r="DB200" i="229" s="1"/>
  <c r="DE65" i="229"/>
  <c r="DE67" i="229" s="1"/>
  <c r="DE237" i="229" s="1"/>
  <c r="DE139" i="229"/>
  <c r="DE140" i="229" s="1"/>
  <c r="DE206" i="229" s="1"/>
  <c r="DF62" i="229"/>
  <c r="DF63" i="229" s="1"/>
  <c r="DF199" i="229" s="1"/>
  <c r="DD225" i="229"/>
  <c r="DE163" i="229"/>
  <c r="DE227" i="229" s="1"/>
  <c r="DJ42" i="229"/>
  <c r="DF129" i="229"/>
  <c r="DF205" i="229" s="1"/>
  <c r="DB118" i="229"/>
  <c r="DB204" i="229" s="1"/>
  <c r="DC174" i="229"/>
  <c r="DE52" i="229"/>
  <c r="DE198" i="229" s="1"/>
  <c r="DD151" i="229"/>
  <c r="DD207" i="229" s="1"/>
  <c r="DD108" i="229"/>
  <c r="DG221" i="229"/>
  <c r="AG283" i="229" s="1"/>
  <c r="AG327" i="229" s="1"/>
  <c r="DH95" i="229"/>
  <c r="DG98" i="229"/>
  <c r="DG100" i="229" s="1"/>
  <c r="DG240" i="229" s="1"/>
  <c r="DH86" i="229"/>
  <c r="DI32" i="229" l="1"/>
  <c r="DI34" i="229" s="1"/>
  <c r="DI234" i="229" s="1"/>
  <c r="DJ29" i="229"/>
  <c r="DJ30" i="229" s="1"/>
  <c r="DJ196" i="229" s="1"/>
  <c r="DE184" i="229"/>
  <c r="DE210" i="229" s="1"/>
  <c r="DD152" i="229"/>
  <c r="DE150" i="229" s="1"/>
  <c r="DE53" i="229"/>
  <c r="DE54" i="229" s="1"/>
  <c r="DE56" i="229" s="1"/>
  <c r="DE236" i="229" s="1"/>
  <c r="DF161" i="229"/>
  <c r="DF162" i="229" s="1"/>
  <c r="DF208" i="229" s="1"/>
  <c r="DF130" i="229"/>
  <c r="DG128" i="229" s="1"/>
  <c r="DE164" i="229"/>
  <c r="DE166" i="229" s="1"/>
  <c r="DE246" i="229" s="1"/>
  <c r="DB119" i="229"/>
  <c r="DC117" i="229" s="1"/>
  <c r="DB75" i="229"/>
  <c r="DB76" i="229" s="1"/>
  <c r="DB78" i="229" s="1"/>
  <c r="DB238" i="229" s="1"/>
  <c r="DE141" i="229"/>
  <c r="DE142" i="229" s="1"/>
  <c r="DE144" i="229" s="1"/>
  <c r="DE244" i="229" s="1"/>
  <c r="DF64" i="229"/>
  <c r="DG62" i="229" s="1"/>
  <c r="DC228" i="229"/>
  <c r="AF290" i="229" s="1"/>
  <c r="AF334" i="229" s="1"/>
  <c r="DD172" i="229"/>
  <c r="DC175" i="229"/>
  <c r="DC177" i="229" s="1"/>
  <c r="DC247" i="229" s="1"/>
  <c r="DD153" i="229"/>
  <c r="DD155" i="229" s="1"/>
  <c r="DD245" i="229" s="1"/>
  <c r="DE106" i="229"/>
  <c r="DD222" i="229"/>
  <c r="DD109" i="229"/>
  <c r="DD111" i="229" s="1"/>
  <c r="DD241" i="229" s="1"/>
  <c r="DK40" i="229"/>
  <c r="DJ216" i="229"/>
  <c r="DJ43" i="229"/>
  <c r="DJ45" i="229" s="1"/>
  <c r="DJ235" i="229" s="1"/>
  <c r="DH96" i="229"/>
  <c r="DH202" i="229" s="1"/>
  <c r="DI84" i="229"/>
  <c r="DH220" i="229"/>
  <c r="DH87" i="229"/>
  <c r="DH89" i="229" s="1"/>
  <c r="DH239" i="229" s="1"/>
  <c r="DF51" i="229" l="1"/>
  <c r="DD226" i="229"/>
  <c r="DJ31" i="229"/>
  <c r="DE185" i="229"/>
  <c r="DF183" i="229" s="1"/>
  <c r="DB120" i="229"/>
  <c r="DB122" i="229" s="1"/>
  <c r="DB242" i="229" s="1"/>
  <c r="DE217" i="229"/>
  <c r="DB223" i="229"/>
  <c r="DF131" i="229"/>
  <c r="DF133" i="229" s="1"/>
  <c r="DF243" i="229" s="1"/>
  <c r="DF224" i="229"/>
  <c r="DH97" i="229"/>
  <c r="DH98" i="229" s="1"/>
  <c r="DH100" i="229" s="1"/>
  <c r="DH240" i="229" s="1"/>
  <c r="DC73" i="229"/>
  <c r="DC74" i="229" s="1"/>
  <c r="DC200" i="229" s="1"/>
  <c r="DB219" i="229"/>
  <c r="DF65" i="229"/>
  <c r="DF67" i="229" s="1"/>
  <c r="DF237" i="229" s="1"/>
  <c r="DF218" i="229"/>
  <c r="DE225" i="229"/>
  <c r="DF163" i="229"/>
  <c r="DG161" i="229" s="1"/>
  <c r="DF139" i="229"/>
  <c r="DF140" i="229" s="1"/>
  <c r="DF206" i="229" s="1"/>
  <c r="DC118" i="229"/>
  <c r="DC204" i="229" s="1"/>
  <c r="DK41" i="229"/>
  <c r="DK197" i="229" s="1"/>
  <c r="DG63" i="229"/>
  <c r="DG199" i="229" s="1"/>
  <c r="DE151" i="229"/>
  <c r="DE207" i="229" s="1"/>
  <c r="DF52" i="229"/>
  <c r="DF198" i="229" s="1"/>
  <c r="DE107" i="229"/>
  <c r="DE203" i="229" s="1"/>
  <c r="DG129" i="229"/>
  <c r="DG205" i="229" s="1"/>
  <c r="DD173" i="229"/>
  <c r="DD209" i="229" s="1"/>
  <c r="DH221" i="229"/>
  <c r="DI85" i="229"/>
  <c r="DI201" i="229" s="1"/>
  <c r="DE186" i="229" l="1"/>
  <c r="DE188" i="229" s="1"/>
  <c r="DE248" i="229" s="1"/>
  <c r="DJ215" i="229"/>
  <c r="DK29" i="229"/>
  <c r="DK30" i="229" s="1"/>
  <c r="DK196" i="229" s="1"/>
  <c r="DJ32" i="229"/>
  <c r="DJ34" i="229" s="1"/>
  <c r="DJ234" i="229" s="1"/>
  <c r="DE229" i="229"/>
  <c r="DF184" i="229"/>
  <c r="DF210" i="229" s="1"/>
  <c r="DI95" i="229"/>
  <c r="DE152" i="229"/>
  <c r="DE226" i="229" s="1"/>
  <c r="DF164" i="229"/>
  <c r="DF166" i="229" s="1"/>
  <c r="DF246" i="229" s="1"/>
  <c r="DD174" i="229"/>
  <c r="DD175" i="229" s="1"/>
  <c r="DD177" i="229" s="1"/>
  <c r="DD247" i="229" s="1"/>
  <c r="DF227" i="229"/>
  <c r="DC119" i="229"/>
  <c r="DC223" i="229" s="1"/>
  <c r="AF285" i="229" s="1"/>
  <c r="AF329" i="229" s="1"/>
  <c r="AF336" i="229" s="1"/>
  <c r="DC75" i="229"/>
  <c r="DD73" i="229" s="1"/>
  <c r="DF141" i="229"/>
  <c r="DF142" i="229" s="1"/>
  <c r="DF144" i="229" s="1"/>
  <c r="DF244" i="229" s="1"/>
  <c r="DG130" i="229"/>
  <c r="DG131" i="229" s="1"/>
  <c r="DG133" i="229" s="1"/>
  <c r="DG243" i="229" s="1"/>
  <c r="DE108" i="229"/>
  <c r="DE222" i="229" s="1"/>
  <c r="DG64" i="229"/>
  <c r="DH62" i="229" s="1"/>
  <c r="DK42" i="229"/>
  <c r="DG162" i="229"/>
  <c r="DG208" i="229" s="1"/>
  <c r="DF53" i="229"/>
  <c r="DI96" i="229"/>
  <c r="DI202" i="229" s="1"/>
  <c r="DI86" i="229"/>
  <c r="DK31" i="229" l="1"/>
  <c r="DK215" i="229" s="1"/>
  <c r="AH277" i="229" s="1"/>
  <c r="AH321" i="229" s="1"/>
  <c r="DF185" i="229"/>
  <c r="DF229" i="229" s="1"/>
  <c r="DC76" i="229"/>
  <c r="DC78" i="229" s="1"/>
  <c r="DC238" i="229" s="1"/>
  <c r="DD228" i="229"/>
  <c r="DE172" i="229"/>
  <c r="DE173" i="229" s="1"/>
  <c r="DE209" i="229" s="1"/>
  <c r="DE153" i="229"/>
  <c r="DE155" i="229" s="1"/>
  <c r="DE245" i="229" s="1"/>
  <c r="DF150" i="229"/>
  <c r="DF151" i="229" s="1"/>
  <c r="DF207" i="229" s="1"/>
  <c r="DC120" i="229"/>
  <c r="DC122" i="229" s="1"/>
  <c r="DC242" i="229" s="1"/>
  <c r="DD117" i="229"/>
  <c r="DI97" i="229"/>
  <c r="DH128" i="229"/>
  <c r="DH129" i="229" s="1"/>
  <c r="DH205" i="229" s="1"/>
  <c r="DF106" i="229"/>
  <c r="DF107" i="229" s="1"/>
  <c r="DF203" i="229" s="1"/>
  <c r="DG224" i="229"/>
  <c r="AG286" i="229" s="1"/>
  <c r="AG330" i="229" s="1"/>
  <c r="DC219" i="229"/>
  <c r="AF281" i="229" s="1"/>
  <c r="AF325" i="229" s="1"/>
  <c r="AF320" i="229" s="1"/>
  <c r="DF225" i="229"/>
  <c r="DE109" i="229"/>
  <c r="DE111" i="229" s="1"/>
  <c r="DE241" i="229" s="1"/>
  <c r="DG139" i="229"/>
  <c r="DG140" i="229" s="1"/>
  <c r="DG206" i="229" s="1"/>
  <c r="DG163" i="229"/>
  <c r="DH161" i="229" s="1"/>
  <c r="DG65" i="229"/>
  <c r="DG67" i="229" s="1"/>
  <c r="DG237" i="229" s="1"/>
  <c r="DG218" i="229"/>
  <c r="AG280" i="229" s="1"/>
  <c r="AG324" i="229" s="1"/>
  <c r="DD118" i="229"/>
  <c r="DD204" i="229" s="1"/>
  <c r="DD74" i="229"/>
  <c r="DD200" i="229" s="1"/>
  <c r="DF217" i="229"/>
  <c r="DG51" i="229"/>
  <c r="DF54" i="229"/>
  <c r="DF56" i="229" s="1"/>
  <c r="DF236" i="229" s="1"/>
  <c r="DH63" i="229"/>
  <c r="DH199" i="229" s="1"/>
  <c r="DL40" i="229"/>
  <c r="DK216" i="229"/>
  <c r="AH278" i="229" s="1"/>
  <c r="AH322" i="229" s="1"/>
  <c r="DK43" i="229"/>
  <c r="DK45" i="229" s="1"/>
  <c r="DK235" i="229" s="1"/>
  <c r="DL29" i="229"/>
  <c r="DL30" i="229" s="1"/>
  <c r="DL196" i="229" s="1"/>
  <c r="DI221" i="229"/>
  <c r="DJ95" i="229"/>
  <c r="DI98" i="229"/>
  <c r="DI100" i="229" s="1"/>
  <c r="DI240" i="229" s="1"/>
  <c r="DJ84" i="229"/>
  <c r="DI220" i="229"/>
  <c r="DI87" i="229"/>
  <c r="DI89" i="229" s="1"/>
  <c r="DI239" i="229" s="1"/>
  <c r="DK32" i="229" l="1"/>
  <c r="DK34" i="229" s="1"/>
  <c r="DK234" i="229" s="1"/>
  <c r="DG183" i="229"/>
  <c r="DG184" i="229" s="1"/>
  <c r="DG210" i="229" s="1"/>
  <c r="DF186" i="229"/>
  <c r="DF188" i="229" s="1"/>
  <c r="DF248" i="229" s="1"/>
  <c r="DG227" i="229"/>
  <c r="AG289" i="229" s="1"/>
  <c r="AG333" i="229" s="1"/>
  <c r="DG164" i="229"/>
  <c r="DG166" i="229" s="1"/>
  <c r="DG246" i="229" s="1"/>
  <c r="DF152" i="229"/>
  <c r="DF226" i="229" s="1"/>
  <c r="DH130" i="229"/>
  <c r="DH131" i="229" s="1"/>
  <c r="DH133" i="229" s="1"/>
  <c r="DH243" i="229" s="1"/>
  <c r="DD75" i="229"/>
  <c r="DD76" i="229" s="1"/>
  <c r="DD78" i="229" s="1"/>
  <c r="DD238" i="229" s="1"/>
  <c r="DH64" i="229"/>
  <c r="DI62" i="229" s="1"/>
  <c r="DF108" i="229"/>
  <c r="DF109" i="229" s="1"/>
  <c r="DF111" i="229" s="1"/>
  <c r="DF241" i="229" s="1"/>
  <c r="DE174" i="229"/>
  <c r="DE228" i="229" s="1"/>
  <c r="DL41" i="229"/>
  <c r="DL197" i="229" s="1"/>
  <c r="DG141" i="229"/>
  <c r="DD119" i="229"/>
  <c r="DG52" i="229"/>
  <c r="DG198" i="229" s="1"/>
  <c r="DH162" i="229"/>
  <c r="DH208" i="229" s="1"/>
  <c r="DJ96" i="229"/>
  <c r="DJ202" i="229" s="1"/>
  <c r="DL31" i="229"/>
  <c r="DJ85" i="229"/>
  <c r="DJ201" i="229" s="1"/>
  <c r="DH218" i="229" l="1"/>
  <c r="DI128" i="229"/>
  <c r="DH65" i="229"/>
  <c r="DH67" i="229" s="1"/>
  <c r="DH237" i="229" s="1"/>
  <c r="DF153" i="229"/>
  <c r="DF155" i="229" s="1"/>
  <c r="DF245" i="229" s="1"/>
  <c r="DD219" i="229"/>
  <c r="DH224" i="229"/>
  <c r="DG106" i="229"/>
  <c r="DG107" i="229" s="1"/>
  <c r="DG203" i="229" s="1"/>
  <c r="DG150" i="229"/>
  <c r="DG151" i="229" s="1"/>
  <c r="DG207" i="229" s="1"/>
  <c r="DG185" i="229"/>
  <c r="DG186" i="229" s="1"/>
  <c r="DG188" i="229" s="1"/>
  <c r="DG248" i="229" s="1"/>
  <c r="DE73" i="229"/>
  <c r="DE74" i="229" s="1"/>
  <c r="DE200" i="229" s="1"/>
  <c r="DJ97" i="229"/>
  <c r="DL42" i="229"/>
  <c r="DM40" i="229" s="1"/>
  <c r="DF222" i="229"/>
  <c r="DE175" i="229"/>
  <c r="DE177" i="229" s="1"/>
  <c r="DE247" i="229" s="1"/>
  <c r="DF172" i="229"/>
  <c r="DG53" i="229"/>
  <c r="DG54" i="229" s="1"/>
  <c r="DG56" i="229" s="1"/>
  <c r="DG236" i="229" s="1"/>
  <c r="DH163" i="229"/>
  <c r="DI63" i="229"/>
  <c r="DI199" i="229" s="1"/>
  <c r="DE117" i="229"/>
  <c r="DD223" i="229"/>
  <c r="DD120" i="229"/>
  <c r="DD122" i="229" s="1"/>
  <c r="DD242" i="229" s="1"/>
  <c r="DG225" i="229"/>
  <c r="AG287" i="229" s="1"/>
  <c r="AG331" i="229" s="1"/>
  <c r="DH139" i="229"/>
  <c r="DG142" i="229"/>
  <c r="DG144" i="229" s="1"/>
  <c r="DG244" i="229" s="1"/>
  <c r="DI129" i="229"/>
  <c r="DI205" i="229" s="1"/>
  <c r="DJ221" i="229"/>
  <c r="DK95" i="229"/>
  <c r="DJ98" i="229"/>
  <c r="DJ100" i="229" s="1"/>
  <c r="DJ240" i="229" s="1"/>
  <c r="DJ86" i="229"/>
  <c r="DL215" i="229"/>
  <c r="DM29" i="229"/>
  <c r="DL32" i="229"/>
  <c r="DL34" i="229" s="1"/>
  <c r="DL234" i="229" s="1"/>
  <c r="DH183" i="229" l="1"/>
  <c r="DG229" i="229"/>
  <c r="AG291" i="229" s="1"/>
  <c r="AG335" i="229" s="1"/>
  <c r="DH184" i="229"/>
  <c r="DH210" i="229" s="1"/>
  <c r="DL43" i="229"/>
  <c r="DL45" i="229" s="1"/>
  <c r="DL235" i="229" s="1"/>
  <c r="DL216" i="229"/>
  <c r="DE75" i="229"/>
  <c r="DE76" i="229" s="1"/>
  <c r="DE78" i="229" s="1"/>
  <c r="DE238" i="229" s="1"/>
  <c r="DH51" i="229"/>
  <c r="DH52" i="229" s="1"/>
  <c r="DH198" i="229" s="1"/>
  <c r="DF173" i="229"/>
  <c r="DF209" i="229" s="1"/>
  <c r="DG217" i="229"/>
  <c r="AG279" i="229" s="1"/>
  <c r="AG323" i="229" s="1"/>
  <c r="DI64" i="229"/>
  <c r="DJ62" i="229" s="1"/>
  <c r="DI130" i="229"/>
  <c r="DI224" i="229" s="1"/>
  <c r="DG152" i="229"/>
  <c r="DH150" i="229" s="1"/>
  <c r="DM41" i="229"/>
  <c r="DM197" i="229" s="1"/>
  <c r="DH140" i="229"/>
  <c r="DH206" i="229" s="1"/>
  <c r="DE118" i="229"/>
  <c r="DE204" i="229" s="1"/>
  <c r="DI161" i="229"/>
  <c r="DH227" i="229"/>
  <c r="DH164" i="229"/>
  <c r="DH166" i="229" s="1"/>
  <c r="DH246" i="229" s="1"/>
  <c r="DG108" i="229"/>
  <c r="DK96" i="229"/>
  <c r="DK202" i="229" s="1"/>
  <c r="DM30" i="229"/>
  <c r="DM196" i="229" s="1"/>
  <c r="DK84" i="229"/>
  <c r="DJ220" i="229"/>
  <c r="DJ87" i="229"/>
  <c r="DJ89" i="229" s="1"/>
  <c r="DJ239" i="229" s="1"/>
  <c r="DH185" i="229" l="1"/>
  <c r="DI183" i="229" s="1"/>
  <c r="DF73" i="229"/>
  <c r="DF74" i="229" s="1"/>
  <c r="DF200" i="229" s="1"/>
  <c r="DE219" i="229"/>
  <c r="DI218" i="229"/>
  <c r="DE119" i="229"/>
  <c r="DE223" i="229" s="1"/>
  <c r="DM42" i="229"/>
  <c r="DM43" i="229" s="1"/>
  <c r="DM45" i="229" s="1"/>
  <c r="DM235" i="229" s="1"/>
  <c r="DI131" i="229"/>
  <c r="DI133" i="229" s="1"/>
  <c r="DI243" i="229" s="1"/>
  <c r="DJ128" i="229"/>
  <c r="DJ129" i="229" s="1"/>
  <c r="DJ205" i="229" s="1"/>
  <c r="DI65" i="229"/>
  <c r="DI67" i="229" s="1"/>
  <c r="DI237" i="229" s="1"/>
  <c r="DH141" i="229"/>
  <c r="DI139" i="229" s="1"/>
  <c r="DF174" i="229"/>
  <c r="DG153" i="229"/>
  <c r="DG155" i="229" s="1"/>
  <c r="DG245" i="229" s="1"/>
  <c r="DG226" i="229"/>
  <c r="AG288" i="229" s="1"/>
  <c r="AG332" i="229" s="1"/>
  <c r="DH151" i="229"/>
  <c r="DH207" i="229" s="1"/>
  <c r="DI162" i="229"/>
  <c r="DI208" i="229" s="1"/>
  <c r="DH53" i="229"/>
  <c r="DJ63" i="229"/>
  <c r="DJ199" i="229" s="1"/>
  <c r="DH106" i="229"/>
  <c r="DG222" i="229"/>
  <c r="AG284" i="229" s="1"/>
  <c r="AG328" i="229" s="1"/>
  <c r="DG109" i="229"/>
  <c r="DG111" i="229" s="1"/>
  <c r="DG241" i="229" s="1"/>
  <c r="DK97" i="229"/>
  <c r="DM31" i="229"/>
  <c r="DM32" i="229" s="1"/>
  <c r="DM34" i="229" s="1"/>
  <c r="DM234" i="229" s="1"/>
  <c r="DK85" i="229"/>
  <c r="DK201" i="229" s="1"/>
  <c r="DH186" i="229" l="1"/>
  <c r="DH188" i="229" s="1"/>
  <c r="DH248" i="229" s="1"/>
  <c r="DH229" i="229"/>
  <c r="DN40" i="229"/>
  <c r="DI184" i="229"/>
  <c r="DI210" i="229" s="1"/>
  <c r="DM216" i="229"/>
  <c r="DE120" i="229"/>
  <c r="DE122" i="229" s="1"/>
  <c r="DE242" i="229" s="1"/>
  <c r="DF117" i="229"/>
  <c r="DF118" i="229" s="1"/>
  <c r="DF204" i="229" s="1"/>
  <c r="DH225" i="229"/>
  <c r="DH142" i="229"/>
  <c r="DH144" i="229" s="1"/>
  <c r="DH244" i="229" s="1"/>
  <c r="DF75" i="229"/>
  <c r="DG73" i="229" s="1"/>
  <c r="DF228" i="229"/>
  <c r="DF175" i="229"/>
  <c r="DF177" i="229" s="1"/>
  <c r="DF247" i="229" s="1"/>
  <c r="DG172" i="229"/>
  <c r="DJ64" i="229"/>
  <c r="DJ218" i="229" s="1"/>
  <c r="DI163" i="229"/>
  <c r="DJ161" i="229" s="1"/>
  <c r="DI140" i="229"/>
  <c r="DI206" i="229" s="1"/>
  <c r="DI51" i="229"/>
  <c r="DH217" i="229"/>
  <c r="DH54" i="229"/>
  <c r="DH56" i="229" s="1"/>
  <c r="DH236" i="229" s="1"/>
  <c r="DJ130" i="229"/>
  <c r="DH152" i="229"/>
  <c r="DH107" i="229"/>
  <c r="DH203" i="229" s="1"/>
  <c r="DN41" i="229"/>
  <c r="DN197" i="229" s="1"/>
  <c r="DM215" i="229"/>
  <c r="DN29" i="229"/>
  <c r="DN30" i="229" s="1"/>
  <c r="DN196" i="229" s="1"/>
  <c r="DK221" i="229"/>
  <c r="AH283" i="229" s="1"/>
  <c r="AH327" i="229" s="1"/>
  <c r="DL95" i="229"/>
  <c r="DK98" i="229"/>
  <c r="DK100" i="229" s="1"/>
  <c r="DK240" i="229" s="1"/>
  <c r="DK86" i="229"/>
  <c r="DI185" i="229" l="1"/>
  <c r="DF76" i="229"/>
  <c r="DF78" i="229" s="1"/>
  <c r="DF238" i="229" s="1"/>
  <c r="DF219" i="229"/>
  <c r="DJ65" i="229"/>
  <c r="DJ67" i="229" s="1"/>
  <c r="DJ237" i="229" s="1"/>
  <c r="DK62" i="229"/>
  <c r="DI164" i="229"/>
  <c r="DI166" i="229" s="1"/>
  <c r="DI246" i="229" s="1"/>
  <c r="DG173" i="229"/>
  <c r="DG209" i="229" s="1"/>
  <c r="DI227" i="229"/>
  <c r="DI141" i="229"/>
  <c r="DJ139" i="229" s="1"/>
  <c r="DH108" i="229"/>
  <c r="DH222" i="229" s="1"/>
  <c r="DF119" i="229"/>
  <c r="DF223" i="229" s="1"/>
  <c r="DN42" i="229"/>
  <c r="DN216" i="229" s="1"/>
  <c r="DH226" i="229"/>
  <c r="DI150" i="229"/>
  <c r="DH153" i="229"/>
  <c r="DH155" i="229" s="1"/>
  <c r="DH245" i="229" s="1"/>
  <c r="DJ162" i="229"/>
  <c r="DJ208" i="229" s="1"/>
  <c r="DJ224" i="229"/>
  <c r="DJ131" i="229"/>
  <c r="DJ133" i="229" s="1"/>
  <c r="DJ243" i="229" s="1"/>
  <c r="DK128" i="229"/>
  <c r="DI52" i="229"/>
  <c r="DI198" i="229" s="1"/>
  <c r="DK63" i="229"/>
  <c r="DK199" i="229" s="1"/>
  <c r="DG74" i="229"/>
  <c r="DG200" i="229" s="1"/>
  <c r="DL96" i="229"/>
  <c r="DL202" i="229" s="1"/>
  <c r="DN31" i="229"/>
  <c r="DK220" i="229"/>
  <c r="AH282" i="229" s="1"/>
  <c r="AH326" i="229" s="1"/>
  <c r="DL84" i="229"/>
  <c r="DK87" i="229"/>
  <c r="DK89" i="229" s="1"/>
  <c r="DK239" i="229" s="1"/>
  <c r="DI229" i="229" l="1"/>
  <c r="DI186" i="229"/>
  <c r="DI188" i="229" s="1"/>
  <c r="DI248" i="229" s="1"/>
  <c r="DJ183" i="229"/>
  <c r="DI142" i="229"/>
  <c r="DI144" i="229" s="1"/>
  <c r="DI244" i="229" s="1"/>
  <c r="DG174" i="229"/>
  <c r="DG175" i="229" s="1"/>
  <c r="DG177" i="229" s="1"/>
  <c r="DG247" i="229" s="1"/>
  <c r="DI225" i="229"/>
  <c r="DH109" i="229"/>
  <c r="DH111" i="229" s="1"/>
  <c r="DH241" i="229" s="1"/>
  <c r="DG117" i="229"/>
  <c r="DG118" i="229" s="1"/>
  <c r="DG204" i="229" s="1"/>
  <c r="DN43" i="229"/>
  <c r="DN45" i="229" s="1"/>
  <c r="DN235" i="229" s="1"/>
  <c r="DI106" i="229"/>
  <c r="DI107" i="229" s="1"/>
  <c r="DI203" i="229" s="1"/>
  <c r="DO40" i="229"/>
  <c r="DO41" i="229" s="1"/>
  <c r="DO197" i="229" s="1"/>
  <c r="DG75" i="229"/>
  <c r="DH73" i="229" s="1"/>
  <c r="DF120" i="229"/>
  <c r="DF122" i="229" s="1"/>
  <c r="DF242" i="229" s="1"/>
  <c r="DI53" i="229"/>
  <c r="DJ51" i="229" s="1"/>
  <c r="DJ163" i="229"/>
  <c r="DK161" i="229" s="1"/>
  <c r="DK64" i="229"/>
  <c r="DK129" i="229"/>
  <c r="DK205" i="229" s="1"/>
  <c r="DJ140" i="229"/>
  <c r="DJ206" i="229" s="1"/>
  <c r="DI151" i="229"/>
  <c r="DI207" i="229" s="1"/>
  <c r="DL97" i="229"/>
  <c r="DL85" i="229"/>
  <c r="DL201" i="229" s="1"/>
  <c r="DN215" i="229"/>
  <c r="DO29" i="229"/>
  <c r="DN32" i="229"/>
  <c r="DN34" i="229" s="1"/>
  <c r="DN234" i="229" s="1"/>
  <c r="DH172" i="229" l="1"/>
  <c r="DH173" i="229" s="1"/>
  <c r="DH209" i="229" s="1"/>
  <c r="DJ184" i="229"/>
  <c r="DJ210" i="229" s="1"/>
  <c r="DG76" i="229"/>
  <c r="DG78" i="229" s="1"/>
  <c r="DG238" i="229" s="1"/>
  <c r="DG228" i="229"/>
  <c r="AG290" i="229" s="1"/>
  <c r="AG334" i="229" s="1"/>
  <c r="DJ141" i="229"/>
  <c r="DJ225" i="229" s="1"/>
  <c r="DJ227" i="229"/>
  <c r="DJ164" i="229"/>
  <c r="DJ166" i="229" s="1"/>
  <c r="DJ246" i="229" s="1"/>
  <c r="DG219" i="229"/>
  <c r="AG281" i="229" s="1"/>
  <c r="AG325" i="229" s="1"/>
  <c r="AG320" i="229" s="1"/>
  <c r="DK130" i="229"/>
  <c r="DL128" i="229" s="1"/>
  <c r="DL129" i="229" s="1"/>
  <c r="DL205" i="229" s="1"/>
  <c r="DI217" i="229"/>
  <c r="DI54" i="229"/>
  <c r="DI56" i="229" s="1"/>
  <c r="DI236" i="229" s="1"/>
  <c r="DJ52" i="229"/>
  <c r="DJ198" i="229" s="1"/>
  <c r="DK162" i="229"/>
  <c r="DK208" i="229" s="1"/>
  <c r="DK65" i="229"/>
  <c r="DK67" i="229" s="1"/>
  <c r="DK237" i="229" s="1"/>
  <c r="DK218" i="229"/>
  <c r="AH280" i="229" s="1"/>
  <c r="AH324" i="229" s="1"/>
  <c r="DL62" i="229"/>
  <c r="DI152" i="229"/>
  <c r="DG119" i="229"/>
  <c r="DI108" i="229"/>
  <c r="DO42" i="229"/>
  <c r="DH74" i="229"/>
  <c r="DH200" i="229" s="1"/>
  <c r="DL221" i="229"/>
  <c r="DM95" i="229"/>
  <c r="DL98" i="229"/>
  <c r="DL100" i="229" s="1"/>
  <c r="DL240" i="229" s="1"/>
  <c r="DL86" i="229"/>
  <c r="DM84" i="229" s="1"/>
  <c r="DO30" i="229"/>
  <c r="DO196" i="229" s="1"/>
  <c r="DK139" i="229" l="1"/>
  <c r="DH174" i="229"/>
  <c r="DH175" i="229" s="1"/>
  <c r="DH177" i="229" s="1"/>
  <c r="DH247" i="229" s="1"/>
  <c r="DJ185" i="229"/>
  <c r="DJ186" i="229" s="1"/>
  <c r="DJ188" i="229" s="1"/>
  <c r="DJ248" i="229" s="1"/>
  <c r="DK131" i="229"/>
  <c r="DK133" i="229" s="1"/>
  <c r="DK243" i="229" s="1"/>
  <c r="DK224" i="229"/>
  <c r="AH286" i="229" s="1"/>
  <c r="AH330" i="229" s="1"/>
  <c r="DJ142" i="229"/>
  <c r="DJ144" i="229" s="1"/>
  <c r="DJ244" i="229" s="1"/>
  <c r="DH75" i="229"/>
  <c r="DH219" i="229" s="1"/>
  <c r="DL130" i="229"/>
  <c r="DM128" i="229" s="1"/>
  <c r="DP40" i="229"/>
  <c r="DO216" i="229"/>
  <c r="AI278" i="229" s="1"/>
  <c r="AI322" i="229" s="1"/>
  <c r="DO43" i="229"/>
  <c r="DO45" i="229" s="1"/>
  <c r="DO235" i="229" s="1"/>
  <c r="DK163" i="229"/>
  <c r="DJ106" i="229"/>
  <c r="DI222" i="229"/>
  <c r="DI109" i="229"/>
  <c r="DI111" i="229" s="1"/>
  <c r="DI241" i="229" s="1"/>
  <c r="DH117" i="229"/>
  <c r="DG223" i="229"/>
  <c r="AG285" i="229" s="1"/>
  <c r="AG329" i="229" s="1"/>
  <c r="AG336" i="229" s="1"/>
  <c r="DG120" i="229"/>
  <c r="DG122" i="229" s="1"/>
  <c r="DG242" i="229" s="1"/>
  <c r="DJ53" i="229"/>
  <c r="DL63" i="229"/>
  <c r="DL199" i="229" s="1"/>
  <c r="DI226" i="229"/>
  <c r="DJ150" i="229"/>
  <c r="DI153" i="229"/>
  <c r="DI155" i="229" s="1"/>
  <c r="DI245" i="229" s="1"/>
  <c r="DK140" i="229"/>
  <c r="DK206" i="229" s="1"/>
  <c r="DK141" i="229"/>
  <c r="DL87" i="229"/>
  <c r="DL89" i="229" s="1"/>
  <c r="DL239" i="229" s="1"/>
  <c r="DL220" i="229"/>
  <c r="DO31" i="229"/>
  <c r="DO215" i="229" s="1"/>
  <c r="AI277" i="229" s="1"/>
  <c r="AI321" i="229" s="1"/>
  <c r="DM96" i="229"/>
  <c r="DM202" i="229" s="1"/>
  <c r="DM85" i="229"/>
  <c r="DM201" i="229" s="1"/>
  <c r="DH228" i="229" l="1"/>
  <c r="DI172" i="229"/>
  <c r="DI173" i="229" s="1"/>
  <c r="DI209" i="229" s="1"/>
  <c r="DI73" i="229"/>
  <c r="DI74" i="229" s="1"/>
  <c r="DI200" i="229" s="1"/>
  <c r="DK183" i="229"/>
  <c r="DJ229" i="229"/>
  <c r="DL224" i="229"/>
  <c r="DH76" i="229"/>
  <c r="DH78" i="229" s="1"/>
  <c r="DH238" i="229" s="1"/>
  <c r="DL131" i="229"/>
  <c r="DL133" i="229" s="1"/>
  <c r="DL243" i="229" s="1"/>
  <c r="DL64" i="229"/>
  <c r="DJ54" i="229"/>
  <c r="DJ56" i="229" s="1"/>
  <c r="DJ236" i="229" s="1"/>
  <c r="DJ217" i="229"/>
  <c r="DK51" i="229"/>
  <c r="DP41" i="229"/>
  <c r="DP197" i="229" s="1"/>
  <c r="DL139" i="229"/>
  <c r="DL140" i="229" s="1"/>
  <c r="DL206" i="229" s="1"/>
  <c r="DK225" i="229"/>
  <c r="AH287" i="229" s="1"/>
  <c r="AH331" i="229" s="1"/>
  <c r="DK142" i="229"/>
  <c r="DK144" i="229" s="1"/>
  <c r="DK244" i="229" s="1"/>
  <c r="DJ151" i="229"/>
  <c r="DJ207" i="229" s="1"/>
  <c r="DH118" i="229"/>
  <c r="DH204" i="229" s="1"/>
  <c r="DJ107" i="229"/>
  <c r="DJ203" i="229" s="1"/>
  <c r="DL161" i="229"/>
  <c r="DK164" i="229"/>
  <c r="DK166" i="229" s="1"/>
  <c r="DK246" i="229" s="1"/>
  <c r="DK227" i="229"/>
  <c r="AH289" i="229" s="1"/>
  <c r="AH333" i="229" s="1"/>
  <c r="DO32" i="229"/>
  <c r="DO34" i="229" s="1"/>
  <c r="DO234" i="229" s="1"/>
  <c r="DP29" i="229"/>
  <c r="DP30" i="229" s="1"/>
  <c r="DP196" i="229" s="1"/>
  <c r="DM86" i="229"/>
  <c r="DN84" i="229" s="1"/>
  <c r="DM97" i="229"/>
  <c r="DM129" i="229"/>
  <c r="DM205" i="229" s="1"/>
  <c r="DK184" i="229" l="1"/>
  <c r="DK210" i="229" s="1"/>
  <c r="DJ152" i="229"/>
  <c r="DK150" i="229" s="1"/>
  <c r="DH119" i="229"/>
  <c r="DH120" i="229" s="1"/>
  <c r="DH122" i="229" s="1"/>
  <c r="DH242" i="229" s="1"/>
  <c r="DP42" i="229"/>
  <c r="DP216" i="229" s="1"/>
  <c r="DI174" i="229"/>
  <c r="DI75" i="229"/>
  <c r="DI76" i="229" s="1"/>
  <c r="DI78" i="229" s="1"/>
  <c r="DI238" i="229" s="1"/>
  <c r="DI117" i="229"/>
  <c r="DK52" i="229"/>
  <c r="DK198" i="229" s="1"/>
  <c r="DL162" i="229"/>
  <c r="DL208" i="229" s="1"/>
  <c r="DL141" i="229"/>
  <c r="DL225" i="229" s="1"/>
  <c r="DJ108" i="229"/>
  <c r="DL218" i="229"/>
  <c r="DM62" i="229"/>
  <c r="DL65" i="229"/>
  <c r="DL67" i="229" s="1"/>
  <c r="DL237" i="229" s="1"/>
  <c r="DM87" i="229"/>
  <c r="DM89" i="229" s="1"/>
  <c r="DM239" i="229" s="1"/>
  <c r="DM220" i="229"/>
  <c r="DP31" i="229"/>
  <c r="DP215" i="229" s="1"/>
  <c r="DM221" i="229"/>
  <c r="DN95" i="229"/>
  <c r="DM98" i="229"/>
  <c r="DM100" i="229" s="1"/>
  <c r="DM240" i="229" s="1"/>
  <c r="DM130" i="229"/>
  <c r="DM224" i="229" s="1"/>
  <c r="DN85" i="229"/>
  <c r="DN201" i="229" s="1"/>
  <c r="DK185" i="229" l="1"/>
  <c r="DK229" i="229" s="1"/>
  <c r="AH291" i="229" s="1"/>
  <c r="AH335" i="229" s="1"/>
  <c r="DJ153" i="229"/>
  <c r="DJ155" i="229" s="1"/>
  <c r="DJ245" i="229" s="1"/>
  <c r="DJ226" i="229"/>
  <c r="DH223" i="229"/>
  <c r="DJ73" i="229"/>
  <c r="DJ74" i="229" s="1"/>
  <c r="DJ200" i="229" s="1"/>
  <c r="DI219" i="229"/>
  <c r="DP43" i="229"/>
  <c r="DP45" i="229" s="1"/>
  <c r="DP235" i="229" s="1"/>
  <c r="DQ40" i="229"/>
  <c r="DQ41" i="229" s="1"/>
  <c r="DQ197" i="229" s="1"/>
  <c r="DL163" i="229"/>
  <c r="DM161" i="229" s="1"/>
  <c r="DK53" i="229"/>
  <c r="DK217" i="229" s="1"/>
  <c r="AH279" i="229" s="1"/>
  <c r="AH323" i="229" s="1"/>
  <c r="DJ172" i="229"/>
  <c r="DI228" i="229"/>
  <c r="DI175" i="229"/>
  <c r="DI177" i="229" s="1"/>
  <c r="DI247" i="229" s="1"/>
  <c r="DM139" i="229"/>
  <c r="DM140" i="229" s="1"/>
  <c r="DM206" i="229" s="1"/>
  <c r="DL142" i="229"/>
  <c r="DL144" i="229" s="1"/>
  <c r="DL244" i="229" s="1"/>
  <c r="DK151" i="229"/>
  <c r="DK207" i="229" s="1"/>
  <c r="DL227" i="229"/>
  <c r="DL164" i="229"/>
  <c r="DL166" i="229" s="1"/>
  <c r="DL246" i="229" s="1"/>
  <c r="DM63" i="229"/>
  <c r="DM199" i="229" s="1"/>
  <c r="DK106" i="229"/>
  <c r="DJ222" i="229"/>
  <c r="DJ109" i="229"/>
  <c r="DJ111" i="229" s="1"/>
  <c r="DJ241" i="229" s="1"/>
  <c r="DI118" i="229"/>
  <c r="DI204" i="229" s="1"/>
  <c r="DN86" i="229"/>
  <c r="DO84" i="229" s="1"/>
  <c r="DM131" i="229"/>
  <c r="DM133" i="229" s="1"/>
  <c r="DM243" i="229" s="1"/>
  <c r="DN128" i="229"/>
  <c r="DN129" i="229" s="1"/>
  <c r="DP32" i="229"/>
  <c r="DP34" i="229" s="1"/>
  <c r="DP234" i="229" s="1"/>
  <c r="DQ29" i="229"/>
  <c r="DQ30" i="229" s="1"/>
  <c r="DQ196" i="229" s="1"/>
  <c r="DN96" i="229"/>
  <c r="DN202" i="229" s="1"/>
  <c r="DK186" i="229" l="1"/>
  <c r="DK188" i="229" s="1"/>
  <c r="DK248" i="229" s="1"/>
  <c r="DL183" i="229"/>
  <c r="DL184" i="229" s="1"/>
  <c r="DL210" i="229" s="1"/>
  <c r="DI119" i="229"/>
  <c r="DI223" i="229" s="1"/>
  <c r="DM141" i="229"/>
  <c r="DN139" i="229" s="1"/>
  <c r="DK54" i="229"/>
  <c r="DK56" i="229" s="1"/>
  <c r="DK236" i="229" s="1"/>
  <c r="DL51" i="229"/>
  <c r="DL52" i="229" s="1"/>
  <c r="DL198" i="229" s="1"/>
  <c r="DK152" i="229"/>
  <c r="DL150" i="229" s="1"/>
  <c r="DJ173" i="229"/>
  <c r="DJ209" i="229" s="1"/>
  <c r="DK107" i="229"/>
  <c r="DK203" i="229" s="1"/>
  <c r="DQ42" i="229"/>
  <c r="DM64" i="229"/>
  <c r="DJ75" i="229"/>
  <c r="DM162" i="229"/>
  <c r="DM208" i="229" s="1"/>
  <c r="DN220" i="229"/>
  <c r="DN87" i="229"/>
  <c r="DN89" i="229" s="1"/>
  <c r="DN239" i="229" s="1"/>
  <c r="DN205" i="229"/>
  <c r="DN130" i="229"/>
  <c r="DN224" i="229" s="1"/>
  <c r="DQ31" i="229"/>
  <c r="DR29" i="229" s="1"/>
  <c r="DN97" i="229"/>
  <c r="DM225" i="229"/>
  <c r="DO85" i="229"/>
  <c r="DO201" i="229" s="1"/>
  <c r="DL185" i="229" l="1"/>
  <c r="DM183" i="229" s="1"/>
  <c r="DM142" i="229"/>
  <c r="DM144" i="229" s="1"/>
  <c r="DM244" i="229" s="1"/>
  <c r="DI120" i="229"/>
  <c r="DI122" i="229" s="1"/>
  <c r="DI242" i="229" s="1"/>
  <c r="DJ117" i="229"/>
  <c r="DJ118" i="229" s="1"/>
  <c r="DJ204" i="229" s="1"/>
  <c r="DJ174" i="229"/>
  <c r="DK172" i="229" s="1"/>
  <c r="DK153" i="229"/>
  <c r="DK155" i="229" s="1"/>
  <c r="DK245" i="229" s="1"/>
  <c r="DK226" i="229"/>
  <c r="AH288" i="229" s="1"/>
  <c r="AH332" i="229" s="1"/>
  <c r="DL53" i="229"/>
  <c r="DL217" i="229" s="1"/>
  <c r="DM163" i="229"/>
  <c r="DN161" i="229" s="1"/>
  <c r="DK108" i="229"/>
  <c r="DK222" i="229" s="1"/>
  <c r="AH284" i="229" s="1"/>
  <c r="AH328" i="229" s="1"/>
  <c r="DN62" i="229"/>
  <c r="DM218" i="229"/>
  <c r="DM65" i="229"/>
  <c r="DM67" i="229" s="1"/>
  <c r="DM237" i="229" s="1"/>
  <c r="DR40" i="229"/>
  <c r="DQ216" i="229"/>
  <c r="DQ43" i="229"/>
  <c r="DQ45" i="229" s="1"/>
  <c r="DQ235" i="229" s="1"/>
  <c r="DL151" i="229"/>
  <c r="DL207" i="229" s="1"/>
  <c r="DJ219" i="229"/>
  <c r="DK73" i="229"/>
  <c r="DJ76" i="229"/>
  <c r="DJ78" i="229" s="1"/>
  <c r="DJ238" i="229" s="1"/>
  <c r="DN131" i="229"/>
  <c r="DN133" i="229" s="1"/>
  <c r="DN243" i="229" s="1"/>
  <c r="DO128" i="229"/>
  <c r="DO129" i="229" s="1"/>
  <c r="DO205" i="229" s="1"/>
  <c r="DQ215" i="229"/>
  <c r="DQ32" i="229"/>
  <c r="DQ34" i="229" s="1"/>
  <c r="DQ234" i="229" s="1"/>
  <c r="DN221" i="229"/>
  <c r="DO95" i="229"/>
  <c r="DN98" i="229"/>
  <c r="DN100" i="229" s="1"/>
  <c r="DN240" i="229" s="1"/>
  <c r="DO86" i="229"/>
  <c r="DP84" i="229" s="1"/>
  <c r="DN140" i="229"/>
  <c r="DN206" i="229" s="1"/>
  <c r="DR30" i="229"/>
  <c r="DR196" i="229" s="1"/>
  <c r="DL186" i="229" l="1"/>
  <c r="DL188" i="229" s="1"/>
  <c r="DL248" i="229" s="1"/>
  <c r="DL229" i="229"/>
  <c r="DM184" i="229"/>
  <c r="DM210" i="229" s="1"/>
  <c r="DJ175" i="229"/>
  <c r="DJ177" i="229" s="1"/>
  <c r="DJ247" i="229" s="1"/>
  <c r="DJ228" i="229"/>
  <c r="DM51" i="229"/>
  <c r="DM52" i="229" s="1"/>
  <c r="DM198" i="229" s="1"/>
  <c r="DM227" i="229"/>
  <c r="DL54" i="229"/>
  <c r="DL56" i="229" s="1"/>
  <c r="DL236" i="229" s="1"/>
  <c r="DL106" i="229"/>
  <c r="DL107" i="229" s="1"/>
  <c r="DL203" i="229" s="1"/>
  <c r="DM164" i="229"/>
  <c r="DM166" i="229" s="1"/>
  <c r="DM246" i="229" s="1"/>
  <c r="DK109" i="229"/>
  <c r="DK111" i="229" s="1"/>
  <c r="DK241" i="229" s="1"/>
  <c r="DL152" i="229"/>
  <c r="DM150" i="229" s="1"/>
  <c r="DK173" i="229"/>
  <c r="DK209" i="229" s="1"/>
  <c r="DJ119" i="229"/>
  <c r="DK117" i="229" s="1"/>
  <c r="DR41" i="229"/>
  <c r="DR197" i="229" s="1"/>
  <c r="DK74" i="229"/>
  <c r="DK200" i="229" s="1"/>
  <c r="DN162" i="229"/>
  <c r="DN208" i="229" s="1"/>
  <c r="DN63" i="229"/>
  <c r="DN199" i="229" s="1"/>
  <c r="DN141" i="229"/>
  <c r="DN225" i="229" s="1"/>
  <c r="DO87" i="229"/>
  <c r="DO89" i="229" s="1"/>
  <c r="DO239" i="229" s="1"/>
  <c r="DO220" i="229"/>
  <c r="AI282" i="229" s="1"/>
  <c r="AI326" i="229" s="1"/>
  <c r="DO96" i="229"/>
  <c r="DO202" i="229" s="1"/>
  <c r="DO130" i="229"/>
  <c r="DR31" i="229"/>
  <c r="DP85" i="229"/>
  <c r="DP201" i="229" s="1"/>
  <c r="DM185" i="229" l="1"/>
  <c r="DN183" i="229" s="1"/>
  <c r="DK174" i="229"/>
  <c r="DK175" i="229" s="1"/>
  <c r="DK177" i="229" s="1"/>
  <c r="DK247" i="229" s="1"/>
  <c r="DL153" i="229"/>
  <c r="DL155" i="229" s="1"/>
  <c r="DL245" i="229" s="1"/>
  <c r="DL226" i="229"/>
  <c r="DJ223" i="229"/>
  <c r="DN163" i="229"/>
  <c r="DN227" i="229" s="1"/>
  <c r="DN64" i="229"/>
  <c r="DN218" i="229" s="1"/>
  <c r="DJ120" i="229"/>
  <c r="DJ122" i="229" s="1"/>
  <c r="DJ242" i="229" s="1"/>
  <c r="DM53" i="229"/>
  <c r="DN51" i="229" s="1"/>
  <c r="DK75" i="229"/>
  <c r="DK219" i="229" s="1"/>
  <c r="AH281" i="229" s="1"/>
  <c r="AH325" i="229" s="1"/>
  <c r="AH320" i="229" s="1"/>
  <c r="DR42" i="229"/>
  <c r="DS40" i="229" s="1"/>
  <c r="DL108" i="229"/>
  <c r="DL222" i="229" s="1"/>
  <c r="DO139" i="229"/>
  <c r="DO140" i="229" s="1"/>
  <c r="DO206" i="229" s="1"/>
  <c r="DN142" i="229"/>
  <c r="DN144" i="229" s="1"/>
  <c r="DN244" i="229" s="1"/>
  <c r="DM151" i="229"/>
  <c r="DM207" i="229" s="1"/>
  <c r="DK118" i="229"/>
  <c r="DK204" i="229" s="1"/>
  <c r="DO97" i="229"/>
  <c r="DP86" i="229"/>
  <c r="DQ84" i="229" s="1"/>
  <c r="DR215" i="229"/>
  <c r="DS29" i="229"/>
  <c r="DR32" i="229"/>
  <c r="DR34" i="229" s="1"/>
  <c r="DR234" i="229" s="1"/>
  <c r="DP128" i="229"/>
  <c r="DO224" i="229"/>
  <c r="AI286" i="229" s="1"/>
  <c r="AI330" i="229" s="1"/>
  <c r="DO131" i="229"/>
  <c r="DO133" i="229" s="1"/>
  <c r="DO243" i="229" s="1"/>
  <c r="DM186" i="229" l="1"/>
  <c r="DM188" i="229" s="1"/>
  <c r="DM248" i="229" s="1"/>
  <c r="DM229" i="229"/>
  <c r="DL172" i="229"/>
  <c r="DL173" i="229" s="1"/>
  <c r="DL209" i="229" s="1"/>
  <c r="DK228" i="229"/>
  <c r="AH290" i="229" s="1"/>
  <c r="AH334" i="229" s="1"/>
  <c r="DN184" i="229"/>
  <c r="DN210" i="229" s="1"/>
  <c r="DN65" i="229"/>
  <c r="DN67" i="229" s="1"/>
  <c r="DN237" i="229" s="1"/>
  <c r="DM54" i="229"/>
  <c r="DM56" i="229" s="1"/>
  <c r="DM236" i="229" s="1"/>
  <c r="DO62" i="229"/>
  <c r="DO63" i="229" s="1"/>
  <c r="DO199" i="229" s="1"/>
  <c r="DO161" i="229"/>
  <c r="DO162" i="229" s="1"/>
  <c r="DO208" i="229" s="1"/>
  <c r="DN164" i="229"/>
  <c r="DN166" i="229" s="1"/>
  <c r="DN246" i="229" s="1"/>
  <c r="DR43" i="229"/>
  <c r="DR45" i="229" s="1"/>
  <c r="DR235" i="229" s="1"/>
  <c r="DM217" i="229"/>
  <c r="DR216" i="229"/>
  <c r="DL109" i="229"/>
  <c r="DL111" i="229" s="1"/>
  <c r="DL241" i="229" s="1"/>
  <c r="DK76" i="229"/>
  <c r="DK78" i="229" s="1"/>
  <c r="DK238" i="229" s="1"/>
  <c r="DM106" i="229"/>
  <c r="DM107" i="229" s="1"/>
  <c r="DM203" i="229" s="1"/>
  <c r="DL73" i="229"/>
  <c r="DL74" i="229" s="1"/>
  <c r="DL200" i="229" s="1"/>
  <c r="DM152" i="229"/>
  <c r="DN52" i="229"/>
  <c r="DN198" i="229" s="1"/>
  <c r="DS41" i="229"/>
  <c r="DS197" i="229" s="1"/>
  <c r="DK119" i="229"/>
  <c r="DP87" i="229"/>
  <c r="DP89" i="229" s="1"/>
  <c r="DP239" i="229" s="1"/>
  <c r="DP220" i="229"/>
  <c r="DO141" i="229"/>
  <c r="DP139" i="229" s="1"/>
  <c r="DO221" i="229"/>
  <c r="AI283" i="229" s="1"/>
  <c r="AI327" i="229" s="1"/>
  <c r="DP95" i="229"/>
  <c r="DO98" i="229"/>
  <c r="DO100" i="229" s="1"/>
  <c r="DO240" i="229" s="1"/>
  <c r="DQ85" i="229"/>
  <c r="DQ201" i="229" s="1"/>
  <c r="DP129" i="229"/>
  <c r="DP205" i="229" s="1"/>
  <c r="DS30" i="229"/>
  <c r="DS196" i="229" s="1"/>
  <c r="DN185" i="229" l="1"/>
  <c r="DN229" i="229" s="1"/>
  <c r="DN53" i="229"/>
  <c r="DN54" i="229" s="1"/>
  <c r="DN56" i="229" s="1"/>
  <c r="DN236" i="229" s="1"/>
  <c r="DO64" i="229"/>
  <c r="DO218" i="229" s="1"/>
  <c r="AI280" i="229" s="1"/>
  <c r="AI324" i="229" s="1"/>
  <c r="DL174" i="229"/>
  <c r="DM172" i="229" s="1"/>
  <c r="DS42" i="229"/>
  <c r="DS43" i="229" s="1"/>
  <c r="DS45" i="229" s="1"/>
  <c r="DS235" i="229" s="1"/>
  <c r="DO163" i="229"/>
  <c r="DO164" i="229" s="1"/>
  <c r="DO166" i="229" s="1"/>
  <c r="DO246" i="229" s="1"/>
  <c r="DM108" i="229"/>
  <c r="DM222" i="229" s="1"/>
  <c r="DK223" i="229"/>
  <c r="AH285" i="229" s="1"/>
  <c r="AH329" i="229" s="1"/>
  <c r="AH336" i="229" s="1"/>
  <c r="DL117" i="229"/>
  <c r="DK120" i="229"/>
  <c r="DK122" i="229" s="1"/>
  <c r="DK242" i="229" s="1"/>
  <c r="DO51" i="229"/>
  <c r="DL75" i="229"/>
  <c r="DM226" i="229"/>
  <c r="DN150" i="229"/>
  <c r="DM153" i="229"/>
  <c r="DM155" i="229" s="1"/>
  <c r="DM245" i="229" s="1"/>
  <c r="DO142" i="229"/>
  <c r="DO144" i="229" s="1"/>
  <c r="DO244" i="229" s="1"/>
  <c r="DO225" i="229"/>
  <c r="AI287" i="229" s="1"/>
  <c r="AI331" i="229" s="1"/>
  <c r="DP96" i="229"/>
  <c r="DP202" i="229" s="1"/>
  <c r="DQ86" i="229"/>
  <c r="DR84" i="229" s="1"/>
  <c r="DP140" i="229"/>
  <c r="DP206" i="229" s="1"/>
  <c r="DS31" i="229"/>
  <c r="DP130" i="229"/>
  <c r="DP62" i="229" l="1"/>
  <c r="DN186" i="229"/>
  <c r="DN188" i="229" s="1"/>
  <c r="DN248" i="229" s="1"/>
  <c r="DO183" i="229"/>
  <c r="DO184" i="229" s="1"/>
  <c r="DO210" i="229" s="1"/>
  <c r="DN217" i="229"/>
  <c r="DP97" i="229"/>
  <c r="DL175" i="229"/>
  <c r="DL177" i="229" s="1"/>
  <c r="DL247" i="229" s="1"/>
  <c r="DL228" i="229"/>
  <c r="DO65" i="229"/>
  <c r="DO67" i="229" s="1"/>
  <c r="DO237" i="229" s="1"/>
  <c r="DP161" i="229"/>
  <c r="DP162" i="229" s="1"/>
  <c r="DP208" i="229" s="1"/>
  <c r="DO227" i="229"/>
  <c r="AI289" i="229" s="1"/>
  <c r="AI333" i="229" s="1"/>
  <c r="DT40" i="229"/>
  <c r="DT41" i="229" s="1"/>
  <c r="DT197" i="229" s="1"/>
  <c r="DS216" i="229"/>
  <c r="AJ278" i="229" s="1"/>
  <c r="AJ322" i="229" s="1"/>
  <c r="DM109" i="229"/>
  <c r="DM111" i="229" s="1"/>
  <c r="DM241" i="229" s="1"/>
  <c r="DN106" i="229"/>
  <c r="DN107" i="229" s="1"/>
  <c r="DN203" i="229" s="1"/>
  <c r="DM173" i="229"/>
  <c r="DM209" i="229" s="1"/>
  <c r="DN151" i="229"/>
  <c r="DN207" i="229" s="1"/>
  <c r="DL76" i="229"/>
  <c r="DL78" i="229" s="1"/>
  <c r="DL238" i="229" s="1"/>
  <c r="DL219" i="229"/>
  <c r="DM73" i="229"/>
  <c r="DO52" i="229"/>
  <c r="DO198" i="229" s="1"/>
  <c r="DP63" i="229"/>
  <c r="DP199" i="229" s="1"/>
  <c r="DL118" i="229"/>
  <c r="DL204" i="229" s="1"/>
  <c r="DQ87" i="229"/>
  <c r="DQ89" i="229" s="1"/>
  <c r="DQ239" i="229" s="1"/>
  <c r="DQ220" i="229"/>
  <c r="DP221" i="229"/>
  <c r="DQ95" i="229"/>
  <c r="DP98" i="229"/>
  <c r="DP100" i="229" s="1"/>
  <c r="DP240" i="229" s="1"/>
  <c r="DR85" i="229"/>
  <c r="DR201" i="229" s="1"/>
  <c r="DQ128" i="229"/>
  <c r="DP224" i="229"/>
  <c r="DP131" i="229"/>
  <c r="DP133" i="229" s="1"/>
  <c r="DP243" i="229" s="1"/>
  <c r="DS215" i="229"/>
  <c r="AJ277" i="229" s="1"/>
  <c r="AJ321" i="229" s="1"/>
  <c r="DT29" i="229"/>
  <c r="DS32" i="229"/>
  <c r="DS34" i="229" s="1"/>
  <c r="DS234" i="229" s="1"/>
  <c r="DP141" i="229"/>
  <c r="DO185" i="229" l="1"/>
  <c r="DO229" i="229" s="1"/>
  <c r="AI291" i="229" s="1"/>
  <c r="AI335" i="229" s="1"/>
  <c r="DP64" i="229"/>
  <c r="DQ62" i="229" s="1"/>
  <c r="DM174" i="229"/>
  <c r="DN172" i="229" s="1"/>
  <c r="DP163" i="229"/>
  <c r="DP164" i="229" s="1"/>
  <c r="DP166" i="229" s="1"/>
  <c r="DP246" i="229" s="1"/>
  <c r="DO53" i="229"/>
  <c r="DO54" i="229" s="1"/>
  <c r="DO56" i="229" s="1"/>
  <c r="DO236" i="229" s="1"/>
  <c r="DL119" i="229"/>
  <c r="DL120" i="229" s="1"/>
  <c r="DL122" i="229" s="1"/>
  <c r="DL242" i="229" s="1"/>
  <c r="DN108" i="229"/>
  <c r="DN109" i="229" s="1"/>
  <c r="DN111" i="229" s="1"/>
  <c r="DN241" i="229" s="1"/>
  <c r="DM74" i="229"/>
  <c r="DM200" i="229" s="1"/>
  <c r="DT42" i="229"/>
  <c r="DN152" i="229"/>
  <c r="DQ96" i="229"/>
  <c r="DQ202" i="229" s="1"/>
  <c r="DR86" i="229"/>
  <c r="DR220" i="229" s="1"/>
  <c r="DT30" i="229"/>
  <c r="DT196" i="229" s="1"/>
  <c r="DQ129" i="229"/>
  <c r="DQ205" i="229" s="1"/>
  <c r="DP225" i="229"/>
  <c r="DQ139" i="229"/>
  <c r="DP142" i="229"/>
  <c r="DP144" i="229" s="1"/>
  <c r="DP244" i="229" s="1"/>
  <c r="DP183" i="229" l="1"/>
  <c r="DP184" i="229" s="1"/>
  <c r="DP210" i="229" s="1"/>
  <c r="DO186" i="229"/>
  <c r="DO188" i="229" s="1"/>
  <c r="DO248" i="229" s="1"/>
  <c r="DQ161" i="229"/>
  <c r="DQ162" i="229" s="1"/>
  <c r="DQ208" i="229" s="1"/>
  <c r="DP65" i="229"/>
  <c r="DP67" i="229" s="1"/>
  <c r="DP237" i="229" s="1"/>
  <c r="DP218" i="229"/>
  <c r="DM175" i="229"/>
  <c r="DM177" i="229" s="1"/>
  <c r="DM247" i="229" s="1"/>
  <c r="DM228" i="229"/>
  <c r="DQ97" i="229"/>
  <c r="DM75" i="229"/>
  <c r="DM219" i="229" s="1"/>
  <c r="DP227" i="229"/>
  <c r="DL223" i="229"/>
  <c r="DM117" i="229"/>
  <c r="DM118" i="229" s="1"/>
  <c r="DM204" i="229" s="1"/>
  <c r="DP51" i="229"/>
  <c r="DO217" i="229"/>
  <c r="AI279" i="229" s="1"/>
  <c r="AI323" i="229" s="1"/>
  <c r="DO106" i="229"/>
  <c r="DN222" i="229"/>
  <c r="DN173" i="229"/>
  <c r="DN209" i="229" s="1"/>
  <c r="DT216" i="229"/>
  <c r="DU40" i="229"/>
  <c r="DT43" i="229"/>
  <c r="DT45" i="229" s="1"/>
  <c r="DT235" i="229" s="1"/>
  <c r="DP52" i="229"/>
  <c r="DP198" i="229" s="1"/>
  <c r="DO150" i="229"/>
  <c r="DN226" i="229"/>
  <c r="DN153" i="229"/>
  <c r="DN155" i="229" s="1"/>
  <c r="DN245" i="229" s="1"/>
  <c r="DN73" i="229"/>
  <c r="DQ63" i="229"/>
  <c r="DQ199" i="229" s="1"/>
  <c r="DR87" i="229"/>
  <c r="DR89" i="229" s="1"/>
  <c r="DR239" i="229" s="1"/>
  <c r="DQ130" i="229"/>
  <c r="DQ224" i="229" s="1"/>
  <c r="DS84" i="229"/>
  <c r="DS85" i="229" s="1"/>
  <c r="DS201" i="229" s="1"/>
  <c r="DT31" i="229"/>
  <c r="DU29" i="229" s="1"/>
  <c r="DQ221" i="229"/>
  <c r="DR95" i="229"/>
  <c r="DQ98" i="229"/>
  <c r="DQ100" i="229" s="1"/>
  <c r="DQ240" i="229" s="1"/>
  <c r="DQ140" i="229"/>
  <c r="DQ206" i="229" s="1"/>
  <c r="DQ163" i="229" l="1"/>
  <c r="DQ227" i="229" s="1"/>
  <c r="DP185" i="229"/>
  <c r="DP229" i="229" s="1"/>
  <c r="DR161" i="229"/>
  <c r="DR162" i="229" s="1"/>
  <c r="DR208" i="229" s="1"/>
  <c r="DM76" i="229"/>
  <c r="DM78" i="229" s="1"/>
  <c r="DM238" i="229" s="1"/>
  <c r="DN174" i="229"/>
  <c r="DN175" i="229" s="1"/>
  <c r="DN177" i="229" s="1"/>
  <c r="DN247" i="229" s="1"/>
  <c r="DO107" i="229"/>
  <c r="DO203" i="229" s="1"/>
  <c r="DM119" i="229"/>
  <c r="DM223" i="229" s="1"/>
  <c r="DQ64" i="229"/>
  <c r="DR62" i="229" s="1"/>
  <c r="DU41" i="229"/>
  <c r="DU197" i="229" s="1"/>
  <c r="DO151" i="229"/>
  <c r="DO207" i="229" s="1"/>
  <c r="DP53" i="229"/>
  <c r="DN74" i="229"/>
  <c r="DN200" i="229" s="1"/>
  <c r="DQ131" i="229"/>
  <c r="DQ133" i="229" s="1"/>
  <c r="DQ243" i="229" s="1"/>
  <c r="DR128" i="229"/>
  <c r="DR129" i="229" s="1"/>
  <c r="DR205" i="229" s="1"/>
  <c r="DT215" i="229"/>
  <c r="DT32" i="229"/>
  <c r="DT34" i="229" s="1"/>
  <c r="DT234" i="229" s="1"/>
  <c r="DR96" i="229"/>
  <c r="DR202" i="229" s="1"/>
  <c r="DQ141" i="229"/>
  <c r="DQ225" i="229" s="1"/>
  <c r="DU30" i="229"/>
  <c r="DU196" i="229" s="1"/>
  <c r="DS86" i="229"/>
  <c r="DQ164" i="229" l="1"/>
  <c r="DQ166" i="229" s="1"/>
  <c r="DQ246" i="229" s="1"/>
  <c r="DP186" i="229"/>
  <c r="DP188" i="229" s="1"/>
  <c r="DP248" i="229" s="1"/>
  <c r="DQ183" i="229"/>
  <c r="DQ184" i="229" s="1"/>
  <c r="DQ210" i="229" s="1"/>
  <c r="DR163" i="229"/>
  <c r="DR164" i="229" s="1"/>
  <c r="DR166" i="229" s="1"/>
  <c r="DR246" i="229" s="1"/>
  <c r="DN228" i="229"/>
  <c r="DO172" i="229"/>
  <c r="DO173" i="229" s="1"/>
  <c r="DO209" i="229" s="1"/>
  <c r="DR97" i="229"/>
  <c r="DQ65" i="229"/>
  <c r="DQ67" i="229" s="1"/>
  <c r="DQ237" i="229" s="1"/>
  <c r="DQ218" i="229"/>
  <c r="DO108" i="229"/>
  <c r="DM120" i="229"/>
  <c r="DM122" i="229" s="1"/>
  <c r="DM242" i="229" s="1"/>
  <c r="DN117" i="229"/>
  <c r="DN118" i="229" s="1"/>
  <c r="DN204" i="229" s="1"/>
  <c r="DO152" i="229"/>
  <c r="DO226" i="229" s="1"/>
  <c r="AI288" i="229" s="1"/>
  <c r="AI332" i="229" s="1"/>
  <c r="DU42" i="229"/>
  <c r="DV40" i="229" s="1"/>
  <c r="DP217" i="229"/>
  <c r="DQ51" i="229"/>
  <c r="DP54" i="229"/>
  <c r="DP56" i="229" s="1"/>
  <c r="DP236" i="229" s="1"/>
  <c r="DN75" i="229"/>
  <c r="DR63" i="229"/>
  <c r="DR199" i="229" s="1"/>
  <c r="DS161" i="229"/>
  <c r="DS162" i="229" s="1"/>
  <c r="DS208" i="229" s="1"/>
  <c r="DR227" i="229"/>
  <c r="DQ142" i="229"/>
  <c r="DQ144" i="229" s="1"/>
  <c r="DQ244" i="229" s="1"/>
  <c r="DR139" i="229"/>
  <c r="DR140" i="229" s="1"/>
  <c r="DR206" i="229" s="1"/>
  <c r="DU31" i="229"/>
  <c r="DU32" i="229" s="1"/>
  <c r="DU34" i="229" s="1"/>
  <c r="DU234" i="229" s="1"/>
  <c r="DR130" i="229"/>
  <c r="DR224" i="229" s="1"/>
  <c r="DR221" i="229"/>
  <c r="DS95" i="229"/>
  <c r="DR98" i="229"/>
  <c r="DR100" i="229" s="1"/>
  <c r="DR240" i="229" s="1"/>
  <c r="DS220" i="229"/>
  <c r="AJ282" i="229" s="1"/>
  <c r="AJ326" i="229" s="1"/>
  <c r="DT84" i="229"/>
  <c r="DS87" i="229"/>
  <c r="DS89" i="229" s="1"/>
  <c r="DS239" i="229" s="1"/>
  <c r="DQ185" i="229" l="1"/>
  <c r="DQ229" i="229" s="1"/>
  <c r="DO153" i="229"/>
  <c r="DO155" i="229" s="1"/>
  <c r="DO245" i="229" s="1"/>
  <c r="DP150" i="229"/>
  <c r="DP151" i="229" s="1"/>
  <c r="DP207" i="229" s="1"/>
  <c r="DU43" i="229"/>
  <c r="DU45" i="229" s="1"/>
  <c r="DU235" i="229" s="1"/>
  <c r="DO174" i="229"/>
  <c r="DO175" i="229" s="1"/>
  <c r="DO177" i="229" s="1"/>
  <c r="DO247" i="229" s="1"/>
  <c r="DR64" i="229"/>
  <c r="DR218" i="229" s="1"/>
  <c r="DU216" i="229"/>
  <c r="DO109" i="229"/>
  <c r="DO111" i="229" s="1"/>
  <c r="DO241" i="229" s="1"/>
  <c r="DO222" i="229"/>
  <c r="AI284" i="229" s="1"/>
  <c r="AI328" i="229" s="1"/>
  <c r="DP106" i="229"/>
  <c r="DP107" i="229" s="1"/>
  <c r="DP203" i="229" s="1"/>
  <c r="DN119" i="229"/>
  <c r="DN223" i="229" s="1"/>
  <c r="DV41" i="229"/>
  <c r="DV197" i="229" s="1"/>
  <c r="DO73" i="229"/>
  <c r="DN219" i="229"/>
  <c r="DN76" i="229"/>
  <c r="DN78" i="229" s="1"/>
  <c r="DN238" i="229" s="1"/>
  <c r="DQ52" i="229"/>
  <c r="DQ198" i="229" s="1"/>
  <c r="DU215" i="229"/>
  <c r="DR131" i="229"/>
  <c r="DR133" i="229" s="1"/>
  <c r="DR243" i="229" s="1"/>
  <c r="DS128" i="229"/>
  <c r="DS129" i="229" s="1"/>
  <c r="DS205" i="229" s="1"/>
  <c r="DV29" i="229"/>
  <c r="DV30" i="229" s="1"/>
  <c r="DV196" i="229" s="1"/>
  <c r="DR141" i="229"/>
  <c r="DR142" i="229" s="1"/>
  <c r="DR144" i="229" s="1"/>
  <c r="DR244" i="229" s="1"/>
  <c r="DS163" i="229"/>
  <c r="DT161" i="229" s="1"/>
  <c r="DS96" i="229"/>
  <c r="DS202" i="229" s="1"/>
  <c r="DT85" i="229"/>
  <c r="DT201" i="229" s="1"/>
  <c r="DQ186" i="229" l="1"/>
  <c r="DQ188" i="229" s="1"/>
  <c r="DQ248" i="229" s="1"/>
  <c r="DR183" i="229"/>
  <c r="DR65" i="229"/>
  <c r="DR67" i="229" s="1"/>
  <c r="DR237" i="229" s="1"/>
  <c r="DS62" i="229"/>
  <c r="DS63" i="229" s="1"/>
  <c r="DS199" i="229" s="1"/>
  <c r="DS97" i="229"/>
  <c r="DS221" i="229" s="1"/>
  <c r="AJ283" i="229" s="1"/>
  <c r="AJ327" i="229" s="1"/>
  <c r="DO228" i="229"/>
  <c r="AI290" i="229" s="1"/>
  <c r="AI334" i="229" s="1"/>
  <c r="DP172" i="229"/>
  <c r="DP173" i="229" s="1"/>
  <c r="DP209" i="229" s="1"/>
  <c r="DO117" i="229"/>
  <c r="DO118" i="229" s="1"/>
  <c r="DO204" i="229" s="1"/>
  <c r="DN120" i="229"/>
  <c r="DN122" i="229" s="1"/>
  <c r="DN242" i="229" s="1"/>
  <c r="DP108" i="229"/>
  <c r="DQ53" i="229"/>
  <c r="DQ54" i="229" s="1"/>
  <c r="DQ56" i="229" s="1"/>
  <c r="DQ236" i="229" s="1"/>
  <c r="DP152" i="229"/>
  <c r="DQ150" i="229" s="1"/>
  <c r="DO74" i="229"/>
  <c r="DO200" i="229" s="1"/>
  <c r="DV42" i="229"/>
  <c r="DT86" i="229"/>
  <c r="DT220" i="229" s="1"/>
  <c r="DS139" i="229"/>
  <c r="DS140" i="229" s="1"/>
  <c r="DS206" i="229" s="1"/>
  <c r="DR225" i="229"/>
  <c r="DS227" i="229"/>
  <c r="AJ289" i="229" s="1"/>
  <c r="AJ333" i="229" s="1"/>
  <c r="DS164" i="229"/>
  <c r="DS166" i="229" s="1"/>
  <c r="DS246" i="229" s="1"/>
  <c r="DT95" i="229"/>
  <c r="DS98" i="229"/>
  <c r="DS100" i="229" s="1"/>
  <c r="DS240" i="229" s="1"/>
  <c r="DS130" i="229"/>
  <c r="DS131" i="229" s="1"/>
  <c r="DS133" i="229" s="1"/>
  <c r="DS243" i="229" s="1"/>
  <c r="DV31" i="229"/>
  <c r="DT162" i="229"/>
  <c r="DT208" i="229" s="1"/>
  <c r="DR184" i="229" l="1"/>
  <c r="DR210" i="229" s="1"/>
  <c r="DR51" i="229"/>
  <c r="DR52" i="229" s="1"/>
  <c r="DR198" i="229" s="1"/>
  <c r="DQ217" i="229"/>
  <c r="DP174" i="229"/>
  <c r="DP175" i="229" s="1"/>
  <c r="DP177" i="229" s="1"/>
  <c r="DP247" i="229" s="1"/>
  <c r="DP226" i="229"/>
  <c r="DO119" i="229"/>
  <c r="DO223" i="229" s="1"/>
  <c r="AI285" i="229" s="1"/>
  <c r="AI329" i="229" s="1"/>
  <c r="AI336" i="229" s="1"/>
  <c r="DO75" i="229"/>
  <c r="DO219" i="229" s="1"/>
  <c r="AI281" i="229" s="1"/>
  <c r="AI325" i="229" s="1"/>
  <c r="AI320" i="229" s="1"/>
  <c r="DP222" i="229"/>
  <c r="DQ106" i="229"/>
  <c r="DQ107" i="229" s="1"/>
  <c r="DQ203" i="229" s="1"/>
  <c r="DP109" i="229"/>
  <c r="DP111" i="229" s="1"/>
  <c r="DP241" i="229" s="1"/>
  <c r="DP153" i="229"/>
  <c r="DP155" i="229" s="1"/>
  <c r="DP245" i="229" s="1"/>
  <c r="DQ151" i="229"/>
  <c r="DQ207" i="229" s="1"/>
  <c r="DV43" i="229"/>
  <c r="DV45" i="229" s="1"/>
  <c r="DV235" i="229" s="1"/>
  <c r="DV216" i="229"/>
  <c r="DW40" i="229"/>
  <c r="DS64" i="229"/>
  <c r="DT87" i="229"/>
  <c r="DT89" i="229" s="1"/>
  <c r="DT239" i="229" s="1"/>
  <c r="DU84" i="229"/>
  <c r="DU85" i="229" s="1"/>
  <c r="DU201" i="229" s="1"/>
  <c r="DT128" i="229"/>
  <c r="DT129" i="229" s="1"/>
  <c r="DT205" i="229" s="1"/>
  <c r="DS224" i="229"/>
  <c r="AJ286" i="229" s="1"/>
  <c r="AJ330" i="229" s="1"/>
  <c r="DS141" i="229"/>
  <c r="DS225" i="229" s="1"/>
  <c r="AJ287" i="229" s="1"/>
  <c r="AJ331" i="229" s="1"/>
  <c r="DT96" i="229"/>
  <c r="DT202" i="229" s="1"/>
  <c r="DT163" i="229"/>
  <c r="DV215" i="229"/>
  <c r="DW29" i="229"/>
  <c r="DV32" i="229"/>
  <c r="DV34" i="229" s="1"/>
  <c r="DV234" i="229" s="1"/>
  <c r="DR185" i="229" l="1"/>
  <c r="DR186" i="229" s="1"/>
  <c r="DR188" i="229" s="1"/>
  <c r="DR248" i="229" s="1"/>
  <c r="DO120" i="229"/>
  <c r="DO122" i="229" s="1"/>
  <c r="DO242" i="229" s="1"/>
  <c r="DP117" i="229"/>
  <c r="DQ172" i="229"/>
  <c r="DQ173" i="229" s="1"/>
  <c r="DQ209" i="229" s="1"/>
  <c r="DP228" i="229"/>
  <c r="DQ152" i="229"/>
  <c r="DQ153" i="229" s="1"/>
  <c r="DQ155" i="229" s="1"/>
  <c r="DQ245" i="229" s="1"/>
  <c r="DQ108" i="229"/>
  <c r="DR106" i="229" s="1"/>
  <c r="DR107" i="229" s="1"/>
  <c r="DR203" i="229" s="1"/>
  <c r="DO76" i="229"/>
  <c r="DO78" i="229" s="1"/>
  <c r="DO238" i="229" s="1"/>
  <c r="DP73" i="229"/>
  <c r="DP74" i="229" s="1"/>
  <c r="DP200" i="229" s="1"/>
  <c r="DR53" i="229"/>
  <c r="DP118" i="229"/>
  <c r="DP204" i="229" s="1"/>
  <c r="DS218" i="229"/>
  <c r="AJ280" i="229" s="1"/>
  <c r="AJ324" i="229" s="1"/>
  <c r="DT62" i="229"/>
  <c r="DS65" i="229"/>
  <c r="DS67" i="229" s="1"/>
  <c r="DS237" i="229" s="1"/>
  <c r="DW41" i="229"/>
  <c r="DW197" i="229" s="1"/>
  <c r="DT139" i="229"/>
  <c r="DT140" i="229" s="1"/>
  <c r="DT206" i="229" s="1"/>
  <c r="DS142" i="229"/>
  <c r="DS144" i="229" s="1"/>
  <c r="DS244" i="229" s="1"/>
  <c r="DT97" i="229"/>
  <c r="DT130" i="229"/>
  <c r="DU86" i="229"/>
  <c r="DW30" i="229"/>
  <c r="DW196" i="229" s="1"/>
  <c r="DT227" i="229"/>
  <c r="DU161" i="229"/>
  <c r="DT164" i="229"/>
  <c r="DT166" i="229" s="1"/>
  <c r="DT246" i="229" s="1"/>
  <c r="DS183" i="229" l="1"/>
  <c r="DR229" i="229"/>
  <c r="DQ109" i="229"/>
  <c r="DQ111" i="229" s="1"/>
  <c r="DQ241" i="229" s="1"/>
  <c r="DQ226" i="229"/>
  <c r="DQ222" i="229"/>
  <c r="DR150" i="229"/>
  <c r="DR151" i="229" s="1"/>
  <c r="DR207" i="229" s="1"/>
  <c r="DP119" i="229"/>
  <c r="DP223" i="229" s="1"/>
  <c r="DQ174" i="229"/>
  <c r="DQ228" i="229" s="1"/>
  <c r="DP75" i="229"/>
  <c r="DQ73" i="229" s="1"/>
  <c r="DR108" i="229"/>
  <c r="DS106" i="229" s="1"/>
  <c r="DW42" i="229"/>
  <c r="DX40" i="229" s="1"/>
  <c r="DT63" i="229"/>
  <c r="DT199" i="229" s="1"/>
  <c r="DS51" i="229"/>
  <c r="DR217" i="229"/>
  <c r="DR54" i="229"/>
  <c r="DR56" i="229" s="1"/>
  <c r="DR236" i="229" s="1"/>
  <c r="DW31" i="229"/>
  <c r="DX29" i="229" s="1"/>
  <c r="DT141" i="229"/>
  <c r="DT225" i="229" s="1"/>
  <c r="DT221" i="229"/>
  <c r="DU95" i="229"/>
  <c r="DT98" i="229"/>
  <c r="DT100" i="229" s="1"/>
  <c r="DT240" i="229" s="1"/>
  <c r="DU162" i="229"/>
  <c r="DU208" i="229" s="1"/>
  <c r="DV84" i="229"/>
  <c r="DU220" i="229"/>
  <c r="DU87" i="229"/>
  <c r="DU89" i="229" s="1"/>
  <c r="DU239" i="229" s="1"/>
  <c r="DT224" i="229"/>
  <c r="DU128" i="229"/>
  <c r="DT131" i="229"/>
  <c r="DT133" i="229" s="1"/>
  <c r="DT243" i="229" s="1"/>
  <c r="DS184" i="229" l="1"/>
  <c r="DS210" i="229" s="1"/>
  <c r="DP120" i="229"/>
  <c r="DP122" i="229" s="1"/>
  <c r="DP242" i="229" s="1"/>
  <c r="DQ117" i="229"/>
  <c r="DQ118" i="229" s="1"/>
  <c r="DQ204" i="229" s="1"/>
  <c r="DQ175" i="229"/>
  <c r="DQ177" i="229" s="1"/>
  <c r="DQ247" i="229" s="1"/>
  <c r="DP76" i="229"/>
  <c r="DP78" i="229" s="1"/>
  <c r="DP238" i="229" s="1"/>
  <c r="DR172" i="229"/>
  <c r="DR173" i="229" s="1"/>
  <c r="DR209" i="229" s="1"/>
  <c r="DP219" i="229"/>
  <c r="DT64" i="229"/>
  <c r="DT65" i="229" s="1"/>
  <c r="DT67" i="229" s="1"/>
  <c r="DT237" i="229" s="1"/>
  <c r="DW216" i="229"/>
  <c r="AK278" i="229" s="1"/>
  <c r="AK322" i="229" s="1"/>
  <c r="DR109" i="229"/>
  <c r="DR111" i="229" s="1"/>
  <c r="DR241" i="229" s="1"/>
  <c r="DR222" i="229"/>
  <c r="DW43" i="229"/>
  <c r="DW45" i="229" s="1"/>
  <c r="DW235" i="229" s="1"/>
  <c r="DS52" i="229"/>
  <c r="DS198" i="229" s="1"/>
  <c r="DX41" i="229"/>
  <c r="DX197" i="229" s="1"/>
  <c r="DS107" i="229"/>
  <c r="DS203" i="229" s="1"/>
  <c r="DR152" i="229"/>
  <c r="DQ74" i="229"/>
  <c r="DQ200" i="229" s="1"/>
  <c r="DW215" i="229"/>
  <c r="AK277" i="229" s="1"/>
  <c r="AK321" i="229" s="1"/>
  <c r="DT142" i="229"/>
  <c r="DT144" i="229" s="1"/>
  <c r="DT244" i="229" s="1"/>
  <c r="DW32" i="229"/>
  <c r="DW34" i="229" s="1"/>
  <c r="DW234" i="229" s="1"/>
  <c r="DU139" i="229"/>
  <c r="DU140" i="229" s="1"/>
  <c r="DU206" i="229" s="1"/>
  <c r="DU163" i="229"/>
  <c r="DU164" i="229" s="1"/>
  <c r="DU166" i="229" s="1"/>
  <c r="DU246" i="229" s="1"/>
  <c r="DU96" i="229"/>
  <c r="DU202" i="229" s="1"/>
  <c r="DV85" i="229"/>
  <c r="DV201" i="229" s="1"/>
  <c r="DU129" i="229"/>
  <c r="DU205" i="229" s="1"/>
  <c r="DX30" i="229"/>
  <c r="DX196" i="229" s="1"/>
  <c r="DS185" i="229" l="1"/>
  <c r="DT183" i="229"/>
  <c r="DT184" i="229" s="1"/>
  <c r="DT210" i="229" s="1"/>
  <c r="DS229" i="229"/>
  <c r="AJ291" i="229" s="1"/>
  <c r="AJ335" i="229" s="1"/>
  <c r="DS186" i="229"/>
  <c r="DS188" i="229" s="1"/>
  <c r="DS248" i="229" s="1"/>
  <c r="DT218" i="229"/>
  <c r="DU62" i="229"/>
  <c r="DU97" i="229"/>
  <c r="DQ119" i="229"/>
  <c r="DQ223" i="229" s="1"/>
  <c r="DS53" i="229"/>
  <c r="DS217" i="229" s="1"/>
  <c r="AJ279" i="229" s="1"/>
  <c r="AJ323" i="229" s="1"/>
  <c r="DX42" i="229"/>
  <c r="DX216" i="229" s="1"/>
  <c r="DQ75" i="229"/>
  <c r="DQ76" i="229" s="1"/>
  <c r="DQ78" i="229" s="1"/>
  <c r="DQ238" i="229" s="1"/>
  <c r="DR174" i="229"/>
  <c r="DS108" i="229"/>
  <c r="DS109" i="229" s="1"/>
  <c r="DS111" i="229" s="1"/>
  <c r="DS241" i="229" s="1"/>
  <c r="DU63" i="229"/>
  <c r="DU199" i="229" s="1"/>
  <c r="DR226" i="229"/>
  <c r="DS150" i="229"/>
  <c r="DR153" i="229"/>
  <c r="DR155" i="229" s="1"/>
  <c r="DR245" i="229" s="1"/>
  <c r="DU227" i="229"/>
  <c r="DV161" i="229"/>
  <c r="DV162" i="229" s="1"/>
  <c r="DV208" i="229" s="1"/>
  <c r="DU141" i="229"/>
  <c r="DV139" i="229" s="1"/>
  <c r="DV86" i="229"/>
  <c r="DW84" i="229" s="1"/>
  <c r="DX31" i="229"/>
  <c r="DX32" i="229" s="1"/>
  <c r="DX34" i="229" s="1"/>
  <c r="DX234" i="229" s="1"/>
  <c r="DU130" i="229"/>
  <c r="DU224" i="229" s="1"/>
  <c r="DU221" i="229"/>
  <c r="DV95" i="229"/>
  <c r="DU98" i="229"/>
  <c r="DU100" i="229" s="1"/>
  <c r="DU240" i="229" s="1"/>
  <c r="DT185" i="229"/>
  <c r="DU183" i="229" s="1"/>
  <c r="DQ120" i="229" l="1"/>
  <c r="DQ122" i="229" s="1"/>
  <c r="DQ242" i="229" s="1"/>
  <c r="DQ219" i="229"/>
  <c r="DR117" i="229"/>
  <c r="DR118" i="229" s="1"/>
  <c r="DR204" i="229" s="1"/>
  <c r="DT51" i="229"/>
  <c r="DS54" i="229"/>
  <c r="DS56" i="229" s="1"/>
  <c r="DS236" i="229" s="1"/>
  <c r="DR73" i="229"/>
  <c r="DX43" i="229"/>
  <c r="DX45" i="229" s="1"/>
  <c r="DX235" i="229" s="1"/>
  <c r="DY40" i="229"/>
  <c r="DY41" i="229" s="1"/>
  <c r="DY197" i="229" s="1"/>
  <c r="DT106" i="229"/>
  <c r="DT107" i="229" s="1"/>
  <c r="DT203" i="229" s="1"/>
  <c r="DU64" i="229"/>
  <c r="DU218" i="229" s="1"/>
  <c r="DS222" i="229"/>
  <c r="AJ284" i="229" s="1"/>
  <c r="AJ328" i="229" s="1"/>
  <c r="DR228" i="229"/>
  <c r="DS172" i="229"/>
  <c r="DR175" i="229"/>
  <c r="DR177" i="229" s="1"/>
  <c r="DR247" i="229" s="1"/>
  <c r="DR119" i="229"/>
  <c r="DS117" i="229" s="1"/>
  <c r="DS118" i="229" s="1"/>
  <c r="DS204" i="229" s="1"/>
  <c r="DT52" i="229"/>
  <c r="DT198" i="229" s="1"/>
  <c r="DS151" i="229"/>
  <c r="DS207" i="229" s="1"/>
  <c r="DR74" i="229"/>
  <c r="DR200" i="229" s="1"/>
  <c r="DV87" i="229"/>
  <c r="DV89" i="229" s="1"/>
  <c r="DV239" i="229" s="1"/>
  <c r="DV220" i="229"/>
  <c r="DU142" i="229"/>
  <c r="DU144" i="229" s="1"/>
  <c r="DU244" i="229" s="1"/>
  <c r="DX215" i="229"/>
  <c r="DY29" i="229"/>
  <c r="DY30" i="229" s="1"/>
  <c r="DY196" i="229" s="1"/>
  <c r="DU131" i="229"/>
  <c r="DU133" i="229" s="1"/>
  <c r="DU243" i="229" s="1"/>
  <c r="DV128" i="229"/>
  <c r="DU225" i="229"/>
  <c r="DT229" i="229"/>
  <c r="DV96" i="229"/>
  <c r="DV202" i="229" s="1"/>
  <c r="DT186" i="229"/>
  <c r="DT188" i="229" s="1"/>
  <c r="DT248" i="229" s="1"/>
  <c r="DV163" i="229"/>
  <c r="DU184" i="229"/>
  <c r="DU210" i="229" s="1"/>
  <c r="DV140" i="229"/>
  <c r="DV206" i="229" s="1"/>
  <c r="DW85" i="229"/>
  <c r="DW201" i="229" s="1"/>
  <c r="DV97" i="229" l="1"/>
  <c r="DY42" i="229"/>
  <c r="DY43" i="229" s="1"/>
  <c r="DY45" i="229" s="1"/>
  <c r="DY235" i="229" s="1"/>
  <c r="DU65" i="229"/>
  <c r="DU67" i="229" s="1"/>
  <c r="DU237" i="229" s="1"/>
  <c r="DV62" i="229"/>
  <c r="DV63" i="229" s="1"/>
  <c r="DV199" i="229" s="1"/>
  <c r="DR120" i="229"/>
  <c r="DR122" i="229" s="1"/>
  <c r="DR242" i="229" s="1"/>
  <c r="DR223" i="229"/>
  <c r="DS173" i="229"/>
  <c r="DS209" i="229" s="1"/>
  <c r="DT108" i="229"/>
  <c r="DT222" i="229" s="1"/>
  <c r="DT53" i="229"/>
  <c r="DT217" i="229" s="1"/>
  <c r="DR75" i="229"/>
  <c r="DS73" i="229" s="1"/>
  <c r="DS152" i="229"/>
  <c r="DV129" i="229"/>
  <c r="DV205" i="229" s="1"/>
  <c r="DY31" i="229"/>
  <c r="DY215" i="229" s="1"/>
  <c r="DS119" i="229"/>
  <c r="DT117" i="229" s="1"/>
  <c r="DV141" i="229"/>
  <c r="DV142" i="229" s="1"/>
  <c r="DV144" i="229" s="1"/>
  <c r="DV244" i="229" s="1"/>
  <c r="DU185" i="229"/>
  <c r="DU229" i="229" s="1"/>
  <c r="DV221" i="229"/>
  <c r="DW95" i="229"/>
  <c r="DV98" i="229"/>
  <c r="DV100" i="229" s="1"/>
  <c r="DV240" i="229" s="1"/>
  <c r="DW161" i="229"/>
  <c r="DV227" i="229"/>
  <c r="DV164" i="229"/>
  <c r="DV166" i="229" s="1"/>
  <c r="DV246" i="229" s="1"/>
  <c r="DW86" i="229"/>
  <c r="DY216" i="229" l="1"/>
  <c r="DZ40" i="229"/>
  <c r="DZ41" i="229" s="1"/>
  <c r="DZ197" i="229" s="1"/>
  <c r="DT109" i="229"/>
  <c r="DT111" i="229" s="1"/>
  <c r="DT241" i="229" s="1"/>
  <c r="DU106" i="229"/>
  <c r="DR76" i="229"/>
  <c r="DR78" i="229" s="1"/>
  <c r="DR238" i="229" s="1"/>
  <c r="DU51" i="229"/>
  <c r="DU52" i="229" s="1"/>
  <c r="DU198" i="229" s="1"/>
  <c r="DR219" i="229"/>
  <c r="DT54" i="229"/>
  <c r="DT56" i="229" s="1"/>
  <c r="DT236" i="229" s="1"/>
  <c r="DS174" i="229"/>
  <c r="DV64" i="229"/>
  <c r="DW62" i="229" s="1"/>
  <c r="DS74" i="229"/>
  <c r="DS200" i="229" s="1"/>
  <c r="DU107" i="229"/>
  <c r="DU203" i="229" s="1"/>
  <c r="DT150" i="229"/>
  <c r="DS226" i="229"/>
  <c r="AJ288" i="229" s="1"/>
  <c r="AJ332" i="229" s="1"/>
  <c r="DS153" i="229"/>
  <c r="DS155" i="229" s="1"/>
  <c r="DS245" i="229" s="1"/>
  <c r="DV225" i="229"/>
  <c r="DS120" i="229"/>
  <c r="DS122" i="229" s="1"/>
  <c r="DS242" i="229" s="1"/>
  <c r="DW139" i="229"/>
  <c r="DW140" i="229" s="1"/>
  <c r="DW206" i="229" s="1"/>
  <c r="DU186" i="229"/>
  <c r="DU188" i="229" s="1"/>
  <c r="DU248" i="229" s="1"/>
  <c r="DY32" i="229"/>
  <c r="DY34" i="229" s="1"/>
  <c r="DY234" i="229" s="1"/>
  <c r="DZ29" i="229"/>
  <c r="DZ30" i="229" s="1"/>
  <c r="DZ196" i="229" s="1"/>
  <c r="DV130" i="229"/>
  <c r="DS223" i="229"/>
  <c r="AJ285" i="229" s="1"/>
  <c r="AJ329" i="229" s="1"/>
  <c r="DV183" i="229"/>
  <c r="DV184" i="229" s="1"/>
  <c r="DV210" i="229" s="1"/>
  <c r="DW96" i="229"/>
  <c r="DW202" i="229" s="1"/>
  <c r="DT118" i="229"/>
  <c r="DT204" i="229" s="1"/>
  <c r="DW220" i="229"/>
  <c r="AK282" i="229" s="1"/>
  <c r="AK326" i="229" s="1"/>
  <c r="DX84" i="229"/>
  <c r="DW87" i="229"/>
  <c r="DW89" i="229" s="1"/>
  <c r="DW239" i="229" s="1"/>
  <c r="DW162" i="229"/>
  <c r="DW208" i="229" s="1"/>
  <c r="DW97" i="229" l="1"/>
  <c r="DW221" i="229" s="1"/>
  <c r="AK283" i="229" s="1"/>
  <c r="AK327" i="229" s="1"/>
  <c r="DV65" i="229"/>
  <c r="DV67" i="229" s="1"/>
  <c r="DV237" i="229" s="1"/>
  <c r="DV218" i="229"/>
  <c r="DZ42" i="229"/>
  <c r="DZ43" i="229" s="1"/>
  <c r="DZ45" i="229" s="1"/>
  <c r="DZ235" i="229" s="1"/>
  <c r="DS228" i="229"/>
  <c r="AJ290" i="229" s="1"/>
  <c r="AJ334" i="229" s="1"/>
  <c r="AJ336" i="229" s="1"/>
  <c r="DT172" i="229"/>
  <c r="DS175" i="229"/>
  <c r="DS177" i="229" s="1"/>
  <c r="DS247" i="229" s="1"/>
  <c r="DS75" i="229"/>
  <c r="DS76" i="229" s="1"/>
  <c r="DS78" i="229" s="1"/>
  <c r="DS238" i="229" s="1"/>
  <c r="DU108" i="229"/>
  <c r="DU222" i="229" s="1"/>
  <c r="DU53" i="229"/>
  <c r="DV51" i="229" s="1"/>
  <c r="DW63" i="229"/>
  <c r="DW199" i="229" s="1"/>
  <c r="EA40" i="229"/>
  <c r="DT151" i="229"/>
  <c r="DT207" i="229" s="1"/>
  <c r="DV224" i="229"/>
  <c r="DV131" i="229"/>
  <c r="DV133" i="229" s="1"/>
  <c r="DV243" i="229" s="1"/>
  <c r="DW128" i="229"/>
  <c r="DW98" i="229"/>
  <c r="DW100" i="229" s="1"/>
  <c r="DW240" i="229" s="1"/>
  <c r="DW141" i="229"/>
  <c r="DW163" i="229"/>
  <c r="DZ31" i="229"/>
  <c r="DV185" i="229"/>
  <c r="DT119" i="229"/>
  <c r="DX85" i="229"/>
  <c r="DX201" i="229" s="1"/>
  <c r="DZ216" i="229" l="1"/>
  <c r="DX95" i="229"/>
  <c r="DT73" i="229"/>
  <c r="DT74" i="229" s="1"/>
  <c r="DT200" i="229" s="1"/>
  <c r="DS219" i="229"/>
  <c r="AJ281" i="229" s="1"/>
  <c r="AJ325" i="229" s="1"/>
  <c r="AJ320" i="229" s="1"/>
  <c r="DU109" i="229"/>
  <c r="DU111" i="229" s="1"/>
  <c r="DU241" i="229" s="1"/>
  <c r="DV106" i="229"/>
  <c r="DV107" i="229" s="1"/>
  <c r="DV203" i="229" s="1"/>
  <c r="DT173" i="229"/>
  <c r="DT209" i="229" s="1"/>
  <c r="DU54" i="229"/>
  <c r="DU56" i="229" s="1"/>
  <c r="DU236" i="229" s="1"/>
  <c r="DU217" i="229"/>
  <c r="DT152" i="229"/>
  <c r="DT226" i="229" s="1"/>
  <c r="EA41" i="229"/>
  <c r="EA197" i="229" s="1"/>
  <c r="DW64" i="229"/>
  <c r="DV52" i="229"/>
  <c r="DV198" i="229" s="1"/>
  <c r="DW129" i="229"/>
  <c r="DW205" i="229" s="1"/>
  <c r="DX96" i="229"/>
  <c r="DX202" i="229" s="1"/>
  <c r="DT223" i="229"/>
  <c r="DU117" i="229"/>
  <c r="DT120" i="229"/>
  <c r="DT122" i="229" s="1"/>
  <c r="DT242" i="229" s="1"/>
  <c r="DV229" i="229"/>
  <c r="DW183" i="229"/>
  <c r="DV186" i="229"/>
  <c r="DV188" i="229" s="1"/>
  <c r="DV248" i="229" s="1"/>
  <c r="DX161" i="229"/>
  <c r="DW227" i="229"/>
  <c r="AK289" i="229" s="1"/>
  <c r="AK333" i="229" s="1"/>
  <c r="DW164" i="229"/>
  <c r="DW166" i="229" s="1"/>
  <c r="DW246" i="229" s="1"/>
  <c r="DZ215" i="229"/>
  <c r="EA29" i="229"/>
  <c r="DZ32" i="229"/>
  <c r="DZ34" i="229" s="1"/>
  <c r="DZ234" i="229" s="1"/>
  <c r="DX86" i="229"/>
  <c r="DW225" i="229"/>
  <c r="AK287" i="229" s="1"/>
  <c r="AK331" i="229" s="1"/>
  <c r="DX139" i="229"/>
  <c r="DW142" i="229"/>
  <c r="DW144" i="229" s="1"/>
  <c r="DW244" i="229" s="1"/>
  <c r="DT174" i="229" l="1"/>
  <c r="DT175" i="229" s="1"/>
  <c r="DT177" i="229" s="1"/>
  <c r="DT247" i="229" s="1"/>
  <c r="DV53" i="229"/>
  <c r="DW51" i="229" s="1"/>
  <c r="DV108" i="229"/>
  <c r="DV109" i="229" s="1"/>
  <c r="DV111" i="229" s="1"/>
  <c r="DV241" i="229" s="1"/>
  <c r="DT153" i="229"/>
  <c r="DT155" i="229" s="1"/>
  <c r="DT245" i="229" s="1"/>
  <c r="DU150" i="229"/>
  <c r="DU151" i="229" s="1"/>
  <c r="DU207" i="229" s="1"/>
  <c r="DT75" i="229"/>
  <c r="DU73" i="229" s="1"/>
  <c r="EA42" i="229"/>
  <c r="EA43" i="229" s="1"/>
  <c r="EA45" i="229" s="1"/>
  <c r="EA235" i="229" s="1"/>
  <c r="DW218" i="229"/>
  <c r="AK280" i="229" s="1"/>
  <c r="AK324" i="229" s="1"/>
  <c r="DX62" i="229"/>
  <c r="DW65" i="229"/>
  <c r="DW67" i="229" s="1"/>
  <c r="DW237" i="229" s="1"/>
  <c r="DW130" i="229"/>
  <c r="DX128" i="229" s="1"/>
  <c r="DX97" i="229"/>
  <c r="DW184" i="229"/>
  <c r="DW210" i="229" s="1"/>
  <c r="DX162" i="229"/>
  <c r="DX208" i="229" s="1"/>
  <c r="DX140" i="229"/>
  <c r="DX206" i="229" s="1"/>
  <c r="DY84" i="229"/>
  <c r="DX220" i="229"/>
  <c r="DX87" i="229"/>
  <c r="DX89" i="229" s="1"/>
  <c r="DX239" i="229" s="1"/>
  <c r="EA30" i="229"/>
  <c r="EA196" i="229" s="1"/>
  <c r="DU118" i="229"/>
  <c r="DU204" i="229" s="1"/>
  <c r="DW106" i="229" l="1"/>
  <c r="DW107" i="229" s="1"/>
  <c r="DW203" i="229" s="1"/>
  <c r="DV54" i="229"/>
  <c r="DV56" i="229" s="1"/>
  <c r="DV236" i="229" s="1"/>
  <c r="DV217" i="229"/>
  <c r="DU172" i="229"/>
  <c r="DU173" i="229" s="1"/>
  <c r="DU209" i="229" s="1"/>
  <c r="DT228" i="229"/>
  <c r="DV222" i="229"/>
  <c r="EB40" i="229"/>
  <c r="EB41" i="229" s="1"/>
  <c r="EB197" i="229" s="1"/>
  <c r="EA216" i="229"/>
  <c r="AL278" i="229" s="1"/>
  <c r="AL322" i="229" s="1"/>
  <c r="DT76" i="229"/>
  <c r="DT78" i="229" s="1"/>
  <c r="DT238" i="229" s="1"/>
  <c r="DT219" i="229"/>
  <c r="DU74" i="229"/>
  <c r="DU200" i="229" s="1"/>
  <c r="DW52" i="229"/>
  <c r="DW198" i="229" s="1"/>
  <c r="DU152" i="229"/>
  <c r="DX63" i="229"/>
  <c r="DX199" i="229" s="1"/>
  <c r="DX129" i="229"/>
  <c r="DX205" i="229" s="1"/>
  <c r="DW224" i="229"/>
  <c r="AK286" i="229" s="1"/>
  <c r="AK330" i="229" s="1"/>
  <c r="DW131" i="229"/>
  <c r="DW133" i="229" s="1"/>
  <c r="DW243" i="229" s="1"/>
  <c r="DX141" i="229"/>
  <c r="DX225" i="229" s="1"/>
  <c r="DX163" i="229"/>
  <c r="DY161" i="229" s="1"/>
  <c r="EA31" i="229"/>
  <c r="EA32" i="229" s="1"/>
  <c r="EA34" i="229" s="1"/>
  <c r="EA234" i="229" s="1"/>
  <c r="DU119" i="229"/>
  <c r="DU120" i="229" s="1"/>
  <c r="DU122" i="229" s="1"/>
  <c r="DU242" i="229" s="1"/>
  <c r="DW185" i="229"/>
  <c r="DX183" i="229" s="1"/>
  <c r="DX221" i="229"/>
  <c r="DY95" i="229"/>
  <c r="DX98" i="229"/>
  <c r="DX100" i="229" s="1"/>
  <c r="DX240" i="229" s="1"/>
  <c r="DY85" i="229"/>
  <c r="DY201" i="229" s="1"/>
  <c r="DW53" i="229" l="1"/>
  <c r="DW217" i="229" s="1"/>
  <c r="AK279" i="229" s="1"/>
  <c r="AK323" i="229" s="1"/>
  <c r="DU174" i="229"/>
  <c r="DV172" i="229" s="1"/>
  <c r="DX64" i="229"/>
  <c r="DX65" i="229" s="1"/>
  <c r="DX67" i="229" s="1"/>
  <c r="DX237" i="229" s="1"/>
  <c r="DW108" i="229"/>
  <c r="DW109" i="229" s="1"/>
  <c r="DW111" i="229" s="1"/>
  <c r="DW241" i="229" s="1"/>
  <c r="DU75" i="229"/>
  <c r="DU219" i="229" s="1"/>
  <c r="EB42" i="229"/>
  <c r="EB216" i="229" s="1"/>
  <c r="DV150" i="229"/>
  <c r="DU226" i="229"/>
  <c r="DU153" i="229"/>
  <c r="DU155" i="229" s="1"/>
  <c r="DU245" i="229" s="1"/>
  <c r="EB29" i="229"/>
  <c r="EB30" i="229" s="1"/>
  <c r="EB196" i="229" s="1"/>
  <c r="DX130" i="229"/>
  <c r="DX227" i="229"/>
  <c r="DX164" i="229"/>
  <c r="DX166" i="229" s="1"/>
  <c r="DX246" i="229" s="1"/>
  <c r="EA215" i="229"/>
  <c r="AL277" i="229" s="1"/>
  <c r="AL321" i="229" s="1"/>
  <c r="DX142" i="229"/>
  <c r="DX144" i="229" s="1"/>
  <c r="DX244" i="229" s="1"/>
  <c r="DY139" i="229"/>
  <c r="DY140" i="229" s="1"/>
  <c r="DY206" i="229" s="1"/>
  <c r="DU223" i="229"/>
  <c r="DV117" i="229"/>
  <c r="DV118" i="229" s="1"/>
  <c r="DV204" i="229" s="1"/>
  <c r="DW229" i="229"/>
  <c r="AK291" i="229" s="1"/>
  <c r="AK335" i="229" s="1"/>
  <c r="DY86" i="229"/>
  <c r="DZ84" i="229" s="1"/>
  <c r="DW186" i="229"/>
  <c r="DW188" i="229" s="1"/>
  <c r="DW248" i="229" s="1"/>
  <c r="DY96" i="229"/>
  <c r="DY202" i="229" s="1"/>
  <c r="DX184" i="229"/>
  <c r="DX210" i="229" s="1"/>
  <c r="DY162" i="229"/>
  <c r="DY208" i="229" s="1"/>
  <c r="DW54" i="229" l="1"/>
  <c r="DW56" i="229" s="1"/>
  <c r="DW236" i="229" s="1"/>
  <c r="DX51" i="229"/>
  <c r="DY62" i="229"/>
  <c r="DY63" i="229" s="1"/>
  <c r="DY199" i="229" s="1"/>
  <c r="DW222" i="229"/>
  <c r="AK284" i="229" s="1"/>
  <c r="AK328" i="229" s="1"/>
  <c r="DX106" i="229"/>
  <c r="DX107" i="229" s="1"/>
  <c r="DX203" i="229" s="1"/>
  <c r="DU175" i="229"/>
  <c r="DU177" i="229" s="1"/>
  <c r="DU247" i="229" s="1"/>
  <c r="DU228" i="229"/>
  <c r="DX218" i="229"/>
  <c r="EC40" i="229"/>
  <c r="EC41" i="229" s="1"/>
  <c r="EC197" i="229" s="1"/>
  <c r="DU76" i="229"/>
  <c r="DU78" i="229" s="1"/>
  <c r="DU238" i="229" s="1"/>
  <c r="DV73" i="229"/>
  <c r="DV74" i="229" s="1"/>
  <c r="DV200" i="229" s="1"/>
  <c r="EB43" i="229"/>
  <c r="EB45" i="229" s="1"/>
  <c r="EB235" i="229" s="1"/>
  <c r="DV173" i="229"/>
  <c r="DV209" i="229" s="1"/>
  <c r="DV151" i="229"/>
  <c r="DV207" i="229" s="1"/>
  <c r="DX52" i="229"/>
  <c r="DX198" i="229" s="1"/>
  <c r="DX224" i="229"/>
  <c r="DX131" i="229"/>
  <c r="DX133" i="229" s="1"/>
  <c r="DX243" i="229" s="1"/>
  <c r="DY128" i="229"/>
  <c r="DX185" i="229"/>
  <c r="DX229" i="229" s="1"/>
  <c r="DY87" i="229"/>
  <c r="DY89" i="229" s="1"/>
  <c r="DY239" i="229" s="1"/>
  <c r="DY220" i="229"/>
  <c r="DY141" i="229"/>
  <c r="DY225" i="229" s="1"/>
  <c r="DV119" i="229"/>
  <c r="DW117" i="229" s="1"/>
  <c r="EB31" i="229"/>
  <c r="EB32" i="229" s="1"/>
  <c r="EB34" i="229" s="1"/>
  <c r="EB234" i="229" s="1"/>
  <c r="DY97" i="229"/>
  <c r="DZ85" i="229"/>
  <c r="DZ201" i="229" s="1"/>
  <c r="DY163" i="229"/>
  <c r="DX108" i="229" l="1"/>
  <c r="DX222" i="229" s="1"/>
  <c r="DY64" i="229"/>
  <c r="DY218" i="229" s="1"/>
  <c r="DX53" i="229"/>
  <c r="DY51" i="229" s="1"/>
  <c r="DV75" i="229"/>
  <c r="DV219" i="229" s="1"/>
  <c r="DV174" i="229"/>
  <c r="DV152" i="229"/>
  <c r="DW150" i="229" s="1"/>
  <c r="EC42" i="229"/>
  <c r="ED40" i="229" s="1"/>
  <c r="DY183" i="229"/>
  <c r="DY184" i="229" s="1"/>
  <c r="DY210" i="229" s="1"/>
  <c r="DX186" i="229"/>
  <c r="DX188" i="229" s="1"/>
  <c r="DX248" i="229" s="1"/>
  <c r="DZ139" i="229"/>
  <c r="DZ140" i="229" s="1"/>
  <c r="DZ206" i="229" s="1"/>
  <c r="DY142" i="229"/>
  <c r="DY144" i="229" s="1"/>
  <c r="DY244" i="229" s="1"/>
  <c r="DY129" i="229"/>
  <c r="DY205" i="229" s="1"/>
  <c r="DV120" i="229"/>
  <c r="DV122" i="229" s="1"/>
  <c r="DV242" i="229" s="1"/>
  <c r="DV223" i="229"/>
  <c r="EC29" i="229"/>
  <c r="EC30" i="229" s="1"/>
  <c r="EC196" i="229" s="1"/>
  <c r="EB215" i="229"/>
  <c r="DY221" i="229"/>
  <c r="DZ95" i="229"/>
  <c r="DY98" i="229"/>
  <c r="DY100" i="229" s="1"/>
  <c r="DY240" i="229" s="1"/>
  <c r="DW118" i="229"/>
  <c r="DW204" i="229" s="1"/>
  <c r="DZ161" i="229"/>
  <c r="DY227" i="229"/>
  <c r="DY164" i="229"/>
  <c r="DY166" i="229" s="1"/>
  <c r="DY246" i="229" s="1"/>
  <c r="DZ86" i="229"/>
  <c r="DX109" i="229" l="1"/>
  <c r="DX111" i="229" s="1"/>
  <c r="DX241" i="229" s="1"/>
  <c r="DY106" i="229"/>
  <c r="DY107" i="229" s="1"/>
  <c r="DY203" i="229" s="1"/>
  <c r="DY65" i="229"/>
  <c r="DY67" i="229" s="1"/>
  <c r="DY237" i="229" s="1"/>
  <c r="DZ62" i="229"/>
  <c r="DZ63" i="229" s="1"/>
  <c r="DZ199" i="229" s="1"/>
  <c r="DX54" i="229"/>
  <c r="DX56" i="229" s="1"/>
  <c r="DX236" i="229" s="1"/>
  <c r="DX217" i="229"/>
  <c r="DW73" i="229"/>
  <c r="DW74" i="229" s="1"/>
  <c r="DW200" i="229" s="1"/>
  <c r="EC43" i="229"/>
  <c r="EC45" i="229" s="1"/>
  <c r="EC235" i="229" s="1"/>
  <c r="EC216" i="229"/>
  <c r="DV226" i="229"/>
  <c r="DV76" i="229"/>
  <c r="DV78" i="229" s="1"/>
  <c r="DV238" i="229" s="1"/>
  <c r="DV153" i="229"/>
  <c r="DV155" i="229" s="1"/>
  <c r="DV245" i="229" s="1"/>
  <c r="DW172" i="229"/>
  <c r="DV228" i="229"/>
  <c r="DV175" i="229"/>
  <c r="DV177" i="229" s="1"/>
  <c r="DV247" i="229" s="1"/>
  <c r="ED41" i="229"/>
  <c r="ED197" i="229" s="1"/>
  <c r="DY52" i="229"/>
  <c r="DY198" i="229" s="1"/>
  <c r="DW151" i="229"/>
  <c r="DW207" i="229" s="1"/>
  <c r="DY130" i="229"/>
  <c r="DY224" i="229" s="1"/>
  <c r="EC31" i="229"/>
  <c r="EC215" i="229" s="1"/>
  <c r="DW119" i="229"/>
  <c r="DW223" i="229" s="1"/>
  <c r="AK285" i="229" s="1"/>
  <c r="AK329" i="229" s="1"/>
  <c r="DY185" i="229"/>
  <c r="DY186" i="229" s="1"/>
  <c r="DY188" i="229" s="1"/>
  <c r="DY248" i="229" s="1"/>
  <c r="DZ96" i="229"/>
  <c r="DZ202" i="229" s="1"/>
  <c r="DZ141" i="229"/>
  <c r="DZ225" i="229" s="1"/>
  <c r="EA84" i="229"/>
  <c r="DZ220" i="229"/>
  <c r="DZ87" i="229"/>
  <c r="DZ89" i="229" s="1"/>
  <c r="DZ239" i="229" s="1"/>
  <c r="DZ162" i="229"/>
  <c r="DZ208" i="229" s="1"/>
  <c r="DY108" i="229" l="1"/>
  <c r="DZ106" i="229" s="1"/>
  <c r="DZ107" i="229" s="1"/>
  <c r="DZ203" i="229" s="1"/>
  <c r="DY109" i="229"/>
  <c r="DY111" i="229" s="1"/>
  <c r="DY241" i="229" s="1"/>
  <c r="DW152" i="229"/>
  <c r="DW226" i="229" s="1"/>
  <c r="AK288" i="229" s="1"/>
  <c r="AK332" i="229" s="1"/>
  <c r="DW173" i="229"/>
  <c r="DW209" i="229" s="1"/>
  <c r="DZ64" i="229"/>
  <c r="EA62" i="229" s="1"/>
  <c r="ED42" i="229"/>
  <c r="EE40" i="229" s="1"/>
  <c r="DW75" i="229"/>
  <c r="DW219" i="229" s="1"/>
  <c r="AK281" i="229" s="1"/>
  <c r="AK325" i="229" s="1"/>
  <c r="AK320" i="229" s="1"/>
  <c r="DY53" i="229"/>
  <c r="DZ51" i="229" s="1"/>
  <c r="EC32" i="229"/>
  <c r="EC34" i="229" s="1"/>
  <c r="EC234" i="229" s="1"/>
  <c r="ED29" i="229"/>
  <c r="ED30" i="229" s="1"/>
  <c r="ED196" i="229" s="1"/>
  <c r="DZ128" i="229"/>
  <c r="DZ129" i="229" s="1"/>
  <c r="DZ205" i="229" s="1"/>
  <c r="DY131" i="229"/>
  <c r="DY133" i="229" s="1"/>
  <c r="DY243" i="229" s="1"/>
  <c r="DZ142" i="229"/>
  <c r="DZ144" i="229" s="1"/>
  <c r="DZ244" i="229" s="1"/>
  <c r="EA139" i="229"/>
  <c r="EA140" i="229" s="1"/>
  <c r="EA206" i="229" s="1"/>
  <c r="DZ183" i="229"/>
  <c r="DZ184" i="229" s="1"/>
  <c r="DZ210" i="229" s="1"/>
  <c r="DZ163" i="229"/>
  <c r="EA161" i="229" s="1"/>
  <c r="DW120" i="229"/>
  <c r="DW122" i="229" s="1"/>
  <c r="DW242" i="229" s="1"/>
  <c r="DY229" i="229"/>
  <c r="DX117" i="229"/>
  <c r="DX118" i="229" s="1"/>
  <c r="DX204" i="229" s="1"/>
  <c r="DZ97" i="229"/>
  <c r="EA85" i="229"/>
  <c r="EA201" i="229" s="1"/>
  <c r="DZ108" i="229" l="1"/>
  <c r="DZ109" i="229" s="1"/>
  <c r="DZ111" i="229" s="1"/>
  <c r="DZ241" i="229" s="1"/>
  <c r="DY222" i="229"/>
  <c r="DW153" i="229"/>
  <c r="DW155" i="229" s="1"/>
  <c r="DW245" i="229" s="1"/>
  <c r="DX150" i="229"/>
  <c r="DX151" i="229" s="1"/>
  <c r="DX207" i="229" s="1"/>
  <c r="DW174" i="229"/>
  <c r="DW175" i="229" s="1"/>
  <c r="DW177" i="229" s="1"/>
  <c r="DW247" i="229" s="1"/>
  <c r="ED216" i="229"/>
  <c r="DZ65" i="229"/>
  <c r="DZ67" i="229" s="1"/>
  <c r="DZ237" i="229" s="1"/>
  <c r="DW76" i="229"/>
  <c r="DW78" i="229" s="1"/>
  <c r="DW238" i="229" s="1"/>
  <c r="DX73" i="229"/>
  <c r="DX74" i="229" s="1"/>
  <c r="DX200" i="229" s="1"/>
  <c r="DZ218" i="229"/>
  <c r="ED43" i="229"/>
  <c r="ED45" i="229" s="1"/>
  <c r="ED235" i="229" s="1"/>
  <c r="DY54" i="229"/>
  <c r="DY56" i="229" s="1"/>
  <c r="DY236" i="229" s="1"/>
  <c r="DY217" i="229"/>
  <c r="EA63" i="229"/>
  <c r="EA199" i="229" s="1"/>
  <c r="EE41" i="229"/>
  <c r="EE197" i="229" s="1"/>
  <c r="DZ52" i="229"/>
  <c r="DZ198" i="229" s="1"/>
  <c r="DZ227" i="229"/>
  <c r="DZ130" i="229"/>
  <c r="DZ131" i="229" s="1"/>
  <c r="DZ133" i="229" s="1"/>
  <c r="DZ243" i="229" s="1"/>
  <c r="DZ164" i="229"/>
  <c r="DZ166" i="229" s="1"/>
  <c r="DZ246" i="229" s="1"/>
  <c r="DZ221" i="229"/>
  <c r="EA95" i="229"/>
  <c r="DZ98" i="229"/>
  <c r="DZ100" i="229" s="1"/>
  <c r="DZ240" i="229" s="1"/>
  <c r="ED31" i="229"/>
  <c r="ED32" i="229" s="1"/>
  <c r="ED34" i="229" s="1"/>
  <c r="ED234" i="229" s="1"/>
  <c r="DZ185" i="229"/>
  <c r="DX119" i="229"/>
  <c r="EA162" i="229"/>
  <c r="EA208" i="229" s="1"/>
  <c r="EA86" i="229"/>
  <c r="EA141" i="229"/>
  <c r="EA106" i="229" l="1"/>
  <c r="EA107" i="229" s="1"/>
  <c r="EA203" i="229" s="1"/>
  <c r="DZ222" i="229"/>
  <c r="DX172" i="229"/>
  <c r="DX173" i="229" s="1"/>
  <c r="DX209" i="229" s="1"/>
  <c r="DW228" i="229"/>
  <c r="AK290" i="229" s="1"/>
  <c r="AK334" i="229" s="1"/>
  <c r="AK336" i="229" s="1"/>
  <c r="EA64" i="229"/>
  <c r="EA65" i="229" s="1"/>
  <c r="EA67" i="229" s="1"/>
  <c r="EA237" i="229" s="1"/>
  <c r="DX75" i="229"/>
  <c r="DY73" i="229" s="1"/>
  <c r="DX152" i="229"/>
  <c r="DY150" i="229" s="1"/>
  <c r="EE42" i="229"/>
  <c r="EE43" i="229" s="1"/>
  <c r="EE45" i="229" s="1"/>
  <c r="EE235" i="229" s="1"/>
  <c r="DZ53" i="229"/>
  <c r="EA128" i="229"/>
  <c r="EA129" i="229" s="1"/>
  <c r="EA205" i="229" s="1"/>
  <c r="DZ224" i="229"/>
  <c r="ED215" i="229"/>
  <c r="EE29" i="229"/>
  <c r="EE30" i="229" s="1"/>
  <c r="EE196" i="229" s="1"/>
  <c r="EA96" i="229"/>
  <c r="EA202" i="229" s="1"/>
  <c r="EA225" i="229"/>
  <c r="AL287" i="229" s="1"/>
  <c r="AL331" i="229" s="1"/>
  <c r="EB139" i="229"/>
  <c r="EA142" i="229"/>
  <c r="EA144" i="229" s="1"/>
  <c r="EA244" i="229" s="1"/>
  <c r="EA220" i="229"/>
  <c r="AL282" i="229" s="1"/>
  <c r="AL326" i="229" s="1"/>
  <c r="EB84" i="229"/>
  <c r="EA87" i="229"/>
  <c r="EA89" i="229" s="1"/>
  <c r="EA239" i="229" s="1"/>
  <c r="EA163" i="229"/>
  <c r="DY117" i="229"/>
  <c r="DX223" i="229"/>
  <c r="DX120" i="229"/>
  <c r="DX122" i="229" s="1"/>
  <c r="DX242" i="229" s="1"/>
  <c r="DZ229" i="229"/>
  <c r="EA183" i="229"/>
  <c r="DZ186" i="229"/>
  <c r="DZ188" i="229" s="1"/>
  <c r="DZ248" i="229" s="1"/>
  <c r="EA108" i="229" l="1"/>
  <c r="EA109" i="229" s="1"/>
  <c r="EA111" i="229" s="1"/>
  <c r="EA241" i="229" s="1"/>
  <c r="DX226" i="229"/>
  <c r="EE216" i="229"/>
  <c r="AM278" i="229" s="1"/>
  <c r="AM322" i="229" s="1"/>
  <c r="EF40" i="229"/>
  <c r="EF41" i="229" s="1"/>
  <c r="EF197" i="229" s="1"/>
  <c r="DX76" i="229"/>
  <c r="DX78" i="229" s="1"/>
  <c r="DX238" i="229" s="1"/>
  <c r="DX219" i="229"/>
  <c r="DX153" i="229"/>
  <c r="DX155" i="229" s="1"/>
  <c r="DX245" i="229" s="1"/>
  <c r="EB62" i="229"/>
  <c r="EB63" i="229" s="1"/>
  <c r="EB199" i="229" s="1"/>
  <c r="EA218" i="229"/>
  <c r="AL280" i="229" s="1"/>
  <c r="AL324" i="229" s="1"/>
  <c r="DX174" i="229"/>
  <c r="DX175" i="229" s="1"/>
  <c r="DX177" i="229" s="1"/>
  <c r="DX247" i="229" s="1"/>
  <c r="EA130" i="229"/>
  <c r="EA224" i="229" s="1"/>
  <c r="AL286" i="229" s="1"/>
  <c r="AL330" i="229" s="1"/>
  <c r="DZ217" i="229"/>
  <c r="EA51" i="229"/>
  <c r="DZ54" i="229"/>
  <c r="DZ56" i="229" s="1"/>
  <c r="DZ236" i="229" s="1"/>
  <c r="DY74" i="229"/>
  <c r="DY200" i="229" s="1"/>
  <c r="DY151" i="229"/>
  <c r="DY207" i="229" s="1"/>
  <c r="EE31" i="229"/>
  <c r="EF29" i="229" s="1"/>
  <c r="EA97" i="229"/>
  <c r="EA222" i="229"/>
  <c r="AL284" i="229" s="1"/>
  <c r="AL328" i="229" s="1"/>
  <c r="EB161" i="229"/>
  <c r="EA227" i="229"/>
  <c r="AL289" i="229" s="1"/>
  <c r="AL333" i="229" s="1"/>
  <c r="EA164" i="229"/>
  <c r="EA166" i="229" s="1"/>
  <c r="EA246" i="229" s="1"/>
  <c r="DY118" i="229"/>
  <c r="DY204" i="229" s="1"/>
  <c r="EA184" i="229"/>
  <c r="EA210" i="229" s="1"/>
  <c r="EB85" i="229"/>
  <c r="EB201" i="229" s="1"/>
  <c r="EB140" i="229"/>
  <c r="EB206" i="229" s="1"/>
  <c r="EB106" i="229" l="1"/>
  <c r="DX228" i="229"/>
  <c r="DY172" i="229"/>
  <c r="DY173" i="229" s="1"/>
  <c r="DY209" i="229" s="1"/>
  <c r="EB128" i="229"/>
  <c r="EB129" i="229" s="1"/>
  <c r="EB205" i="229" s="1"/>
  <c r="EA131" i="229"/>
  <c r="EA133" i="229" s="1"/>
  <c r="EA243" i="229" s="1"/>
  <c r="EB64" i="229"/>
  <c r="EB218" i="229" s="1"/>
  <c r="EF42" i="229"/>
  <c r="EF216" i="229" s="1"/>
  <c r="EE215" i="229"/>
  <c r="AM277" i="229" s="1"/>
  <c r="AM321" i="229" s="1"/>
  <c r="DY152" i="229"/>
  <c r="DY226" i="229" s="1"/>
  <c r="EA52" i="229"/>
  <c r="EA198" i="229" s="1"/>
  <c r="DY75" i="229"/>
  <c r="EE32" i="229"/>
  <c r="EE34" i="229" s="1"/>
  <c r="EE234" i="229" s="1"/>
  <c r="EB141" i="229"/>
  <c r="EB142" i="229" s="1"/>
  <c r="EB144" i="229" s="1"/>
  <c r="EB244" i="229" s="1"/>
  <c r="EA221" i="229"/>
  <c r="AL283" i="229" s="1"/>
  <c r="AL327" i="229" s="1"/>
  <c r="EB95" i="229"/>
  <c r="EA98" i="229"/>
  <c r="EA100" i="229" s="1"/>
  <c r="EA240" i="229" s="1"/>
  <c r="EB86" i="229"/>
  <c r="EB220" i="229" s="1"/>
  <c r="EA185" i="229"/>
  <c r="DY119" i="229"/>
  <c r="EB107" i="229"/>
  <c r="EB203" i="229" s="1"/>
  <c r="EB162" i="229"/>
  <c r="EB208" i="229" s="1"/>
  <c r="EF30" i="229"/>
  <c r="EF196" i="229" s="1"/>
  <c r="EB130" i="229"/>
  <c r="EC62" i="229" l="1"/>
  <c r="EC63" i="229" s="1"/>
  <c r="EC199" i="229" s="1"/>
  <c r="EB65" i="229"/>
  <c r="EB67" i="229" s="1"/>
  <c r="EB237" i="229" s="1"/>
  <c r="DY174" i="229"/>
  <c r="DY228" i="229" s="1"/>
  <c r="DZ150" i="229"/>
  <c r="DZ151" i="229" s="1"/>
  <c r="DZ207" i="229" s="1"/>
  <c r="DY153" i="229"/>
  <c r="DY155" i="229" s="1"/>
  <c r="DY245" i="229" s="1"/>
  <c r="EF43" i="229"/>
  <c r="EF45" i="229" s="1"/>
  <c r="EF235" i="229" s="1"/>
  <c r="EG40" i="229"/>
  <c r="EG41" i="229" s="1"/>
  <c r="EG197" i="229" s="1"/>
  <c r="DZ73" i="229"/>
  <c r="DY219" i="229"/>
  <c r="DY76" i="229"/>
  <c r="DY78" i="229" s="1"/>
  <c r="DY238" i="229" s="1"/>
  <c r="EA53" i="229"/>
  <c r="EB225" i="229"/>
  <c r="EC139" i="229"/>
  <c r="EC140" i="229" s="1"/>
  <c r="EC206" i="229" s="1"/>
  <c r="EB87" i="229"/>
  <c r="EB89" i="229" s="1"/>
  <c r="EB239" i="229" s="1"/>
  <c r="EC84" i="229"/>
  <c r="EC85" i="229" s="1"/>
  <c r="EC201" i="229" s="1"/>
  <c r="EB96" i="229"/>
  <c r="EB202" i="229" s="1"/>
  <c r="DY223" i="229"/>
  <c r="DZ117" i="229"/>
  <c r="DY120" i="229"/>
  <c r="DY122" i="229" s="1"/>
  <c r="DY242" i="229" s="1"/>
  <c r="EA229" i="229"/>
  <c r="AL291" i="229" s="1"/>
  <c r="AL335" i="229" s="1"/>
  <c r="EB183" i="229"/>
  <c r="EA186" i="229"/>
  <c r="EA188" i="229" s="1"/>
  <c r="EA248" i="229" s="1"/>
  <c r="EF31" i="229"/>
  <c r="EB224" i="229"/>
  <c r="EC128" i="229"/>
  <c r="EB131" i="229"/>
  <c r="EB133" i="229" s="1"/>
  <c r="EB243" i="229" s="1"/>
  <c r="EB163" i="229"/>
  <c r="EB108" i="229"/>
  <c r="EB97" i="229" l="1"/>
  <c r="DY175" i="229"/>
  <c r="DY177" i="229" s="1"/>
  <c r="DY247" i="229" s="1"/>
  <c r="DZ172" i="229"/>
  <c r="DZ173" i="229" s="1"/>
  <c r="DZ209" i="229" s="1"/>
  <c r="EG42" i="229"/>
  <c r="EH40" i="229" s="1"/>
  <c r="EC64" i="229"/>
  <c r="EC65" i="229" s="1"/>
  <c r="EC67" i="229" s="1"/>
  <c r="EC237" i="229" s="1"/>
  <c r="EA217" i="229"/>
  <c r="AL279" i="229" s="1"/>
  <c r="AL323" i="229" s="1"/>
  <c r="EB51" i="229"/>
  <c r="EA54" i="229"/>
  <c r="EA56" i="229" s="1"/>
  <c r="EA236" i="229" s="1"/>
  <c r="DZ152" i="229"/>
  <c r="DZ74" i="229"/>
  <c r="DZ200" i="229" s="1"/>
  <c r="EC86" i="229"/>
  <c r="EC87" i="229" s="1"/>
  <c r="EC89" i="229" s="1"/>
  <c r="EC239" i="229" s="1"/>
  <c r="EB221" i="229"/>
  <c r="EC95" i="229"/>
  <c r="EB98" i="229"/>
  <c r="EB100" i="229" s="1"/>
  <c r="EB240" i="229" s="1"/>
  <c r="EC106" i="229"/>
  <c r="EB222" i="229"/>
  <c r="EB109" i="229"/>
  <c r="EB111" i="229" s="1"/>
  <c r="EB241" i="229" s="1"/>
  <c r="EF215" i="229"/>
  <c r="EG29" i="229"/>
  <c r="EF32" i="229"/>
  <c r="EF34" i="229" s="1"/>
  <c r="EF234" i="229" s="1"/>
  <c r="EC161" i="229"/>
  <c r="EB227" i="229"/>
  <c r="EB164" i="229"/>
  <c r="EB166" i="229" s="1"/>
  <c r="EB246" i="229" s="1"/>
  <c r="EB184" i="229"/>
  <c r="EB210" i="229" s="1"/>
  <c r="DZ118" i="229"/>
  <c r="DZ204" i="229" s="1"/>
  <c r="EC129" i="229"/>
  <c r="EC205" i="229" s="1"/>
  <c r="EC141" i="229"/>
  <c r="DZ174" i="229" l="1"/>
  <c r="DZ228" i="229" s="1"/>
  <c r="EG216" i="229"/>
  <c r="EC218" i="229"/>
  <c r="ED62" i="229"/>
  <c r="ED63" i="229" s="1"/>
  <c r="ED199" i="229" s="1"/>
  <c r="EG43" i="229"/>
  <c r="EG45" i="229" s="1"/>
  <c r="EG235" i="229" s="1"/>
  <c r="DZ75" i="229"/>
  <c r="DZ76" i="229" s="1"/>
  <c r="DZ78" i="229" s="1"/>
  <c r="DZ238" i="229" s="1"/>
  <c r="EH41" i="229"/>
  <c r="EH197" i="229" s="1"/>
  <c r="DZ153" i="229"/>
  <c r="DZ155" i="229" s="1"/>
  <c r="DZ245" i="229" s="1"/>
  <c r="DZ226" i="229"/>
  <c r="EA150" i="229"/>
  <c r="EB52" i="229"/>
  <c r="EB198" i="229" s="1"/>
  <c r="ED84" i="229"/>
  <c r="ED85" i="229" s="1"/>
  <c r="ED201" i="229" s="1"/>
  <c r="EC220" i="229"/>
  <c r="EC96" i="229"/>
  <c r="EC202" i="229" s="1"/>
  <c r="EC130" i="229"/>
  <c r="EC224" i="229" s="1"/>
  <c r="EC162" i="229"/>
  <c r="EC208" i="229" s="1"/>
  <c r="DZ119" i="229"/>
  <c r="EB185" i="229"/>
  <c r="EG30" i="229"/>
  <c r="EG196" i="229" s="1"/>
  <c r="EC225" i="229"/>
  <c r="ED139" i="229"/>
  <c r="EC142" i="229"/>
  <c r="EC144" i="229" s="1"/>
  <c r="EC244" i="229" s="1"/>
  <c r="EC107" i="229"/>
  <c r="EC203" i="229" s="1"/>
  <c r="EA172" i="229" l="1"/>
  <c r="EA173" i="229" s="1"/>
  <c r="EA209" i="229" s="1"/>
  <c r="DZ175" i="229"/>
  <c r="DZ177" i="229" s="1"/>
  <c r="DZ247" i="229" s="1"/>
  <c r="EH42" i="229"/>
  <c r="EH43" i="229" s="1"/>
  <c r="EH45" i="229" s="1"/>
  <c r="EH235" i="229" s="1"/>
  <c r="EC97" i="229"/>
  <c r="EA73" i="229"/>
  <c r="EA74" i="229" s="1"/>
  <c r="EA200" i="229" s="1"/>
  <c r="DZ219" i="229"/>
  <c r="ED64" i="229"/>
  <c r="ED65" i="229" s="1"/>
  <c r="ED67" i="229" s="1"/>
  <c r="ED237" i="229" s="1"/>
  <c r="EB53" i="229"/>
  <c r="EB217" i="229" s="1"/>
  <c r="EA151" i="229"/>
  <c r="EA207" i="229" s="1"/>
  <c r="ED86" i="229"/>
  <c r="ED220" i="229" s="1"/>
  <c r="EG31" i="229"/>
  <c r="EG215" i="229" s="1"/>
  <c r="ED128" i="229"/>
  <c r="ED129" i="229" s="1"/>
  <c r="ED205" i="229" s="1"/>
  <c r="EC131" i="229"/>
  <c r="EC133" i="229" s="1"/>
  <c r="EC243" i="229" s="1"/>
  <c r="EC221" i="229"/>
  <c r="ED95" i="229"/>
  <c r="EC98" i="229"/>
  <c r="EC100" i="229" s="1"/>
  <c r="EC240" i="229" s="1"/>
  <c r="EC108" i="229"/>
  <c r="EC183" i="229"/>
  <c r="EB229" i="229"/>
  <c r="EB186" i="229"/>
  <c r="EB188" i="229" s="1"/>
  <c r="EB248" i="229" s="1"/>
  <c r="ED140" i="229"/>
  <c r="ED206" i="229" s="1"/>
  <c r="DZ223" i="229"/>
  <c r="EA117" i="229"/>
  <c r="DZ120" i="229"/>
  <c r="DZ122" i="229" s="1"/>
  <c r="DZ242" i="229" s="1"/>
  <c r="EC163" i="229"/>
  <c r="EI40" i="229" l="1"/>
  <c r="EI41" i="229" s="1"/>
  <c r="EI197" i="229" s="1"/>
  <c r="EH216" i="229"/>
  <c r="ED218" i="229"/>
  <c r="EE62" i="229"/>
  <c r="EE63" i="229" s="1"/>
  <c r="EE199" i="229" s="1"/>
  <c r="EB54" i="229"/>
  <c r="EB56" i="229" s="1"/>
  <c r="EB236" i="229" s="1"/>
  <c r="EC51" i="229"/>
  <c r="EC52" i="229" s="1"/>
  <c r="EC198" i="229" s="1"/>
  <c r="EA174" i="229"/>
  <c r="EA175" i="229" s="1"/>
  <c r="EA177" i="229" s="1"/>
  <c r="EA247" i="229" s="1"/>
  <c r="EA75" i="229"/>
  <c r="EA76" i="229" s="1"/>
  <c r="EA78" i="229" s="1"/>
  <c r="EA238" i="229" s="1"/>
  <c r="EA152" i="229"/>
  <c r="EB150" i="229" s="1"/>
  <c r="EH29" i="229"/>
  <c r="EH30" i="229" s="1"/>
  <c r="EH196" i="229" s="1"/>
  <c r="EE84" i="229"/>
  <c r="EE85" i="229" s="1"/>
  <c r="EE201" i="229" s="1"/>
  <c r="ED87" i="229"/>
  <c r="ED89" i="229" s="1"/>
  <c r="ED239" i="229" s="1"/>
  <c r="EG32" i="229"/>
  <c r="EG34" i="229" s="1"/>
  <c r="EG234" i="229" s="1"/>
  <c r="ED130" i="229"/>
  <c r="ED224" i="229" s="1"/>
  <c r="ED141" i="229"/>
  <c r="EE139" i="229" s="1"/>
  <c r="ED96" i="229"/>
  <c r="ED202" i="229" s="1"/>
  <c r="ED106" i="229"/>
  <c r="EC222" i="229"/>
  <c r="EC109" i="229"/>
  <c r="EC111" i="229" s="1"/>
  <c r="EC241" i="229" s="1"/>
  <c r="EC227" i="229"/>
  <c r="ED161" i="229"/>
  <c r="EC164" i="229"/>
  <c r="EC166" i="229" s="1"/>
  <c r="EC246" i="229" s="1"/>
  <c r="EA118" i="229"/>
  <c r="EA204" i="229" s="1"/>
  <c r="EC184" i="229"/>
  <c r="EC210" i="229" s="1"/>
  <c r="EB172" i="229" l="1"/>
  <c r="EA228" i="229"/>
  <c r="AL290" i="229" s="1"/>
  <c r="AL334" i="229" s="1"/>
  <c r="EA219" i="229"/>
  <c r="AL281" i="229" s="1"/>
  <c r="AL325" i="229" s="1"/>
  <c r="AL320" i="229" s="1"/>
  <c r="EB73" i="229"/>
  <c r="EB74" i="229" s="1"/>
  <c r="EB200" i="229" s="1"/>
  <c r="ED97" i="229"/>
  <c r="EA153" i="229"/>
  <c r="EA155" i="229" s="1"/>
  <c r="EA245" i="229" s="1"/>
  <c r="EA226" i="229"/>
  <c r="AL288" i="229" s="1"/>
  <c r="AL332" i="229" s="1"/>
  <c r="EI42" i="229"/>
  <c r="EJ40" i="229" s="1"/>
  <c r="EB173" i="229"/>
  <c r="EB209" i="229" s="1"/>
  <c r="EC53" i="229"/>
  <c r="EC217" i="229" s="1"/>
  <c r="EE64" i="229"/>
  <c r="EE218" i="229" s="1"/>
  <c r="AM280" i="229" s="1"/>
  <c r="AM324" i="229" s="1"/>
  <c r="EB151" i="229"/>
  <c r="EB207" i="229" s="1"/>
  <c r="ED131" i="229"/>
  <c r="ED133" i="229" s="1"/>
  <c r="ED243" i="229" s="1"/>
  <c r="EE128" i="229"/>
  <c r="EE129" i="229" s="1"/>
  <c r="EE205" i="229" s="1"/>
  <c r="ED142" i="229"/>
  <c r="ED144" i="229" s="1"/>
  <c r="ED244" i="229" s="1"/>
  <c r="EE86" i="229"/>
  <c r="EE220" i="229" s="1"/>
  <c r="AM282" i="229" s="1"/>
  <c r="AM326" i="229" s="1"/>
  <c r="ED225" i="229"/>
  <c r="EA119" i="229"/>
  <c r="EA223" i="229" s="1"/>
  <c r="AL285" i="229" s="1"/>
  <c r="AL329" i="229" s="1"/>
  <c r="ED221" i="229"/>
  <c r="EE95" i="229"/>
  <c r="ED98" i="229"/>
  <c r="ED100" i="229" s="1"/>
  <c r="ED240" i="229" s="1"/>
  <c r="EE140" i="229"/>
  <c r="EE206" i="229" s="1"/>
  <c r="EH31" i="229"/>
  <c r="ED162" i="229"/>
  <c r="ED208" i="229" s="1"/>
  <c r="EC185" i="229"/>
  <c r="ED107" i="229"/>
  <c r="ED203" i="229" s="1"/>
  <c r="ED51" i="229" l="1"/>
  <c r="ED52" i="229" s="1"/>
  <c r="ED198" i="229" s="1"/>
  <c r="EC54" i="229"/>
  <c r="EC56" i="229" s="1"/>
  <c r="EC236" i="229" s="1"/>
  <c r="EI43" i="229"/>
  <c r="EI45" i="229" s="1"/>
  <c r="EI235" i="229" s="1"/>
  <c r="EI216" i="229"/>
  <c r="AN278" i="229" s="1"/>
  <c r="AN322" i="229" s="1"/>
  <c r="AL336" i="229"/>
  <c r="EB174" i="229"/>
  <c r="EB228" i="229" s="1"/>
  <c r="EB75" i="229"/>
  <c r="EB219" i="229" s="1"/>
  <c r="EE65" i="229"/>
  <c r="EE67" i="229" s="1"/>
  <c r="EE237" i="229" s="1"/>
  <c r="EB152" i="229"/>
  <c r="EB153" i="229" s="1"/>
  <c r="EB155" i="229" s="1"/>
  <c r="EB245" i="229" s="1"/>
  <c r="EF62" i="229"/>
  <c r="EF63" i="229" s="1"/>
  <c r="EF199" i="229" s="1"/>
  <c r="EJ41" i="229"/>
  <c r="EJ197" i="229" s="1"/>
  <c r="EE87" i="229"/>
  <c r="EE89" i="229" s="1"/>
  <c r="EE239" i="229" s="1"/>
  <c r="EF84" i="229"/>
  <c r="EF85" i="229" s="1"/>
  <c r="EF201" i="229" s="1"/>
  <c r="EB117" i="229"/>
  <c r="EB118" i="229" s="1"/>
  <c r="EB204" i="229" s="1"/>
  <c r="EA120" i="229"/>
  <c r="EA122" i="229" s="1"/>
  <c r="EA242" i="229" s="1"/>
  <c r="ED163" i="229"/>
  <c r="ED227" i="229" s="1"/>
  <c r="ED108" i="229"/>
  <c r="EE106" i="229" s="1"/>
  <c r="EE96" i="229"/>
  <c r="EE202" i="229" s="1"/>
  <c r="EE141" i="229"/>
  <c r="EE225" i="229" s="1"/>
  <c r="AM287" i="229" s="1"/>
  <c r="AM331" i="229" s="1"/>
  <c r="EE130" i="229"/>
  <c r="EH215" i="229"/>
  <c r="EI29" i="229"/>
  <c r="EH32" i="229"/>
  <c r="EH34" i="229" s="1"/>
  <c r="EH234" i="229" s="1"/>
  <c r="EC229" i="229"/>
  <c r="ED183" i="229"/>
  <c r="EC186" i="229"/>
  <c r="EC188" i="229" s="1"/>
  <c r="EC248" i="229" s="1"/>
  <c r="EB175" i="229" l="1"/>
  <c r="EB177" i="229" s="1"/>
  <c r="EB247" i="229" s="1"/>
  <c r="EC172" i="229"/>
  <c r="EB76" i="229"/>
  <c r="EB78" i="229" s="1"/>
  <c r="EB238" i="229" s="1"/>
  <c r="EC73" i="229"/>
  <c r="EC74" i="229" s="1"/>
  <c r="EC200" i="229" s="1"/>
  <c r="EJ42" i="229"/>
  <c r="EJ43" i="229" s="1"/>
  <c r="EJ45" i="229" s="1"/>
  <c r="EJ235" i="229" s="1"/>
  <c r="EB226" i="229"/>
  <c r="EC173" i="229"/>
  <c r="EC209" i="229" s="1"/>
  <c r="EC150" i="229"/>
  <c r="EC151" i="229" s="1"/>
  <c r="EC207" i="229" s="1"/>
  <c r="EF64" i="229"/>
  <c r="EF65" i="229" s="1"/>
  <c r="EF67" i="229" s="1"/>
  <c r="EF237" i="229" s="1"/>
  <c r="ED53" i="229"/>
  <c r="ED164" i="229"/>
  <c r="ED166" i="229" s="1"/>
  <c r="ED246" i="229" s="1"/>
  <c r="ED109" i="229"/>
  <c r="ED111" i="229" s="1"/>
  <c r="ED241" i="229" s="1"/>
  <c r="ED222" i="229"/>
  <c r="EE161" i="229"/>
  <c r="EE162" i="229" s="1"/>
  <c r="EE208" i="229" s="1"/>
  <c r="EF139" i="229"/>
  <c r="EF140" i="229" s="1"/>
  <c r="EF206" i="229" s="1"/>
  <c r="EE142" i="229"/>
  <c r="EE144" i="229" s="1"/>
  <c r="EE244" i="229" s="1"/>
  <c r="EE97" i="229"/>
  <c r="EE107" i="229"/>
  <c r="EE203" i="229" s="1"/>
  <c r="EI30" i="229"/>
  <c r="EI196" i="229" s="1"/>
  <c r="EE224" i="229"/>
  <c r="AM286" i="229" s="1"/>
  <c r="AM330" i="229" s="1"/>
  <c r="EF128" i="229"/>
  <c r="EE131" i="229"/>
  <c r="EE133" i="229" s="1"/>
  <c r="EE243" i="229" s="1"/>
  <c r="ED184" i="229"/>
  <c r="ED210" i="229" s="1"/>
  <c r="EF86" i="229"/>
  <c r="EB119" i="229"/>
  <c r="EJ216" i="229" l="1"/>
  <c r="EF218" i="229"/>
  <c r="EK40" i="229"/>
  <c r="EK41" i="229" s="1"/>
  <c r="EK197" i="229" s="1"/>
  <c r="EC174" i="229"/>
  <c r="EC175" i="229" s="1"/>
  <c r="EC177" i="229" s="1"/>
  <c r="EC247" i="229" s="1"/>
  <c r="EC75" i="229"/>
  <c r="EC76" i="229" s="1"/>
  <c r="EC78" i="229" s="1"/>
  <c r="EC238" i="229" s="1"/>
  <c r="EG62" i="229"/>
  <c r="EG63" i="229" s="1"/>
  <c r="EG199" i="229" s="1"/>
  <c r="EC152" i="229"/>
  <c r="ED150" i="229" s="1"/>
  <c r="EE51" i="229"/>
  <c r="ED217" i="229"/>
  <c r="ED54" i="229"/>
  <c r="ED56" i="229" s="1"/>
  <c r="ED236" i="229" s="1"/>
  <c r="EE163" i="229"/>
  <c r="EF161" i="229" s="1"/>
  <c r="EE221" i="229"/>
  <c r="AM283" i="229" s="1"/>
  <c r="AM327" i="229" s="1"/>
  <c r="EF95" i="229"/>
  <c r="EE98" i="229"/>
  <c r="EE100" i="229" s="1"/>
  <c r="EE240" i="229" s="1"/>
  <c r="EF129" i="229"/>
  <c r="EF205" i="229" s="1"/>
  <c r="EB223" i="229"/>
  <c r="EC117" i="229"/>
  <c r="EB120" i="229"/>
  <c r="EB122" i="229" s="1"/>
  <c r="EB242" i="229" s="1"/>
  <c r="EE108" i="229"/>
  <c r="EG84" i="229"/>
  <c r="EF220" i="229"/>
  <c r="EF87" i="229"/>
  <c r="EF89" i="229" s="1"/>
  <c r="EF239" i="229" s="1"/>
  <c r="EF141" i="229"/>
  <c r="ED185" i="229"/>
  <c r="EI31" i="229"/>
  <c r="EC219" i="229" l="1"/>
  <c r="ED73" i="229"/>
  <c r="ED172" i="229"/>
  <c r="ED173" i="229" s="1"/>
  <c r="ED209" i="229" s="1"/>
  <c r="EC228" i="229"/>
  <c r="EK42" i="229"/>
  <c r="EK43" i="229" s="1"/>
  <c r="EK45" i="229" s="1"/>
  <c r="EK235" i="229" s="1"/>
  <c r="EC153" i="229"/>
  <c r="EC155" i="229" s="1"/>
  <c r="EC245" i="229" s="1"/>
  <c r="ED151" i="229"/>
  <c r="ED207" i="229" s="1"/>
  <c r="EC226" i="229"/>
  <c r="EG64" i="229"/>
  <c r="EH62" i="229" s="1"/>
  <c r="EE52" i="229"/>
  <c r="EE198" i="229" s="1"/>
  <c r="ED74" i="229"/>
  <c r="ED200" i="229" s="1"/>
  <c r="EL40" i="229"/>
  <c r="EE227" i="229"/>
  <c r="AM289" i="229" s="1"/>
  <c r="AM333" i="229" s="1"/>
  <c r="EE164" i="229"/>
  <c r="EE166" i="229" s="1"/>
  <c r="EE246" i="229" s="1"/>
  <c r="EF96" i="229"/>
  <c r="EF202" i="229" s="1"/>
  <c r="H257" i="229"/>
  <c r="M257" i="229"/>
  <c r="N257" i="229"/>
  <c r="J257" i="229"/>
  <c r="O257" i="229"/>
  <c r="K257" i="229"/>
  <c r="P257" i="229"/>
  <c r="Q257" i="229"/>
  <c r="R257" i="229"/>
  <c r="S257" i="229"/>
  <c r="T257" i="229"/>
  <c r="U257" i="229"/>
  <c r="V257" i="229"/>
  <c r="W257" i="229"/>
  <c r="X257" i="229"/>
  <c r="Y257" i="229"/>
  <c r="Z257" i="229"/>
  <c r="AA257" i="229"/>
  <c r="AB257" i="229"/>
  <c r="AC257" i="229"/>
  <c r="AD257" i="229"/>
  <c r="AE257" i="229"/>
  <c r="AF257" i="229"/>
  <c r="AG257" i="229"/>
  <c r="AH257" i="229"/>
  <c r="AI257" i="229"/>
  <c r="AJ257" i="229"/>
  <c r="AK257" i="229"/>
  <c r="AL257" i="229"/>
  <c r="AM257" i="229"/>
  <c r="AN257" i="229"/>
  <c r="EF162" i="229"/>
  <c r="EF208" i="229" s="1"/>
  <c r="EF225" i="229"/>
  <c r="EG139" i="229"/>
  <c r="EF142" i="229"/>
  <c r="EF144" i="229" s="1"/>
  <c r="EF244" i="229" s="1"/>
  <c r="EF106" i="229"/>
  <c r="EE222" i="229"/>
  <c r="AM284" i="229" s="1"/>
  <c r="AM328" i="229" s="1"/>
  <c r="EE109" i="229"/>
  <c r="EE111" i="229" s="1"/>
  <c r="EE241" i="229" s="1"/>
  <c r="EF130" i="229"/>
  <c r="EI215" i="229"/>
  <c r="AN277" i="229" s="1"/>
  <c r="AN321" i="229" s="1"/>
  <c r="EJ29" i="229"/>
  <c r="EI32" i="229"/>
  <c r="EI34" i="229" s="1"/>
  <c r="EI234" i="229" s="1"/>
  <c r="EG85" i="229"/>
  <c r="EG201" i="229" s="1"/>
  <c r="EC118" i="229"/>
  <c r="EC204" i="229" s="1"/>
  <c r="ED229" i="229"/>
  <c r="EE183" i="229"/>
  <c r="ED186" i="229"/>
  <c r="ED188" i="229" s="1"/>
  <c r="ED248" i="229" s="1"/>
  <c r="M300" i="229"/>
  <c r="N300" i="229"/>
  <c r="O300" i="229"/>
  <c r="P300" i="229"/>
  <c r="Q300" i="229"/>
  <c r="R300" i="229"/>
  <c r="S300" i="229"/>
  <c r="T300" i="229"/>
  <c r="U300" i="229"/>
  <c r="V300" i="229"/>
  <c r="W300" i="229"/>
  <c r="X300" i="229"/>
  <c r="Y300" i="229"/>
  <c r="Z300" i="229"/>
  <c r="AA300" i="229"/>
  <c r="AB300" i="229"/>
  <c r="AC300" i="229"/>
  <c r="AD300" i="229"/>
  <c r="AE300" i="229"/>
  <c r="AF300" i="229"/>
  <c r="AG300" i="229"/>
  <c r="AH300" i="229"/>
  <c r="AI300" i="229"/>
  <c r="AJ300" i="229"/>
  <c r="AK300" i="229"/>
  <c r="AL300" i="229"/>
  <c r="AM300" i="229"/>
  <c r="AN300" i="229"/>
  <c r="EK216" i="229" l="1"/>
  <c r="EF97" i="229"/>
  <c r="ED152" i="229"/>
  <c r="ED174" i="229"/>
  <c r="EE172" i="229" s="1"/>
  <c r="EG218" i="229"/>
  <c r="EG65" i="229"/>
  <c r="EG67" i="229" s="1"/>
  <c r="EG237" i="229" s="1"/>
  <c r="ED75" i="229"/>
  <c r="ED76" i="229" s="1"/>
  <c r="ED78" i="229" s="1"/>
  <c r="ED238" i="229" s="1"/>
  <c r="EE53" i="229"/>
  <c r="EE217" i="229" s="1"/>
  <c r="AM279" i="229" s="1"/>
  <c r="AM323" i="229" s="1"/>
  <c r="EH63" i="229"/>
  <c r="EH199" i="229" s="1"/>
  <c r="EL41" i="229"/>
  <c r="EL42" i="229" s="1"/>
  <c r="EF163" i="229"/>
  <c r="EG161" i="229" s="1"/>
  <c r="EF221" i="229"/>
  <c r="EG95" i="229"/>
  <c r="EF98" i="229"/>
  <c r="EF100" i="229" s="1"/>
  <c r="EF240" i="229" s="1"/>
  <c r="EE184" i="229"/>
  <c r="EE210" i="229" s="1"/>
  <c r="EF107" i="229"/>
  <c r="EF203" i="229" s="1"/>
  <c r="EJ30" i="229"/>
  <c r="EJ196" i="229" s="1"/>
  <c r="EC119" i="229"/>
  <c r="EG140" i="229"/>
  <c r="EG206" i="229" s="1"/>
  <c r="EG86" i="229"/>
  <c r="EG128" i="229"/>
  <c r="EF224" i="229"/>
  <c r="EF131" i="229"/>
  <c r="EF133" i="229" s="1"/>
  <c r="EF243" i="229" s="1"/>
  <c r="ED175" i="229" l="1"/>
  <c r="ED177" i="229" s="1"/>
  <c r="ED247" i="229" s="1"/>
  <c r="ED228" i="229"/>
  <c r="ED153" i="229"/>
  <c r="ED155" i="229" s="1"/>
  <c r="ED245" i="229" s="1"/>
  <c r="EE150" i="229"/>
  <c r="EE151" i="229" s="1"/>
  <c r="EE207" i="229" s="1"/>
  <c r="ED226" i="229"/>
  <c r="EE73" i="229"/>
  <c r="EE74" i="229" s="1"/>
  <c r="EE200" i="229" s="1"/>
  <c r="ED219" i="229"/>
  <c r="EE54" i="229"/>
  <c r="EE56" i="229" s="1"/>
  <c r="EE236" i="229" s="1"/>
  <c r="EF51" i="229"/>
  <c r="EF52" i="229" s="1"/>
  <c r="EF198" i="229" s="1"/>
  <c r="EE173" i="229"/>
  <c r="EE209" i="229" s="1"/>
  <c r="EH64" i="229"/>
  <c r="EI62" i="229" s="1"/>
  <c r="EL43" i="229"/>
  <c r="EL45" i="229" s="1"/>
  <c r="EL235" i="229" s="1"/>
  <c r="EL216" i="229"/>
  <c r="EM40" i="229"/>
  <c r="EL197" i="229"/>
  <c r="EF227" i="229"/>
  <c r="EF164" i="229"/>
  <c r="EF166" i="229" s="1"/>
  <c r="EF246" i="229" s="1"/>
  <c r="EG96" i="229"/>
  <c r="EG202" i="229" s="1"/>
  <c r="EG97" i="229"/>
  <c r="EH84" i="229"/>
  <c r="EG220" i="229"/>
  <c r="EG87" i="229"/>
  <c r="EG89" i="229" s="1"/>
  <c r="EG239" i="229" s="1"/>
  <c r="EG129" i="229"/>
  <c r="EG205" i="229" s="1"/>
  <c r="EF108" i="229"/>
  <c r="EJ31" i="229"/>
  <c r="ED117" i="229"/>
  <c r="EC223" i="229"/>
  <c r="EC120" i="229"/>
  <c r="EC122" i="229" s="1"/>
  <c r="EC242" i="229" s="1"/>
  <c r="EG141" i="229"/>
  <c r="EG162" i="229"/>
  <c r="EG208" i="229" s="1"/>
  <c r="EE185" i="229"/>
  <c r="EE152" i="229" l="1"/>
  <c r="EF150" i="229" s="1"/>
  <c r="EF53" i="229"/>
  <c r="EF217" i="229" s="1"/>
  <c r="EH218" i="229"/>
  <c r="EE174" i="229"/>
  <c r="EE228" i="229" s="1"/>
  <c r="AM290" i="229" s="1"/>
  <c r="AM334" i="229" s="1"/>
  <c r="EH65" i="229"/>
  <c r="EH67" i="229" s="1"/>
  <c r="EH237" i="229" s="1"/>
  <c r="EE75" i="229"/>
  <c r="EE76" i="229" s="1"/>
  <c r="EE78" i="229" s="1"/>
  <c r="EE238" i="229" s="1"/>
  <c r="EI63" i="229"/>
  <c r="EI199" i="229" s="1"/>
  <c r="EG51" i="229"/>
  <c r="EM41" i="229"/>
  <c r="EM42" i="229" s="1"/>
  <c r="EG163" i="229"/>
  <c r="EG227" i="229" s="1"/>
  <c r="EG221" i="229"/>
  <c r="EH95" i="229"/>
  <c r="EG98" i="229"/>
  <c r="EG100" i="229" s="1"/>
  <c r="EG240" i="229" s="1"/>
  <c r="ED118" i="229"/>
  <c r="ED204" i="229" s="1"/>
  <c r="EG130" i="229"/>
  <c r="EG106" i="229"/>
  <c r="EF222" i="229"/>
  <c r="EF109" i="229"/>
  <c r="EF111" i="229" s="1"/>
  <c r="EF241" i="229" s="1"/>
  <c r="EJ215" i="229"/>
  <c r="EK29" i="229"/>
  <c r="EJ32" i="229"/>
  <c r="EJ34" i="229" s="1"/>
  <c r="EJ234" i="229" s="1"/>
  <c r="EG225" i="229"/>
  <c r="EH139" i="229"/>
  <c r="EG142" i="229"/>
  <c r="EG144" i="229" s="1"/>
  <c r="EG244" i="229" s="1"/>
  <c r="EF183" i="229"/>
  <c r="EE229" i="229"/>
  <c r="AM291" i="229" s="1"/>
  <c r="AM335" i="229" s="1"/>
  <c r="EE186" i="229"/>
  <c r="EE188" i="229" s="1"/>
  <c r="EE248" i="229" s="1"/>
  <c r="EH85" i="229"/>
  <c r="EH201" i="229" s="1"/>
  <c r="EE153" i="229" l="1"/>
  <c r="EE155" i="229" s="1"/>
  <c r="EE245" i="229" s="1"/>
  <c r="EE226" i="229"/>
  <c r="AM288" i="229" s="1"/>
  <c r="AM332" i="229" s="1"/>
  <c r="EF54" i="229"/>
  <c r="EF56" i="229" s="1"/>
  <c r="EF236" i="229" s="1"/>
  <c r="EE175" i="229"/>
  <c r="EE177" i="229" s="1"/>
  <c r="EE247" i="229" s="1"/>
  <c r="EF172" i="229"/>
  <c r="EF173" i="229" s="1"/>
  <c r="EF209" i="229" s="1"/>
  <c r="EF73" i="229"/>
  <c r="EE219" i="229"/>
  <c r="AM281" i="229" s="1"/>
  <c r="AM325" i="229" s="1"/>
  <c r="AM320" i="229" s="1"/>
  <c r="EI64" i="229"/>
  <c r="EI65" i="229" s="1"/>
  <c r="EI67" i="229" s="1"/>
  <c r="EI237" i="229" s="1"/>
  <c r="EG52" i="229"/>
  <c r="EG198" i="229" s="1"/>
  <c r="EM43" i="229"/>
  <c r="EM45" i="229" s="1"/>
  <c r="EM235" i="229" s="1"/>
  <c r="AO300" i="229" s="1"/>
  <c r="EM216" i="229"/>
  <c r="AO278" i="229" s="1"/>
  <c r="AO322" i="229" s="1"/>
  <c r="EN40" i="229"/>
  <c r="EN41" i="229" s="1"/>
  <c r="B41" i="229" s="1"/>
  <c r="B42" i="229" s="1"/>
  <c r="EM197" i="229"/>
  <c r="AO257" i="229" s="1"/>
  <c r="EF74" i="229"/>
  <c r="EF200" i="229" s="1"/>
  <c r="EH161" i="229"/>
  <c r="EH162" i="229" s="1"/>
  <c r="EH208" i="229" s="1"/>
  <c r="EG164" i="229"/>
  <c r="EG166" i="229" s="1"/>
  <c r="EG246" i="229" s="1"/>
  <c r="EH86" i="229"/>
  <c r="EH87" i="229" s="1"/>
  <c r="EH89" i="229" s="1"/>
  <c r="EH239" i="229" s="1"/>
  <c r="EH96" i="229"/>
  <c r="EH202" i="229" s="1"/>
  <c r="EH97" i="229"/>
  <c r="EF184" i="229"/>
  <c r="EF210" i="229" s="1"/>
  <c r="EF151" i="229"/>
  <c r="EF207" i="229" s="1"/>
  <c r="EH140" i="229"/>
  <c r="EH206" i="229" s="1"/>
  <c r="EG107" i="229"/>
  <c r="EG203" i="229" s="1"/>
  <c r="ED119" i="229"/>
  <c r="EK30" i="229"/>
  <c r="EK196" i="229" s="1"/>
  <c r="EH128" i="229"/>
  <c r="EG224" i="229"/>
  <c r="EG131" i="229"/>
  <c r="EG133" i="229" s="1"/>
  <c r="EG243" i="229" s="1"/>
  <c r="EJ62" i="229" l="1"/>
  <c r="EJ63" i="229" s="1"/>
  <c r="EJ199" i="229" s="1"/>
  <c r="EG53" i="229"/>
  <c r="EG217" i="229" s="1"/>
  <c r="EF174" i="229"/>
  <c r="EF175" i="229" s="1"/>
  <c r="EF177" i="229" s="1"/>
  <c r="EF247" i="229" s="1"/>
  <c r="EF75" i="229"/>
  <c r="EF76" i="229" s="1"/>
  <c r="EF78" i="229" s="1"/>
  <c r="EF238" i="229" s="1"/>
  <c r="EI218" i="229"/>
  <c r="AN280" i="229" s="1"/>
  <c r="AN324" i="229" s="1"/>
  <c r="EN42" i="229"/>
  <c r="EN197" i="229"/>
  <c r="AP257" i="229" s="1"/>
  <c r="EH220" i="229"/>
  <c r="EI84" i="229"/>
  <c r="EI85" i="229" s="1"/>
  <c r="EI201" i="229" s="1"/>
  <c r="EH163" i="229"/>
  <c r="EH227" i="229" s="1"/>
  <c r="EH221" i="229"/>
  <c r="EI95" i="229"/>
  <c r="EH98" i="229"/>
  <c r="EH100" i="229" s="1"/>
  <c r="EH240" i="229" s="1"/>
  <c r="EF185" i="229"/>
  <c r="EE117" i="229"/>
  <c r="ED223" i="229"/>
  <c r="ED120" i="229"/>
  <c r="ED122" i="229" s="1"/>
  <c r="ED242" i="229" s="1"/>
  <c r="EG108" i="229"/>
  <c r="EK31" i="229"/>
  <c r="EF152" i="229"/>
  <c r="EH129" i="229"/>
  <c r="EH205" i="229" s="1"/>
  <c r="EH141" i="229"/>
  <c r="EF219" i="229" l="1"/>
  <c r="EF228" i="229"/>
  <c r="EG172" i="229"/>
  <c r="EG173" i="229" s="1"/>
  <c r="EG209" i="229" s="1"/>
  <c r="EG54" i="229"/>
  <c r="EG56" i="229" s="1"/>
  <c r="EG236" i="229" s="1"/>
  <c r="EH51" i="229"/>
  <c r="EH52" i="229" s="1"/>
  <c r="EH198" i="229" s="1"/>
  <c r="EJ64" i="229"/>
  <c r="EJ65" i="229" s="1"/>
  <c r="EJ67" i="229" s="1"/>
  <c r="EJ237" i="229" s="1"/>
  <c r="EG73" i="229"/>
  <c r="EG74" i="229" s="1"/>
  <c r="EG200" i="229" s="1"/>
  <c r="EN216" i="229"/>
  <c r="EN43" i="229"/>
  <c r="EN45" i="229" s="1"/>
  <c r="EN235" i="229" s="1"/>
  <c r="AP300" i="229" s="1"/>
  <c r="EI161" i="229"/>
  <c r="EI162" i="229" s="1"/>
  <c r="EI208" i="229" s="1"/>
  <c r="EH164" i="229"/>
  <c r="EH166" i="229" s="1"/>
  <c r="EH246" i="229" s="1"/>
  <c r="EI96" i="229"/>
  <c r="EI202" i="229" s="1"/>
  <c r="EI139" i="229"/>
  <c r="EH225" i="229"/>
  <c r="EH142" i="229"/>
  <c r="EH144" i="229" s="1"/>
  <c r="EH244" i="229" s="1"/>
  <c r="EH130" i="229"/>
  <c r="EI86" i="229"/>
  <c r="EG150" i="229"/>
  <c r="EF226" i="229"/>
  <c r="EF153" i="229"/>
  <c r="EF155" i="229" s="1"/>
  <c r="EF245" i="229" s="1"/>
  <c r="EK215" i="229"/>
  <c r="EL29" i="229"/>
  <c r="EK32" i="229"/>
  <c r="EK34" i="229" s="1"/>
  <c r="EK234" i="229" s="1"/>
  <c r="EF229" i="229"/>
  <c r="EG183" i="229"/>
  <c r="EF186" i="229"/>
  <c r="EF188" i="229" s="1"/>
  <c r="EF248" i="229" s="1"/>
  <c r="EH106" i="229"/>
  <c r="EG222" i="229"/>
  <c r="EG109" i="229"/>
  <c r="EG111" i="229" s="1"/>
  <c r="EG241" i="229" s="1"/>
  <c r="EE118" i="229"/>
  <c r="EE204" i="229" s="1"/>
  <c r="EK62" i="229" l="1"/>
  <c r="EK63" i="229" s="1"/>
  <c r="EK199" i="229" s="1"/>
  <c r="EJ218" i="229"/>
  <c r="EG174" i="229"/>
  <c r="EG228" i="229" s="1"/>
  <c r="EH53" i="229"/>
  <c r="EH217" i="229" s="1"/>
  <c r="EI97" i="229"/>
  <c r="EJ95" i="229" s="1"/>
  <c r="EG75" i="229"/>
  <c r="EG219" i="229" s="1"/>
  <c r="EI98" i="229"/>
  <c r="EI100" i="229" s="1"/>
  <c r="EI240" i="229" s="1"/>
  <c r="EH224" i="229"/>
  <c r="EI128" i="229"/>
  <c r="EH131" i="229"/>
  <c r="EH133" i="229" s="1"/>
  <c r="EH243" i="229" s="1"/>
  <c r="EH107" i="229"/>
  <c r="EH203" i="229" s="1"/>
  <c r="EG184" i="229"/>
  <c r="EG210" i="229" s="1"/>
  <c r="EG151" i="229"/>
  <c r="EG207" i="229" s="1"/>
  <c r="EE119" i="229"/>
  <c r="EI163" i="229"/>
  <c r="EL30" i="229"/>
  <c r="EL196" i="229" s="1"/>
  <c r="EI220" i="229"/>
  <c r="AN282" i="229" s="1"/>
  <c r="AN326" i="229" s="1"/>
  <c r="EJ84" i="229"/>
  <c r="EI87" i="229"/>
  <c r="EI89" i="229" s="1"/>
  <c r="EI239" i="229" s="1"/>
  <c r="EI140" i="229"/>
  <c r="EI206" i="229" s="1"/>
  <c r="EH172" i="229" l="1"/>
  <c r="EH173" i="229" s="1"/>
  <c r="EH209" i="229" s="1"/>
  <c r="EG175" i="229"/>
  <c r="EG177" i="229" s="1"/>
  <c r="EG247" i="229" s="1"/>
  <c r="EH54" i="229"/>
  <c r="EH56" i="229" s="1"/>
  <c r="EH236" i="229" s="1"/>
  <c r="EI51" i="229"/>
  <c r="EI52" i="229" s="1"/>
  <c r="EI198" i="229" s="1"/>
  <c r="EI221" i="229"/>
  <c r="AN283" i="229" s="1"/>
  <c r="AN327" i="229" s="1"/>
  <c r="EG76" i="229"/>
  <c r="EG78" i="229" s="1"/>
  <c r="EG238" i="229" s="1"/>
  <c r="EH174" i="229"/>
  <c r="EH228" i="229" s="1"/>
  <c r="EH73" i="229"/>
  <c r="EH74" i="229" s="1"/>
  <c r="EH200" i="229" s="1"/>
  <c r="EK64" i="229"/>
  <c r="EL62" i="229" s="1"/>
  <c r="EI141" i="229"/>
  <c r="EI225" i="229" s="1"/>
  <c r="AN287" i="229" s="1"/>
  <c r="AN331" i="229" s="1"/>
  <c r="EJ96" i="229"/>
  <c r="EJ202" i="229" s="1"/>
  <c r="EL31" i="229"/>
  <c r="EG185" i="229"/>
  <c r="EI227" i="229"/>
  <c r="AN289" i="229" s="1"/>
  <c r="AN333" i="229" s="1"/>
  <c r="EJ161" i="229"/>
  <c r="EI164" i="229"/>
  <c r="EI166" i="229" s="1"/>
  <c r="EI246" i="229" s="1"/>
  <c r="EE223" i="229"/>
  <c r="AM285" i="229" s="1"/>
  <c r="AM329" i="229" s="1"/>
  <c r="AM336" i="229" s="1"/>
  <c r="EF117" i="229"/>
  <c r="EE120" i="229"/>
  <c r="EE122" i="229" s="1"/>
  <c r="EE242" i="229" s="1"/>
  <c r="EI129" i="229"/>
  <c r="EI205" i="229" s="1"/>
  <c r="EG152" i="229"/>
  <c r="EH108" i="229"/>
  <c r="EJ85" i="229"/>
  <c r="EJ201" i="229" s="1"/>
  <c r="EH175" i="229" l="1"/>
  <c r="EH177" i="229" s="1"/>
  <c r="EH247" i="229" s="1"/>
  <c r="EI172" i="229"/>
  <c r="EK65" i="229"/>
  <c r="EK67" i="229" s="1"/>
  <c r="EK237" i="229" s="1"/>
  <c r="EK218" i="229"/>
  <c r="EI53" i="229"/>
  <c r="EJ51" i="229" s="1"/>
  <c r="EH75" i="229"/>
  <c r="EI73" i="229" s="1"/>
  <c r="EL63" i="229"/>
  <c r="EL199" i="229" s="1"/>
  <c r="EI142" i="229"/>
  <c r="EI144" i="229" s="1"/>
  <c r="EI244" i="229" s="1"/>
  <c r="EJ139" i="229"/>
  <c r="EJ140" i="229" s="1"/>
  <c r="EJ206" i="229" s="1"/>
  <c r="EI130" i="229"/>
  <c r="EI131" i="229" s="1"/>
  <c r="EI133" i="229" s="1"/>
  <c r="EI243" i="229" s="1"/>
  <c r="EJ97" i="229"/>
  <c r="EI173" i="229"/>
  <c r="EI209" i="229" s="1"/>
  <c r="EG229" i="229"/>
  <c r="EH183" i="229"/>
  <c r="EG186" i="229"/>
  <c r="EG188" i="229" s="1"/>
  <c r="EG248" i="229" s="1"/>
  <c r="EJ162" i="229"/>
  <c r="EJ208" i="229" s="1"/>
  <c r="EJ86" i="229"/>
  <c r="EI106" i="229"/>
  <c r="EH222" i="229"/>
  <c r="EH109" i="229"/>
  <c r="EH111" i="229" s="1"/>
  <c r="EH241" i="229" s="1"/>
  <c r="EH150" i="229"/>
  <c r="EG226" i="229"/>
  <c r="EG153" i="229"/>
  <c r="EG155" i="229" s="1"/>
  <c r="EG245" i="229" s="1"/>
  <c r="EF118" i="229"/>
  <c r="EF204" i="229" s="1"/>
  <c r="EL215" i="229"/>
  <c r="EM29" i="229"/>
  <c r="EL32" i="229"/>
  <c r="EL34" i="229" s="1"/>
  <c r="EL234" i="229" s="1"/>
  <c r="EI54" i="229" l="1"/>
  <c r="EI56" i="229" s="1"/>
  <c r="EI236" i="229" s="1"/>
  <c r="EI217" i="229"/>
  <c r="AN279" i="229" s="1"/>
  <c r="AN323" i="229" s="1"/>
  <c r="EH76" i="229"/>
  <c r="EH78" i="229" s="1"/>
  <c r="EH238" i="229" s="1"/>
  <c r="EH219" i="229"/>
  <c r="EL64" i="229"/>
  <c r="EL218" i="229" s="1"/>
  <c r="EJ52" i="229"/>
  <c r="EJ198" i="229" s="1"/>
  <c r="EI74" i="229"/>
  <c r="EI200" i="229" s="1"/>
  <c r="EJ128" i="229"/>
  <c r="EJ129" i="229" s="1"/>
  <c r="EJ205" i="229" s="1"/>
  <c r="EI224" i="229"/>
  <c r="AN286" i="229" s="1"/>
  <c r="AN330" i="229" s="1"/>
  <c r="EF119" i="229"/>
  <c r="EG117" i="229" s="1"/>
  <c r="EJ221" i="229"/>
  <c r="EK95" i="229"/>
  <c r="EJ98" i="229"/>
  <c r="EJ100" i="229" s="1"/>
  <c r="EJ240" i="229" s="1"/>
  <c r="EK84" i="229"/>
  <c r="EJ220" i="229"/>
  <c r="EJ87" i="229"/>
  <c r="EJ89" i="229" s="1"/>
  <c r="EJ239" i="229" s="1"/>
  <c r="EH151" i="229"/>
  <c r="EH207" i="229" s="1"/>
  <c r="EJ163" i="229"/>
  <c r="EJ141" i="229"/>
  <c r="EH184" i="229"/>
  <c r="EH210" i="229" s="1"/>
  <c r="EI107" i="229"/>
  <c r="EI203" i="229" s="1"/>
  <c r="EM30" i="229"/>
  <c r="EM196" i="229" s="1"/>
  <c r="EI174" i="229"/>
  <c r="EL65" i="229" l="1"/>
  <c r="EL67" i="229" s="1"/>
  <c r="EL237" i="229" s="1"/>
  <c r="EM62" i="229"/>
  <c r="EM63" i="229" s="1"/>
  <c r="EM199" i="229" s="1"/>
  <c r="EJ53" i="229"/>
  <c r="EJ217" i="229" s="1"/>
  <c r="EI75" i="229"/>
  <c r="EI219" i="229" s="1"/>
  <c r="AN281" i="229" s="1"/>
  <c r="AN325" i="229" s="1"/>
  <c r="AN320" i="229" s="1"/>
  <c r="EF120" i="229"/>
  <c r="EF122" i="229" s="1"/>
  <c r="EF242" i="229" s="1"/>
  <c r="EF223" i="229"/>
  <c r="EK96" i="229"/>
  <c r="EK202" i="229" s="1"/>
  <c r="EJ172" i="229"/>
  <c r="EI228" i="229"/>
  <c r="AN290" i="229" s="1"/>
  <c r="AN334" i="229" s="1"/>
  <c r="EI175" i="229"/>
  <c r="EI177" i="229" s="1"/>
  <c r="EI247" i="229" s="1"/>
  <c r="EI108" i="229"/>
  <c r="EK85" i="229"/>
  <c r="EK201" i="229" s="1"/>
  <c r="EK139" i="229"/>
  <c r="EJ225" i="229"/>
  <c r="EJ142" i="229"/>
  <c r="EJ144" i="229" s="1"/>
  <c r="EJ244" i="229" s="1"/>
  <c r="EM31" i="229"/>
  <c r="EJ227" i="229"/>
  <c r="EK161" i="229"/>
  <c r="EJ164" i="229"/>
  <c r="EJ166" i="229" s="1"/>
  <c r="EJ246" i="229" s="1"/>
  <c r="EJ130" i="229"/>
  <c r="EG118" i="229"/>
  <c r="EG204" i="229" s="1"/>
  <c r="EH185" i="229"/>
  <c r="EH152" i="229"/>
  <c r="EK51" i="229" l="1"/>
  <c r="EK52" i="229" s="1"/>
  <c r="EK198" i="229" s="1"/>
  <c r="EJ73" i="229"/>
  <c r="EJ74" i="229" s="1"/>
  <c r="EJ200" i="229" s="1"/>
  <c r="EI76" i="229"/>
  <c r="EI78" i="229" s="1"/>
  <c r="EI238" i="229" s="1"/>
  <c r="EK97" i="229"/>
  <c r="EJ54" i="229"/>
  <c r="EJ56" i="229" s="1"/>
  <c r="EJ236" i="229" s="1"/>
  <c r="EM64" i="229"/>
  <c r="EM218" i="229" s="1"/>
  <c r="AO280" i="229" s="1"/>
  <c r="AO324" i="229" s="1"/>
  <c r="EG119" i="229"/>
  <c r="EH117" i="229" s="1"/>
  <c r="EK86" i="229"/>
  <c r="EK87" i="229" s="1"/>
  <c r="EK89" i="229" s="1"/>
  <c r="EK239" i="229" s="1"/>
  <c r="EK221" i="229"/>
  <c r="EL95" i="229"/>
  <c r="EK98" i="229"/>
  <c r="EK100" i="229" s="1"/>
  <c r="EK240" i="229" s="1"/>
  <c r="EK140" i="229"/>
  <c r="EK206" i="229" s="1"/>
  <c r="EJ106" i="229"/>
  <c r="EI222" i="229"/>
  <c r="AN284" i="229" s="1"/>
  <c r="AN328" i="229" s="1"/>
  <c r="EI109" i="229"/>
  <c r="EI111" i="229" s="1"/>
  <c r="EI241" i="229" s="1"/>
  <c r="L259" i="229"/>
  <c r="M259" i="229"/>
  <c r="J259" i="229"/>
  <c r="N259" i="229"/>
  <c r="O259" i="229"/>
  <c r="P259" i="229"/>
  <c r="Q259" i="229"/>
  <c r="R259" i="229"/>
  <c r="S259" i="229"/>
  <c r="T259" i="229"/>
  <c r="U259" i="229"/>
  <c r="V259" i="229"/>
  <c r="W259" i="229"/>
  <c r="X259" i="229"/>
  <c r="Y259" i="229"/>
  <c r="Z259" i="229"/>
  <c r="AA259" i="229"/>
  <c r="AB259" i="229"/>
  <c r="AC259" i="229"/>
  <c r="AD259" i="229"/>
  <c r="AE259" i="229"/>
  <c r="AF259" i="229"/>
  <c r="AG259" i="229"/>
  <c r="AH259" i="229"/>
  <c r="AI259" i="229"/>
  <c r="AJ259" i="229"/>
  <c r="AK259" i="229"/>
  <c r="AL259" i="229"/>
  <c r="AM259" i="229"/>
  <c r="AN259" i="229"/>
  <c r="AO259" i="229"/>
  <c r="EH226" i="229"/>
  <c r="EI150" i="229"/>
  <c r="EH153" i="229"/>
  <c r="EH155" i="229" s="1"/>
  <c r="EH245" i="229" s="1"/>
  <c r="EH229" i="229"/>
  <c r="EI183" i="229"/>
  <c r="EH186" i="229"/>
  <c r="EH188" i="229" s="1"/>
  <c r="EH248" i="229" s="1"/>
  <c r="EJ224" i="229"/>
  <c r="EK128" i="229"/>
  <c r="EJ131" i="229"/>
  <c r="EJ133" i="229" s="1"/>
  <c r="EJ243" i="229" s="1"/>
  <c r="EK162" i="229"/>
  <c r="EK208" i="229" s="1"/>
  <c r="L302" i="229"/>
  <c r="M302" i="229"/>
  <c r="N302" i="229"/>
  <c r="O302" i="229"/>
  <c r="P302" i="229"/>
  <c r="Q302" i="229"/>
  <c r="R302" i="229"/>
  <c r="S302" i="229"/>
  <c r="T302" i="229"/>
  <c r="U302" i="229"/>
  <c r="V302" i="229"/>
  <c r="W302" i="229"/>
  <c r="X302" i="229"/>
  <c r="Y302" i="229"/>
  <c r="Z302" i="229"/>
  <c r="AA302" i="229"/>
  <c r="AB302" i="229"/>
  <c r="AC302" i="229"/>
  <c r="AD302" i="229"/>
  <c r="AE302" i="229"/>
  <c r="AF302" i="229"/>
  <c r="AG302" i="229"/>
  <c r="AH302" i="229"/>
  <c r="AI302" i="229"/>
  <c r="AJ302" i="229"/>
  <c r="AK302" i="229"/>
  <c r="AL302" i="229"/>
  <c r="AM302" i="229"/>
  <c r="AN302" i="229"/>
  <c r="EM215" i="229"/>
  <c r="AO277" i="229" s="1"/>
  <c r="AO321" i="229" s="1"/>
  <c r="EN29" i="229"/>
  <c r="EM32" i="229"/>
  <c r="EM34" i="229" s="1"/>
  <c r="EM234" i="229" s="1"/>
  <c r="EJ173" i="229"/>
  <c r="EJ209" i="229" s="1"/>
  <c r="EL84" i="229"/>
  <c r="EK220" i="229" l="1"/>
  <c r="EM65" i="229"/>
  <c r="EM67" i="229" s="1"/>
  <c r="EM237" i="229" s="1"/>
  <c r="AO302" i="229" s="1"/>
  <c r="EN62" i="229"/>
  <c r="EN63" i="229" s="1"/>
  <c r="EN199" i="229" s="1"/>
  <c r="AP259" i="229" s="1"/>
  <c r="EK53" i="229"/>
  <c r="EL51" i="229" s="1"/>
  <c r="EJ75" i="229"/>
  <c r="EJ76" i="229" s="1"/>
  <c r="EJ78" i="229" s="1"/>
  <c r="EJ238" i="229" s="1"/>
  <c r="EG223" i="229"/>
  <c r="EN64" i="229"/>
  <c r="EG120" i="229"/>
  <c r="EG122" i="229" s="1"/>
  <c r="EG242" i="229" s="1"/>
  <c r="EK163" i="229"/>
  <c r="EL161" i="229" s="1"/>
  <c r="EL96" i="229"/>
  <c r="EL202" i="229" s="1"/>
  <c r="EI184" i="229"/>
  <c r="EI210" i="229" s="1"/>
  <c r="EN30" i="229"/>
  <c r="EN31" i="229" s="1"/>
  <c r="EH118" i="229"/>
  <c r="EH204" i="229" s="1"/>
  <c r="EJ107" i="229"/>
  <c r="EJ203" i="229" s="1"/>
  <c r="EK129" i="229"/>
  <c r="EK205" i="229" s="1"/>
  <c r="EI151" i="229"/>
  <c r="EI207" i="229" s="1"/>
  <c r="EJ174" i="229"/>
  <c r="EL85" i="229"/>
  <c r="EL201" i="229" s="1"/>
  <c r="EK141" i="229"/>
  <c r="EK73" i="229" l="1"/>
  <c r="EK74" i="229" s="1"/>
  <c r="EK200" i="229" s="1"/>
  <c r="B63" i="229"/>
  <c r="B64" i="229" s="1"/>
  <c r="EL97" i="229"/>
  <c r="EK54" i="229"/>
  <c r="EK56" i="229" s="1"/>
  <c r="EK236" i="229" s="1"/>
  <c r="EK217" i="229"/>
  <c r="EJ219" i="229"/>
  <c r="EL52" i="229"/>
  <c r="EL198" i="229" s="1"/>
  <c r="EN218" i="229"/>
  <c r="EN65" i="229"/>
  <c r="EN67" i="229" s="1"/>
  <c r="EN237" i="229" s="1"/>
  <c r="EK227" i="229"/>
  <c r="EK164" i="229"/>
  <c r="EK166" i="229" s="1"/>
  <c r="EK246" i="229" s="1"/>
  <c r="EI152" i="229"/>
  <c r="EJ150" i="229" s="1"/>
  <c r="EK130" i="229"/>
  <c r="EK224" i="229" s="1"/>
  <c r="EL221" i="229"/>
  <c r="EM95" i="229"/>
  <c r="EL98" i="229"/>
  <c r="EL100" i="229" s="1"/>
  <c r="EL240" i="229" s="1"/>
  <c r="EI185" i="229"/>
  <c r="EI229" i="229" s="1"/>
  <c r="AN291" i="229" s="1"/>
  <c r="AN335" i="229" s="1"/>
  <c r="EK225" i="229"/>
  <c r="EL139" i="229"/>
  <c r="EK142" i="229"/>
  <c r="EK144" i="229" s="1"/>
  <c r="EK244" i="229" s="1"/>
  <c r="EN215" i="229"/>
  <c r="EN32" i="229"/>
  <c r="EN34" i="229" s="1"/>
  <c r="EN234" i="229" s="1"/>
  <c r="EL86" i="229"/>
  <c r="EH119" i="229"/>
  <c r="EN196" i="229"/>
  <c r="B30" i="229"/>
  <c r="B31" i="229" s="1"/>
  <c r="EL162" i="229"/>
  <c r="EL208" i="229" s="1"/>
  <c r="EJ228" i="229"/>
  <c r="EK172" i="229"/>
  <c r="EJ175" i="229"/>
  <c r="EJ177" i="229" s="1"/>
  <c r="EJ247" i="229" s="1"/>
  <c r="EJ108" i="229"/>
  <c r="AP302" i="229" l="1"/>
  <c r="H302" i="229"/>
  <c r="H298" i="229" s="1"/>
  <c r="E33" i="261" s="1"/>
  <c r="I302" i="229"/>
  <c r="I298" i="229" s="1"/>
  <c r="F33" i="261" s="1"/>
  <c r="F50" i="261" s="1"/>
  <c r="J302" i="229"/>
  <c r="J298" i="229" s="1"/>
  <c r="G33" i="261" s="1"/>
  <c r="G50" i="261" s="1"/>
  <c r="EL53" i="229"/>
  <c r="EM51" i="229" s="1"/>
  <c r="EK75" i="229"/>
  <c r="EL73" i="229" s="1"/>
  <c r="EL128" i="229"/>
  <c r="EL129" i="229" s="1"/>
  <c r="EL205" i="229" s="1"/>
  <c r="EI153" i="229"/>
  <c r="EI155" i="229" s="1"/>
  <c r="EI245" i="229" s="1"/>
  <c r="EI226" i="229"/>
  <c r="AN288" i="229" s="1"/>
  <c r="AN332" i="229" s="1"/>
  <c r="EK131" i="229"/>
  <c r="EK133" i="229" s="1"/>
  <c r="EK243" i="229" s="1"/>
  <c r="EL163" i="229"/>
  <c r="EM161" i="229" s="1"/>
  <c r="EI186" i="229"/>
  <c r="EI188" i="229" s="1"/>
  <c r="EI248" i="229" s="1"/>
  <c r="EJ183" i="229"/>
  <c r="EJ184" i="229" s="1"/>
  <c r="EJ210" i="229" s="1"/>
  <c r="EM96" i="229"/>
  <c r="EM202" i="229" s="1"/>
  <c r="AP256" i="229"/>
  <c r="H256" i="229"/>
  <c r="I256" i="229"/>
  <c r="M256" i="229"/>
  <c r="J256" i="229"/>
  <c r="N256" i="229"/>
  <c r="K256" i="229"/>
  <c r="O256" i="229"/>
  <c r="P256" i="229"/>
  <c r="Q256" i="229"/>
  <c r="R256" i="229"/>
  <c r="S256" i="229"/>
  <c r="T256" i="229"/>
  <c r="U256" i="229"/>
  <c r="V256" i="229"/>
  <c r="W256" i="229"/>
  <c r="X256" i="229"/>
  <c r="Y256" i="229"/>
  <c r="Z256" i="229"/>
  <c r="AA256" i="229"/>
  <c r="AB256" i="229"/>
  <c r="AC256" i="229"/>
  <c r="AD256" i="229"/>
  <c r="AE256" i="229"/>
  <c r="AF256" i="229"/>
  <c r="AG256" i="229"/>
  <c r="AH256" i="229"/>
  <c r="AI256" i="229"/>
  <c r="AJ256" i="229"/>
  <c r="AK256" i="229"/>
  <c r="AL256" i="229"/>
  <c r="AM256" i="229"/>
  <c r="AN256" i="229"/>
  <c r="AO256" i="229"/>
  <c r="AP299" i="229"/>
  <c r="M299" i="229"/>
  <c r="N299" i="229"/>
  <c r="O299" i="229"/>
  <c r="P299" i="229"/>
  <c r="Q299" i="229"/>
  <c r="R299" i="229"/>
  <c r="S299" i="229"/>
  <c r="T299" i="229"/>
  <c r="U299" i="229"/>
  <c r="V299" i="229"/>
  <c r="W299" i="229"/>
  <c r="X299" i="229"/>
  <c r="Y299" i="229"/>
  <c r="Z299" i="229"/>
  <c r="AA299" i="229"/>
  <c r="AB299" i="229"/>
  <c r="AC299" i="229"/>
  <c r="AD299" i="229"/>
  <c r="AE299" i="229"/>
  <c r="AF299" i="229"/>
  <c r="AG299" i="229"/>
  <c r="AH299" i="229"/>
  <c r="AI299" i="229"/>
  <c r="AJ299" i="229"/>
  <c r="AK299" i="229"/>
  <c r="AL299" i="229"/>
  <c r="AM299" i="229"/>
  <c r="AN299" i="229"/>
  <c r="AO299" i="229"/>
  <c r="EJ151" i="229"/>
  <c r="EJ207" i="229" s="1"/>
  <c r="EK106" i="229"/>
  <c r="EJ222" i="229"/>
  <c r="EJ109" i="229"/>
  <c r="EJ111" i="229" s="1"/>
  <c r="EJ241" i="229" s="1"/>
  <c r="EI117" i="229"/>
  <c r="EH223" i="229"/>
  <c r="EH120" i="229"/>
  <c r="EH122" i="229" s="1"/>
  <c r="EH242" i="229" s="1"/>
  <c r="EM84" i="229"/>
  <c r="EL220" i="229"/>
  <c r="EL87" i="229"/>
  <c r="EL89" i="229" s="1"/>
  <c r="EL239" i="229" s="1"/>
  <c r="EK173" i="229"/>
  <c r="EK209" i="229" s="1"/>
  <c r="EL140" i="229"/>
  <c r="EL206" i="229" s="1"/>
  <c r="EK76" i="229" l="1"/>
  <c r="EK78" i="229" s="1"/>
  <c r="EK238" i="229" s="1"/>
  <c r="S50" i="261"/>
  <c r="EL54" i="229"/>
  <c r="EL56" i="229" s="1"/>
  <c r="EL236" i="229" s="1"/>
  <c r="EL217" i="229"/>
  <c r="EM97" i="229"/>
  <c r="EK219" i="229"/>
  <c r="EL74" i="229"/>
  <c r="EL200" i="229" s="1"/>
  <c r="EM52" i="229"/>
  <c r="EM53" i="229" s="1"/>
  <c r="EL164" i="229"/>
  <c r="EL166" i="229" s="1"/>
  <c r="EL246" i="229" s="1"/>
  <c r="EL227" i="229"/>
  <c r="EL141" i="229"/>
  <c r="EJ152" i="229"/>
  <c r="EJ153" i="229" s="1"/>
  <c r="EJ155" i="229" s="1"/>
  <c r="EJ245" i="229" s="1"/>
  <c r="EK174" i="229"/>
  <c r="EK228" i="229" s="1"/>
  <c r="EN95" i="229"/>
  <c r="EM221" i="229"/>
  <c r="AO283" i="229" s="1"/>
  <c r="AO327" i="229" s="1"/>
  <c r="EM98" i="229"/>
  <c r="EM100" i="229" s="1"/>
  <c r="EM240" i="229" s="1"/>
  <c r="EJ185" i="229"/>
  <c r="EJ186" i="229" s="1"/>
  <c r="EJ188" i="229" s="1"/>
  <c r="EJ248" i="229" s="1"/>
  <c r="EM85" i="229"/>
  <c r="EM201" i="229" s="1"/>
  <c r="L301" i="229"/>
  <c r="M301" i="229"/>
  <c r="N301" i="229"/>
  <c r="O301" i="229"/>
  <c r="P301" i="229"/>
  <c r="Q301" i="229"/>
  <c r="R301" i="229"/>
  <c r="S301" i="229"/>
  <c r="T301" i="229"/>
  <c r="U301" i="229"/>
  <c r="V301" i="229"/>
  <c r="W301" i="229"/>
  <c r="X301" i="229"/>
  <c r="Y301" i="229"/>
  <c r="Z301" i="229"/>
  <c r="AA301" i="229"/>
  <c r="AB301" i="229"/>
  <c r="AC301" i="229"/>
  <c r="AD301" i="229"/>
  <c r="AE301" i="229"/>
  <c r="AF301" i="229"/>
  <c r="AG301" i="229"/>
  <c r="AH301" i="229"/>
  <c r="AI301" i="229"/>
  <c r="AJ301" i="229"/>
  <c r="AK301" i="229"/>
  <c r="AL301" i="229"/>
  <c r="AM301" i="229"/>
  <c r="AN301" i="229"/>
  <c r="EI118" i="229"/>
  <c r="EI204" i="229" s="1"/>
  <c r="EM162" i="229"/>
  <c r="EM208" i="229" s="1"/>
  <c r="EL225" i="229"/>
  <c r="EM139" i="229"/>
  <c r="EL142" i="229"/>
  <c r="EL144" i="229" s="1"/>
  <c r="EL244" i="229" s="1"/>
  <c r="H258" i="229"/>
  <c r="I258" i="229"/>
  <c r="L258" i="229"/>
  <c r="J258" i="229"/>
  <c r="M258" i="229"/>
  <c r="N258" i="229"/>
  <c r="O258" i="229"/>
  <c r="P258" i="229"/>
  <c r="Q258" i="229"/>
  <c r="R258" i="229"/>
  <c r="S258" i="229"/>
  <c r="T258" i="229"/>
  <c r="U258" i="229"/>
  <c r="V258" i="229"/>
  <c r="W258" i="229"/>
  <c r="X258" i="229"/>
  <c r="Y258" i="229"/>
  <c r="Z258" i="229"/>
  <c r="AA258" i="229"/>
  <c r="AB258" i="229"/>
  <c r="AC258" i="229"/>
  <c r="AD258" i="229"/>
  <c r="AE258" i="229"/>
  <c r="AF258" i="229"/>
  <c r="AG258" i="229"/>
  <c r="AH258" i="229"/>
  <c r="AI258" i="229"/>
  <c r="AJ258" i="229"/>
  <c r="AK258" i="229"/>
  <c r="AL258" i="229"/>
  <c r="AM258" i="229"/>
  <c r="AN258" i="229"/>
  <c r="EL130" i="229"/>
  <c r="EK107" i="229"/>
  <c r="EK203" i="229" s="1"/>
  <c r="EL75" i="229" l="1"/>
  <c r="EK150" i="229"/>
  <c r="EK151" i="229" s="1"/>
  <c r="EK207" i="229" s="1"/>
  <c r="EJ226" i="229"/>
  <c r="EN51" i="229"/>
  <c r="EN52" i="229" s="1"/>
  <c r="EM217" i="229"/>
  <c r="AO279" i="229" s="1"/>
  <c r="AO323" i="229" s="1"/>
  <c r="EM54" i="229"/>
  <c r="EM56" i="229" s="1"/>
  <c r="EM236" i="229" s="1"/>
  <c r="AO301" i="229" s="1"/>
  <c r="EM198" i="229"/>
  <c r="AO258" i="229" s="1"/>
  <c r="B52" i="229"/>
  <c r="B53" i="229" s="1"/>
  <c r="EK175" i="229"/>
  <c r="EK177" i="229" s="1"/>
  <c r="EK247" i="229" s="1"/>
  <c r="EL172" i="229"/>
  <c r="EL173" i="229" s="1"/>
  <c r="EL209" i="229" s="1"/>
  <c r="EI119" i="229"/>
  <c r="EJ117" i="229" s="1"/>
  <c r="EJ229" i="229"/>
  <c r="EK183" i="229"/>
  <c r="EK184" i="229" s="1"/>
  <c r="EK210" i="229" s="1"/>
  <c r="EM86" i="229"/>
  <c r="EM220" i="229" s="1"/>
  <c r="AO282" i="229" s="1"/>
  <c r="AO326" i="229" s="1"/>
  <c r="EN96" i="229"/>
  <c r="EK108" i="229"/>
  <c r="EL224" i="229"/>
  <c r="EM128" i="229"/>
  <c r="EL131" i="229"/>
  <c r="EL133" i="229" s="1"/>
  <c r="EL243" i="229" s="1"/>
  <c r="EM140" i="229"/>
  <c r="EM206" i="229" s="1"/>
  <c r="EM163" i="229"/>
  <c r="EL76" i="229" l="1"/>
  <c r="EL78" i="229" s="1"/>
  <c r="EL238" i="229" s="1"/>
  <c r="EM73" i="229"/>
  <c r="EL219" i="229"/>
  <c r="EN53" i="229"/>
  <c r="EN198" i="229"/>
  <c r="AP258" i="229" s="1"/>
  <c r="EI120" i="229"/>
  <c r="EI122" i="229" s="1"/>
  <c r="EI242" i="229" s="1"/>
  <c r="EI223" i="229"/>
  <c r="AN285" i="229" s="1"/>
  <c r="AN329" i="229" s="1"/>
  <c r="AN336" i="229" s="1"/>
  <c r="EM87" i="229"/>
  <c r="EM89" i="229" s="1"/>
  <c r="EM239" i="229" s="1"/>
  <c r="EN84" i="229"/>
  <c r="EN85" i="229" s="1"/>
  <c r="EN86" i="229" s="1"/>
  <c r="EN202" i="229"/>
  <c r="B96" i="229"/>
  <c r="B97" i="229" s="1"/>
  <c r="EK152" i="229"/>
  <c r="EK226" i="229" s="1"/>
  <c r="EN97" i="229"/>
  <c r="EM141" i="229"/>
  <c r="EM225" i="229" s="1"/>
  <c r="AO287" i="229" s="1"/>
  <c r="AO331" i="229" s="1"/>
  <c r="EK185" i="229"/>
  <c r="EK229" i="229" s="1"/>
  <c r="EL174" i="229"/>
  <c r="EN161" i="229"/>
  <c r="EM227" i="229"/>
  <c r="AO289" i="229" s="1"/>
  <c r="AO333" i="229" s="1"/>
  <c r="EM164" i="229"/>
  <c r="EM166" i="229" s="1"/>
  <c r="EM246" i="229" s="1"/>
  <c r="EM129" i="229"/>
  <c r="EM205" i="229" s="1"/>
  <c r="EJ118" i="229"/>
  <c r="EJ204" i="229" s="1"/>
  <c r="EL106" i="229"/>
  <c r="EK222" i="229"/>
  <c r="EK109" i="229"/>
  <c r="EK111" i="229" s="1"/>
  <c r="EK241" i="229" s="1"/>
  <c r="EM74" i="229" l="1"/>
  <c r="EM200" i="229" s="1"/>
  <c r="EN217" i="229"/>
  <c r="EN54" i="229"/>
  <c r="EN56" i="229" s="1"/>
  <c r="EN236" i="229" s="1"/>
  <c r="AP301" i="229" s="1"/>
  <c r="EK153" i="229"/>
  <c r="EK155" i="229" s="1"/>
  <c r="EK245" i="229" s="1"/>
  <c r="EL150" i="229"/>
  <c r="EL151" i="229" s="1"/>
  <c r="EL207" i="229" s="1"/>
  <c r="EN139" i="229"/>
  <c r="EN140" i="229" s="1"/>
  <c r="EN141" i="229" s="1"/>
  <c r="EM130" i="229"/>
  <c r="EN128" i="229" s="1"/>
  <c r="EK186" i="229"/>
  <c r="EK188" i="229" s="1"/>
  <c r="EK248" i="229" s="1"/>
  <c r="EL183" i="229"/>
  <c r="EL184" i="229" s="1"/>
  <c r="EL210" i="229" s="1"/>
  <c r="EN221" i="229"/>
  <c r="EN98" i="229"/>
  <c r="EN100" i="229" s="1"/>
  <c r="EN240" i="229" s="1"/>
  <c r="EM142" i="229"/>
  <c r="EM144" i="229" s="1"/>
  <c r="EM244" i="229" s="1"/>
  <c r="AP262" i="229"/>
  <c r="H262" i="229"/>
  <c r="L262" i="229"/>
  <c r="I262" i="229"/>
  <c r="M262" i="229"/>
  <c r="J262" i="229"/>
  <c r="N262" i="229"/>
  <c r="O262" i="229"/>
  <c r="P262" i="229"/>
  <c r="Q262" i="229"/>
  <c r="R262" i="229"/>
  <c r="S262" i="229"/>
  <c r="T262" i="229"/>
  <c r="U262" i="229"/>
  <c r="V262" i="229"/>
  <c r="W262" i="229"/>
  <c r="X262" i="229"/>
  <c r="Y262" i="229"/>
  <c r="Z262" i="229"/>
  <c r="AA262" i="229"/>
  <c r="AB262" i="229"/>
  <c r="AC262" i="229"/>
  <c r="AD262" i="229"/>
  <c r="AE262" i="229"/>
  <c r="AF262" i="229"/>
  <c r="AG262" i="229"/>
  <c r="AH262" i="229"/>
  <c r="AI262" i="229"/>
  <c r="AJ262" i="229"/>
  <c r="AK262" i="229"/>
  <c r="AL262" i="229"/>
  <c r="AM262" i="229"/>
  <c r="AN262" i="229"/>
  <c r="AO262" i="229"/>
  <c r="EN220" i="229"/>
  <c r="EN87" i="229"/>
  <c r="EN89" i="229" s="1"/>
  <c r="EN239" i="229" s="1"/>
  <c r="EN201" i="229"/>
  <c r="B85" i="229"/>
  <c r="B86" i="229" s="1"/>
  <c r="EN162" i="229"/>
  <c r="EN163" i="229" s="1"/>
  <c r="EL107" i="229"/>
  <c r="EL203" i="229" s="1"/>
  <c r="EJ119" i="229"/>
  <c r="EM172" i="229"/>
  <c r="EL228" i="229"/>
  <c r="EL175" i="229"/>
  <c r="EL177" i="229" s="1"/>
  <c r="EL247" i="229" s="1"/>
  <c r="EM75" i="229" l="1"/>
  <c r="EM131" i="229"/>
  <c r="EM133" i="229" s="1"/>
  <c r="EM243" i="229" s="1"/>
  <c r="EM224" i="229"/>
  <c r="AO286" i="229" s="1"/>
  <c r="AO330" i="229" s="1"/>
  <c r="EL108" i="229"/>
  <c r="AP305" i="229"/>
  <c r="L305" i="229"/>
  <c r="M305" i="229"/>
  <c r="N305" i="229"/>
  <c r="O305" i="229"/>
  <c r="P305" i="229"/>
  <c r="Q305" i="229"/>
  <c r="R305" i="229"/>
  <c r="S305" i="229"/>
  <c r="T305" i="229"/>
  <c r="U305" i="229"/>
  <c r="V305" i="229"/>
  <c r="W305" i="229"/>
  <c r="X305" i="229"/>
  <c r="Y305" i="229"/>
  <c r="Z305" i="229"/>
  <c r="AA305" i="229"/>
  <c r="AB305" i="229"/>
  <c r="AC305" i="229"/>
  <c r="AD305" i="229"/>
  <c r="AE305" i="229"/>
  <c r="AF305" i="229"/>
  <c r="AG305" i="229"/>
  <c r="AH305" i="229"/>
  <c r="AI305" i="229"/>
  <c r="AJ305" i="229"/>
  <c r="AK305" i="229"/>
  <c r="AL305" i="229"/>
  <c r="AM305" i="229"/>
  <c r="AN305" i="229"/>
  <c r="AO305" i="229"/>
  <c r="AP261" i="229"/>
  <c r="M261" i="229"/>
  <c r="J261" i="229"/>
  <c r="N261" i="229"/>
  <c r="K261" i="229"/>
  <c r="K255" i="229" s="1"/>
  <c r="O261" i="229"/>
  <c r="P261" i="229"/>
  <c r="Q261" i="229"/>
  <c r="R261" i="229"/>
  <c r="S261" i="229"/>
  <c r="T261" i="229"/>
  <c r="U261" i="229"/>
  <c r="V261" i="229"/>
  <c r="W261" i="229"/>
  <c r="X261" i="229"/>
  <c r="Y261" i="229"/>
  <c r="Z261" i="229"/>
  <c r="AA261" i="229"/>
  <c r="AB261" i="229"/>
  <c r="AC261" i="229"/>
  <c r="AD261" i="229"/>
  <c r="AE261" i="229"/>
  <c r="AF261" i="229"/>
  <c r="AG261" i="229"/>
  <c r="AH261" i="229"/>
  <c r="AI261" i="229"/>
  <c r="AJ261" i="229"/>
  <c r="AK261" i="229"/>
  <c r="AL261" i="229"/>
  <c r="AM261" i="229"/>
  <c r="AN261" i="229"/>
  <c r="AO261" i="229"/>
  <c r="I260" i="229"/>
  <c r="L260" i="229"/>
  <c r="J260" i="229"/>
  <c r="M260" i="229"/>
  <c r="N260" i="229"/>
  <c r="O260" i="229"/>
  <c r="P260" i="229"/>
  <c r="Q260" i="229"/>
  <c r="R260" i="229"/>
  <c r="S260" i="229"/>
  <c r="T260" i="229"/>
  <c r="U260" i="229"/>
  <c r="V260" i="229"/>
  <c r="W260" i="229"/>
  <c r="X260" i="229"/>
  <c r="Y260" i="229"/>
  <c r="Z260" i="229"/>
  <c r="AA260" i="229"/>
  <c r="AB260" i="229"/>
  <c r="AC260" i="229"/>
  <c r="AD260" i="229"/>
  <c r="AE260" i="229"/>
  <c r="AF260" i="229"/>
  <c r="AG260" i="229"/>
  <c r="AH260" i="229"/>
  <c r="AI260" i="229"/>
  <c r="AJ260" i="229"/>
  <c r="AK260" i="229"/>
  <c r="AL260" i="229"/>
  <c r="AM260" i="229"/>
  <c r="AN260" i="229"/>
  <c r="AO260" i="229"/>
  <c r="EL185" i="229"/>
  <c r="EL152" i="229"/>
  <c r="EN129" i="229"/>
  <c r="EN130" i="229" s="1"/>
  <c r="EM173" i="229"/>
  <c r="EM209" i="229" s="1"/>
  <c r="EN208" i="229"/>
  <c r="B162" i="229"/>
  <c r="B163" i="229" s="1"/>
  <c r="EN206" i="229"/>
  <c r="B140" i="229"/>
  <c r="B141" i="229" s="1"/>
  <c r="EK117" i="229"/>
  <c r="EJ223" i="229"/>
  <c r="EJ120" i="229"/>
  <c r="EJ122" i="229" s="1"/>
  <c r="EJ242" i="229" s="1"/>
  <c r="EN227" i="229"/>
  <c r="EN164" i="229"/>
  <c r="EN166" i="229" s="1"/>
  <c r="EN246" i="229" s="1"/>
  <c r="EN225" i="229"/>
  <c r="EN142" i="229"/>
  <c r="EN144" i="229" s="1"/>
  <c r="EN244" i="229" s="1"/>
  <c r="AP304" i="229"/>
  <c r="M304" i="229"/>
  <c r="N304" i="229"/>
  <c r="O304" i="229"/>
  <c r="P304" i="229"/>
  <c r="Q304" i="229"/>
  <c r="R304" i="229"/>
  <c r="S304" i="229"/>
  <c r="T304" i="229"/>
  <c r="U304" i="229"/>
  <c r="V304" i="229"/>
  <c r="W304" i="229"/>
  <c r="X304" i="229"/>
  <c r="Y304" i="229"/>
  <c r="Z304" i="229"/>
  <c r="AA304" i="229"/>
  <c r="AB304" i="229"/>
  <c r="AC304" i="229"/>
  <c r="AD304" i="229"/>
  <c r="AE304" i="229"/>
  <c r="AF304" i="229"/>
  <c r="AG304" i="229"/>
  <c r="AH304" i="229"/>
  <c r="AI304" i="229"/>
  <c r="AJ304" i="229"/>
  <c r="AK304" i="229"/>
  <c r="AL304" i="229"/>
  <c r="AM304" i="229"/>
  <c r="AN304" i="229"/>
  <c r="AO304" i="229"/>
  <c r="EM106" i="229"/>
  <c r="EL222" i="229"/>
  <c r="EL109" i="229"/>
  <c r="EL111" i="229" s="1"/>
  <c r="EL241" i="229" s="1"/>
  <c r="L303" i="229"/>
  <c r="M303" i="229"/>
  <c r="N303" i="229"/>
  <c r="O303" i="229"/>
  <c r="P303" i="229"/>
  <c r="Q303" i="229"/>
  <c r="R303" i="229"/>
  <c r="S303" i="229"/>
  <c r="T303" i="229"/>
  <c r="U303" i="229"/>
  <c r="V303" i="229"/>
  <c r="W303" i="229"/>
  <c r="X303" i="229"/>
  <c r="Y303" i="229"/>
  <c r="Z303" i="229"/>
  <c r="AA303" i="229"/>
  <c r="AB303" i="229"/>
  <c r="AC303" i="229"/>
  <c r="AD303" i="229"/>
  <c r="AE303" i="229"/>
  <c r="AF303" i="229"/>
  <c r="AG303" i="229"/>
  <c r="AH303" i="229"/>
  <c r="AI303" i="229"/>
  <c r="AJ303" i="229"/>
  <c r="AK303" i="229"/>
  <c r="AL303" i="229"/>
  <c r="AM303" i="229"/>
  <c r="AN303" i="229"/>
  <c r="AK298" i="229" l="1"/>
  <c r="AC298" i="229"/>
  <c r="U298" i="229"/>
  <c r="N66" i="251" s="1"/>
  <c r="M298" i="229"/>
  <c r="F66" i="251" s="1"/>
  <c r="AJ298" i="229"/>
  <c r="AB298" i="229"/>
  <c r="T298" i="229"/>
  <c r="EM219" i="229"/>
  <c r="AO281" i="229" s="1"/>
  <c r="AO325" i="229" s="1"/>
  <c r="AO320" i="229" s="1"/>
  <c r="EN73" i="229"/>
  <c r="EN74" i="229" s="1"/>
  <c r="EM76" i="229"/>
  <c r="EM78" i="229" s="1"/>
  <c r="EM238" i="229" s="1"/>
  <c r="AO303" i="229" s="1"/>
  <c r="AO298" i="229" s="1"/>
  <c r="AM298" i="229"/>
  <c r="AE298" i="229"/>
  <c r="W298" i="229"/>
  <c r="P66" i="251" s="1"/>
  <c r="AH66" i="251" s="1"/>
  <c r="O298" i="229"/>
  <c r="H66" i="251" s="1"/>
  <c r="AF298" i="229"/>
  <c r="X298" i="229"/>
  <c r="Q66" i="251" s="1"/>
  <c r="AI66" i="251" s="1"/>
  <c r="P298" i="229"/>
  <c r="I66" i="251" s="1"/>
  <c r="AN298" i="229"/>
  <c r="AG298" i="229"/>
  <c r="Y298" i="229"/>
  <c r="R66" i="251" s="1"/>
  <c r="AJ66" i="251" s="1"/>
  <c r="Q298" i="229"/>
  <c r="J66" i="251" s="1"/>
  <c r="EM174" i="229"/>
  <c r="EM228" i="229" s="1"/>
  <c r="AO290" i="229" s="1"/>
  <c r="AO334" i="229" s="1"/>
  <c r="AL298" i="229"/>
  <c r="AD298" i="229"/>
  <c r="V298" i="229"/>
  <c r="O66" i="251" s="1"/>
  <c r="AG66" i="251" s="1"/>
  <c r="N298" i="229"/>
  <c r="G66" i="251" s="1"/>
  <c r="AH298" i="229"/>
  <c r="Z298" i="229"/>
  <c r="S66" i="251" s="1"/>
  <c r="AK66" i="251" s="1"/>
  <c r="R298" i="229"/>
  <c r="K66" i="251" s="1"/>
  <c r="EK118" i="229"/>
  <c r="EK204" i="229" s="1"/>
  <c r="EN205" i="229"/>
  <c r="B129" i="229"/>
  <c r="B130" i="229" s="1"/>
  <c r="AP309" i="229"/>
  <c r="L309" i="229"/>
  <c r="M309" i="229"/>
  <c r="N309" i="229"/>
  <c r="O309" i="229"/>
  <c r="P309" i="229"/>
  <c r="Q309" i="229"/>
  <c r="R309" i="229"/>
  <c r="S309" i="229"/>
  <c r="T309" i="229"/>
  <c r="U309" i="229"/>
  <c r="V309" i="229"/>
  <c r="W309" i="229"/>
  <c r="X309" i="229"/>
  <c r="Y309" i="229"/>
  <c r="Z309" i="229"/>
  <c r="AA309" i="229"/>
  <c r="AB309" i="229"/>
  <c r="AC309" i="229"/>
  <c r="AD309" i="229"/>
  <c r="AE309" i="229"/>
  <c r="AF309" i="229"/>
  <c r="AG309" i="229"/>
  <c r="AH309" i="229"/>
  <c r="AI309" i="229"/>
  <c r="AJ309" i="229"/>
  <c r="AK309" i="229"/>
  <c r="AL309" i="229"/>
  <c r="AM309" i="229"/>
  <c r="AN309" i="229"/>
  <c r="AO309" i="229"/>
  <c r="EN224" i="229"/>
  <c r="EN131" i="229"/>
  <c r="EN133" i="229" s="1"/>
  <c r="EN243" i="229" s="1"/>
  <c r="G26" i="259"/>
  <c r="G26" i="224"/>
  <c r="AP266" i="229"/>
  <c r="H266" i="229"/>
  <c r="I266" i="229"/>
  <c r="L266" i="229"/>
  <c r="J266" i="229"/>
  <c r="M266" i="229"/>
  <c r="N266" i="229"/>
  <c r="O266" i="229"/>
  <c r="P266" i="229"/>
  <c r="Q266" i="229"/>
  <c r="R266" i="229"/>
  <c r="S266" i="229"/>
  <c r="T266" i="229"/>
  <c r="U266" i="229"/>
  <c r="V266" i="229"/>
  <c r="W266" i="229"/>
  <c r="X266" i="229"/>
  <c r="Y266" i="229"/>
  <c r="Z266" i="229"/>
  <c r="AA266" i="229"/>
  <c r="AB266" i="229"/>
  <c r="AC266" i="229"/>
  <c r="AD266" i="229"/>
  <c r="AE266" i="229"/>
  <c r="AF266" i="229"/>
  <c r="AG266" i="229"/>
  <c r="AH266" i="229"/>
  <c r="AI266" i="229"/>
  <c r="AJ266" i="229"/>
  <c r="AK266" i="229"/>
  <c r="AL266" i="229"/>
  <c r="AM266" i="229"/>
  <c r="AN266" i="229"/>
  <c r="AO266" i="229"/>
  <c r="EL226" i="229"/>
  <c r="EM150" i="229"/>
  <c r="EL153" i="229"/>
  <c r="EL155" i="229" s="1"/>
  <c r="EL245" i="229" s="1"/>
  <c r="AP311" i="229"/>
  <c r="L311" i="229"/>
  <c r="M311" i="229"/>
  <c r="N311" i="229"/>
  <c r="O311" i="229"/>
  <c r="P311" i="229"/>
  <c r="Q311" i="229"/>
  <c r="R311" i="229"/>
  <c r="S311" i="229"/>
  <c r="T311" i="229"/>
  <c r="U311" i="229"/>
  <c r="V311" i="229"/>
  <c r="W311" i="229"/>
  <c r="X311" i="229"/>
  <c r="Y311" i="229"/>
  <c r="Z311" i="229"/>
  <c r="AA311" i="229"/>
  <c r="AB311" i="229"/>
  <c r="AC311" i="229"/>
  <c r="AD311" i="229"/>
  <c r="AE311" i="229"/>
  <c r="AF311" i="229"/>
  <c r="AG311" i="229"/>
  <c r="AH311" i="229"/>
  <c r="AI311" i="229"/>
  <c r="AJ311" i="229"/>
  <c r="AK311" i="229"/>
  <c r="AL311" i="229"/>
  <c r="AM311" i="229"/>
  <c r="AN311" i="229"/>
  <c r="AO311" i="229"/>
  <c r="EM183" i="229"/>
  <c r="EL229" i="229"/>
  <c r="EL186" i="229"/>
  <c r="EL188" i="229" s="1"/>
  <c r="EL248" i="229" s="1"/>
  <c r="EM107" i="229"/>
  <c r="EM203" i="229" s="1"/>
  <c r="AF66" i="251"/>
  <c r="AP268" i="229"/>
  <c r="H268" i="229"/>
  <c r="I268" i="229"/>
  <c r="L268" i="229"/>
  <c r="J268" i="229"/>
  <c r="M268" i="229"/>
  <c r="N268" i="229"/>
  <c r="O268" i="229"/>
  <c r="P268" i="229"/>
  <c r="Q268" i="229"/>
  <c r="R268" i="229"/>
  <c r="S268" i="229"/>
  <c r="T268" i="229"/>
  <c r="U268" i="229"/>
  <c r="V268" i="229"/>
  <c r="W268" i="229"/>
  <c r="X268" i="229"/>
  <c r="Y268" i="229"/>
  <c r="Z268" i="229"/>
  <c r="AA268" i="229"/>
  <c r="AB268" i="229"/>
  <c r="AC268" i="229"/>
  <c r="AD268" i="229"/>
  <c r="AE268" i="229"/>
  <c r="AF268" i="229"/>
  <c r="AG268" i="229"/>
  <c r="AH268" i="229"/>
  <c r="AI268" i="229"/>
  <c r="AJ268" i="229"/>
  <c r="AK268" i="229"/>
  <c r="AL268" i="229"/>
  <c r="AM268" i="229"/>
  <c r="AN268" i="229"/>
  <c r="AO268" i="229"/>
  <c r="M66" i="251"/>
  <c r="L298" i="229"/>
  <c r="AI298" i="229"/>
  <c r="AA298" i="229"/>
  <c r="T66" i="251" s="1"/>
  <c r="S298" i="229"/>
  <c r="EN75" i="229" l="1"/>
  <c r="EN200" i="229"/>
  <c r="AP260" i="229" s="1"/>
  <c r="B74" i="229"/>
  <c r="B75" i="229" s="1"/>
  <c r="EM175" i="229"/>
  <c r="EM177" i="229" s="1"/>
  <c r="EM247" i="229" s="1"/>
  <c r="EN172" i="229"/>
  <c r="EN173" i="229" s="1"/>
  <c r="EK119" i="229"/>
  <c r="AB66" i="251"/>
  <c r="AL66" i="251"/>
  <c r="EM108" i="229"/>
  <c r="Z66" i="251"/>
  <c r="AE66" i="251"/>
  <c r="AC66" i="251"/>
  <c r="AA66" i="251"/>
  <c r="X66" i="251"/>
  <c r="Y66" i="251"/>
  <c r="EM151" i="229"/>
  <c r="EM207" i="229" s="1"/>
  <c r="G104" i="224"/>
  <c r="AP265" i="229"/>
  <c r="L265" i="229"/>
  <c r="M265" i="229"/>
  <c r="J265" i="229"/>
  <c r="N265" i="229"/>
  <c r="O265" i="229"/>
  <c r="P265" i="229"/>
  <c r="Q265" i="229"/>
  <c r="R265" i="229"/>
  <c r="S265" i="229"/>
  <c r="T265" i="229"/>
  <c r="U265" i="229"/>
  <c r="V265" i="229"/>
  <c r="W265" i="229"/>
  <c r="X265" i="229"/>
  <c r="Y265" i="229"/>
  <c r="Z265" i="229"/>
  <c r="AA265" i="229"/>
  <c r="AB265" i="229"/>
  <c r="AC265" i="229"/>
  <c r="AD265" i="229"/>
  <c r="AE265" i="229"/>
  <c r="AF265" i="229"/>
  <c r="AG265" i="229"/>
  <c r="AH265" i="229"/>
  <c r="AI265" i="229"/>
  <c r="AJ265" i="229"/>
  <c r="AK265" i="229"/>
  <c r="AL265" i="229"/>
  <c r="AM265" i="229"/>
  <c r="AN265" i="229"/>
  <c r="AO265" i="229"/>
  <c r="G104" i="259"/>
  <c r="EL117" i="229"/>
  <c r="EK223" i="229"/>
  <c r="EK120" i="229"/>
  <c r="EK122" i="229" s="1"/>
  <c r="EK242" i="229" s="1"/>
  <c r="AP308" i="229"/>
  <c r="L308" i="229"/>
  <c r="M308" i="229"/>
  <c r="N308" i="229"/>
  <c r="O308" i="229"/>
  <c r="P308" i="229"/>
  <c r="Q308" i="229"/>
  <c r="R308" i="229"/>
  <c r="S308" i="229"/>
  <c r="T308" i="229"/>
  <c r="U308" i="229"/>
  <c r="V308" i="229"/>
  <c r="W308" i="229"/>
  <c r="X308" i="229"/>
  <c r="Y308" i="229"/>
  <c r="Z308" i="229"/>
  <c r="AA308" i="229"/>
  <c r="AB308" i="229"/>
  <c r="AC308" i="229"/>
  <c r="AD308" i="229"/>
  <c r="AE308" i="229"/>
  <c r="AF308" i="229"/>
  <c r="AG308" i="229"/>
  <c r="AH308" i="229"/>
  <c r="AI308" i="229"/>
  <c r="AJ308" i="229"/>
  <c r="AK308" i="229"/>
  <c r="AL308" i="229"/>
  <c r="AM308" i="229"/>
  <c r="AN308" i="229"/>
  <c r="AO308" i="229"/>
  <c r="EM184" i="229"/>
  <c r="EM210" i="229" s="1"/>
  <c r="L66" i="251"/>
  <c r="E66" i="251"/>
  <c r="EN219" i="229" l="1"/>
  <c r="EN76" i="229"/>
  <c r="EN78" i="229" s="1"/>
  <c r="EN238" i="229" s="1"/>
  <c r="AP303" i="229" s="1"/>
  <c r="AP298" i="229" s="1"/>
  <c r="EN209" i="229"/>
  <c r="B173" i="229"/>
  <c r="B174" i="229" s="1"/>
  <c r="W66" i="251"/>
  <c r="EL118" i="229"/>
  <c r="EL204" i="229" s="1"/>
  <c r="EN174" i="229"/>
  <c r="EN106" i="229"/>
  <c r="EM222" i="229"/>
  <c r="AO284" i="229" s="1"/>
  <c r="AO328" i="229" s="1"/>
  <c r="EM109" i="229"/>
  <c r="EM111" i="229" s="1"/>
  <c r="EM241" i="229" s="1"/>
  <c r="AD66" i="251"/>
  <c r="EM185" i="229"/>
  <c r="EM152" i="229"/>
  <c r="EL119" i="229" l="1"/>
  <c r="EL223" i="229" s="1"/>
  <c r="EN228" i="229"/>
  <c r="EN175" i="229"/>
  <c r="EN177" i="229" s="1"/>
  <c r="EN247" i="229" s="1"/>
  <c r="EN107" i="229"/>
  <c r="EN108" i="229" s="1"/>
  <c r="EM226" i="229"/>
  <c r="AO288" i="229" s="1"/>
  <c r="AO332" i="229" s="1"/>
  <c r="EN150" i="229"/>
  <c r="EM153" i="229"/>
  <c r="EM155" i="229" s="1"/>
  <c r="EM245" i="229" s="1"/>
  <c r="AP269" i="229"/>
  <c r="H269" i="229"/>
  <c r="I269" i="229"/>
  <c r="L269" i="229"/>
  <c r="J269" i="229"/>
  <c r="M269" i="229"/>
  <c r="N269" i="229"/>
  <c r="O269" i="229"/>
  <c r="P269" i="229"/>
  <c r="Q269" i="229"/>
  <c r="R269" i="229"/>
  <c r="S269" i="229"/>
  <c r="T269" i="229"/>
  <c r="U269" i="229"/>
  <c r="V269" i="229"/>
  <c r="W269" i="229"/>
  <c r="X269" i="229"/>
  <c r="Y269" i="229"/>
  <c r="Z269" i="229"/>
  <c r="AA269" i="229"/>
  <c r="AB269" i="229"/>
  <c r="AC269" i="229"/>
  <c r="AD269" i="229"/>
  <c r="AE269" i="229"/>
  <c r="AF269" i="229"/>
  <c r="AG269" i="229"/>
  <c r="AH269" i="229"/>
  <c r="AI269" i="229"/>
  <c r="AJ269" i="229"/>
  <c r="AK269" i="229"/>
  <c r="AL269" i="229"/>
  <c r="AM269" i="229"/>
  <c r="AN269" i="229"/>
  <c r="AO269" i="229"/>
  <c r="EN183" i="229"/>
  <c r="EM229" i="229"/>
  <c r="AO291" i="229" s="1"/>
  <c r="AO335" i="229" s="1"/>
  <c r="EM186" i="229"/>
  <c r="EM188" i="229" s="1"/>
  <c r="EM248" i="229" s="1"/>
  <c r="EM117" i="229" l="1"/>
  <c r="EL120" i="229"/>
  <c r="EL122" i="229" s="1"/>
  <c r="EL242" i="229" s="1"/>
  <c r="EN222" i="229"/>
  <c r="EN109" i="229"/>
  <c r="EN111" i="229" s="1"/>
  <c r="EN241" i="229" s="1"/>
  <c r="AP312" i="229"/>
  <c r="L312" i="229"/>
  <c r="M312" i="229"/>
  <c r="N312" i="229"/>
  <c r="O312" i="229"/>
  <c r="P312" i="229"/>
  <c r="Q312" i="229"/>
  <c r="R312" i="229"/>
  <c r="S312" i="229"/>
  <c r="T312" i="229"/>
  <c r="U312" i="229"/>
  <c r="V312" i="229"/>
  <c r="W312" i="229"/>
  <c r="X312" i="229"/>
  <c r="Y312" i="229"/>
  <c r="Z312" i="229"/>
  <c r="AA312" i="229"/>
  <c r="AB312" i="229"/>
  <c r="AC312" i="229"/>
  <c r="AD312" i="229"/>
  <c r="AE312" i="229"/>
  <c r="AF312" i="229"/>
  <c r="AG312" i="229"/>
  <c r="AH312" i="229"/>
  <c r="AI312" i="229"/>
  <c r="AJ312" i="229"/>
  <c r="AK312" i="229"/>
  <c r="AL312" i="229"/>
  <c r="AM312" i="229"/>
  <c r="AN312" i="229"/>
  <c r="AO312" i="229"/>
  <c r="EN203" i="229"/>
  <c r="B107" i="229"/>
  <c r="B108" i="229" s="1"/>
  <c r="EM118" i="229"/>
  <c r="EM204" i="229" s="1"/>
  <c r="EN184" i="229"/>
  <c r="EN151" i="229"/>
  <c r="EN152" i="229" s="1"/>
  <c r="EM119" i="229" l="1"/>
  <c r="EM120" i="229" s="1"/>
  <c r="EM122" i="229" s="1"/>
  <c r="EM242" i="229" s="1"/>
  <c r="EN226" i="229"/>
  <c r="EN153" i="229"/>
  <c r="EN155" i="229" s="1"/>
  <c r="EN245" i="229" s="1"/>
  <c r="EN210" i="229"/>
  <c r="B184" i="229"/>
  <c r="B185" i="229" s="1"/>
  <c r="EN185" i="229"/>
  <c r="AP263" i="229"/>
  <c r="I263" i="229"/>
  <c r="L263" i="229"/>
  <c r="J263" i="229"/>
  <c r="M263" i="229"/>
  <c r="N263" i="229"/>
  <c r="O263" i="229"/>
  <c r="P263" i="229"/>
  <c r="Q263" i="229"/>
  <c r="R263" i="229"/>
  <c r="S263" i="229"/>
  <c r="T263" i="229"/>
  <c r="U263" i="229"/>
  <c r="V263" i="229"/>
  <c r="W263" i="229"/>
  <c r="X263" i="229"/>
  <c r="Y263" i="229"/>
  <c r="Z263" i="229"/>
  <c r="AA263" i="229"/>
  <c r="AB263" i="229"/>
  <c r="AC263" i="229"/>
  <c r="AD263" i="229"/>
  <c r="AE263" i="229"/>
  <c r="AF263" i="229"/>
  <c r="AG263" i="229"/>
  <c r="AH263" i="229"/>
  <c r="AI263" i="229"/>
  <c r="AJ263" i="229"/>
  <c r="AK263" i="229"/>
  <c r="AL263" i="229"/>
  <c r="AM263" i="229"/>
  <c r="AN263" i="229"/>
  <c r="AO263" i="229"/>
  <c r="EM223" i="229"/>
  <c r="AO285" i="229" s="1"/>
  <c r="AO329" i="229" s="1"/>
  <c r="AO336" i="229" s="1"/>
  <c r="AP306" i="229"/>
  <c r="L306" i="229"/>
  <c r="M306" i="229"/>
  <c r="N306" i="229"/>
  <c r="O306" i="229"/>
  <c r="P306" i="229"/>
  <c r="Q306" i="229"/>
  <c r="R306" i="229"/>
  <c r="S306" i="229"/>
  <c r="T306" i="229"/>
  <c r="U306" i="229"/>
  <c r="V306" i="229"/>
  <c r="W306" i="229"/>
  <c r="X306" i="229"/>
  <c r="Y306" i="229"/>
  <c r="Z306" i="229"/>
  <c r="AA306" i="229"/>
  <c r="AB306" i="229"/>
  <c r="AC306" i="229"/>
  <c r="AD306" i="229"/>
  <c r="AE306" i="229"/>
  <c r="AF306" i="229"/>
  <c r="AG306" i="229"/>
  <c r="AH306" i="229"/>
  <c r="AI306" i="229"/>
  <c r="AJ306" i="229"/>
  <c r="AK306" i="229"/>
  <c r="AL306" i="229"/>
  <c r="AM306" i="229"/>
  <c r="AN306" i="229"/>
  <c r="AO306" i="229"/>
  <c r="EN207" i="229"/>
  <c r="B151" i="229"/>
  <c r="B152" i="229" s="1"/>
  <c r="EN117" i="229" l="1"/>
  <c r="AP267" i="229"/>
  <c r="I267" i="229"/>
  <c r="L267" i="229"/>
  <c r="J267" i="229"/>
  <c r="M267" i="229"/>
  <c r="N267" i="229"/>
  <c r="O267" i="229"/>
  <c r="P267" i="229"/>
  <c r="Q267" i="229"/>
  <c r="R267" i="229"/>
  <c r="S267" i="229"/>
  <c r="T267" i="229"/>
  <c r="U267" i="229"/>
  <c r="V267" i="229"/>
  <c r="W267" i="229"/>
  <c r="X267" i="229"/>
  <c r="Y267" i="229"/>
  <c r="Z267" i="229"/>
  <c r="AA267" i="229"/>
  <c r="AB267" i="229"/>
  <c r="AC267" i="229"/>
  <c r="AD267" i="229"/>
  <c r="AE267" i="229"/>
  <c r="AF267" i="229"/>
  <c r="AG267" i="229"/>
  <c r="AH267" i="229"/>
  <c r="AI267" i="229"/>
  <c r="AJ267" i="229"/>
  <c r="AK267" i="229"/>
  <c r="AL267" i="229"/>
  <c r="AM267" i="229"/>
  <c r="AN267" i="229"/>
  <c r="AO267" i="229"/>
  <c r="EN118" i="229"/>
  <c r="EN119" i="229" s="1"/>
  <c r="AP270" i="229"/>
  <c r="I270" i="229"/>
  <c r="L270" i="229"/>
  <c r="J270" i="229"/>
  <c r="M270" i="229"/>
  <c r="N270" i="229"/>
  <c r="O270" i="229"/>
  <c r="P270" i="229"/>
  <c r="Q270" i="229"/>
  <c r="R270" i="229"/>
  <c r="S270" i="229"/>
  <c r="T270" i="229"/>
  <c r="U270" i="229"/>
  <c r="V270" i="229"/>
  <c r="W270" i="229"/>
  <c r="X270" i="229"/>
  <c r="Y270" i="229"/>
  <c r="Z270" i="229"/>
  <c r="AA270" i="229"/>
  <c r="AB270" i="229"/>
  <c r="AC270" i="229"/>
  <c r="AD270" i="229"/>
  <c r="AE270" i="229"/>
  <c r="AF270" i="229"/>
  <c r="AG270" i="229"/>
  <c r="AH270" i="229"/>
  <c r="AI270" i="229"/>
  <c r="AJ270" i="229"/>
  <c r="AK270" i="229"/>
  <c r="AL270" i="229"/>
  <c r="AM270" i="229"/>
  <c r="AN270" i="229"/>
  <c r="AO270" i="229"/>
  <c r="EN229" i="229"/>
  <c r="EN186" i="229"/>
  <c r="EN188" i="229" s="1"/>
  <c r="EN248" i="229" s="1"/>
  <c r="AP310" i="229"/>
  <c r="L310" i="229"/>
  <c r="M310" i="229"/>
  <c r="N310" i="229"/>
  <c r="O310" i="229"/>
  <c r="P310" i="229"/>
  <c r="Q310" i="229"/>
  <c r="R310" i="229"/>
  <c r="S310" i="229"/>
  <c r="T310" i="229"/>
  <c r="U310" i="229"/>
  <c r="V310" i="229"/>
  <c r="W310" i="229"/>
  <c r="X310" i="229"/>
  <c r="Y310" i="229"/>
  <c r="Z310" i="229"/>
  <c r="AA310" i="229"/>
  <c r="AB310" i="229"/>
  <c r="AC310" i="229"/>
  <c r="AD310" i="229"/>
  <c r="AE310" i="229"/>
  <c r="AF310" i="229"/>
  <c r="AG310" i="229"/>
  <c r="AH310" i="229"/>
  <c r="AI310" i="229"/>
  <c r="AJ310" i="229"/>
  <c r="AK310" i="229"/>
  <c r="AL310" i="229"/>
  <c r="AM310" i="229"/>
  <c r="AN310" i="229"/>
  <c r="AO310" i="229"/>
  <c r="EN204" i="229" l="1"/>
  <c r="B118" i="229"/>
  <c r="B119" i="229" s="1"/>
  <c r="AP313" i="229"/>
  <c r="L313" i="229"/>
  <c r="M313" i="229"/>
  <c r="N313" i="229"/>
  <c r="O313" i="229"/>
  <c r="P313" i="229"/>
  <c r="Q313" i="229"/>
  <c r="R313" i="229"/>
  <c r="S313" i="229"/>
  <c r="T313" i="229"/>
  <c r="U313" i="229"/>
  <c r="V313" i="229"/>
  <c r="W313" i="229"/>
  <c r="X313" i="229"/>
  <c r="Y313" i="229"/>
  <c r="Z313" i="229"/>
  <c r="AA313" i="229"/>
  <c r="AB313" i="229"/>
  <c r="AC313" i="229"/>
  <c r="AD313" i="229"/>
  <c r="AE313" i="229"/>
  <c r="AF313" i="229"/>
  <c r="AG313" i="229"/>
  <c r="AH313" i="229"/>
  <c r="AI313" i="229"/>
  <c r="AJ313" i="229"/>
  <c r="AK313" i="229"/>
  <c r="AL313" i="229"/>
  <c r="AM313" i="229"/>
  <c r="AN313" i="229"/>
  <c r="AO313" i="229"/>
  <c r="EN223" i="229"/>
  <c r="EN120" i="229"/>
  <c r="EN122" i="229" s="1"/>
  <c r="EN242" i="229" s="1"/>
  <c r="AP264" i="229" l="1"/>
  <c r="AP255" i="229" s="1"/>
  <c r="H264" i="229"/>
  <c r="H255" i="229" s="1"/>
  <c r="I264" i="229"/>
  <c r="I255" i="229" s="1"/>
  <c r="L264" i="229"/>
  <c r="L255" i="229" s="1"/>
  <c r="M264" i="229"/>
  <c r="M255" i="229" s="1"/>
  <c r="J264" i="229"/>
  <c r="J255" i="229" s="1"/>
  <c r="N264" i="229"/>
  <c r="N255" i="229" s="1"/>
  <c r="O264" i="229"/>
  <c r="O255" i="229" s="1"/>
  <c r="P264" i="229"/>
  <c r="P255" i="229" s="1"/>
  <c r="Q264" i="229"/>
  <c r="Q255" i="229" s="1"/>
  <c r="R264" i="229"/>
  <c r="R255" i="229" s="1"/>
  <c r="S264" i="229"/>
  <c r="S255" i="229" s="1"/>
  <c r="T264" i="229"/>
  <c r="T255" i="229" s="1"/>
  <c r="U264" i="229"/>
  <c r="U255" i="229" s="1"/>
  <c r="V264" i="229"/>
  <c r="V255" i="229" s="1"/>
  <c r="W264" i="229"/>
  <c r="W255" i="229" s="1"/>
  <c r="X264" i="229"/>
  <c r="X255" i="229" s="1"/>
  <c r="Y264" i="229"/>
  <c r="Y255" i="229" s="1"/>
  <c r="Z264" i="229"/>
  <c r="Z255" i="229" s="1"/>
  <c r="AA264" i="229"/>
  <c r="AA255" i="229" s="1"/>
  <c r="AB264" i="229"/>
  <c r="AB255" i="229" s="1"/>
  <c r="AC264" i="229"/>
  <c r="AC255" i="229" s="1"/>
  <c r="AD264" i="229"/>
  <c r="AD255" i="229" s="1"/>
  <c r="AE264" i="229"/>
  <c r="AE255" i="229" s="1"/>
  <c r="AF264" i="229"/>
  <c r="AF255" i="229" s="1"/>
  <c r="AG264" i="229"/>
  <c r="AG255" i="229" s="1"/>
  <c r="AH264" i="229"/>
  <c r="AH255" i="229" s="1"/>
  <c r="AI264" i="229"/>
  <c r="AI255" i="229" s="1"/>
  <c r="AJ264" i="229"/>
  <c r="AJ255" i="229" s="1"/>
  <c r="AK264" i="229"/>
  <c r="AK255" i="229" s="1"/>
  <c r="AL264" i="229"/>
  <c r="AL255" i="229" s="1"/>
  <c r="AM264" i="229"/>
  <c r="AM255" i="229" s="1"/>
  <c r="AN264" i="229"/>
  <c r="AN255" i="229" s="1"/>
  <c r="AO264" i="229"/>
  <c r="AO255" i="229" s="1"/>
  <c r="AP307" i="229"/>
  <c r="AP314" i="229" s="1"/>
  <c r="L307" i="229"/>
  <c r="L314" i="229" s="1"/>
  <c r="M307" i="229"/>
  <c r="M314" i="229" s="1"/>
  <c r="N307" i="229"/>
  <c r="N314" i="229" s="1"/>
  <c r="O307" i="229"/>
  <c r="O314" i="229" s="1"/>
  <c r="P307" i="229"/>
  <c r="P314" i="229" s="1"/>
  <c r="Q307" i="229"/>
  <c r="Q314" i="229" s="1"/>
  <c r="R307" i="229"/>
  <c r="R314" i="229" s="1"/>
  <c r="S307" i="229"/>
  <c r="S314" i="229" s="1"/>
  <c r="T307" i="229"/>
  <c r="T314" i="229" s="1"/>
  <c r="U307" i="229"/>
  <c r="U314" i="229" s="1"/>
  <c r="Q21" i="224" s="1"/>
  <c r="V307" i="229"/>
  <c r="V314" i="229" s="1"/>
  <c r="R21" i="224" s="1"/>
  <c r="W307" i="229"/>
  <c r="W314" i="229" s="1"/>
  <c r="S21" i="224" s="1"/>
  <c r="X307" i="229"/>
  <c r="X314" i="229" s="1"/>
  <c r="T21" i="224" s="1"/>
  <c r="Y307" i="229"/>
  <c r="Y314" i="229" s="1"/>
  <c r="Z307" i="229"/>
  <c r="Z314" i="229" s="1"/>
  <c r="AA307" i="229"/>
  <c r="AA314" i="229" s="1"/>
  <c r="AB307" i="229"/>
  <c r="AB314" i="229" s="1"/>
  <c r="AC307" i="229"/>
  <c r="AC314" i="229" s="1"/>
  <c r="AD307" i="229"/>
  <c r="AD314" i="229" s="1"/>
  <c r="AE307" i="229"/>
  <c r="AE314" i="229" s="1"/>
  <c r="AF307" i="229"/>
  <c r="AF314" i="229" s="1"/>
  <c r="AG307" i="229"/>
  <c r="AG314" i="229" s="1"/>
  <c r="AH307" i="229"/>
  <c r="AH314" i="229" s="1"/>
  <c r="AI307" i="229"/>
  <c r="AI314" i="229" s="1"/>
  <c r="AJ307" i="229"/>
  <c r="AJ314" i="229" s="1"/>
  <c r="AK307" i="229"/>
  <c r="AK314" i="229" s="1"/>
  <c r="AL307" i="229"/>
  <c r="AL314" i="229" s="1"/>
  <c r="AM307" i="229"/>
  <c r="AM314" i="229" s="1"/>
  <c r="AN307" i="229"/>
  <c r="AN314" i="229" s="1"/>
  <c r="AO307" i="229"/>
  <c r="AO314" i="229" s="1"/>
  <c r="L21" i="224" l="1"/>
  <c r="M33" i="261"/>
  <c r="M50" i="261" s="1"/>
  <c r="S21" i="259"/>
  <c r="S23" i="259" s="1"/>
  <c r="S23" i="224"/>
  <c r="K21" i="224"/>
  <c r="L33" i="261"/>
  <c r="L50" i="261" s="1"/>
  <c r="R26" i="259"/>
  <c r="R104" i="259" s="1"/>
  <c r="R26" i="224"/>
  <c r="R104" i="224" s="1"/>
  <c r="J26" i="259"/>
  <c r="J104" i="259" s="1"/>
  <c r="J26" i="224"/>
  <c r="J104" i="224" s="1"/>
  <c r="R21" i="259"/>
  <c r="R23" i="259" s="1"/>
  <c r="R23" i="224"/>
  <c r="J21" i="224"/>
  <c r="K33" i="261"/>
  <c r="K50" i="261" s="1"/>
  <c r="Q26" i="259"/>
  <c r="Q104" i="259" s="1"/>
  <c r="Q26" i="224"/>
  <c r="Q104" i="224" s="1"/>
  <c r="F26" i="259"/>
  <c r="F26" i="224"/>
  <c r="Q21" i="259"/>
  <c r="Q23" i="259" s="1"/>
  <c r="Q23" i="224"/>
  <c r="I21" i="224"/>
  <c r="J33" i="261"/>
  <c r="J50" i="261" s="1"/>
  <c r="P26" i="259"/>
  <c r="P104" i="259" s="1"/>
  <c r="P26" i="224"/>
  <c r="P104" i="224" s="1"/>
  <c r="I26" i="259"/>
  <c r="I104" i="259" s="1"/>
  <c r="I26" i="224"/>
  <c r="I104" i="224" s="1"/>
  <c r="K26" i="259"/>
  <c r="K104" i="259" s="1"/>
  <c r="K26" i="224"/>
  <c r="K104" i="224" s="1"/>
  <c r="P21" i="224"/>
  <c r="Q33" i="261"/>
  <c r="Q50" i="261" s="1"/>
  <c r="H21" i="224"/>
  <c r="I33" i="261"/>
  <c r="O26" i="259"/>
  <c r="O104" i="259" s="1"/>
  <c r="O26" i="224"/>
  <c r="O104" i="224" s="1"/>
  <c r="H26" i="259"/>
  <c r="H104" i="259" s="1"/>
  <c r="H26" i="224"/>
  <c r="H104" i="224" s="1"/>
  <c r="S26" i="259"/>
  <c r="S104" i="259" s="1"/>
  <c r="S26" i="224"/>
  <c r="S104" i="224" s="1"/>
  <c r="O21" i="224"/>
  <c r="P33" i="261"/>
  <c r="P50" i="261" s="1"/>
  <c r="N26" i="259"/>
  <c r="N104" i="259" s="1"/>
  <c r="N26" i="224"/>
  <c r="N104" i="224" s="1"/>
  <c r="E26" i="259"/>
  <c r="E26" i="224"/>
  <c r="T21" i="259"/>
  <c r="T23" i="259" s="1"/>
  <c r="T23" i="224"/>
  <c r="E297" i="229"/>
  <c r="N21" i="224"/>
  <c r="O33" i="261"/>
  <c r="O50" i="261" s="1"/>
  <c r="M26" i="259"/>
  <c r="M104" i="259" s="1"/>
  <c r="M26" i="224"/>
  <c r="M104" i="224" s="1"/>
  <c r="D26" i="259"/>
  <c r="D26" i="224"/>
  <c r="E254" i="229"/>
  <c r="M21" i="224"/>
  <c r="N33" i="261"/>
  <c r="N50" i="261" s="1"/>
  <c r="T26" i="259"/>
  <c r="T104" i="259" s="1"/>
  <c r="T26" i="224"/>
  <c r="T104" i="224" s="1"/>
  <c r="L26" i="259"/>
  <c r="L104" i="259" s="1"/>
  <c r="L26" i="224"/>
  <c r="L104" i="224" s="1"/>
  <c r="O21" i="259" l="1"/>
  <c r="O23" i="259" s="1"/>
  <c r="O23" i="224"/>
  <c r="H21" i="259"/>
  <c r="H23" i="259" s="1"/>
  <c r="H23" i="224"/>
  <c r="M21" i="259"/>
  <c r="M23" i="259" s="1"/>
  <c r="M23" i="224"/>
  <c r="C26" i="224"/>
  <c r="D104" i="224"/>
  <c r="D106" i="224" s="1"/>
  <c r="D107" i="224" s="1"/>
  <c r="D28" i="224"/>
  <c r="D29" i="224" s="1"/>
  <c r="P21" i="259"/>
  <c r="P23" i="259" s="1"/>
  <c r="P23" i="224"/>
  <c r="I21" i="259"/>
  <c r="I23" i="259" s="1"/>
  <c r="I23" i="224"/>
  <c r="J21" i="259"/>
  <c r="J23" i="259" s="1"/>
  <c r="J23" i="224"/>
  <c r="K21" i="259"/>
  <c r="K23" i="259" s="1"/>
  <c r="K23" i="224"/>
  <c r="I50" i="261"/>
  <c r="R33" i="261"/>
  <c r="D104" i="259"/>
  <c r="D106" i="259" s="1"/>
  <c r="D107" i="259" s="1"/>
  <c r="C26" i="259"/>
  <c r="D28" i="259"/>
  <c r="D29" i="259" s="1"/>
  <c r="E104" i="224"/>
  <c r="E106" i="224" s="1"/>
  <c r="E107" i="224" s="1"/>
  <c r="E28" i="224"/>
  <c r="E29" i="224" s="1"/>
  <c r="E104" i="259"/>
  <c r="E106" i="259" s="1"/>
  <c r="E107" i="259" s="1"/>
  <c r="E28" i="259"/>
  <c r="E29" i="259" s="1"/>
  <c r="F104" i="224"/>
  <c r="F106" i="224" s="1"/>
  <c r="F28" i="224"/>
  <c r="N21" i="259"/>
  <c r="N23" i="259" s="1"/>
  <c r="N23" i="224"/>
  <c r="F104" i="259"/>
  <c r="F106" i="259" s="1"/>
  <c r="F28" i="259"/>
  <c r="L21" i="259"/>
  <c r="L23" i="259" s="1"/>
  <c r="L23" i="224"/>
  <c r="E30" i="224" l="1"/>
  <c r="E32" i="224" s="1"/>
  <c r="E34" i="224" s="1"/>
  <c r="E30" i="259"/>
  <c r="E32" i="259" s="1"/>
  <c r="E34" i="259" s="1"/>
  <c r="E35" i="259" s="1"/>
  <c r="E108" i="224"/>
  <c r="E110" i="224" s="1"/>
  <c r="E112" i="224" s="1"/>
  <c r="E113" i="224" s="1"/>
  <c r="E119" i="224" s="1"/>
  <c r="E108" i="259"/>
  <c r="E110" i="259" s="1"/>
  <c r="E112" i="259" s="1"/>
  <c r="E113" i="259" s="1"/>
  <c r="E119" i="259" s="1"/>
  <c r="C23" i="224"/>
  <c r="A23" i="224" s="1"/>
  <c r="V23" i="224"/>
  <c r="D41" i="260" s="1"/>
  <c r="I41" i="260" s="1"/>
  <c r="C23" i="259"/>
  <c r="T50" i="261"/>
  <c r="E31" i="224" l="1"/>
  <c r="F29" i="224" s="1"/>
  <c r="F30" i="224" s="1"/>
  <c r="F32" i="224" s="1"/>
  <c r="F34" i="224" s="1"/>
  <c r="E31" i="259"/>
  <c r="F29" i="259" s="1"/>
  <c r="F30" i="259" s="1"/>
  <c r="F32" i="259" s="1"/>
  <c r="F34" i="259" s="1"/>
  <c r="F35" i="259" s="1"/>
  <c r="E109" i="259"/>
  <c r="F107" i="259" s="1"/>
  <c r="F108" i="259" s="1"/>
  <c r="F110" i="259" s="1"/>
  <c r="F112" i="259" s="1"/>
  <c r="F113" i="259" s="1"/>
  <c r="F119" i="259" s="1"/>
  <c r="E109" i="224"/>
  <c r="F107" i="224" s="1"/>
  <c r="F108" i="224" s="1"/>
  <c r="F110" i="224" s="1"/>
  <c r="F112" i="224" s="1"/>
  <c r="F113" i="224" s="1"/>
  <c r="F119" i="224" s="1"/>
  <c r="E124" i="259"/>
  <c r="E137" i="259"/>
  <c r="E120" i="259"/>
  <c r="E129" i="259"/>
  <c r="E137" i="224"/>
  <c r="E124" i="224"/>
  <c r="E129" i="224"/>
  <c r="E120" i="224"/>
  <c r="E40" i="259"/>
  <c r="E195" i="259"/>
  <c r="E198" i="259" s="1"/>
  <c r="F29" i="261"/>
  <c r="E35" i="224"/>
  <c r="F31" i="259" l="1"/>
  <c r="F109" i="224"/>
  <c r="F195" i="259"/>
  <c r="F198" i="259" s="1"/>
  <c r="F40" i="259"/>
  <c r="F129" i="224"/>
  <c r="E138" i="224"/>
  <c r="E125" i="224"/>
  <c r="E130" i="224"/>
  <c r="F129" i="259"/>
  <c r="F124" i="224"/>
  <c r="F137" i="224"/>
  <c r="F120" i="224"/>
  <c r="F109" i="259"/>
  <c r="E40" i="224"/>
  <c r="E42" i="224" s="1"/>
  <c r="E194" i="224"/>
  <c r="E197" i="224" s="1"/>
  <c r="F124" i="259"/>
  <c r="F137" i="259"/>
  <c r="F120" i="259"/>
  <c r="F130" i="259" s="1"/>
  <c r="E133" i="224"/>
  <c r="E130" i="259"/>
  <c r="E138" i="259"/>
  <c r="E125" i="259"/>
  <c r="F30" i="261"/>
  <c r="F44" i="261" s="1"/>
  <c r="F31" i="224"/>
  <c r="E42" i="259"/>
  <c r="E46" i="259" s="1"/>
  <c r="G29" i="261"/>
  <c r="F35" i="224"/>
  <c r="E133" i="259"/>
  <c r="F49" i="261" l="1"/>
  <c r="F48" i="261" s="1"/>
  <c r="E63" i="259"/>
  <c r="F138" i="224"/>
  <c r="F125" i="224"/>
  <c r="F134" i="224" s="1"/>
  <c r="F43" i="261"/>
  <c r="F133" i="224"/>
  <c r="F130" i="224"/>
  <c r="G30" i="261"/>
  <c r="G44" i="261" s="1"/>
  <c r="G43" i="261" s="1"/>
  <c r="E134" i="224"/>
  <c r="E47" i="259"/>
  <c r="E48" i="259" s="1"/>
  <c r="F42" i="259" s="1"/>
  <c r="F133" i="259"/>
  <c r="F138" i="259"/>
  <c r="F125" i="259"/>
  <c r="F134" i="259" s="1"/>
  <c r="E134" i="259"/>
  <c r="F40" i="224"/>
  <c r="F194" i="224"/>
  <c r="F197" i="224" s="1"/>
  <c r="F46" i="259" l="1"/>
  <c r="F47" i="259"/>
  <c r="F48" i="259" s="1"/>
  <c r="S44" i="261"/>
  <c r="E64" i="259"/>
  <c r="E81" i="259"/>
  <c r="E73" i="259"/>
  <c r="E68" i="259"/>
  <c r="E47" i="224"/>
  <c r="E48" i="224" s="1"/>
  <c r="F42" i="224" s="1"/>
  <c r="S43" i="261"/>
  <c r="E46" i="224"/>
  <c r="G49" i="261"/>
  <c r="F46" i="224" l="1"/>
  <c r="F63" i="224" s="1"/>
  <c r="E83" i="259"/>
  <c r="E63" i="224"/>
  <c r="E82" i="259"/>
  <c r="E74" i="259"/>
  <c r="E69" i="259"/>
  <c r="G48" i="261"/>
  <c r="S48" i="261" s="1"/>
  <c r="S49" i="261"/>
  <c r="F63" i="259"/>
  <c r="E77" i="259"/>
  <c r="F47" i="224" l="1"/>
  <c r="F48" i="224" s="1"/>
  <c r="F64" i="224"/>
  <c r="F82" i="224" s="1"/>
  <c r="F84" i="224" s="1"/>
  <c r="F68" i="224"/>
  <c r="F81" i="224"/>
  <c r="F83" i="224" s="1"/>
  <c r="E84" i="259"/>
  <c r="E78" i="259"/>
  <c r="F64" i="259"/>
  <c r="F81" i="259"/>
  <c r="F68" i="259"/>
  <c r="F73" i="259"/>
  <c r="E81" i="224"/>
  <c r="E73" i="224"/>
  <c r="E64" i="224"/>
  <c r="E68" i="224"/>
  <c r="F73" i="224"/>
  <c r="F69" i="224" l="1"/>
  <c r="F83" i="259"/>
  <c r="G187" i="259"/>
  <c r="G45" i="224"/>
  <c r="F69" i="259"/>
  <c r="F82" i="259"/>
  <c r="F74" i="259"/>
  <c r="F77" i="259"/>
  <c r="E77" i="224"/>
  <c r="F77" i="224"/>
  <c r="E82" i="224"/>
  <c r="E69" i="224"/>
  <c r="E74" i="224"/>
  <c r="F74" i="224"/>
  <c r="E83" i="224"/>
  <c r="F84" i="259" l="1"/>
  <c r="G45" i="259"/>
  <c r="G188" i="259"/>
  <c r="G186" i="259"/>
  <c r="G195" i="224"/>
  <c r="F78" i="259"/>
  <c r="E78" i="224"/>
  <c r="F78" i="224"/>
  <c r="E84" i="224"/>
  <c r="H25" i="224" l="1"/>
  <c r="H182" i="259"/>
  <c r="G196" i="259"/>
  <c r="H184" i="259" l="1"/>
  <c r="H25" i="259" s="1"/>
  <c r="H185" i="259"/>
  <c r="H44" i="224"/>
  <c r="H44" i="259" l="1"/>
  <c r="H196" i="224"/>
  <c r="H197" i="259" l="1"/>
  <c r="H187" i="259" l="1"/>
  <c r="H45" i="259" s="1"/>
  <c r="H45" i="224"/>
  <c r="H188" i="259" l="1"/>
  <c r="I182" i="259" s="1"/>
  <c r="I185" i="259" s="1"/>
  <c r="H186" i="259"/>
  <c r="I25" i="224"/>
  <c r="H196" i="259"/>
  <c r="H195" i="224"/>
  <c r="I184" i="259" l="1"/>
  <c r="I25" i="259" s="1"/>
  <c r="I44" i="259" s="1"/>
  <c r="I197" i="259" s="1"/>
  <c r="I44" i="224"/>
  <c r="I196" i="224" s="1"/>
  <c r="I187" i="259" l="1"/>
  <c r="I45" i="224" l="1"/>
  <c r="I45" i="259"/>
  <c r="I188" i="259"/>
  <c r="J182" i="259" s="1"/>
  <c r="J185" i="259" s="1"/>
  <c r="I186" i="259"/>
  <c r="J184" i="259" l="1"/>
  <c r="J25" i="259" s="1"/>
  <c r="J44" i="259" s="1"/>
  <c r="J197" i="259" s="1"/>
  <c r="J25" i="224"/>
  <c r="J44" i="224" s="1"/>
  <c r="J196" i="224" s="1"/>
  <c r="I196" i="259"/>
  <c r="I195" i="224"/>
  <c r="J187" i="259" l="1"/>
  <c r="J45" i="259" s="1"/>
  <c r="J45" i="224"/>
  <c r="J195" i="224" s="1"/>
  <c r="J188" i="259" l="1"/>
  <c r="K182" i="259" s="1"/>
  <c r="K185" i="259" s="1"/>
  <c r="J186" i="259"/>
  <c r="J196" i="259"/>
  <c r="K184" i="259" l="1"/>
  <c r="K25" i="224"/>
  <c r="K25" i="259" l="1"/>
  <c r="K44" i="224"/>
  <c r="K196" i="224" s="1"/>
  <c r="K44" i="259" l="1"/>
  <c r="K197" i="259" s="1"/>
  <c r="K187" i="259" l="1"/>
  <c r="K45" i="224"/>
  <c r="K45" i="259" l="1"/>
  <c r="K188" i="259"/>
  <c r="K186" i="259"/>
  <c r="K195" i="224"/>
  <c r="L182" i="259" l="1"/>
  <c r="L185" i="259" s="1"/>
  <c r="K196" i="259"/>
  <c r="L184" i="259" l="1"/>
  <c r="L25" i="224"/>
  <c r="L44" i="224" l="1"/>
  <c r="L196" i="224" s="1"/>
  <c r="L25" i="259"/>
  <c r="L44" i="259" l="1"/>
  <c r="L197" i="259" s="1"/>
  <c r="L187" i="259" l="1"/>
  <c r="L45" i="259" s="1"/>
  <c r="L45" i="224"/>
  <c r="L186" i="259" l="1"/>
  <c r="L188" i="259"/>
  <c r="M182" i="259" s="1"/>
  <c r="M185" i="259" s="1"/>
  <c r="L196" i="259"/>
  <c r="L195" i="224"/>
  <c r="M184" i="259" l="1"/>
  <c r="M25" i="259" s="1"/>
  <c r="M44" i="259" s="1"/>
  <c r="M197" i="259" s="1"/>
  <c r="M25" i="224"/>
  <c r="M44" i="224" l="1"/>
  <c r="M196" i="224" s="1"/>
  <c r="M187" i="259" l="1"/>
  <c r="M188" i="259" s="1"/>
  <c r="N182" i="259" s="1"/>
  <c r="N185" i="259" s="1"/>
  <c r="M45" i="224"/>
  <c r="N184" i="259" l="1"/>
  <c r="N25" i="259" s="1"/>
  <c r="M186" i="259"/>
  <c r="M45" i="259"/>
  <c r="M196" i="259" s="1"/>
  <c r="M195" i="224"/>
  <c r="N25" i="224" l="1"/>
  <c r="N44" i="259"/>
  <c r="N197" i="259" s="1"/>
  <c r="N44" i="224" l="1"/>
  <c r="N196" i="224" s="1"/>
  <c r="N187" i="259" l="1"/>
  <c r="N45" i="224" l="1"/>
  <c r="N45" i="259" l="1"/>
  <c r="N188" i="259"/>
  <c r="N186" i="259"/>
  <c r="N195" i="224"/>
  <c r="O182" i="259" l="1"/>
  <c r="O185" i="259" s="1"/>
  <c r="N196" i="259"/>
  <c r="O184" i="259" l="1"/>
  <c r="O25" i="224"/>
  <c r="O44" i="224" l="1"/>
  <c r="O25" i="259"/>
  <c r="O44" i="259" l="1"/>
  <c r="O196" i="224"/>
  <c r="O197" i="259" l="1"/>
  <c r="O187" i="259" l="1"/>
  <c r="O45" i="224" l="1"/>
  <c r="O45" i="259" l="1"/>
  <c r="O188" i="259"/>
  <c r="O186" i="259"/>
  <c r="O195" i="224"/>
  <c r="P182" i="259" l="1"/>
  <c r="P185" i="259" s="1"/>
  <c r="O196" i="259"/>
  <c r="P184" i="259" l="1"/>
  <c r="P25" i="224"/>
  <c r="P25" i="259" l="1"/>
  <c r="P44" i="224"/>
  <c r="P196" i="224" l="1"/>
  <c r="P44" i="259"/>
  <c r="P197" i="259" l="1"/>
  <c r="P187" i="259" l="1"/>
  <c r="P45" i="224" l="1"/>
  <c r="P45" i="259" l="1"/>
  <c r="P188" i="259"/>
  <c r="P186" i="259"/>
  <c r="P195" i="224"/>
  <c r="Q182" i="259" l="1"/>
  <c r="Q185" i="259" s="1"/>
  <c r="P196" i="259"/>
  <c r="Q25" i="224" l="1"/>
  <c r="Q184" i="259"/>
  <c r="Q25" i="259" l="1"/>
  <c r="Q44" i="224"/>
  <c r="Q44" i="259" l="1"/>
  <c r="Q196" i="224"/>
  <c r="Q197" i="259" l="1"/>
  <c r="Q187" i="259" l="1"/>
  <c r="Q45" i="224" l="1"/>
  <c r="Q45" i="259" l="1"/>
  <c r="Q188" i="259"/>
  <c r="Q186" i="259"/>
  <c r="Q195" i="224"/>
  <c r="R182" i="259" l="1"/>
  <c r="R185" i="259" s="1"/>
  <c r="Q196" i="259"/>
  <c r="R184" i="259" l="1"/>
  <c r="R25" i="224"/>
  <c r="C183" i="224"/>
  <c r="R44" i="224" l="1"/>
  <c r="C25" i="224"/>
  <c r="R25" i="259"/>
  <c r="C184" i="259"/>
  <c r="R44" i="259" l="1"/>
  <c r="C25" i="259"/>
  <c r="R196" i="224"/>
  <c r="C44" i="224"/>
  <c r="A44" i="224" s="1"/>
  <c r="V44" i="224"/>
  <c r="D38" i="260" s="1"/>
  <c r="I38" i="260" s="1"/>
  <c r="R197" i="259" l="1"/>
  <c r="C44" i="259"/>
  <c r="A44" i="259" s="1"/>
  <c r="S187" i="259" l="1"/>
  <c r="S45" i="224" l="1"/>
  <c r="S195" i="224" s="1"/>
  <c r="R187" i="259"/>
  <c r="C186" i="224"/>
  <c r="R45" i="224" l="1"/>
  <c r="C184" i="224"/>
  <c r="C188" i="224" s="1"/>
  <c r="C187" i="259"/>
  <c r="D15" i="260" s="1"/>
  <c r="C185" i="224" l="1"/>
  <c r="R195" i="224"/>
  <c r="V45" i="224"/>
  <c r="D39" i="260" s="1"/>
  <c r="C45" i="224"/>
  <c r="A45" i="224" s="1"/>
  <c r="R45" i="259"/>
  <c r="C185" i="259"/>
  <c r="C189" i="259" s="1"/>
  <c r="R188" i="259"/>
  <c r="S188" i="259" s="1"/>
  <c r="T188" i="259" s="1"/>
  <c r="R186" i="259"/>
  <c r="C186" i="259" s="1"/>
  <c r="R196" i="259" l="1"/>
  <c r="C45" i="259"/>
  <c r="A45" i="259" s="1"/>
  <c r="I39" i="260"/>
  <c r="D67" i="251" l="1"/>
  <c r="D70" i="251" s="1"/>
  <c r="D71" i="251" s="1"/>
  <c r="G10" i="224" s="1"/>
  <c r="E67" i="251"/>
  <c r="E70" i="251" s="1"/>
  <c r="E71" i="251" s="1"/>
  <c r="H10" i="224" s="1"/>
  <c r="F67" i="251"/>
  <c r="F70" i="251" s="1"/>
  <c r="F71" i="251" s="1"/>
  <c r="I10" i="224" s="1"/>
  <c r="G67" i="251"/>
  <c r="G70" i="251" s="1"/>
  <c r="G71" i="251" s="1"/>
  <c r="H67" i="251"/>
  <c r="H70" i="251" s="1"/>
  <c r="H71" i="251" s="1"/>
  <c r="K10" i="224" s="1"/>
  <c r="I67" i="251"/>
  <c r="I70" i="251" s="1"/>
  <c r="J67" i="251"/>
  <c r="J70" i="251" s="1"/>
  <c r="K67" i="251"/>
  <c r="K70" i="251" s="1"/>
  <c r="K71" i="251" s="1"/>
  <c r="L67" i="251"/>
  <c r="L70" i="251" s="1"/>
  <c r="L71" i="251" s="1"/>
  <c r="O10" i="224" s="1"/>
  <c r="M67" i="251"/>
  <c r="M70" i="251" s="1"/>
  <c r="N67" i="251"/>
  <c r="N70" i="251" s="1"/>
  <c r="O67" i="251"/>
  <c r="AG67" i="251" s="1"/>
  <c r="P67" i="251"/>
  <c r="P70" i="251" s="1"/>
  <c r="Q67" i="251"/>
  <c r="Q70" i="251" s="1"/>
  <c r="T67" i="251"/>
  <c r="T70" i="251" s="1"/>
  <c r="R67" i="251"/>
  <c r="R70" i="251" s="1"/>
  <c r="S67" i="251"/>
  <c r="S70" i="251" s="1"/>
  <c r="AK70" i="251" s="1"/>
  <c r="Y67" i="251" l="1"/>
  <c r="W70" i="251"/>
  <c r="W67" i="251"/>
  <c r="V67" i="251"/>
  <c r="V70" i="251"/>
  <c r="D72" i="251"/>
  <c r="AI67" i="251"/>
  <c r="X67" i="251"/>
  <c r="X71" i="251"/>
  <c r="F73" i="251" s="1"/>
  <c r="AA67" i="251"/>
  <c r="AB67" i="251"/>
  <c r="AC67" i="251"/>
  <c r="AF67" i="251"/>
  <c r="Z67" i="251"/>
  <c r="AD67" i="251"/>
  <c r="AE67" i="251"/>
  <c r="AK67" i="251"/>
  <c r="E72" i="251"/>
  <c r="AH67" i="251"/>
  <c r="M71" i="251"/>
  <c r="M72" i="251" s="1"/>
  <c r="AE70" i="251"/>
  <c r="P71" i="251"/>
  <c r="S10" i="224" s="1"/>
  <c r="S15" i="224" s="1"/>
  <c r="S24" i="224" s="1"/>
  <c r="AH70" i="251"/>
  <c r="Z70" i="251"/>
  <c r="X70" i="251"/>
  <c r="V71" i="251"/>
  <c r="D73" i="251" s="1"/>
  <c r="H72" i="251"/>
  <c r="N10" i="224"/>
  <c r="N10" i="259" s="1"/>
  <c r="N15" i="259" s="1"/>
  <c r="N24" i="259" s="1"/>
  <c r="AC71" i="251"/>
  <c r="K73" i="251" s="1"/>
  <c r="Z71" i="251"/>
  <c r="H73" i="251" s="1"/>
  <c r="L72" i="251"/>
  <c r="Y70" i="251"/>
  <c r="F72" i="251"/>
  <c r="AL67" i="251"/>
  <c r="J10" i="224"/>
  <c r="Y71" i="251"/>
  <c r="G73" i="251" s="1"/>
  <c r="G72" i="251"/>
  <c r="G77" i="251"/>
  <c r="G78" i="251" s="1"/>
  <c r="Q71" i="251"/>
  <c r="AI70" i="251"/>
  <c r="J71" i="251"/>
  <c r="AB70" i="251"/>
  <c r="N71" i="251"/>
  <c r="AF70" i="251"/>
  <c r="I71" i="251"/>
  <c r="AA70" i="251"/>
  <c r="AJ67" i="251"/>
  <c r="K72" i="251"/>
  <c r="O70" i="251"/>
  <c r="AC70" i="251"/>
  <c r="AD70" i="251"/>
  <c r="AD71" i="251"/>
  <c r="L73" i="251" s="1"/>
  <c r="H77" i="251"/>
  <c r="H78" i="251" s="1"/>
  <c r="W71" i="251"/>
  <c r="E73" i="251" s="1"/>
  <c r="AL70" i="251"/>
  <c r="T71" i="251"/>
  <c r="R71" i="251"/>
  <c r="AJ70" i="251"/>
  <c r="S71" i="251"/>
  <c r="O10" i="259"/>
  <c r="O15" i="259" s="1"/>
  <c r="O24" i="259" s="1"/>
  <c r="O15" i="224"/>
  <c r="O24" i="224" s="1"/>
  <c r="I15" i="224"/>
  <c r="I24" i="224" s="1"/>
  <c r="I10" i="259"/>
  <c r="I15" i="259" s="1"/>
  <c r="I24" i="259" s="1"/>
  <c r="K10" i="259"/>
  <c r="K15" i="259" s="1"/>
  <c r="K24" i="259" s="1"/>
  <c r="K15" i="224"/>
  <c r="K24" i="224" s="1"/>
  <c r="H15" i="224"/>
  <c r="H24" i="224" s="1"/>
  <c r="H10" i="259"/>
  <c r="H15" i="259" s="1"/>
  <c r="H24" i="259" s="1"/>
  <c r="G15" i="224"/>
  <c r="G10" i="259"/>
  <c r="AH71" i="251" l="1"/>
  <c r="P73" i="251" s="1"/>
  <c r="S10" i="259"/>
  <c r="S15" i="259" s="1"/>
  <c r="S24" i="259" s="1"/>
  <c r="S103" i="259" s="1"/>
  <c r="P72" i="251"/>
  <c r="N15" i="224"/>
  <c r="N24" i="224" s="1"/>
  <c r="N103" i="224" s="1"/>
  <c r="P10" i="224"/>
  <c r="AE71" i="251"/>
  <c r="M73" i="251" s="1"/>
  <c r="O71" i="251"/>
  <c r="AG70" i="251"/>
  <c r="M10" i="224"/>
  <c r="J72" i="251"/>
  <c r="J77" i="251"/>
  <c r="J78" i="251" s="1"/>
  <c r="AB71" i="251"/>
  <c r="J73" i="251" s="1"/>
  <c r="T10" i="224"/>
  <c r="AI71" i="251"/>
  <c r="Q73" i="251" s="1"/>
  <c r="Q72" i="251"/>
  <c r="L10" i="224"/>
  <c r="AA71" i="251"/>
  <c r="I73" i="251" s="1"/>
  <c r="I72" i="251"/>
  <c r="I77" i="251"/>
  <c r="AF71" i="251"/>
  <c r="N73" i="251" s="1"/>
  <c r="Q10" i="224"/>
  <c r="N72" i="251"/>
  <c r="J10" i="259"/>
  <c r="J15" i="259" s="1"/>
  <c r="J24" i="259" s="1"/>
  <c r="J15" i="224"/>
  <c r="J24" i="224" s="1"/>
  <c r="I28" i="259"/>
  <c r="I103" i="259"/>
  <c r="AK71" i="251"/>
  <c r="S73" i="251" s="1"/>
  <c r="S72" i="251"/>
  <c r="I28" i="224"/>
  <c r="I103" i="224"/>
  <c r="J9" i="261"/>
  <c r="J12" i="261" s="1"/>
  <c r="H28" i="224"/>
  <c r="H103" i="224"/>
  <c r="I9" i="261"/>
  <c r="I12" i="261" s="1"/>
  <c r="K28" i="224"/>
  <c r="K103" i="224"/>
  <c r="L9" i="261"/>
  <c r="L12" i="261" s="1"/>
  <c r="O28" i="224"/>
  <c r="O103" i="224"/>
  <c r="P9" i="261"/>
  <c r="P12" i="261" s="1"/>
  <c r="AJ71" i="251"/>
  <c r="R73" i="251" s="1"/>
  <c r="R72" i="251"/>
  <c r="O28" i="259"/>
  <c r="O103" i="259"/>
  <c r="S28" i="224"/>
  <c r="S103" i="224"/>
  <c r="G15" i="259"/>
  <c r="H28" i="259"/>
  <c r="H103" i="259"/>
  <c r="K28" i="259"/>
  <c r="K103" i="259"/>
  <c r="T72" i="251"/>
  <c r="AL71" i="251"/>
  <c r="T73" i="251" s="1"/>
  <c r="G24" i="224"/>
  <c r="N28" i="259"/>
  <c r="N103" i="259"/>
  <c r="S28" i="259" l="1"/>
  <c r="O9" i="261"/>
  <c r="O12" i="261" s="1"/>
  <c r="O17" i="261" s="1"/>
  <c r="N28" i="224"/>
  <c r="P15" i="224"/>
  <c r="P24" i="224" s="1"/>
  <c r="P10" i="259"/>
  <c r="P15" i="259" s="1"/>
  <c r="P24" i="259" s="1"/>
  <c r="Q10" i="259"/>
  <c r="Q15" i="259" s="1"/>
  <c r="Q24" i="259" s="1"/>
  <c r="Q15" i="224"/>
  <c r="Q24" i="224" s="1"/>
  <c r="T15" i="224"/>
  <c r="T24" i="224" s="1"/>
  <c r="T10" i="259"/>
  <c r="T15" i="259" s="1"/>
  <c r="T24" i="259" s="1"/>
  <c r="E79" i="251"/>
  <c r="D31" i="260" s="1"/>
  <c r="D36" i="260" s="1"/>
  <c r="I78" i="251"/>
  <c r="M10" i="259"/>
  <c r="M15" i="259" s="1"/>
  <c r="M24" i="259" s="1"/>
  <c r="M15" i="224"/>
  <c r="M24" i="224" s="1"/>
  <c r="J103" i="224"/>
  <c r="J106" i="224" s="1"/>
  <c r="K9" i="261"/>
  <c r="K12" i="261" s="1"/>
  <c r="J28" i="224"/>
  <c r="L10" i="259"/>
  <c r="L15" i="224"/>
  <c r="J103" i="259"/>
  <c r="J106" i="259" s="1"/>
  <c r="J28" i="259"/>
  <c r="R10" i="224"/>
  <c r="C10" i="224" s="1"/>
  <c r="A10" i="224" s="1"/>
  <c r="AG71" i="251"/>
  <c r="O73" i="251" s="1"/>
  <c r="O72" i="251"/>
  <c r="S106" i="259"/>
  <c r="G24" i="259"/>
  <c r="S106" i="224"/>
  <c r="L17" i="261"/>
  <c r="L67" i="261"/>
  <c r="L69" i="261" s="1"/>
  <c r="L72" i="261" s="1"/>
  <c r="L73" i="261" s="1"/>
  <c r="L74" i="261" s="1"/>
  <c r="L39" i="261" s="1"/>
  <c r="L45" i="261" s="1"/>
  <c r="K106" i="259"/>
  <c r="K106" i="224"/>
  <c r="O106" i="259"/>
  <c r="J17" i="261"/>
  <c r="J67" i="261"/>
  <c r="J69" i="261" s="1"/>
  <c r="J72" i="261" s="1"/>
  <c r="J73" i="261" s="1"/>
  <c r="J74" i="261" s="1"/>
  <c r="J39" i="261" s="1"/>
  <c r="J45" i="261" s="1"/>
  <c r="I106" i="259"/>
  <c r="N106" i="259"/>
  <c r="N106" i="224"/>
  <c r="H106" i="259"/>
  <c r="P67" i="261"/>
  <c r="P69" i="261" s="1"/>
  <c r="P72" i="261" s="1"/>
  <c r="P73" i="261" s="1"/>
  <c r="P74" i="261" s="1"/>
  <c r="P39" i="261" s="1"/>
  <c r="P45" i="261" s="1"/>
  <c r="P17" i="261"/>
  <c r="I67" i="261"/>
  <c r="I69" i="261" s="1"/>
  <c r="I72" i="261" s="1"/>
  <c r="I73" i="261" s="1"/>
  <c r="I74" i="261" s="1"/>
  <c r="I39" i="261" s="1"/>
  <c r="I45" i="261" s="1"/>
  <c r="I17" i="261"/>
  <c r="I106" i="224"/>
  <c r="G28" i="224"/>
  <c r="G103" i="224"/>
  <c r="H9" i="261"/>
  <c r="H12" i="261" s="1"/>
  <c r="O106" i="224"/>
  <c r="H106" i="224"/>
  <c r="O67" i="261" l="1"/>
  <c r="O69" i="261" s="1"/>
  <c r="O72" i="261" s="1"/>
  <c r="O73" i="261" s="1"/>
  <c r="O74" i="261" s="1"/>
  <c r="O39" i="261" s="1"/>
  <c r="O45" i="261" s="1"/>
  <c r="P28" i="259"/>
  <c r="P103" i="259"/>
  <c r="P106" i="259" s="1"/>
  <c r="Q9" i="261"/>
  <c r="Q12" i="261" s="1"/>
  <c r="P28" i="224"/>
  <c r="P103" i="224"/>
  <c r="P106" i="224" s="1"/>
  <c r="M103" i="259"/>
  <c r="M106" i="259" s="1"/>
  <c r="M28" i="259"/>
  <c r="L24" i="224"/>
  <c r="L15" i="259"/>
  <c r="T28" i="259"/>
  <c r="T103" i="259"/>
  <c r="T106" i="259" s="1"/>
  <c r="K67" i="261"/>
  <c r="K69" i="261" s="1"/>
  <c r="K72" i="261" s="1"/>
  <c r="K73" i="261" s="1"/>
  <c r="K74" i="261" s="1"/>
  <c r="K39" i="261" s="1"/>
  <c r="K45" i="261" s="1"/>
  <c r="K17" i="261"/>
  <c r="T103" i="224"/>
  <c r="T106" i="224" s="1"/>
  <c r="T28" i="224"/>
  <c r="Q103" i="224"/>
  <c r="Q106" i="224" s="1"/>
  <c r="Q28" i="224"/>
  <c r="R15" i="224"/>
  <c r="R24" i="224" s="1"/>
  <c r="R10" i="259"/>
  <c r="R15" i="259" s="1"/>
  <c r="R24" i="259" s="1"/>
  <c r="V13" i="224"/>
  <c r="I31" i="260" s="1"/>
  <c r="N9" i="261"/>
  <c r="N12" i="261" s="1"/>
  <c r="M28" i="224"/>
  <c r="M103" i="224"/>
  <c r="M106" i="224" s="1"/>
  <c r="Q103" i="259"/>
  <c r="Q106" i="259" s="1"/>
  <c r="Q28" i="259"/>
  <c r="G106" i="224"/>
  <c r="G28" i="259"/>
  <c r="G103" i="259"/>
  <c r="H67" i="261"/>
  <c r="H69" i="261" s="1"/>
  <c r="H72" i="261" s="1"/>
  <c r="H73" i="261" s="1"/>
  <c r="H74" i="261" s="1"/>
  <c r="H17" i="261"/>
  <c r="G29" i="224"/>
  <c r="Q17" i="261" l="1"/>
  <c r="Q67" i="261"/>
  <c r="Q69" i="261" s="1"/>
  <c r="Q72" i="261" s="1"/>
  <c r="Q73" i="261" s="1"/>
  <c r="Q74" i="261" s="1"/>
  <c r="Q39" i="261" s="1"/>
  <c r="Q45" i="261" s="1"/>
  <c r="R103" i="224"/>
  <c r="R106" i="224" s="1"/>
  <c r="R28" i="224"/>
  <c r="C10" i="259"/>
  <c r="L24" i="259"/>
  <c r="C15" i="259"/>
  <c r="C15" i="224"/>
  <c r="R28" i="259"/>
  <c r="R103" i="259"/>
  <c r="R106" i="259" s="1"/>
  <c r="L103" i="224"/>
  <c r="L106" i="224" s="1"/>
  <c r="M9" i="261"/>
  <c r="M12" i="261" s="1"/>
  <c r="L28" i="224"/>
  <c r="V24" i="224"/>
  <c r="C24" i="224"/>
  <c r="A24" i="224" s="1"/>
  <c r="N17" i="261"/>
  <c r="N67" i="261"/>
  <c r="N69" i="261" s="1"/>
  <c r="N72" i="261" s="1"/>
  <c r="N73" i="261" s="1"/>
  <c r="N74" i="261" s="1"/>
  <c r="N39" i="261" s="1"/>
  <c r="N45" i="261" s="1"/>
  <c r="G29" i="259"/>
  <c r="G30" i="224"/>
  <c r="G32" i="224" s="1"/>
  <c r="G34" i="224" s="1"/>
  <c r="G107" i="224"/>
  <c r="H39" i="261"/>
  <c r="G106" i="259"/>
  <c r="L28" i="259" l="1"/>
  <c r="L103" i="259"/>
  <c r="L106" i="259" s="1"/>
  <c r="C24" i="259"/>
  <c r="M67" i="261"/>
  <c r="M69" i="261" s="1"/>
  <c r="M72" i="261" s="1"/>
  <c r="M73" i="261" s="1"/>
  <c r="M74" i="261" s="1"/>
  <c r="M17" i="261"/>
  <c r="G108" i="224"/>
  <c r="G110" i="224" s="1"/>
  <c r="G112" i="224" s="1"/>
  <c r="G113" i="224" s="1"/>
  <c r="G119" i="224" s="1"/>
  <c r="G31" i="224"/>
  <c r="H29" i="224" s="1"/>
  <c r="H45" i="261"/>
  <c r="H29" i="261"/>
  <c r="G35" i="224"/>
  <c r="G107" i="259"/>
  <c r="G30" i="259"/>
  <c r="G32" i="259" s="1"/>
  <c r="G34" i="259" s="1"/>
  <c r="G35" i="259" s="1"/>
  <c r="G109" i="224" l="1"/>
  <c r="H107" i="224" s="1"/>
  <c r="H108" i="224" s="1"/>
  <c r="H110" i="224" s="1"/>
  <c r="H112" i="224" s="1"/>
  <c r="H113" i="224" s="1"/>
  <c r="H119" i="224" s="1"/>
  <c r="H129" i="224" s="1"/>
  <c r="M39" i="261"/>
  <c r="R74" i="261"/>
  <c r="G31" i="259"/>
  <c r="H29" i="259" s="1"/>
  <c r="H30" i="259" s="1"/>
  <c r="H32" i="259" s="1"/>
  <c r="H34" i="259" s="1"/>
  <c r="H35" i="259" s="1"/>
  <c r="H30" i="261"/>
  <c r="H49" i="261" s="1"/>
  <c r="G40" i="259"/>
  <c r="G195" i="259"/>
  <c r="G198" i="259" s="1"/>
  <c r="H30" i="224"/>
  <c r="H32" i="224" s="1"/>
  <c r="H34" i="224" s="1"/>
  <c r="G108" i="259"/>
  <c r="G110" i="259" s="1"/>
  <c r="G112" i="259" s="1"/>
  <c r="G113" i="259" s="1"/>
  <c r="G119" i="259" s="1"/>
  <c r="G40" i="224"/>
  <c r="G42" i="224" s="1"/>
  <c r="G194" i="224"/>
  <c r="G197" i="224" s="1"/>
  <c r="G120" i="224"/>
  <c r="G137" i="224"/>
  <c r="G124" i="224"/>
  <c r="G129" i="224"/>
  <c r="M45" i="261" l="1"/>
  <c r="T45" i="261" s="1"/>
  <c r="R39" i="261"/>
  <c r="H31" i="224"/>
  <c r="I29" i="224" s="1"/>
  <c r="I30" i="224" s="1"/>
  <c r="I32" i="224" s="1"/>
  <c r="I34" i="224" s="1"/>
  <c r="H109" i="224"/>
  <c r="I107" i="224" s="1"/>
  <c r="I108" i="224" s="1"/>
  <c r="I110" i="224" s="1"/>
  <c r="I112" i="224" s="1"/>
  <c r="I113" i="224" s="1"/>
  <c r="I119" i="224" s="1"/>
  <c r="G109" i="259"/>
  <c r="H107" i="259" s="1"/>
  <c r="H108" i="259" s="1"/>
  <c r="H110" i="259" s="1"/>
  <c r="H112" i="259" s="1"/>
  <c r="H113" i="259" s="1"/>
  <c r="H119" i="259" s="1"/>
  <c r="H129" i="259" s="1"/>
  <c r="H31" i="259"/>
  <c r="I29" i="259" s="1"/>
  <c r="I30" i="259" s="1"/>
  <c r="I32" i="259" s="1"/>
  <c r="I34" i="259" s="1"/>
  <c r="I35" i="259" s="1"/>
  <c r="H48" i="261"/>
  <c r="G47" i="224"/>
  <c r="G48" i="224" s="1"/>
  <c r="I29" i="261"/>
  <c r="H35" i="224"/>
  <c r="H40" i="259"/>
  <c r="H195" i="259"/>
  <c r="H198" i="259" s="1"/>
  <c r="G133" i="224"/>
  <c r="G42" i="259"/>
  <c r="G46" i="259" s="1"/>
  <c r="G125" i="224"/>
  <c r="G138" i="224"/>
  <c r="G130" i="224"/>
  <c r="H120" i="224"/>
  <c r="H130" i="224" s="1"/>
  <c r="H137" i="224"/>
  <c r="H124" i="224"/>
  <c r="H133" i="224" s="1"/>
  <c r="H44" i="261"/>
  <c r="G120" i="259"/>
  <c r="G124" i="259"/>
  <c r="G129" i="259"/>
  <c r="G137" i="259"/>
  <c r="H109" i="259" l="1"/>
  <c r="I107" i="259" s="1"/>
  <c r="I108" i="259" s="1"/>
  <c r="I110" i="259" s="1"/>
  <c r="I112" i="259" s="1"/>
  <c r="I113" i="259" s="1"/>
  <c r="I119" i="259" s="1"/>
  <c r="G46" i="224"/>
  <c r="G190" i="224" s="1"/>
  <c r="I31" i="224"/>
  <c r="J29" i="224" s="1"/>
  <c r="J30" i="224" s="1"/>
  <c r="J32" i="224" s="1"/>
  <c r="J34" i="224" s="1"/>
  <c r="G63" i="259"/>
  <c r="G191" i="259"/>
  <c r="H138" i="224"/>
  <c r="H125" i="224"/>
  <c r="H134" i="224" s="1"/>
  <c r="G47" i="259"/>
  <c r="G48" i="259" s="1"/>
  <c r="H43" i="261"/>
  <c r="H120" i="259"/>
  <c r="H130" i="259" s="1"/>
  <c r="H124" i="259"/>
  <c r="H133" i="259" s="1"/>
  <c r="H137" i="259"/>
  <c r="I109" i="224"/>
  <c r="J107" i="224" s="1"/>
  <c r="H40" i="224"/>
  <c r="H42" i="224" s="1"/>
  <c r="H194" i="224"/>
  <c r="H197" i="224" s="1"/>
  <c r="J29" i="261"/>
  <c r="I35" i="224"/>
  <c r="I120" i="224"/>
  <c r="I130" i="224" s="1"/>
  <c r="I137" i="224"/>
  <c r="I124" i="224"/>
  <c r="I133" i="224" s="1"/>
  <c r="I129" i="224"/>
  <c r="I30" i="261"/>
  <c r="G133" i="259"/>
  <c r="I40" i="259"/>
  <c r="I195" i="259"/>
  <c r="I198" i="259" s="1"/>
  <c r="G130" i="259"/>
  <c r="G125" i="259"/>
  <c r="G138" i="259"/>
  <c r="G134" i="224"/>
  <c r="I31" i="259"/>
  <c r="J29" i="259" s="1"/>
  <c r="G63" i="224" l="1"/>
  <c r="G73" i="224" s="1"/>
  <c r="J31" i="224"/>
  <c r="K29" i="224" s="1"/>
  <c r="K30" i="224" s="1"/>
  <c r="K32" i="224" s="1"/>
  <c r="K34" i="224" s="1"/>
  <c r="I109" i="259"/>
  <c r="J107" i="259" s="1"/>
  <c r="J108" i="259" s="1"/>
  <c r="J110" i="259" s="1"/>
  <c r="J112" i="259" s="1"/>
  <c r="J113" i="259" s="1"/>
  <c r="J119" i="259" s="1"/>
  <c r="J129" i="259" s="1"/>
  <c r="I44" i="261"/>
  <c r="G134" i="259"/>
  <c r="H138" i="259"/>
  <c r="H125" i="259"/>
  <c r="H134" i="259" s="1"/>
  <c r="I120" i="259"/>
  <c r="I124" i="259"/>
  <c r="I137" i="259"/>
  <c r="I129" i="259"/>
  <c r="J30" i="259"/>
  <c r="J32" i="259" s="1"/>
  <c r="J34" i="259" s="1"/>
  <c r="J35" i="259" s="1"/>
  <c r="I138" i="224"/>
  <c r="I125" i="224"/>
  <c r="I40" i="224"/>
  <c r="I194" i="224"/>
  <c r="I197" i="224" s="1"/>
  <c r="J108" i="224"/>
  <c r="J110" i="224" s="1"/>
  <c r="J112" i="224" s="1"/>
  <c r="J113" i="224" s="1"/>
  <c r="J119" i="224" s="1"/>
  <c r="K29" i="261"/>
  <c r="J35" i="224"/>
  <c r="I49" i="261"/>
  <c r="J30" i="261"/>
  <c r="J44" i="261" s="1"/>
  <c r="J43" i="261" s="1"/>
  <c r="H42" i="259"/>
  <c r="G81" i="259"/>
  <c r="G64" i="259"/>
  <c r="G68" i="259"/>
  <c r="G73" i="259"/>
  <c r="G81" i="224" l="1"/>
  <c r="G83" i="224" s="1"/>
  <c r="G68" i="224"/>
  <c r="G77" i="224" s="1"/>
  <c r="G64" i="224"/>
  <c r="G82" i="224" s="1"/>
  <c r="J49" i="261"/>
  <c r="J48" i="261" s="1"/>
  <c r="J109" i="259"/>
  <c r="K107" i="259" s="1"/>
  <c r="K108" i="259" s="1"/>
  <c r="K110" i="259" s="1"/>
  <c r="K112" i="259" s="1"/>
  <c r="K113" i="259" s="1"/>
  <c r="K119" i="259" s="1"/>
  <c r="G77" i="259"/>
  <c r="I43" i="261"/>
  <c r="G69" i="259"/>
  <c r="G74" i="259"/>
  <c r="G82" i="259"/>
  <c r="G83" i="259"/>
  <c r="J40" i="224"/>
  <c r="J194" i="224"/>
  <c r="J197" i="224" s="1"/>
  <c r="K31" i="224"/>
  <c r="L29" i="224" s="1"/>
  <c r="H46" i="224"/>
  <c r="K30" i="261"/>
  <c r="K44" i="261" s="1"/>
  <c r="K43" i="261" s="1"/>
  <c r="L29" i="261"/>
  <c r="K35" i="224"/>
  <c r="H47" i="224"/>
  <c r="H48" i="224" s="1"/>
  <c r="I42" i="224" s="1"/>
  <c r="I134" i="224"/>
  <c r="I48" i="261"/>
  <c r="H47" i="259"/>
  <c r="H48" i="259" s="1"/>
  <c r="H46" i="259"/>
  <c r="J109" i="224"/>
  <c r="K107" i="224" s="1"/>
  <c r="J31" i="259"/>
  <c r="K29" i="259" s="1"/>
  <c r="I133" i="259"/>
  <c r="J120" i="224"/>
  <c r="J137" i="224"/>
  <c r="J124" i="224"/>
  <c r="J129" i="224"/>
  <c r="J40" i="259"/>
  <c r="J195" i="259"/>
  <c r="J198" i="259" s="1"/>
  <c r="I125" i="259"/>
  <c r="I138" i="259"/>
  <c r="I130" i="259"/>
  <c r="J120" i="259"/>
  <c r="J137" i="259"/>
  <c r="J124" i="259"/>
  <c r="J133" i="259" s="1"/>
  <c r="G74" i="224" l="1"/>
  <c r="G69" i="224"/>
  <c r="G78" i="224" s="1"/>
  <c r="K109" i="259"/>
  <c r="L107" i="259" s="1"/>
  <c r="L108" i="259" s="1"/>
  <c r="L110" i="259" s="1"/>
  <c r="L112" i="259" s="1"/>
  <c r="L113" i="259" s="1"/>
  <c r="L119" i="259" s="1"/>
  <c r="L129" i="259" s="1"/>
  <c r="K40" i="224"/>
  <c r="K194" i="224"/>
  <c r="K197" i="224" s="1"/>
  <c r="K108" i="224"/>
  <c r="K110" i="224" s="1"/>
  <c r="K112" i="224" s="1"/>
  <c r="K113" i="224" s="1"/>
  <c r="K119" i="224" s="1"/>
  <c r="L30" i="261"/>
  <c r="L44" i="261" s="1"/>
  <c r="G84" i="259"/>
  <c r="G78" i="259"/>
  <c r="J125" i="224"/>
  <c r="J138" i="224"/>
  <c r="J130" i="224"/>
  <c r="K49" i="261"/>
  <c r="K30" i="259"/>
  <c r="K32" i="259" s="1"/>
  <c r="K34" i="259" s="1"/>
  <c r="K35" i="259" s="1"/>
  <c r="K120" i="259"/>
  <c r="K130" i="259" s="1"/>
  <c r="K137" i="259"/>
  <c r="K124" i="259"/>
  <c r="K133" i="259" s="1"/>
  <c r="K129" i="259"/>
  <c r="J133" i="224"/>
  <c r="I42" i="259"/>
  <c r="G84" i="224"/>
  <c r="H63" i="259"/>
  <c r="H191" i="259"/>
  <c r="J130" i="259"/>
  <c r="I134" i="259"/>
  <c r="H63" i="224"/>
  <c r="H190" i="224"/>
  <c r="J125" i="259"/>
  <c r="J138" i="259"/>
  <c r="L30" i="224"/>
  <c r="L32" i="224" s="1"/>
  <c r="L34" i="224" s="1"/>
  <c r="L109" i="259" l="1"/>
  <c r="M107" i="259" s="1"/>
  <c r="M108" i="259" s="1"/>
  <c r="M110" i="259" s="1"/>
  <c r="M112" i="259" s="1"/>
  <c r="M113" i="259" s="1"/>
  <c r="M119" i="259" s="1"/>
  <c r="L49" i="261"/>
  <c r="L48" i="261" s="1"/>
  <c r="K109" i="224"/>
  <c r="L107" i="224" s="1"/>
  <c r="L108" i="224" s="1"/>
  <c r="L110" i="224" s="1"/>
  <c r="L112" i="224" s="1"/>
  <c r="L113" i="224" s="1"/>
  <c r="L119" i="224" s="1"/>
  <c r="I47" i="259"/>
  <c r="I48" i="259" s="1"/>
  <c r="I46" i="259"/>
  <c r="K125" i="259"/>
  <c r="K134" i="259" s="1"/>
  <c r="K138" i="259"/>
  <c r="K48" i="261"/>
  <c r="L31" i="224"/>
  <c r="M29" i="224" s="1"/>
  <c r="K31" i="259"/>
  <c r="L29" i="259" s="1"/>
  <c r="K40" i="259"/>
  <c r="K195" i="259"/>
  <c r="K198" i="259" s="1"/>
  <c r="L43" i="261"/>
  <c r="J134" i="259"/>
  <c r="M29" i="261"/>
  <c r="L35" i="224"/>
  <c r="H64" i="224"/>
  <c r="H68" i="224"/>
  <c r="H81" i="224"/>
  <c r="H73" i="224"/>
  <c r="H64" i="259"/>
  <c r="H81" i="259"/>
  <c r="H68" i="259"/>
  <c r="H73" i="259"/>
  <c r="J134" i="224"/>
  <c r="L120" i="259"/>
  <c r="L137" i="259"/>
  <c r="L124" i="259"/>
  <c r="K120" i="224"/>
  <c r="K137" i="224"/>
  <c r="K124" i="224"/>
  <c r="K129" i="224"/>
  <c r="I47" i="224"/>
  <c r="I48" i="224" s="1"/>
  <c r="I46" i="224"/>
  <c r="M109" i="259" l="1"/>
  <c r="N107" i="259" s="1"/>
  <c r="N108" i="259" s="1"/>
  <c r="N110" i="259" s="1"/>
  <c r="N112" i="259" s="1"/>
  <c r="N113" i="259" s="1"/>
  <c r="N119" i="259" s="1"/>
  <c r="K138" i="224"/>
  <c r="K125" i="224"/>
  <c r="K130" i="224"/>
  <c r="H77" i="259"/>
  <c r="H77" i="224"/>
  <c r="H83" i="259"/>
  <c r="H82" i="224"/>
  <c r="H69" i="224"/>
  <c r="H74" i="224"/>
  <c r="M30" i="224"/>
  <c r="M32" i="224" s="1"/>
  <c r="M34" i="224" s="1"/>
  <c r="M120" i="259"/>
  <c r="M124" i="259"/>
  <c r="M137" i="259"/>
  <c r="M129" i="259"/>
  <c r="H82" i="259"/>
  <c r="H69" i="259"/>
  <c r="H74" i="259"/>
  <c r="I63" i="224"/>
  <c r="I190" i="224"/>
  <c r="J42" i="224"/>
  <c r="L40" i="224"/>
  <c r="L194" i="224"/>
  <c r="L197" i="224" s="1"/>
  <c r="I63" i="259"/>
  <c r="I191" i="259"/>
  <c r="M30" i="261"/>
  <c r="J42" i="259"/>
  <c r="L138" i="259"/>
  <c r="L125" i="259"/>
  <c r="K133" i="224"/>
  <c r="L109" i="224"/>
  <c r="M107" i="224" s="1"/>
  <c r="L30" i="259"/>
  <c r="L32" i="259" s="1"/>
  <c r="L34" i="259" s="1"/>
  <c r="L35" i="259" s="1"/>
  <c r="L120" i="224"/>
  <c r="L137" i="224"/>
  <c r="L124" i="224"/>
  <c r="L133" i="224" s="1"/>
  <c r="L129" i="224"/>
  <c r="L130" i="259"/>
  <c r="L133" i="259"/>
  <c r="H83" i="224"/>
  <c r="M108" i="224" l="1"/>
  <c r="M110" i="224" s="1"/>
  <c r="M112" i="224" s="1"/>
  <c r="M113" i="224" s="1"/>
  <c r="M119" i="224" s="1"/>
  <c r="N120" i="259"/>
  <c r="N124" i="259"/>
  <c r="N137" i="259"/>
  <c r="I81" i="224"/>
  <c r="I64" i="224"/>
  <c r="I68" i="224"/>
  <c r="I73" i="224"/>
  <c r="M133" i="259"/>
  <c r="I81" i="259"/>
  <c r="I64" i="259"/>
  <c r="I74" i="259" s="1"/>
  <c r="I68" i="259"/>
  <c r="I73" i="259"/>
  <c r="N129" i="259"/>
  <c r="M138" i="259"/>
  <c r="M125" i="259"/>
  <c r="M134" i="259" s="1"/>
  <c r="H78" i="224"/>
  <c r="J46" i="259"/>
  <c r="J47" i="259"/>
  <c r="J48" i="259" s="1"/>
  <c r="H84" i="224"/>
  <c r="L130" i="224"/>
  <c r="K134" i="224"/>
  <c r="J47" i="224"/>
  <c r="J48" i="224" s="1"/>
  <c r="J46" i="224"/>
  <c r="M31" i="224"/>
  <c r="N29" i="224" s="1"/>
  <c r="L138" i="224"/>
  <c r="L125" i="224"/>
  <c r="L134" i="224" s="1"/>
  <c r="M44" i="261"/>
  <c r="N29" i="261"/>
  <c r="M35" i="224"/>
  <c r="M130" i="259"/>
  <c r="L134" i="259"/>
  <c r="M49" i="261"/>
  <c r="H78" i="259"/>
  <c r="H84" i="259"/>
  <c r="L40" i="259"/>
  <c r="L195" i="259"/>
  <c r="L198" i="259" s="1"/>
  <c r="L31" i="259"/>
  <c r="M29" i="259" s="1"/>
  <c r="N109" i="259"/>
  <c r="O107" i="259" s="1"/>
  <c r="M109" i="224" l="1"/>
  <c r="N107" i="224" s="1"/>
  <c r="N108" i="224" s="1"/>
  <c r="N110" i="224" s="1"/>
  <c r="N112" i="224" s="1"/>
  <c r="N113" i="224" s="1"/>
  <c r="N119" i="224" s="1"/>
  <c r="N30" i="224"/>
  <c r="N32" i="224" s="1"/>
  <c r="N34" i="224" s="1"/>
  <c r="M40" i="224"/>
  <c r="M194" i="224"/>
  <c r="M197" i="224" s="1"/>
  <c r="J63" i="224"/>
  <c r="J190" i="224"/>
  <c r="N30" i="261"/>
  <c r="N44" i="261" s="1"/>
  <c r="N43" i="261" s="1"/>
  <c r="K42" i="224"/>
  <c r="I77" i="259"/>
  <c r="N133" i="259"/>
  <c r="K42" i="259"/>
  <c r="I69" i="259"/>
  <c r="I82" i="259"/>
  <c r="I77" i="224"/>
  <c r="N125" i="259"/>
  <c r="N134" i="259" s="1"/>
  <c r="N138" i="259"/>
  <c r="N130" i="259"/>
  <c r="O108" i="259"/>
  <c r="O110" i="259" s="1"/>
  <c r="O112" i="259" s="1"/>
  <c r="O113" i="259" s="1"/>
  <c r="O119" i="259" s="1"/>
  <c r="M43" i="261"/>
  <c r="J63" i="259"/>
  <c r="J191" i="259"/>
  <c r="I83" i="259"/>
  <c r="I82" i="224"/>
  <c r="I69" i="224"/>
  <c r="I74" i="224"/>
  <c r="M30" i="259"/>
  <c r="M32" i="259" s="1"/>
  <c r="M34" i="259" s="1"/>
  <c r="M35" i="259" s="1"/>
  <c r="M48" i="261"/>
  <c r="I83" i="224"/>
  <c r="M120" i="224"/>
  <c r="M124" i="224"/>
  <c r="M137" i="224"/>
  <c r="M129" i="224"/>
  <c r="N31" i="224" l="1"/>
  <c r="O29" i="224" s="1"/>
  <c r="O30" i="224" s="1"/>
  <c r="O32" i="224" s="1"/>
  <c r="O34" i="224" s="1"/>
  <c r="M31" i="259"/>
  <c r="N29" i="259" s="1"/>
  <c r="N30" i="259" s="1"/>
  <c r="N32" i="259" s="1"/>
  <c r="N34" i="259" s="1"/>
  <c r="N35" i="259" s="1"/>
  <c r="M138" i="224"/>
  <c r="M125" i="224"/>
  <c r="M130" i="224"/>
  <c r="N109" i="224"/>
  <c r="O107" i="224" s="1"/>
  <c r="N120" i="224"/>
  <c r="N137" i="224"/>
  <c r="N124" i="224"/>
  <c r="N133" i="224" s="1"/>
  <c r="N129" i="224"/>
  <c r="I84" i="259"/>
  <c r="O109" i="259"/>
  <c r="P107" i="259" s="1"/>
  <c r="I78" i="259"/>
  <c r="O29" i="261"/>
  <c r="N35" i="224"/>
  <c r="O120" i="259"/>
  <c r="O124" i="259"/>
  <c r="O133" i="259" s="1"/>
  <c r="O137" i="259"/>
  <c r="O129" i="259"/>
  <c r="J64" i="259"/>
  <c r="J81" i="259"/>
  <c r="J68" i="259"/>
  <c r="J73" i="259"/>
  <c r="K46" i="259"/>
  <c r="K47" i="259"/>
  <c r="K48" i="259" s="1"/>
  <c r="I78" i="224"/>
  <c r="K47" i="224"/>
  <c r="K48" i="224" s="1"/>
  <c r="K46" i="224"/>
  <c r="J64" i="224"/>
  <c r="J81" i="224"/>
  <c r="J68" i="224"/>
  <c r="J73" i="224"/>
  <c r="M133" i="224"/>
  <c r="M40" i="259"/>
  <c r="M195" i="259"/>
  <c r="M198" i="259" s="1"/>
  <c r="I84" i="224"/>
  <c r="N49" i="261"/>
  <c r="N31" i="259" l="1"/>
  <c r="O29" i="259" s="1"/>
  <c r="O30" i="259" s="1"/>
  <c r="O32" i="259" s="1"/>
  <c r="O34" i="259" s="1"/>
  <c r="O35" i="259" s="1"/>
  <c r="J77" i="224"/>
  <c r="J83" i="224"/>
  <c r="L42" i="259"/>
  <c r="J82" i="224"/>
  <c r="J69" i="224"/>
  <c r="J74" i="224"/>
  <c r="K63" i="259"/>
  <c r="K191" i="259"/>
  <c r="P108" i="259"/>
  <c r="P110" i="259" s="1"/>
  <c r="P112" i="259" s="1"/>
  <c r="P113" i="259" s="1"/>
  <c r="P119" i="259" s="1"/>
  <c r="O108" i="224"/>
  <c r="O110" i="224" s="1"/>
  <c r="O112" i="224" s="1"/>
  <c r="O113" i="224" s="1"/>
  <c r="O119" i="224" s="1"/>
  <c r="K63" i="224"/>
  <c r="K190" i="224"/>
  <c r="O125" i="259"/>
  <c r="O134" i="259" s="1"/>
  <c r="O138" i="259"/>
  <c r="O130" i="259"/>
  <c r="N48" i="261"/>
  <c r="L42" i="224"/>
  <c r="N40" i="224"/>
  <c r="N194" i="224"/>
  <c r="N197" i="224" s="1"/>
  <c r="N40" i="259"/>
  <c r="N195" i="259"/>
  <c r="N198" i="259" s="1"/>
  <c r="J77" i="259"/>
  <c r="O30" i="261"/>
  <c r="O44" i="261" s="1"/>
  <c r="O31" i="224"/>
  <c r="P29" i="224" s="1"/>
  <c r="J83" i="259"/>
  <c r="P29" i="261"/>
  <c r="O35" i="224"/>
  <c r="M134" i="224"/>
  <c r="J82" i="259"/>
  <c r="J69" i="259"/>
  <c r="J74" i="259"/>
  <c r="N138" i="224"/>
  <c r="N125" i="224"/>
  <c r="N134" i="224" s="1"/>
  <c r="N130" i="224"/>
  <c r="O31" i="259" l="1"/>
  <c r="P29" i="259" s="1"/>
  <c r="P30" i="259" s="1"/>
  <c r="P32" i="259" s="1"/>
  <c r="P34" i="259" s="1"/>
  <c r="P35" i="259" s="1"/>
  <c r="O109" i="224"/>
  <c r="P107" i="224" s="1"/>
  <c r="P108" i="224" s="1"/>
  <c r="P110" i="224" s="1"/>
  <c r="P112" i="224" s="1"/>
  <c r="P113" i="224" s="1"/>
  <c r="P119" i="224" s="1"/>
  <c r="O49" i="261"/>
  <c r="O48" i="261" s="1"/>
  <c r="O43" i="261"/>
  <c r="O120" i="224"/>
  <c r="O137" i="224"/>
  <c r="O124" i="224"/>
  <c r="O133" i="224" s="1"/>
  <c r="O129" i="224"/>
  <c r="J78" i="224"/>
  <c r="P30" i="224"/>
  <c r="P32" i="224" s="1"/>
  <c r="P34" i="224" s="1"/>
  <c r="O40" i="224"/>
  <c r="O194" i="224"/>
  <c r="O197" i="224" s="1"/>
  <c r="L46" i="224"/>
  <c r="L47" i="224"/>
  <c r="L48" i="224" s="1"/>
  <c r="P109" i="259"/>
  <c r="Q107" i="259" s="1"/>
  <c r="J84" i="224"/>
  <c r="P120" i="259"/>
  <c r="P124" i="259"/>
  <c r="P133" i="259" s="1"/>
  <c r="P137" i="259"/>
  <c r="P129" i="259"/>
  <c r="J78" i="259"/>
  <c r="J84" i="259"/>
  <c r="K81" i="224"/>
  <c r="K64" i="224"/>
  <c r="K68" i="224"/>
  <c r="K73" i="224"/>
  <c r="L47" i="259"/>
  <c r="L48" i="259" s="1"/>
  <c r="L46" i="259"/>
  <c r="P30" i="261"/>
  <c r="P44" i="261" s="1"/>
  <c r="P43" i="261" s="1"/>
  <c r="O40" i="259"/>
  <c r="O195" i="259"/>
  <c r="O198" i="259" s="1"/>
  <c r="K64" i="259"/>
  <c r="K81" i="259"/>
  <c r="K68" i="259"/>
  <c r="K73" i="259"/>
  <c r="P31" i="224" l="1"/>
  <c r="Q29" i="224" s="1"/>
  <c r="Q30" i="224" s="1"/>
  <c r="Q32" i="224" s="1"/>
  <c r="Q34" i="224" s="1"/>
  <c r="Q35" i="224" s="1"/>
  <c r="P31" i="259"/>
  <c r="Q29" i="259" s="1"/>
  <c r="Q30" i="259" s="1"/>
  <c r="Q32" i="259" s="1"/>
  <c r="Q34" i="259" s="1"/>
  <c r="Q35" i="259" s="1"/>
  <c r="P49" i="261"/>
  <c r="P48" i="261" s="1"/>
  <c r="M42" i="259"/>
  <c r="L63" i="224"/>
  <c r="L190" i="224"/>
  <c r="K77" i="259"/>
  <c r="K77" i="224"/>
  <c r="P138" i="259"/>
  <c r="P125" i="259"/>
  <c r="P134" i="259" s="1"/>
  <c r="P130" i="259"/>
  <c r="K82" i="224"/>
  <c r="K69" i="224"/>
  <c r="K74" i="224"/>
  <c r="K69" i="259"/>
  <c r="K82" i="259"/>
  <c r="K74" i="259"/>
  <c r="K83" i="224"/>
  <c r="Q29" i="261"/>
  <c r="P35" i="224"/>
  <c r="P40" i="259"/>
  <c r="P195" i="259"/>
  <c r="P198" i="259" s="1"/>
  <c r="P109" i="224"/>
  <c r="Q107" i="224" s="1"/>
  <c r="O125" i="224"/>
  <c r="O134" i="224" s="1"/>
  <c r="O138" i="224"/>
  <c r="O130" i="224"/>
  <c r="K83" i="259"/>
  <c r="P120" i="224"/>
  <c r="P137" i="224"/>
  <c r="P124" i="224"/>
  <c r="P133" i="224" s="1"/>
  <c r="P129" i="224"/>
  <c r="Q108" i="259"/>
  <c r="Q110" i="259" s="1"/>
  <c r="Q112" i="259" s="1"/>
  <c r="Q113" i="259" s="1"/>
  <c r="Q119" i="259" s="1"/>
  <c r="L63" i="259"/>
  <c r="L191" i="259"/>
  <c r="M42" i="224"/>
  <c r="Q31" i="224" l="1"/>
  <c r="R29" i="224" s="1"/>
  <c r="R30" i="224" s="1"/>
  <c r="R32" i="224" s="1"/>
  <c r="R34" i="224" s="1"/>
  <c r="R35" i="224" s="1"/>
  <c r="Q109" i="259"/>
  <c r="R107" i="259" s="1"/>
  <c r="R108" i="259" s="1"/>
  <c r="R110" i="259" s="1"/>
  <c r="R112" i="259" s="1"/>
  <c r="R113" i="259" s="1"/>
  <c r="R119" i="259" s="1"/>
  <c r="K84" i="224"/>
  <c r="Q31" i="259"/>
  <c r="R29" i="259" s="1"/>
  <c r="P138" i="224"/>
  <c r="P125" i="224"/>
  <c r="P134" i="224" s="1"/>
  <c r="P130" i="224"/>
  <c r="Q108" i="224"/>
  <c r="Q110" i="224" s="1"/>
  <c r="Q112" i="224" s="1"/>
  <c r="Q113" i="224" s="1"/>
  <c r="Q119" i="224" s="1"/>
  <c r="K84" i="259"/>
  <c r="K78" i="259"/>
  <c r="Q40" i="259"/>
  <c r="Q195" i="259"/>
  <c r="Q198" i="259" s="1"/>
  <c r="P40" i="224"/>
  <c r="P194" i="224"/>
  <c r="P197" i="224" s="1"/>
  <c r="Q40" i="224"/>
  <c r="Q194" i="224"/>
  <c r="Q197" i="224" s="1"/>
  <c r="L64" i="224"/>
  <c r="L68" i="224"/>
  <c r="L77" i="224" s="1"/>
  <c r="L81" i="224"/>
  <c r="L83" i="224" s="1"/>
  <c r="L73" i="224"/>
  <c r="M47" i="224"/>
  <c r="M48" i="224" s="1"/>
  <c r="M46" i="224"/>
  <c r="Q30" i="261"/>
  <c r="Q49" i="261" s="1"/>
  <c r="R29" i="261"/>
  <c r="M46" i="259"/>
  <c r="M47" i="259"/>
  <c r="M48" i="259" s="1"/>
  <c r="L64" i="259"/>
  <c r="L81" i="259"/>
  <c r="L83" i="259" s="1"/>
  <c r="L68" i="259"/>
  <c r="L77" i="259" s="1"/>
  <c r="L73" i="259"/>
  <c r="Q120" i="259"/>
  <c r="Q124" i="259"/>
  <c r="Q133" i="259" s="1"/>
  <c r="Q137" i="259"/>
  <c r="Q129" i="259"/>
  <c r="K78" i="224"/>
  <c r="Q109" i="224" l="1"/>
  <c r="R107" i="224" s="1"/>
  <c r="R108" i="224" s="1"/>
  <c r="R110" i="224" s="1"/>
  <c r="R112" i="224" s="1"/>
  <c r="R113" i="224" s="1"/>
  <c r="R119" i="224" s="1"/>
  <c r="R109" i="259"/>
  <c r="S107" i="259" s="1"/>
  <c r="S108" i="259" s="1"/>
  <c r="S110" i="259" s="1"/>
  <c r="S112" i="259" s="1"/>
  <c r="S113" i="259" s="1"/>
  <c r="S119" i="259" s="1"/>
  <c r="R120" i="259"/>
  <c r="R137" i="259"/>
  <c r="R124" i="259"/>
  <c r="R133" i="259" s="1"/>
  <c r="R129" i="259"/>
  <c r="Q120" i="224"/>
  <c r="Q137" i="224"/>
  <c r="Q124" i="224"/>
  <c r="Q133" i="224" s="1"/>
  <c r="Q129" i="224"/>
  <c r="M63" i="259"/>
  <c r="M191" i="259"/>
  <c r="L82" i="224"/>
  <c r="L84" i="224" s="1"/>
  <c r="L69" i="224"/>
  <c r="L78" i="224" s="1"/>
  <c r="L74" i="224"/>
  <c r="Q125" i="259"/>
  <c r="Q134" i="259" s="1"/>
  <c r="Q138" i="259"/>
  <c r="Q130" i="259"/>
  <c r="Q44" i="261"/>
  <c r="R30" i="261"/>
  <c r="R31" i="224"/>
  <c r="S29" i="224" s="1"/>
  <c r="L82" i="259"/>
  <c r="L84" i="259" s="1"/>
  <c r="L69" i="259"/>
  <c r="L78" i="259" s="1"/>
  <c r="L74" i="259"/>
  <c r="R40" i="224"/>
  <c r="R194" i="224"/>
  <c r="R197" i="224" s="1"/>
  <c r="R30" i="259"/>
  <c r="R32" i="259" s="1"/>
  <c r="R34" i="259" s="1"/>
  <c r="R35" i="259" s="1"/>
  <c r="Q48" i="261"/>
  <c r="T48" i="261" s="1"/>
  <c r="T49" i="261"/>
  <c r="M63" i="224"/>
  <c r="M190" i="224"/>
  <c r="N42" i="259"/>
  <c r="N42" i="224"/>
  <c r="R31" i="259" l="1"/>
  <c r="S29" i="259" s="1"/>
  <c r="S30" i="259" s="1"/>
  <c r="S32" i="259" s="1"/>
  <c r="S34" i="259" s="1"/>
  <c r="S35" i="259" s="1"/>
  <c r="R109" i="224"/>
  <c r="S107" i="224" s="1"/>
  <c r="S108" i="224" s="1"/>
  <c r="S110" i="224" s="1"/>
  <c r="S112" i="224" s="1"/>
  <c r="S113" i="224" s="1"/>
  <c r="S119" i="224" s="1"/>
  <c r="M81" i="224"/>
  <c r="M83" i="224" s="1"/>
  <c r="M64" i="224"/>
  <c r="M68" i="224"/>
  <c r="M77" i="224" s="1"/>
  <c r="M73" i="224"/>
  <c r="Q43" i="261"/>
  <c r="T43" i="261" s="1"/>
  <c r="T44" i="261"/>
  <c r="Q138" i="224"/>
  <c r="Q125" i="224"/>
  <c r="Q134" i="224" s="1"/>
  <c r="Q130" i="224"/>
  <c r="S109" i="259"/>
  <c r="T107" i="259" s="1"/>
  <c r="S120" i="259"/>
  <c r="S137" i="259"/>
  <c r="D139" i="259" s="1"/>
  <c r="S124" i="259"/>
  <c r="S129" i="259"/>
  <c r="D131" i="259" s="1"/>
  <c r="D146" i="259" s="1"/>
  <c r="I8" i="260" s="1"/>
  <c r="R120" i="224"/>
  <c r="R137" i="224"/>
  <c r="R124" i="224"/>
  <c r="R133" i="224" s="1"/>
  <c r="R129" i="224"/>
  <c r="R40" i="259"/>
  <c r="R195" i="259"/>
  <c r="R198" i="259" s="1"/>
  <c r="M81" i="259"/>
  <c r="M83" i="259" s="1"/>
  <c r="M64" i="259"/>
  <c r="M68" i="259"/>
  <c r="M77" i="259" s="1"/>
  <c r="M73" i="259"/>
  <c r="N47" i="224"/>
  <c r="N48" i="224" s="1"/>
  <c r="N46" i="224"/>
  <c r="N47" i="259"/>
  <c r="N48" i="259" s="1"/>
  <c r="N46" i="259"/>
  <c r="S30" i="224"/>
  <c r="S32" i="224" s="1"/>
  <c r="S34" i="224" s="1"/>
  <c r="R125" i="259"/>
  <c r="R134" i="259" s="1"/>
  <c r="R138" i="259"/>
  <c r="R130" i="259"/>
  <c r="S31" i="259" l="1"/>
  <c r="T29" i="259" s="1"/>
  <c r="T30" i="259" s="1"/>
  <c r="T32" i="259" s="1"/>
  <c r="T34" i="259" s="1"/>
  <c r="T35" i="259" s="1"/>
  <c r="S109" i="224"/>
  <c r="T107" i="224" s="1"/>
  <c r="T108" i="224" s="1"/>
  <c r="T110" i="224" s="1"/>
  <c r="T112" i="224" s="1"/>
  <c r="T113" i="224" s="1"/>
  <c r="D145" i="259"/>
  <c r="I7" i="260" s="1"/>
  <c r="K7" i="264" s="1"/>
  <c r="K18" i="264" s="1"/>
  <c r="K39" i="264" s="1"/>
  <c r="K64" i="264" s="1"/>
  <c r="N63" i="224"/>
  <c r="N190" i="224"/>
  <c r="S125" i="259"/>
  <c r="O42" i="224"/>
  <c r="S120" i="224"/>
  <c r="S137" i="224"/>
  <c r="D139" i="224" s="1"/>
  <c r="D145" i="224" s="1"/>
  <c r="S124" i="224"/>
  <c r="S129" i="224"/>
  <c r="D131" i="224" s="1"/>
  <c r="D146" i="224" s="1"/>
  <c r="S40" i="259"/>
  <c r="S195" i="259"/>
  <c r="S198" i="259" s="1"/>
  <c r="C35" i="259"/>
  <c r="S35" i="224"/>
  <c r="V34" i="224"/>
  <c r="D37" i="260" s="1"/>
  <c r="C34" i="224"/>
  <c r="M69" i="259"/>
  <c r="M78" i="259" s="1"/>
  <c r="M82" i="259"/>
  <c r="M84" i="259" s="1"/>
  <c r="M74" i="259"/>
  <c r="T108" i="259"/>
  <c r="T110" i="259" s="1"/>
  <c r="T112" i="259" s="1"/>
  <c r="T113" i="259" s="1"/>
  <c r="S31" i="224"/>
  <c r="T29" i="224" s="1"/>
  <c r="R125" i="224"/>
  <c r="R134" i="224" s="1"/>
  <c r="R138" i="224"/>
  <c r="R130" i="224"/>
  <c r="K8" i="264"/>
  <c r="I18" i="264" s="1"/>
  <c r="I39" i="264" s="1"/>
  <c r="I64" i="264" s="1"/>
  <c r="J8" i="260"/>
  <c r="M82" i="224"/>
  <c r="M84" i="224" s="1"/>
  <c r="M69" i="224"/>
  <c r="M78" i="224" s="1"/>
  <c r="M74" i="224"/>
  <c r="N63" i="259"/>
  <c r="N191" i="259"/>
  <c r="O42" i="259"/>
  <c r="D127" i="259"/>
  <c r="S133" i="259"/>
  <c r="D135" i="259" s="1"/>
  <c r="D147" i="259" s="1"/>
  <c r="I9" i="260" s="1"/>
  <c r="T109" i="224" l="1"/>
  <c r="T31" i="259"/>
  <c r="C40" i="259"/>
  <c r="N64" i="259"/>
  <c r="N81" i="259"/>
  <c r="N83" i="259" s="1"/>
  <c r="N68" i="259"/>
  <c r="N77" i="259" s="1"/>
  <c r="N73" i="259"/>
  <c r="D127" i="224"/>
  <c r="S133" i="224"/>
  <c r="D135" i="224" s="1"/>
  <c r="D147" i="224" s="1"/>
  <c r="K9" i="264"/>
  <c r="J18" i="264" s="1"/>
  <c r="J39" i="264" s="1"/>
  <c r="J64" i="264" s="1"/>
  <c r="J9" i="260"/>
  <c r="I37" i="260"/>
  <c r="D42" i="260"/>
  <c r="S125" i="224"/>
  <c r="N64" i="224"/>
  <c r="N68" i="224"/>
  <c r="N77" i="224" s="1"/>
  <c r="N81" i="224"/>
  <c r="N83" i="224" s="1"/>
  <c r="N73" i="224"/>
  <c r="O47" i="259"/>
  <c r="O48" i="259" s="1"/>
  <c r="O46" i="259"/>
  <c r="A139" i="259"/>
  <c r="D144" i="259"/>
  <c r="I6" i="260" s="1"/>
  <c r="K6" i="264" s="1"/>
  <c r="H18" i="264" s="1"/>
  <c r="H39" i="264" s="1"/>
  <c r="H64" i="264" s="1"/>
  <c r="T30" i="224"/>
  <c r="T32" i="224" s="1"/>
  <c r="T34" i="224" s="1"/>
  <c r="T35" i="224" s="1"/>
  <c r="S40" i="224"/>
  <c r="S194" i="224"/>
  <c r="S197" i="224" s="1"/>
  <c r="C35" i="224"/>
  <c r="A35" i="224" s="1"/>
  <c r="V35" i="224"/>
  <c r="T53" i="259"/>
  <c r="T195" i="259"/>
  <c r="T198" i="259" s="1"/>
  <c r="C198" i="259" s="1"/>
  <c r="T109" i="259"/>
  <c r="O47" i="224"/>
  <c r="O48" i="224" s="1"/>
  <c r="O46" i="224"/>
  <c r="E139" i="259"/>
  <c r="T31" i="224" l="1"/>
  <c r="V40" i="224"/>
  <c r="C40" i="224"/>
  <c r="P42" i="224"/>
  <c r="T53" i="224"/>
  <c r="T194" i="224"/>
  <c r="T197" i="224" s="1"/>
  <c r="C197" i="224" s="1"/>
  <c r="N82" i="224"/>
  <c r="N84" i="224" s="1"/>
  <c r="N69" i="224"/>
  <c r="N78" i="224" s="1"/>
  <c r="N74" i="224"/>
  <c r="D144" i="224"/>
  <c r="A139" i="224"/>
  <c r="O63" i="259"/>
  <c r="O191" i="259"/>
  <c r="O63" i="224"/>
  <c r="O190" i="224"/>
  <c r="T55" i="259"/>
  <c r="T57" i="259" s="1"/>
  <c r="T59" i="259" s="1"/>
  <c r="T61" i="259" s="1"/>
  <c r="P42" i="259"/>
  <c r="N82" i="259"/>
  <c r="N84" i="259" s="1"/>
  <c r="N69" i="259"/>
  <c r="N78" i="259" s="1"/>
  <c r="N74" i="259"/>
  <c r="T64" i="259" l="1"/>
  <c r="T120" i="259"/>
  <c r="T55" i="224"/>
  <c r="T57" i="224" s="1"/>
  <c r="T59" i="224" s="1"/>
  <c r="T61" i="224" s="1"/>
  <c r="O64" i="224"/>
  <c r="O68" i="224"/>
  <c r="O77" i="224" s="1"/>
  <c r="O81" i="224"/>
  <c r="O83" i="224" s="1"/>
  <c r="O73" i="224"/>
  <c r="O64" i="259"/>
  <c r="O81" i="259"/>
  <c r="O83" i="259" s="1"/>
  <c r="O68" i="259"/>
  <c r="O77" i="259" s="1"/>
  <c r="O73" i="259"/>
  <c r="P47" i="224"/>
  <c r="P48" i="224" s="1"/>
  <c r="P46" i="224"/>
  <c r="P47" i="259"/>
  <c r="P48" i="259" s="1"/>
  <c r="P46" i="259"/>
  <c r="T64" i="224" l="1"/>
  <c r="T120" i="224"/>
  <c r="P63" i="224"/>
  <c r="P190" i="224"/>
  <c r="Q42" i="259"/>
  <c r="Q42" i="224"/>
  <c r="O82" i="224"/>
  <c r="O84" i="224" s="1"/>
  <c r="O69" i="224"/>
  <c r="O78" i="224" s="1"/>
  <c r="O74" i="224"/>
  <c r="O69" i="259"/>
  <c r="O78" i="259" s="1"/>
  <c r="O82" i="259"/>
  <c r="O84" i="259" s="1"/>
  <c r="O74" i="259"/>
  <c r="T125" i="259"/>
  <c r="S130" i="259"/>
  <c r="D132" i="259" s="1"/>
  <c r="D151" i="259" s="1"/>
  <c r="I13" i="260" s="1"/>
  <c r="S138" i="259"/>
  <c r="D140" i="259" s="1"/>
  <c r="P63" i="259"/>
  <c r="P191" i="259"/>
  <c r="T69" i="259"/>
  <c r="J13" i="260" l="1"/>
  <c r="S8" i="264"/>
  <c r="Q18" i="264" s="1"/>
  <c r="Q39" i="264" s="1"/>
  <c r="Q64" i="264" s="1"/>
  <c r="D128" i="259"/>
  <c r="S134" i="259"/>
  <c r="D136" i="259" s="1"/>
  <c r="D152" i="259" s="1"/>
  <c r="I14" i="260" s="1"/>
  <c r="Q47" i="259"/>
  <c r="Q48" i="259" s="1"/>
  <c r="Q46" i="259"/>
  <c r="P64" i="224"/>
  <c r="P68" i="224"/>
  <c r="P77" i="224" s="1"/>
  <c r="P81" i="224"/>
  <c r="P83" i="224" s="1"/>
  <c r="P73" i="224"/>
  <c r="Q47" i="224"/>
  <c r="Q48" i="224" s="1"/>
  <c r="Q46" i="224"/>
  <c r="P64" i="259"/>
  <c r="P81" i="259"/>
  <c r="P83" i="259" s="1"/>
  <c r="P68" i="259"/>
  <c r="P77" i="259" s="1"/>
  <c r="P73" i="259"/>
  <c r="T125" i="224"/>
  <c r="S130" i="224"/>
  <c r="D132" i="224" s="1"/>
  <c r="D151" i="224" s="1"/>
  <c r="S138" i="224"/>
  <c r="D140" i="224" s="1"/>
  <c r="D150" i="224" s="1"/>
  <c r="D150" i="259"/>
  <c r="I12" i="260" s="1"/>
  <c r="S7" i="264" s="1"/>
  <c r="S18" i="264" s="1"/>
  <c r="S39" i="264" s="1"/>
  <c r="S64" i="264" s="1"/>
  <c r="T69" i="224"/>
  <c r="I33" i="260" l="1"/>
  <c r="I36" i="260" s="1"/>
  <c r="I42" i="260" s="1"/>
  <c r="E140" i="259"/>
  <c r="Q63" i="224"/>
  <c r="Q190" i="224"/>
  <c r="Q63" i="259"/>
  <c r="Q191" i="259"/>
  <c r="P82" i="259"/>
  <c r="P84" i="259" s="1"/>
  <c r="P69" i="259"/>
  <c r="P74" i="259"/>
  <c r="R42" i="224"/>
  <c r="R42" i="259"/>
  <c r="S9" i="264"/>
  <c r="R18" i="264" s="1"/>
  <c r="R39" i="264" s="1"/>
  <c r="R64" i="264" s="1"/>
  <c r="J14" i="260"/>
  <c r="D128" i="224"/>
  <c r="S134" i="224"/>
  <c r="D136" i="224" s="1"/>
  <c r="D152" i="224" s="1"/>
  <c r="A140" i="259"/>
  <c r="D149" i="259"/>
  <c r="I11" i="260" s="1"/>
  <c r="S6" i="264" s="1"/>
  <c r="P18" i="264" s="1"/>
  <c r="P39" i="264" s="1"/>
  <c r="P64" i="264" s="1"/>
  <c r="P82" i="224"/>
  <c r="P84" i="224" s="1"/>
  <c r="P69" i="224"/>
  <c r="P78" i="224" s="1"/>
  <c r="P74" i="224"/>
  <c r="R46" i="259" l="1"/>
  <c r="R47" i="259"/>
  <c r="R48" i="259" s="1"/>
  <c r="Q81" i="259"/>
  <c r="Q83" i="259" s="1"/>
  <c r="Q64" i="259"/>
  <c r="Q68" i="259"/>
  <c r="Q77" i="259" s="1"/>
  <c r="Q73" i="259"/>
  <c r="R47" i="224"/>
  <c r="R48" i="224" s="1"/>
  <c r="R46" i="224"/>
  <c r="Q64" i="224"/>
  <c r="Q81" i="224"/>
  <c r="Q83" i="224" s="1"/>
  <c r="Q68" i="224"/>
  <c r="Q77" i="224" s="1"/>
  <c r="Q73" i="224"/>
  <c r="D149" i="224"/>
  <c r="A140" i="224"/>
  <c r="P78" i="259"/>
  <c r="S42" i="224" l="1"/>
  <c r="Q69" i="259"/>
  <c r="Q82" i="259"/>
  <c r="Q84" i="259" s="1"/>
  <c r="Q74" i="259"/>
  <c r="R63" i="224"/>
  <c r="R190" i="224"/>
  <c r="S42" i="259"/>
  <c r="Q82" i="224"/>
  <c r="Q84" i="224" s="1"/>
  <c r="Q69" i="224"/>
  <c r="Q74" i="224"/>
  <c r="R63" i="259"/>
  <c r="R191" i="259"/>
  <c r="Q78" i="259" l="1"/>
  <c r="R64" i="259"/>
  <c r="R81" i="259"/>
  <c r="R83" i="259" s="1"/>
  <c r="R68" i="259"/>
  <c r="R77" i="259" s="1"/>
  <c r="R73" i="259"/>
  <c r="Q78" i="224"/>
  <c r="R64" i="224"/>
  <c r="R81" i="224"/>
  <c r="R83" i="224" s="1"/>
  <c r="R68" i="224"/>
  <c r="R77" i="224" s="1"/>
  <c r="R73" i="224"/>
  <c r="C42" i="259"/>
  <c r="S46" i="259"/>
  <c r="S47" i="259"/>
  <c r="S48" i="259" s="1"/>
  <c r="C42" i="224"/>
  <c r="S46" i="224"/>
  <c r="S47" i="224"/>
  <c r="S48" i="224" s="1"/>
  <c r="R82" i="259" l="1"/>
  <c r="R84" i="259" s="1"/>
  <c r="R69" i="259"/>
  <c r="R74" i="259"/>
  <c r="S63" i="259"/>
  <c r="S191" i="259"/>
  <c r="C46" i="259"/>
  <c r="R82" i="224"/>
  <c r="R84" i="224" s="1"/>
  <c r="R69" i="224"/>
  <c r="R74" i="224"/>
  <c r="S63" i="224"/>
  <c r="S190" i="224"/>
  <c r="V46" i="224"/>
  <c r="C46" i="224"/>
  <c r="S64" i="259" l="1"/>
  <c r="S81" i="259"/>
  <c r="S68" i="259"/>
  <c r="S73" i="259"/>
  <c r="D75" i="259" s="1"/>
  <c r="D93" i="259" s="1"/>
  <c r="D8" i="260" s="1"/>
  <c r="R78" i="259"/>
  <c r="S64" i="224"/>
  <c r="S81" i="224"/>
  <c r="S68" i="224"/>
  <c r="S73" i="224"/>
  <c r="D75" i="224" s="1"/>
  <c r="D93" i="224" s="1"/>
  <c r="R78" i="224"/>
  <c r="D71" i="259" l="1"/>
  <c r="S77" i="259"/>
  <c r="D79" i="259" s="1"/>
  <c r="D94" i="259" s="1"/>
  <c r="D9" i="260" s="1"/>
  <c r="S83" i="224"/>
  <c r="C81" i="224"/>
  <c r="C81" i="259"/>
  <c r="S83" i="259"/>
  <c r="E8" i="264"/>
  <c r="E18" i="264" s="1"/>
  <c r="E39" i="264" s="1"/>
  <c r="E64" i="264" s="1"/>
  <c r="E8" i="260"/>
  <c r="D71" i="224"/>
  <c r="S77" i="224"/>
  <c r="D79" i="224" s="1"/>
  <c r="D94" i="224" s="1"/>
  <c r="S82" i="224"/>
  <c r="S69" i="224"/>
  <c r="S74" i="224"/>
  <c r="D76" i="224" s="1"/>
  <c r="D98" i="224" s="1"/>
  <c r="S69" i="259"/>
  <c r="S82" i="259"/>
  <c r="S74" i="259"/>
  <c r="D76" i="259" s="1"/>
  <c r="D98" i="259" s="1"/>
  <c r="D13" i="260" s="1"/>
  <c r="S84" i="259" l="1"/>
  <c r="C82" i="259"/>
  <c r="S78" i="259"/>
  <c r="D80" i="259" s="1"/>
  <c r="D99" i="259" s="1"/>
  <c r="D14" i="260" s="1"/>
  <c r="D72" i="259"/>
  <c r="E13" i="260"/>
  <c r="N8" i="264"/>
  <c r="M18" i="264" s="1"/>
  <c r="M39" i="264" s="1"/>
  <c r="M64" i="264" s="1"/>
  <c r="D85" i="259"/>
  <c r="C83" i="259"/>
  <c r="S78" i="224"/>
  <c r="D80" i="224" s="1"/>
  <c r="D99" i="224" s="1"/>
  <c r="D72" i="224"/>
  <c r="S84" i="224"/>
  <c r="C82" i="224"/>
  <c r="D85" i="224"/>
  <c r="A85" i="224" s="1"/>
  <c r="C83" i="224"/>
  <c r="E9" i="260"/>
  <c r="E9" i="264"/>
  <c r="F18" i="264" s="1"/>
  <c r="F39" i="264" s="1"/>
  <c r="F64" i="264" s="1"/>
  <c r="D2" i="204"/>
  <c r="D91" i="224"/>
  <c r="X46" i="224"/>
  <c r="D91" i="259"/>
  <c r="D6" i="260" s="1"/>
  <c r="E85" i="259" l="1"/>
  <c r="D92" i="259"/>
  <c r="D7" i="260" s="1"/>
  <c r="E6" i="264"/>
  <c r="D18" i="264" s="1"/>
  <c r="D39" i="264" s="1"/>
  <c r="D64" i="264" s="1"/>
  <c r="E46" i="151"/>
  <c r="A85" i="259"/>
  <c r="D96" i="259"/>
  <c r="D11" i="260" s="1"/>
  <c r="A82" i="259"/>
  <c r="N9" i="264"/>
  <c r="N18" i="264" s="1"/>
  <c r="N39" i="264" s="1"/>
  <c r="N64" i="264" s="1"/>
  <c r="E14" i="260"/>
  <c r="D4" i="204"/>
  <c r="D92" i="224"/>
  <c r="D86" i="224"/>
  <c r="C84" i="224"/>
  <c r="D3" i="204"/>
  <c r="D96" i="224"/>
  <c r="D86" i="259"/>
  <c r="A86" i="259" s="1"/>
  <c r="C84" i="259"/>
  <c r="D97" i="224" l="1"/>
  <c r="D5" i="204"/>
  <c r="E49" i="151"/>
  <c r="I44" i="260"/>
  <c r="N6" i="264"/>
  <c r="L18" i="264" s="1"/>
  <c r="L39" i="264" s="1"/>
  <c r="L64" i="264" s="1"/>
  <c r="A86" i="224"/>
  <c r="E7" i="264"/>
  <c r="G18" i="264" s="1"/>
  <c r="G39" i="264" s="1"/>
  <c r="G64" i="264" s="1"/>
  <c r="E47" i="151"/>
  <c r="E86" i="259"/>
  <c r="D97" i="259"/>
  <c r="D12" i="260" s="1"/>
  <c r="E50" i="151" l="1"/>
  <c r="N7" i="264"/>
  <c r="O18" i="264" s="1"/>
  <c r="O39" i="264" s="1"/>
  <c r="O64" i="264" s="1"/>
</calcChain>
</file>

<file path=xl/comments1.xml><?xml version="1.0" encoding="utf-8"?>
<comments xmlns="http://schemas.openxmlformats.org/spreadsheetml/2006/main">
  <authors>
    <author>Yulia Nikitina/RUS</author>
    <author>Marina Smirnova/RUS</author>
  </authors>
  <commentLis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минимум - 2 номера</t>
        </r>
      </text>
    </comment>
    <comment ref="F11" authorId="1" shapeId="0">
      <text>
        <r>
          <rPr>
            <b/>
            <sz val="9"/>
            <color indexed="81"/>
            <rFont val="Tahoma"/>
            <family val="2"/>
            <charset val="204"/>
          </rPr>
          <t>Marina Smirnova/RUS:</t>
        </r>
        <r>
          <rPr>
            <sz val="9"/>
            <color indexed="81"/>
            <rFont val="Tahoma"/>
            <family val="2"/>
            <charset val="204"/>
          </rPr>
          <t xml:space="preserve">
только номера, без циркуляции и служебных помещений</t>
        </r>
      </text>
    </comment>
  </commentList>
</comments>
</file>

<file path=xl/comments2.xml><?xml version="1.0" encoding="utf-8"?>
<comments xmlns="http://schemas.openxmlformats.org/spreadsheetml/2006/main">
  <authors>
    <author>Yulia Nikitina/RUS</author>
  </authors>
  <commentLis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минимум - 2 номера</t>
        </r>
      </text>
    </comment>
  </commentList>
</comments>
</file>

<file path=xl/comments3.xml><?xml version="1.0" encoding="utf-8"?>
<comments xmlns="http://schemas.openxmlformats.org/spreadsheetml/2006/main">
  <authors>
    <author>Marina Smirnova/RUS</author>
  </authors>
  <commentList>
    <comment ref="F4" authorId="0" shapeId="0">
      <text>
        <r>
          <rPr>
            <b/>
            <sz val="9"/>
            <color indexed="81"/>
            <rFont val="Tahoma"/>
            <family val="2"/>
            <charset val="204"/>
          </rPr>
          <t>Marina Smirnova/RUS:</t>
        </r>
        <r>
          <rPr>
            <sz val="9"/>
            <color indexed="81"/>
            <rFont val="Tahoma"/>
            <family val="2"/>
            <charset val="204"/>
          </rPr>
          <t xml:space="preserve">
в периметре внеших стен</t>
        </r>
      </text>
    </comment>
  </commentList>
</comments>
</file>

<file path=xl/comments4.xml><?xml version="1.0" encoding="utf-8"?>
<comments xmlns="http://schemas.openxmlformats.org/spreadsheetml/2006/main">
  <authors>
    <author>Yulia Nikitina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Вручную внести долю квартала, если дата ввода приходится не на 1 число кв.</t>
        </r>
      </text>
    </comment>
    <comment ref="E23" authorId="0" shapeId="0">
      <text>
        <r>
          <rPr>
            <sz val="9"/>
            <color indexed="81"/>
            <rFont val="Tahoma"/>
            <family val="2"/>
            <charset val="204"/>
          </rPr>
          <t>Доля пятна застройки под резиденции в общем земельном участке</t>
        </r>
      </text>
    </comment>
    <comment ref="F23" authorId="0" shapeId="0">
      <text>
        <r>
          <rPr>
            <sz val="9"/>
            <color indexed="81"/>
            <rFont val="Tahoma"/>
            <family val="2"/>
            <charset val="204"/>
          </rPr>
          <t>Площадь резиденций на продажу ВСЕГО</t>
        </r>
      </text>
    </comment>
  </commentList>
</comments>
</file>

<file path=xl/comments5.xml><?xml version="1.0" encoding="utf-8"?>
<comments xmlns="http://schemas.openxmlformats.org/spreadsheetml/2006/main">
  <authors>
    <author>Yulia Nikitina</author>
  </authors>
  <commentList>
    <comment ref="C25" authorId="0" shapeId="0">
      <text>
        <r>
          <rPr>
            <sz val="9"/>
            <color indexed="81"/>
            <rFont val="Tahoma"/>
            <family val="2"/>
            <charset val="204"/>
          </rPr>
          <t>Страховые взносы в ПФР, ФФОМС и ФСС</t>
        </r>
      </text>
    </comment>
  </commentList>
</comments>
</file>

<file path=xl/comments6.xml><?xml version="1.0" encoding="utf-8"?>
<comments xmlns="http://schemas.openxmlformats.org/spreadsheetml/2006/main">
  <authors>
    <author>Yulia Nikitina/RUS</author>
    <author>Marina Smirnova</author>
  </authors>
  <commentList>
    <comment ref="A8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 необходимости </t>
        </r>
        <r>
          <rPr>
            <sz val="9"/>
            <color indexed="81"/>
            <rFont val="Tahoma"/>
            <family val="2"/>
            <charset val="204"/>
          </rPr>
          <t>- вручную внести правки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 необходимости </t>
        </r>
        <r>
          <rPr>
            <sz val="9"/>
            <color indexed="81"/>
            <rFont val="Tahoma"/>
            <family val="2"/>
            <charset val="204"/>
          </rPr>
          <t>- вручную внести правки</t>
        </r>
      </text>
    </comment>
    <comment ref="D158" authorId="1" shapeId="0">
      <text>
        <r>
          <rPr>
            <b/>
            <sz val="9"/>
            <color indexed="81"/>
            <rFont val="Tahoma"/>
            <family val="2"/>
            <charset val="204"/>
          </rPr>
          <t>Marina Smirnova:</t>
        </r>
        <r>
          <rPr>
            <sz val="9"/>
            <color indexed="81"/>
            <rFont val="Tahoma"/>
            <family val="2"/>
            <charset val="204"/>
          </rPr>
          <t xml:space="preserve">
0 - нет льготы, ставка 20,0%
1 - есть льгота, ставка 4%</t>
        </r>
      </text>
    </comment>
  </commentList>
</comments>
</file>

<file path=xl/comments7.xml><?xml version="1.0" encoding="utf-8"?>
<comments xmlns="http://schemas.openxmlformats.org/spreadsheetml/2006/main">
  <authors>
    <author>Yulia Nikitina/RUS</author>
    <author>Marina Smirnova</author>
  </authors>
  <commentList>
    <comment ref="A46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перейти по ссылке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 необходимости </t>
        </r>
        <r>
          <rPr>
            <sz val="9"/>
            <color indexed="81"/>
            <rFont val="Tahoma"/>
            <family val="2"/>
            <charset val="204"/>
          </rPr>
          <t>- вручную внести правки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При необходимости </t>
        </r>
        <r>
          <rPr>
            <sz val="9"/>
            <color indexed="81"/>
            <rFont val="Tahoma"/>
            <family val="2"/>
            <charset val="204"/>
          </rPr>
          <t>- вручную внести правки</t>
        </r>
      </text>
    </comment>
    <comment ref="D157" authorId="1" shapeId="0">
      <text>
        <r>
          <rPr>
            <b/>
            <sz val="9"/>
            <color indexed="81"/>
            <rFont val="Tahoma"/>
            <family val="2"/>
            <charset val="204"/>
          </rPr>
          <t>Marina Smirnova:</t>
        </r>
        <r>
          <rPr>
            <sz val="9"/>
            <color indexed="81"/>
            <rFont val="Tahoma"/>
            <family val="2"/>
            <charset val="204"/>
          </rPr>
          <t xml:space="preserve">
0 - нет льготы, ставка 10,0%
1 - есть льгота, ставка 5%</t>
        </r>
      </text>
    </comment>
    <comment ref="A164" authorId="0" shapeId="0">
      <text>
        <r>
          <rPr>
            <sz val="9"/>
            <color indexed="81"/>
            <rFont val="Tahoma"/>
            <family val="2"/>
            <charset val="204"/>
          </rPr>
          <t>Вручную вводим суммы досрочного погашения долга - ориентируясь на сохранение "+" показетелй FCFE</t>
        </r>
      </text>
    </comment>
  </commentList>
</comments>
</file>

<file path=xl/comments8.xml><?xml version="1.0" encoding="utf-8"?>
<comments xmlns="http://schemas.openxmlformats.org/spreadsheetml/2006/main">
  <authors>
    <author>Yulia Nikitina/RUS</author>
  </authors>
  <commentList>
    <comment ref="H57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SPA учтен ниже</t>
        </r>
      </text>
    </comment>
    <comment ref="H65" authorId="0" shapeId="0">
      <text>
        <r>
          <rPr>
            <sz val="9"/>
            <color indexed="81"/>
            <rFont val="Tahoma"/>
            <family val="2"/>
            <charset val="204"/>
          </rPr>
          <t>Доход от реализации + доход от эксплуатации общих зон (рестораны, МОД, УК)</t>
        </r>
      </text>
    </comment>
  </commentList>
</comments>
</file>

<file path=xl/comments9.xml><?xml version="1.0" encoding="utf-8"?>
<comments xmlns="http://schemas.openxmlformats.org/spreadsheetml/2006/main">
  <authors>
    <author>Yulia Nikitina/RUS</author>
    <author>Yulia Nikitina</author>
  </authors>
  <commentList>
    <comment ref="G2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берем максимум</t>
        </r>
      </text>
    </comment>
    <comment ref="F3" authorId="1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для анализа чувствительности</t>
        </r>
      </text>
    </comment>
  </commentList>
</comments>
</file>

<file path=xl/comments10.xml><?xml version="1.0" encoding="utf-8"?>
<comments xmlns="http://schemas.openxmlformats.org/spreadsheetml/2006/main">
  <authors>
    <author>Yulia Nikitina/RUS</author>
  </authors>
  <commentList>
    <comment ref="I2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1-3 кв. 2021 - факт, 
4 кв.'21 = 4 кв.'20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 xml:space="preserve">https://myfin.by/currency/cb-rf-archive/usd </t>
        </r>
      </text>
    </comment>
    <comment ref="I57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1-3 кв. 2021 - факт, 
4 кв.'21 = 4 кв.'20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 xml:space="preserve">https://myfin.by/currency/cb-rf-archive/usd </t>
        </r>
      </text>
    </comment>
    <comment ref="I11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1-3 кв. 2021 - факт, 
4 кв.'21 = 4 кв.'20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 xml:space="preserve">https://myfin.by/currency/cb-rf-archive/usd </t>
        </r>
      </text>
    </comment>
    <comment ref="I163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1-3 кв. 2021 - факт, 
4 кв.'21 = 4 кв.'20</t>
        </r>
      </text>
    </comment>
    <comment ref="A179" authorId="0" shapeId="0">
      <text>
        <r>
          <rPr>
            <sz val="9"/>
            <color indexed="81"/>
            <rFont val="Tahoma"/>
            <family val="2"/>
            <charset val="204"/>
          </rPr>
          <t xml:space="preserve">https://myfin.by/currency/cb-rf-archive/usd </t>
        </r>
      </text>
    </comment>
    <comment ref="I216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1-3 кв. 2021 - факт, 
4 кв.'21 = 4 кв.'20</t>
        </r>
      </text>
    </comment>
  </commentList>
</comments>
</file>

<file path=xl/comments11.xml><?xml version="1.0" encoding="utf-8"?>
<comments xmlns="http://schemas.openxmlformats.org/spreadsheetml/2006/main">
  <authors>
    <author>Yulia Nikitina</author>
  </authors>
  <commentList>
    <comment ref="J33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для анализа чувствительности</t>
        </r>
      </text>
    </comment>
    <comment ref="J44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для анализа чувствительности</t>
        </r>
      </text>
    </comment>
  </commentList>
</comments>
</file>

<file path=xl/comments12.xml><?xml version="1.0" encoding="utf-8"?>
<comments xmlns="http://schemas.openxmlformats.org/spreadsheetml/2006/main">
  <authors>
    <author>Yulia Nikitina/RUS</author>
  </authors>
  <commentList>
    <comment ref="AO2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  <comment ref="AO32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</commentList>
</comments>
</file>

<file path=xl/comments13.xml><?xml version="1.0" encoding="utf-8"?>
<comments xmlns="http://schemas.openxmlformats.org/spreadsheetml/2006/main">
  <authors>
    <author>Yulia Nikitina/RUS</author>
  </authors>
  <commentList>
    <comment ref="AO2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  <comment ref="AO32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</commentList>
</comments>
</file>

<file path=xl/comments14.xml><?xml version="1.0" encoding="utf-8"?>
<comments xmlns="http://schemas.openxmlformats.org/spreadsheetml/2006/main">
  <authors>
    <author>Yulia Nikitina/RUS</author>
  </authors>
  <commentList>
    <comment ref="AO2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  <comment ref="AO32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</commentList>
</comments>
</file>

<file path=xl/comments15.xml><?xml version="1.0" encoding="utf-8"?>
<comments xmlns="http://schemas.openxmlformats.org/spreadsheetml/2006/main">
  <authors>
    <author>Yulia Nikitina/RUS</author>
  </authors>
  <commentList>
    <comment ref="AO2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</commentList>
</comments>
</file>

<file path=xl/comments16.xml><?xml version="1.0" encoding="utf-8"?>
<comments xmlns="http://schemas.openxmlformats.org/spreadsheetml/2006/main">
  <authors>
    <author>Yulia Nikitina/RUS</author>
  </authors>
  <commentList>
    <comment ref="AS20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 ценах на 2022</t>
        </r>
      </text>
    </comment>
  </commentList>
</comments>
</file>

<file path=xl/comments17.xml><?xml version="1.0" encoding="utf-8"?>
<comments xmlns="http://schemas.openxmlformats.org/spreadsheetml/2006/main">
  <authors>
    <author>Yulia Nikitina/RUS</author>
    <author>Лобов Иван Михайлович</author>
  </authors>
  <commentList>
    <comment ref="B39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здесь валоввая выручка именно УК курорта, в т.ч оплата услуг УК инвесторами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здесь расходы именно УК курорта</t>
        </r>
      </text>
    </comment>
    <comment ref="G77" authorId="1" shapeId="0">
      <text>
        <r>
          <rPr>
            <b/>
            <sz val="9"/>
            <color indexed="81"/>
            <rFont val="Tahoma"/>
            <family val="2"/>
            <charset val="204"/>
          </rPr>
          <t>без учета уже проданных резиденций</t>
        </r>
      </text>
    </comment>
  </commentList>
</comments>
</file>

<file path=xl/comments18.xml><?xml version="1.0" encoding="utf-8"?>
<comments xmlns="http://schemas.openxmlformats.org/spreadsheetml/2006/main">
  <authors>
    <author>Yulia Nikitina/RUS</author>
  </authors>
  <commentList>
    <comment ref="E7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сдается целиком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сдается целиком</t>
        </r>
      </text>
    </comment>
  </commentList>
</comments>
</file>

<file path=xl/comments19.xml><?xml version="1.0" encoding="utf-8"?>
<comments xmlns="http://schemas.openxmlformats.org/spreadsheetml/2006/main">
  <authors>
    <author>Yulia Nikitina</author>
  </authors>
  <commentList>
    <comment ref="B22" authorId="0" shapeId="0">
      <text>
        <r>
          <rPr>
            <sz val="9"/>
            <color indexed="81"/>
            <rFont val="Tahoma"/>
            <family val="2"/>
            <charset val="204"/>
          </rPr>
          <t>кв.м/юнит - чистая продаваемая площадь</t>
        </r>
      </text>
    </comment>
  </commentList>
</comments>
</file>

<file path=xl/comments20.xml><?xml version="1.0" encoding="utf-8"?>
<comments xmlns="http://schemas.openxmlformats.org/spreadsheetml/2006/main">
  <authors>
    <author>Yulia Nikitina</author>
  </authors>
  <commentList>
    <comment ref="B38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ЛЕТО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ЗИМА</t>
        </r>
      </text>
    </comment>
  </commentList>
</comments>
</file>

<file path=xl/comments21.xml><?xml version="1.0" encoding="utf-8"?>
<comments xmlns="http://schemas.openxmlformats.org/spreadsheetml/2006/main">
  <authors>
    <author>Yulia Nikitina/RUS</author>
    <author>Yulia Nikitina</author>
  </authors>
  <commentList>
    <comment ref="H3" authorId="0" shapeId="0">
      <text>
        <r>
          <rPr>
            <b/>
            <sz val="9"/>
            <color indexed="81"/>
            <rFont val="Tahoma"/>
            <family val="2"/>
            <charset val="204"/>
          </rPr>
          <t>Yulia Nikitina/RUS:</t>
        </r>
        <r>
          <rPr>
            <sz val="9"/>
            <color indexed="81"/>
            <rFont val="Tahoma"/>
            <family val="2"/>
            <charset val="204"/>
          </rPr>
          <t xml:space="preserve">
ввод в середине года, но сотрудников набираем с января</t>
        </r>
      </text>
    </comment>
    <comment ref="A8" authorId="1" shapeId="0">
      <text>
        <r>
          <rPr>
            <b/>
            <sz val="9"/>
            <color indexed="81"/>
            <rFont val="Tahoma"/>
            <family val="2"/>
            <charset val="204"/>
          </rPr>
          <t>Yulia Nikitina:</t>
        </r>
        <r>
          <rPr>
            <sz val="9"/>
            <color indexed="81"/>
            <rFont val="Tahoma"/>
            <family val="2"/>
            <charset val="204"/>
          </rPr>
          <t xml:space="preserve">
предположение о том, что за 4 месяца до открытия набираем в штат УК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<sst xmlns="http://schemas.openxmlformats.org/spreadsheetml/2006/main" count="5187" uniqueCount="1394">
  <si>
    <t>ИТОГО</t>
  </si>
  <si>
    <t>Начало периода</t>
  </si>
  <si>
    <t>Конец периода</t>
  </si>
  <si>
    <t>Длина периода</t>
  </si>
  <si>
    <t>Земельные платежи</t>
  </si>
  <si>
    <t>Инфляция</t>
  </si>
  <si>
    <t>ВВОДНЫЕ ДАННЫЕ</t>
  </si>
  <si>
    <t>Показатель</t>
  </si>
  <si>
    <t>Квартал</t>
  </si>
  <si>
    <t>Длина периода, дней</t>
  </si>
  <si>
    <t>Прогноз роста в период</t>
  </si>
  <si>
    <t>Накопленный рост (на конец периода)</t>
  </si>
  <si>
    <t>ИТОГО, НДС к возмещению со сдвигом на 2 квартала</t>
  </si>
  <si>
    <t>Номерной фонд</t>
  </si>
  <si>
    <t>Загрузка</t>
  </si>
  <si>
    <t>Гостиница 3*</t>
  </si>
  <si>
    <t>НОМЕРА</t>
  </si>
  <si>
    <t>Выручка</t>
  </si>
  <si>
    <t>Прибыль</t>
  </si>
  <si>
    <t>Конференц-центр</t>
  </si>
  <si>
    <t>Валовой операционный доход</t>
  </si>
  <si>
    <t>Продажи и маркетинг</t>
  </si>
  <si>
    <t>Налог на имущество</t>
  </si>
  <si>
    <t>Доля расходов в выручке</t>
  </si>
  <si>
    <t>Амортизация</t>
  </si>
  <si>
    <t>Расходы на персонал</t>
  </si>
  <si>
    <t>Прочие операционные расходы</t>
  </si>
  <si>
    <t>Прямые операционные расходы</t>
  </si>
  <si>
    <t>Итого, расходы</t>
  </si>
  <si>
    <t>Прочие доходы и доходы от аренды</t>
  </si>
  <si>
    <t>Администрация и управление</t>
  </si>
  <si>
    <t>ВАЛОВАЯ ВЫРУЧКА</t>
  </si>
  <si>
    <t>Начальник отдела продаж</t>
  </si>
  <si>
    <t>ADR</t>
  </si>
  <si>
    <t>ПИТАНИЕ И НАПИТКИ</t>
  </si>
  <si>
    <t>Валовые операционные расходы</t>
  </si>
  <si>
    <t xml:space="preserve">Водитель </t>
  </si>
  <si>
    <t>Длина периода, месяцев</t>
  </si>
  <si>
    <t xml:space="preserve">Начальник отдела управления персоналом </t>
  </si>
  <si>
    <t xml:space="preserve">Специалист по кадрам </t>
  </si>
  <si>
    <t>Маркетолог</t>
  </si>
  <si>
    <t>Коэффициент двойной загрузки</t>
  </si>
  <si>
    <t>Начальник службы охраны</t>
  </si>
  <si>
    <t xml:space="preserve">check </t>
  </si>
  <si>
    <t>Менеджер по маркетингу</t>
  </si>
  <si>
    <t>Рестораны и бары</t>
  </si>
  <si>
    <t>МАЛЫЕ ОПЕРАЦИОННЫЕ ДЕПАРТАМЕНТЫ</t>
  </si>
  <si>
    <t>Главный инженер</t>
  </si>
  <si>
    <t>Генеральный директор</t>
  </si>
  <si>
    <t>Заместитель генерального директора</t>
  </si>
  <si>
    <t>Юрисконсульт</t>
  </si>
  <si>
    <t>Главный бухгалтер</t>
  </si>
  <si>
    <t>Бухгалтер</t>
  </si>
  <si>
    <t>Ассистент генерального директора</t>
  </si>
  <si>
    <t xml:space="preserve">Менеджер по  работе с клиентами </t>
  </si>
  <si>
    <t>Собственные средства</t>
  </si>
  <si>
    <t>Срок амортизации, лет</t>
  </si>
  <si>
    <t>4 год</t>
  </si>
  <si>
    <t>Итого</t>
  </si>
  <si>
    <t>ГОД</t>
  </si>
  <si>
    <t>ГОД ---&gt;&gt;</t>
  </si>
  <si>
    <t>Прочие доходы</t>
  </si>
  <si>
    <t>Гостиница 4*</t>
  </si>
  <si>
    <t>Гостиница 5*</t>
  </si>
  <si>
    <t>График освоения бюджета проекта</t>
  </si>
  <si>
    <t>Статьи расходов</t>
  </si>
  <si>
    <t>Контрольная сумма</t>
  </si>
  <si>
    <t>Номер периода, п/п</t>
  </si>
  <si>
    <t>Дней в период</t>
  </si>
  <si>
    <t>Всего</t>
  </si>
  <si>
    <t>Инфляция (накопленным итогом)</t>
  </si>
  <si>
    <t>Расчет остаточной стоимости, амортизации, налога на имущество</t>
  </si>
  <si>
    <t>Первоначальная ст-ть</t>
  </si>
  <si>
    <t>Балансовая ст-ть</t>
  </si>
  <si>
    <t>Остаточная ст-ть</t>
  </si>
  <si>
    <t xml:space="preserve">ДЕНЕЖНЫЕ ПОТОКИ ОТ РЕАЛИЗАЦИИ ПРОЕКТА </t>
  </si>
  <si>
    <t>Постпрогноз</t>
  </si>
  <si>
    <t>НАЧАЛО ПЕРИОДА</t>
  </si>
  <si>
    <t>КОНЕЦ ПЕРИОДА</t>
  </si>
  <si>
    <t>ДНЕЙ В ПЕРИОД</t>
  </si>
  <si>
    <t>ИТОГО, Чистая операционная прибыль/убыток</t>
  </si>
  <si>
    <t>Минус: проценты про кредиту начисленные</t>
  </si>
  <si>
    <t>Минус: амортизация</t>
  </si>
  <si>
    <t>Равно: прибыль / убыток за период</t>
  </si>
  <si>
    <t>Итого: накопленный убыток</t>
  </si>
  <si>
    <t>Накопленный убыток к зачету</t>
  </si>
  <si>
    <t xml:space="preserve">Итого: налоговая база </t>
  </si>
  <si>
    <t>Ставка налога на прибыль</t>
  </si>
  <si>
    <t>ИТОГО, Чистая операционная прибыль после налога</t>
  </si>
  <si>
    <t>Инвестиционная деятельность</t>
  </si>
  <si>
    <t>Минус: затраты на строительство</t>
  </si>
  <si>
    <t>Плюс: возмещение строительного НДС</t>
  </si>
  <si>
    <t xml:space="preserve">FCFF </t>
  </si>
  <si>
    <t>Финансовая деятельность</t>
  </si>
  <si>
    <t>Плюс: кредит</t>
  </si>
  <si>
    <t>Минус: тело долга</t>
  </si>
  <si>
    <t>FCFE</t>
  </si>
  <si>
    <t>Терминальная стоимость</t>
  </si>
  <si>
    <t>Терминальная ставка капитализации</t>
  </si>
  <si>
    <t>Комиссия брокеру, расходы при продаже %</t>
  </si>
  <si>
    <t>Комиссия брокеру</t>
  </si>
  <si>
    <t>Остаточная балансовая стоимость</t>
  </si>
  <si>
    <t>Налогооблагаемая база</t>
  </si>
  <si>
    <t>Налог на прибыль, %</t>
  </si>
  <si>
    <t>Налог на прибыль</t>
  </si>
  <si>
    <t>Остатки по кредиту</t>
  </si>
  <si>
    <t>Движение средств по Проекту</t>
  </si>
  <si>
    <t>Ставка дисконтирования</t>
  </si>
  <si>
    <t>Фактор дисконтирования (с середины года)</t>
  </si>
  <si>
    <t>Чистая текущая ст-ть проекта на дату анализа</t>
  </si>
  <si>
    <t>Значение</t>
  </si>
  <si>
    <t>Комментарий</t>
  </si>
  <si>
    <t>Источник</t>
  </si>
  <si>
    <t>Доля заемного капитала</t>
  </si>
  <si>
    <t>Доля собственного капитала</t>
  </si>
  <si>
    <t>Расчетное значение 100%-ЗК</t>
  </si>
  <si>
    <t>Безрисковая ставка в долларах США</t>
  </si>
  <si>
    <t>Безрисковая ставка для Россия в долларах США</t>
  </si>
  <si>
    <t xml:space="preserve">https://www.moex.com/ru/issue.aspx?code=XS0088543193 </t>
  </si>
  <si>
    <t>Безрисковая ставка для России в рублях</t>
  </si>
  <si>
    <t>Beta (unlevered)</t>
  </si>
  <si>
    <t xml:space="preserve">http://www.stern.nyu.edu/~adamodar/pc/datasets/betaemerg.xls </t>
  </si>
  <si>
    <t>Соотношение долга к собственному капиталу</t>
  </si>
  <si>
    <t>Расчетное значение</t>
  </si>
  <si>
    <t>Эффективная ставка налога</t>
  </si>
  <si>
    <t>Beta  (relevered)</t>
  </si>
  <si>
    <t>Beta с учетом ставки налога</t>
  </si>
  <si>
    <t>Среднерыночная премия</t>
  </si>
  <si>
    <t xml:space="preserve">http://www.stern.nyu.edu/~adamodar/pc/datasets/histretSP.xls </t>
  </si>
  <si>
    <t>Премия за страновой риск</t>
  </si>
  <si>
    <t>Разница доходности безрисковых бумаг в рублях и долларах США</t>
  </si>
  <si>
    <t>http://pages.stern.nyu.edu/~adamodar/New_Home_Page/datafile/ctryprem.html</t>
  </si>
  <si>
    <t>Премия за размер компании</t>
  </si>
  <si>
    <t>По оценкам Ibbotson</t>
  </si>
  <si>
    <t>Премия за специфический риск</t>
  </si>
  <si>
    <t>Оценочное суждение</t>
  </si>
  <si>
    <t>Стоимость собственного капитала (САРМ) в долл</t>
  </si>
  <si>
    <t>Валютная корректировка</t>
  </si>
  <si>
    <t>Стоимость собственного капитала (САРМ) в рублях</t>
  </si>
  <si>
    <t>Стоимость заемных средств</t>
  </si>
  <si>
    <t>Посленалоговая стоимость заемного капитала</t>
  </si>
  <si>
    <t>Средневзвешенная стоимость капитала (WACC)</t>
  </si>
  <si>
    <t>ПОКАЗАТЕЛЬ</t>
  </si>
  <si>
    <t>ЗНАЧЕНИЕ</t>
  </si>
  <si>
    <t>Процент по кредиту</t>
  </si>
  <si>
    <t>Дата ввода в эксплуатацию</t>
  </si>
  <si>
    <t>Собственные средства, руб.</t>
  </si>
  <si>
    <t>Заемные средства доступные, руб.</t>
  </si>
  <si>
    <t>Платеж по основному долгу, руб./год</t>
  </si>
  <si>
    <t>Срок выплаты тела долга, годы</t>
  </si>
  <si>
    <t>лет</t>
  </si>
  <si>
    <t>Период начала выплат тела долга</t>
  </si>
  <si>
    <t>Период окончания выплат тела долга</t>
  </si>
  <si>
    <t>ПРОГНОЗ ОБСЛУЖИВАНИЯ КРЕДИТА</t>
  </si>
  <si>
    <t>Кредит, транши</t>
  </si>
  <si>
    <t>Ставка процента по кредиту</t>
  </si>
  <si>
    <t>Проценты по кредиту</t>
  </si>
  <si>
    <t>Платеж по основному долгу по графику</t>
  </si>
  <si>
    <t>Дата анализа</t>
  </si>
  <si>
    <t>PBP</t>
  </si>
  <si>
    <t>Год анализа</t>
  </si>
  <si>
    <t>Доля собственных средств</t>
  </si>
  <si>
    <t>Доля заемных средств</t>
  </si>
  <si>
    <t>Ставка налога на имущество</t>
  </si>
  <si>
    <t>Премии к ФЗП</t>
  </si>
  <si>
    <t>Страховые взносы с ФОТ</t>
  </si>
  <si>
    <t>обязательное пенсионное страхование</t>
  </si>
  <si>
    <t>статья 425 НК РФ с изменениям (Федеральный закон от 3 августа 2018 г. N 303-ФЗ)</t>
  </si>
  <si>
    <t>обязательное социальное страхование</t>
  </si>
  <si>
    <t>статья 425 НК РФ</t>
  </si>
  <si>
    <t>обязательное медицинское страхование</t>
  </si>
  <si>
    <t>Ставка страхования имущества</t>
  </si>
  <si>
    <t>от остаточной балансовой стоимости</t>
  </si>
  <si>
    <t>Начало строительства</t>
  </si>
  <si>
    <t>Потребность в финансировании</t>
  </si>
  <si>
    <t>ВСЕГО</t>
  </si>
  <si>
    <t>Ставка по налогу на имущество</t>
  </si>
  <si>
    <t>10 лет</t>
  </si>
  <si>
    <t>с 11 года</t>
  </si>
  <si>
    <t>Количество дней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</si>
  <si>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</si>
  <si>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</si>
  <si>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</si>
  <si>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</si>
  <si>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</si>
  <si>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</si>
  <si>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</si>
  <si>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</si>
  <si>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</si>
  <si>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</si>
  <si>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</si>
  <si>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</si>
  <si>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Мультипликатор</t>
  </si>
  <si>
    <t>Минус: проценты по кредиту</t>
  </si>
  <si>
    <t>Площадь, кв.м</t>
  </si>
  <si>
    <t>B.O.H. служба размещения</t>
  </si>
  <si>
    <t>Циркуляция (лестницы. коридоры. холлы. лифты)</t>
  </si>
  <si>
    <t>Прочие помещения</t>
  </si>
  <si>
    <t>Циркуляция и склады</t>
  </si>
  <si>
    <t>Циркуляция (лестницы, вход, лифтовые холлы, лифты)</t>
  </si>
  <si>
    <t>Административные помещения</t>
  </si>
  <si>
    <t>Помещения персонала</t>
  </si>
  <si>
    <t>Циркуляция (лестницы, коридоры, холлы, лифты)</t>
  </si>
  <si>
    <t>Служба эксплуатации и ремонта</t>
  </si>
  <si>
    <t>Помещения департамента</t>
  </si>
  <si>
    <t>ПЛОЩАДЬ. КВ.М</t>
  </si>
  <si>
    <t>Служба размещения</t>
  </si>
  <si>
    <t>Служебные помещения на этаже</t>
  </si>
  <si>
    <t>Ед. измерения</t>
  </si>
  <si>
    <t>мест</t>
  </si>
  <si>
    <t>Циркуляция (лестницы. вход. лифтовые холлы. лифты)</t>
  </si>
  <si>
    <t>Рестораны и бары (торговая площадь)</t>
  </si>
  <si>
    <t>Кухня, рестораны и бары ( в т.ч. service areas), без циркуляции</t>
  </si>
  <si>
    <t>Общая строительная площадь, кв.м</t>
  </si>
  <si>
    <t>Примечание</t>
  </si>
  <si>
    <t>Единица измерения</t>
  </si>
  <si>
    <t>кв.м</t>
  </si>
  <si>
    <t>Расчет коэффициента двойной загрузки</t>
  </si>
  <si>
    <t>Гостиница</t>
  </si>
  <si>
    <t>Ценовая категория</t>
  </si>
  <si>
    <t xml:space="preserve">Максимум людей </t>
  </si>
  <si>
    <t xml:space="preserve">MICE </t>
  </si>
  <si>
    <t>Отдых и развлечения</t>
  </si>
  <si>
    <t>Всего человек в номере</t>
  </si>
  <si>
    <t>Из них взрослые</t>
  </si>
  <si>
    <t>Из них дети</t>
  </si>
  <si>
    <t>Взрослые</t>
  </si>
  <si>
    <t>Дети</t>
  </si>
  <si>
    <t>Доля всех гостей</t>
  </si>
  <si>
    <t>max</t>
  </si>
  <si>
    <t>1 человек</t>
  </si>
  <si>
    <t>2 человека</t>
  </si>
  <si>
    <t>3 человека</t>
  </si>
  <si>
    <t>4 человека</t>
  </si>
  <si>
    <t>5 человек</t>
  </si>
  <si>
    <t>6 человек</t>
  </si>
  <si>
    <t>7 человек</t>
  </si>
  <si>
    <t>8 человек</t>
  </si>
  <si>
    <t xml:space="preserve">Взрослые - MICE </t>
  </si>
  <si>
    <t>Средневзвешенное значение</t>
  </si>
  <si>
    <t>Взрослые - ОиР</t>
  </si>
  <si>
    <t>Данные рынка о средней цене номера (ADR)</t>
  </si>
  <si>
    <t>Индекс проникновения по средней цене номера</t>
  </si>
  <si>
    <t>Выходные и праздничные дни</t>
  </si>
  <si>
    <t>Рабочие дни</t>
  </si>
  <si>
    <t>Общежитие</t>
  </si>
  <si>
    <t>Дата ввода</t>
  </si>
  <si>
    <t>Текущий ремонт и эксплуатация</t>
  </si>
  <si>
    <t>Условия управления</t>
  </si>
  <si>
    <t>ВЫБРАТЬ:</t>
  </si>
  <si>
    <t>1 - прямое управление</t>
  </si>
  <si>
    <t xml:space="preserve"> в расчетах утчено --&gt;&gt;</t>
  </si>
  <si>
    <t>СПА</t>
  </si>
  <si>
    <t>Объект</t>
  </si>
  <si>
    <t>Кадастровый номер</t>
  </si>
  <si>
    <t>Кадастровая стоимость, руб.</t>
  </si>
  <si>
    <t>Земли особо охраняемых территорий и объектов</t>
  </si>
  <si>
    <t>ЗЕМЕЛЬНЫЕ ПЛАТЕЖИ - ВВОДНЫЕ ДАННЫЕ</t>
  </si>
  <si>
    <t>Кадастровая стоимость, руб./ кв.м</t>
  </si>
  <si>
    <t>ИТОГО, га</t>
  </si>
  <si>
    <t>Вид права</t>
  </si>
  <si>
    <t>Размер платежа, % от кадастровой стоимости</t>
  </si>
  <si>
    <t>Размер платежа, руб./год</t>
  </si>
  <si>
    <t>Размер платежа, руб./кв.м/год</t>
  </si>
  <si>
    <t>аренда</t>
  </si>
  <si>
    <t>ПРОГНОЗ ЗЕМЕЛЬНЫХ ПЛАТЕЖЕЙ</t>
  </si>
  <si>
    <t>Площадь участка, кв.м</t>
  </si>
  <si>
    <t>Динамика изменения земельных платежей</t>
  </si>
  <si>
    <t>Итого, все платежи</t>
  </si>
  <si>
    <t>NPV</t>
  </si>
  <si>
    <t>IRR</t>
  </si>
  <si>
    <t>Темпы продаж</t>
  </si>
  <si>
    <t>Продано в периоде, кв.м</t>
  </si>
  <si>
    <t>Скидка/надбавка к цене от стадии</t>
  </si>
  <si>
    <t xml:space="preserve">Итого, выручка от продаж </t>
  </si>
  <si>
    <t>НДС с продаж</t>
  </si>
  <si>
    <t xml:space="preserve">Минус: </t>
  </si>
  <si>
    <t>Вознаграждение Оператора</t>
  </si>
  <si>
    <t>Вознаграждение риэлтора</t>
  </si>
  <si>
    <t>Расходы на маркетинг</t>
  </si>
  <si>
    <t>юниты</t>
  </si>
  <si>
    <t>Дата ввода в экспл-ю</t>
  </si>
  <si>
    <t>Год ввода в экспл-ю</t>
  </si>
  <si>
    <t>Доля 1 периода</t>
  </si>
  <si>
    <t>руб.</t>
  </si>
  <si>
    <t>Кол-во апартаментов доступно на продажу</t>
  </si>
  <si>
    <t>юн.кумул</t>
  </si>
  <si>
    <t>Наземный паркинг</t>
  </si>
  <si>
    <t>Итого, площадь участка, за который производится оплата земельных платежей, кв.м</t>
  </si>
  <si>
    <t>Кол-во</t>
  </si>
  <si>
    <t>Ресторан</t>
  </si>
  <si>
    <t>Торговая зона</t>
  </si>
  <si>
    <t>Рестораны</t>
  </si>
  <si>
    <t>Средняя цена номера</t>
  </si>
  <si>
    <t>09:06:0021401:2308</t>
  </si>
  <si>
    <t>Категория</t>
  </si>
  <si>
    <t>ВРИ</t>
  </si>
  <si>
    <t xml:space="preserve"> Для туристско-рекреационной деятельности</t>
  </si>
  <si>
    <t>09:06:0000000:16366</t>
  </si>
  <si>
    <t>Класс объекта по стандартам РФ</t>
  </si>
  <si>
    <t>Количество номеров всего</t>
  </si>
  <si>
    <t>Количество мест для проживающих (человек)</t>
  </si>
  <si>
    <t>Наличие крытой парковки (количество мест)</t>
  </si>
  <si>
    <t xml:space="preserve">Бренд </t>
  </si>
  <si>
    <t>Размер номера люкс</t>
  </si>
  <si>
    <t>В соответствии с требованиями бренда</t>
  </si>
  <si>
    <t>Размер номера дабл или твин</t>
  </si>
  <si>
    <t xml:space="preserve">Этажность </t>
  </si>
  <si>
    <t>Не более 5</t>
  </si>
  <si>
    <t>Особые требования к компоновке объекта</t>
  </si>
  <si>
    <t>Детализация требований к технологии</t>
  </si>
  <si>
    <t>Наличие технологического этажа высотой до 1800 мм между жилыми этажами и этажами с размещением общественных зон</t>
  </si>
  <si>
    <t>Да, требуется</t>
  </si>
  <si>
    <t>Дополнительные технологии в составе объекта</t>
  </si>
  <si>
    <t>Количество номеров, всего</t>
  </si>
  <si>
    <t>кв.м в составе объекта</t>
  </si>
  <si>
    <t>в т.ч. номера класса люкс</t>
  </si>
  <si>
    <t>в т.ч. номера класса твин и дабл (на 1 и 2 проживающих)</t>
  </si>
  <si>
    <t>номера</t>
  </si>
  <si>
    <t xml:space="preserve">Mövenpick </t>
  </si>
  <si>
    <t>посадочных мест</t>
  </si>
  <si>
    <t>Предварительная общая площадь</t>
  </si>
  <si>
    <t>Наличие СПА с бассейном: 2 бассейна в составе СПА, фитнес-зал</t>
  </si>
  <si>
    <t>B</t>
  </si>
  <si>
    <t>этажей</t>
  </si>
  <si>
    <t>а) Здание должно быть объединено общими технологическими потоками с отелем 4*</t>
  </si>
  <si>
    <t xml:space="preserve">б) Между зданиями отель 5* и зданием отель 4* должен быть запланирован канал для инженерных коммуникаций под самым нижним этажом стилобата. Канал требуется разместить в между зданиями под пожарным проездом </t>
  </si>
  <si>
    <t>в) Executive Lounge и открытый бассейн должны быть расположены с западной стороны отеля</t>
  </si>
  <si>
    <t>Лыжехранилище - 20 кв.м</t>
  </si>
  <si>
    <t>Вводные технико-экономические показатели</t>
  </si>
  <si>
    <t>в т.ч. номера для ЛОВ</t>
  </si>
  <si>
    <t>Экзекьютив лаудж ( Executive Lounge )  120 кв.м сблокированный, с панорамным бассейном. Бассейн с совмещенной внутренней и наружной чашей. Оба функционала разместить в составе одного из верхних этажей. Лыжехранилище - 20 кв.м</t>
  </si>
  <si>
    <t>общая с гостиницей 5*</t>
  </si>
  <si>
    <t>Многофункциональный зал с возможностью временной перепланировки раздвижными стенами для организации трех залов с площадями 150, 100 и 50 кв.м</t>
  </si>
  <si>
    <t>Наличие конференц-залов</t>
  </si>
  <si>
    <t>Mercure</t>
  </si>
  <si>
    <t>в) Торговая зона должна быть расположена с южной стороны отеля</t>
  </si>
  <si>
    <t>Торговая зона (1000 кв.м). Детский клуб (200 кв.м). Лыжехранилище 25 кв.м</t>
  </si>
  <si>
    <t>Гостиница "5 звезд"</t>
  </si>
  <si>
    <t>Гостиница "4 звезды"</t>
  </si>
  <si>
    <t>Гостиница "3 звезды"</t>
  </si>
  <si>
    <t>Ibis Styles</t>
  </si>
  <si>
    <t>Нет</t>
  </si>
  <si>
    <t>в т.ч. семейные номера на 4 человек (сьют)</t>
  </si>
  <si>
    <t>Возможно</t>
  </si>
  <si>
    <t>Лыжехранилище - 35 кв.м</t>
  </si>
  <si>
    <t>Ibis Budget</t>
  </si>
  <si>
    <t>Гостиница "2 звезды"</t>
  </si>
  <si>
    <t>Размер номера на 4 проживающих</t>
  </si>
  <si>
    <t xml:space="preserve">Торговая зона с южной стороны </t>
  </si>
  <si>
    <t>Детализация объекта</t>
  </si>
  <si>
    <t>Не брендируется</t>
  </si>
  <si>
    <t>Апартаменты в соответствии с СП  118.13330.2012</t>
  </si>
  <si>
    <t>Количество зданий всего</t>
  </si>
  <si>
    <t>Не более 2</t>
  </si>
  <si>
    <t>Гостиная  совмещенная с кухней</t>
  </si>
  <si>
    <t xml:space="preserve">Тамбур </t>
  </si>
  <si>
    <t xml:space="preserve">Су на первом этаже </t>
  </si>
  <si>
    <t xml:space="preserve">Спальня на первом этаже </t>
  </si>
  <si>
    <t xml:space="preserve">Спальня на втором этаже (2 шт) </t>
  </si>
  <si>
    <t>Спальня на втором этаже (1 шт)</t>
  </si>
  <si>
    <t xml:space="preserve">Лыжехранилище </t>
  </si>
  <si>
    <t>Котельная (техническое помещение)</t>
  </si>
  <si>
    <t xml:space="preserve">Сауна </t>
  </si>
  <si>
    <t xml:space="preserve"> Наименование помещения</t>
  </si>
  <si>
    <t>Удельная площадь, кв.м/ед.</t>
  </si>
  <si>
    <t>ИТОГО площадь, кв.м</t>
  </si>
  <si>
    <t>Санузел на втором этаже (2 шт)</t>
  </si>
  <si>
    <t>Хостел</t>
  </si>
  <si>
    <t>Хостел в составе МФЦ</t>
  </si>
  <si>
    <t>Jo&amp;JOE</t>
  </si>
  <si>
    <t>Многофункциональное здание в соответствии с СП  160.1325800.2014</t>
  </si>
  <si>
    <t>В том числе хостел</t>
  </si>
  <si>
    <t>в т.ч. 4-местные номера</t>
  </si>
  <si>
    <t>в т.ч. 6-местные номера</t>
  </si>
  <si>
    <t>в т.ч. 2-местные номера</t>
  </si>
  <si>
    <t>здания / номера</t>
  </si>
  <si>
    <t>Общежитие служебное</t>
  </si>
  <si>
    <t>кол-во мест</t>
  </si>
  <si>
    <t>Этажи для размещения общежития</t>
  </si>
  <si>
    <t xml:space="preserve">   2-3</t>
  </si>
  <si>
    <t>порядковый номер этажей</t>
  </si>
  <si>
    <t>Административная зона</t>
  </si>
  <si>
    <t>Состав административной зоны</t>
  </si>
  <si>
    <t>Холл, ресепшн, офисы</t>
  </si>
  <si>
    <t>Парковка</t>
  </si>
  <si>
    <t>Крытая или подземная парковка в 2 уровня</t>
  </si>
  <si>
    <t>Площадь резиденций</t>
  </si>
  <si>
    <t>кв.м/единица</t>
  </si>
  <si>
    <t>в т.ч. апартаменты на 1 спальню</t>
  </si>
  <si>
    <t>в т.ч. апартаменты на 2 спальни</t>
  </si>
  <si>
    <t xml:space="preserve">в т.ч. апартаменты студии </t>
  </si>
  <si>
    <t xml:space="preserve">апартаменты студии </t>
  </si>
  <si>
    <t>апартаменты на 1 спальню</t>
  </si>
  <si>
    <t>апартаменты на 2 спальни</t>
  </si>
  <si>
    <t>Выход из торговой зоны на юг.
Выход из лыжной школы на север к восточному подъемнику</t>
  </si>
  <si>
    <t>Да</t>
  </si>
  <si>
    <t>Торговая зона 3400 кв.м, лыжная школа 200 кв.м</t>
  </si>
  <si>
    <t>Кол-во номеров</t>
  </si>
  <si>
    <t>Кол-во мест</t>
  </si>
  <si>
    <t>Тип объекта</t>
  </si>
  <si>
    <t>Бренд (при наличии)</t>
  </si>
  <si>
    <t>Гостиница 2*</t>
  </si>
  <si>
    <t>Общая площадь, кв.м</t>
  </si>
  <si>
    <t>Сводные данные по номерному фонду Проекта</t>
  </si>
  <si>
    <t>мест/номер</t>
  </si>
  <si>
    <t>Мест всего</t>
  </si>
  <si>
    <t>Шале</t>
  </si>
  <si>
    <t>кв.м общей S/ номер</t>
  </si>
  <si>
    <t>Мест/ номер</t>
  </si>
  <si>
    <t>Функциональная составляющая</t>
  </si>
  <si>
    <t>Данные по ЦФО</t>
  </si>
  <si>
    <t>Коэфф-т</t>
  </si>
  <si>
    <t>Кол-во посадочных мест
(при наличии)</t>
  </si>
  <si>
    <t>ТЦ с обособленными выходами, загрузкой</t>
  </si>
  <si>
    <t>Лыжная школа</t>
  </si>
  <si>
    <t>Сводные данные по паркингу</t>
  </si>
  <si>
    <t>Кол-во м-мест</t>
  </si>
  <si>
    <t>Тип парковки</t>
  </si>
  <si>
    <t>Крытая</t>
  </si>
  <si>
    <t>МФЦ</t>
  </si>
  <si>
    <t>Даты ввода в эксплуатацию - 1 очередь</t>
  </si>
  <si>
    <t>Итого по объектам в управлении</t>
  </si>
  <si>
    <t>Курс руб./евро на дату анализа</t>
  </si>
  <si>
    <t>Курс руб./долл. на дату анализа</t>
  </si>
  <si>
    <t>EUR</t>
  </si>
  <si>
    <t>USD</t>
  </si>
  <si>
    <t>с южной стороны отеля 4*</t>
  </si>
  <si>
    <t>Выбытие зем./участков ввиду продажи тур.резиденций, кв.м</t>
  </si>
  <si>
    <t>Выбытие тур.резиденций ввиду продажи, кв.м</t>
  </si>
  <si>
    <t>МАКРОЭКОНОМИЧЕСКИЕ ПОКАЗАТЕЛИ</t>
  </si>
  <si>
    <t>Годовые показатели</t>
  </si>
  <si>
    <t>Инфляция за год</t>
  </si>
  <si>
    <t>Динамика земельных платежей</t>
  </si>
  <si>
    <t>Динамика земельных платежей (нак. итогом)</t>
  </si>
  <si>
    <t>Инфляция заработных плат</t>
  </si>
  <si>
    <t>Инфляция заработных плат (нак. итогом)</t>
  </si>
  <si>
    <t>Руб./Евро</t>
  </si>
  <si>
    <t>Руб./Долл.</t>
  </si>
  <si>
    <t>Квартальные показатели</t>
  </si>
  <si>
    <t>Проверка</t>
  </si>
  <si>
    <t>ВСЕГО, операционная прибыль</t>
  </si>
  <si>
    <t>Расходы общекурортные</t>
  </si>
  <si>
    <t>ВСЕГО, расходы</t>
  </si>
  <si>
    <t>Минус: земельные платежи инвестиционного периода</t>
  </si>
  <si>
    <t>Продажа бизнеса</t>
  </si>
  <si>
    <t xml:space="preserve">Доход от продажи </t>
  </si>
  <si>
    <t>Период дисконтирования</t>
  </si>
  <si>
    <t>Показатели проекта на собственный капитал (FCFE)</t>
  </si>
  <si>
    <t>DPBP</t>
  </si>
  <si>
    <t>Показатели проекта для компании  (FCFF)</t>
  </si>
  <si>
    <t>РАСЧЕТ ПОЦЕНТОВ ПО КРЕДИТУ</t>
  </si>
  <si>
    <t>Выбор условия кредитования</t>
  </si>
  <si>
    <t>В Ы Б Р А Т Ь --&gt;&gt;</t>
  </si>
  <si>
    <t>Срок кредита, лет</t>
  </si>
  <si>
    <t>Заемные средства</t>
  </si>
  <si>
    <t>Сумма долга накопленным итогом</t>
  </si>
  <si>
    <t>Ежегодные дифференцированные платежи - по графику</t>
  </si>
  <si>
    <t>Остаток долга</t>
  </si>
  <si>
    <t>Показатели финансовой устойчивости</t>
  </si>
  <si>
    <t>Денежный поток, доступный для обслуживания долга (CFADS)</t>
  </si>
  <si>
    <t>Запланированные выплаты основной суммы долга (P)</t>
  </si>
  <si>
    <t>Проценты по кредиту - к выплате в этом периоде (I)</t>
  </si>
  <si>
    <t>Коэффициент покрытия долга (DSCR)</t>
  </si>
  <si>
    <t>Среднеотраслевой показатель для проектов коммерческой недвиимости в сфере услуг (Real Estate (Operations &amp; Services)) - emerging markets</t>
  </si>
  <si>
    <t>http://www.stern.nyu.edu/~adamodar/New_Home_Page/data.html</t>
  </si>
  <si>
    <t>D/E Ratio</t>
  </si>
  <si>
    <t xml:space="preserve"> столбец D</t>
  </si>
  <si>
    <t>Real Estate (Operations &amp; Services)</t>
  </si>
  <si>
    <t>UST 30Y</t>
  </si>
  <si>
    <t>ОФЗ-26230-ПД (в обращении)</t>
  </si>
  <si>
    <t>Cтолбец H</t>
  </si>
  <si>
    <t>принтскрин ниже</t>
  </si>
  <si>
    <t xml:space="preserve">https://edisciplinas.usp.br/pluginfile.php/3787205/mod_resource/content/1/SIZE%20PREMIUM%20IBOTTSON.pdf </t>
  </si>
  <si>
    <t>Источник данных</t>
  </si>
  <si>
    <t>Дата ввода вэксплуатацию</t>
  </si>
  <si>
    <t>ПРОГНОЗ РАСХОДОВ В ПЕРИОД ИНВЕСТИРОВАНИЯ (ПОКВАРТАЛЬНО)</t>
  </si>
  <si>
    <t>Коэфф.</t>
  </si>
  <si>
    <t>ИТОГО, затраты на строительство в период</t>
  </si>
  <si>
    <t>Общий проект</t>
  </si>
  <si>
    <t>Ст-ть строит-ва, руб. с НДС</t>
  </si>
  <si>
    <t>Доля расходов не в себестоимость</t>
  </si>
  <si>
    <t>В себест-ть, руб. с НДС</t>
  </si>
  <si>
    <t>Прогноз амортизации, налога на имущество, остаточной стоимости</t>
  </si>
  <si>
    <t>Коэффициент</t>
  </si>
  <si>
    <t>Руб. с НДС</t>
  </si>
  <si>
    <t>Руб. без НДС 20%</t>
  </si>
  <si>
    <t>База для налога</t>
  </si>
  <si>
    <t>СВОД ДАННЫХ ПО КВАРТАЛАМ</t>
  </si>
  <si>
    <t>check count</t>
  </si>
  <si>
    <t>СВОД ДАННЫХ ПО ГОДАМ</t>
  </si>
  <si>
    <t>ПО ГОДАМ</t>
  </si>
  <si>
    <t>РАСЧЕТ РАСХОДОВ НА СТРАХОВАНИЕ</t>
  </si>
  <si>
    <t>Кдв загрузки</t>
  </si>
  <si>
    <t>Средняя длительность пребывания, дней</t>
  </si>
  <si>
    <t>Расчет средней цены номера - ADR</t>
  </si>
  <si>
    <t>ДАННЫЕ О РЫНОЧНЫХ ПОКАЗАТЕЛЯХ</t>
  </si>
  <si>
    <t xml:space="preserve">ADR </t>
  </si>
  <si>
    <t>Индекс роста ADR на рынке</t>
  </si>
  <si>
    <t>д/к</t>
  </si>
  <si>
    <t>Дома / коттеджи</t>
  </si>
  <si>
    <t>Номеров</t>
  </si>
  <si>
    <t>Индекс рынка</t>
  </si>
  <si>
    <t>Флаг года ввода в эксплуатацию</t>
  </si>
  <si>
    <t>ИНДЕКСЫ ПРОНИКНОВЕНИЯ К РЫНКУ</t>
  </si>
  <si>
    <t>Номер операционного года</t>
  </si>
  <si>
    <t>as now</t>
  </si>
  <si>
    <t>ПРОГНОЗ СРЕДНЕЙ ЦЕНЫ НОМЕРА</t>
  </si>
  <si>
    <t xml:space="preserve">ПРОГНОЗ ЗАГРУЗКИ </t>
  </si>
  <si>
    <t>Банкетная служба</t>
  </si>
  <si>
    <t>Год 1</t>
  </si>
  <si>
    <t>Год 2</t>
  </si>
  <si>
    <t>Год 3</t>
  </si>
  <si>
    <t>Год 4</t>
  </si>
  <si>
    <t>Год 5</t>
  </si>
  <si>
    <t>от выручки по номерам</t>
  </si>
  <si>
    <t>Расходы на персонал (РиБ)</t>
  </si>
  <si>
    <t>Расходы на персонал (БС)</t>
  </si>
  <si>
    <t>Расходы на продукты и напитки (РиБ)</t>
  </si>
  <si>
    <t>Расходы на продукты и напитки (БС)</t>
  </si>
  <si>
    <t>Прочие операционные расходы (РиБ)</t>
  </si>
  <si>
    <t>Прочие операционные расходы (БС)</t>
  </si>
  <si>
    <t>Стабилизация</t>
  </si>
  <si>
    <t>Показатель в стаб. год в ценах 2021</t>
  </si>
  <si>
    <t>Год ввода в эксплуатацию</t>
  </si>
  <si>
    <t>Стаб. год</t>
  </si>
  <si>
    <t>Накопленная инфляция на стаб. год</t>
  </si>
  <si>
    <t>Темп выхода на стаб. пок-ль (обратный счет)</t>
  </si>
  <si>
    <t>руб./проданный номер</t>
  </si>
  <si>
    <t>Агентские платежи</t>
  </si>
  <si>
    <r>
      <t>Показатель в стаб. год в ценах 2021</t>
    </r>
    <r>
      <rPr>
        <sz val="10"/>
        <color rgb="FFFFFF00"/>
        <rFont val="Arial"/>
        <family val="2"/>
        <charset val="204"/>
      </rPr>
      <t xml:space="preserve"> - для сравнения</t>
    </r>
  </si>
  <si>
    <t>1й год</t>
  </si>
  <si>
    <t>2й год</t>
  </si>
  <si>
    <t>3й год</t>
  </si>
  <si>
    <t>Расходы руб./проданный номер</t>
  </si>
  <si>
    <t>ИТОГО ПО ДЕПАРТАМЕНТУ</t>
  </si>
  <si>
    <t>Стаб. год в ценах 2021</t>
  </si>
  <si>
    <t>Расходы на текущий ремонт и эксплуатацию</t>
  </si>
  <si>
    <t>Расходы на персонал, % от выручки</t>
  </si>
  <si>
    <t>от выручки по СПА</t>
  </si>
  <si>
    <t>Прочие операционные, % от выручки</t>
  </si>
  <si>
    <t>Всего расходы</t>
  </si>
  <si>
    <t>МОД</t>
  </si>
  <si>
    <t>% от выручки по номерам</t>
  </si>
  <si>
    <t>от выручки по МОД</t>
  </si>
  <si>
    <t>ВОД</t>
  </si>
  <si>
    <t>Наличных номеров</t>
  </si>
  <si>
    <t>Проданных номеров</t>
  </si>
  <si>
    <t>К двойной загрузки</t>
  </si>
  <si>
    <t>Номерной фонд, в т.ч.</t>
  </si>
  <si>
    <t>на 1 человека в день с учетом К двойной загрузки</t>
  </si>
  <si>
    <t>СПА центр</t>
  </si>
  <si>
    <t>Заработная плата</t>
  </si>
  <si>
    <t>Многофункциональный центр</t>
  </si>
  <si>
    <t>Дополнительные точки питания на курорте</t>
  </si>
  <si>
    <t>Ресторан в зоне катания</t>
  </si>
  <si>
    <t>SPA-комплекс</t>
  </si>
  <si>
    <t>Стоимость 1 м2 отделка</t>
  </si>
  <si>
    <t>Итоговая стоимость отделки B*C</t>
  </si>
  <si>
    <t>Стоимость 1 м2 мебели и оборудования</t>
  </si>
  <si>
    <t>Итоговая стоимость мебели и оборудования B*E</t>
  </si>
  <si>
    <t xml:space="preserve">Стоимость 1 м2 стройка </t>
  </si>
  <si>
    <t>Итоговая стоимость стройки B*G</t>
  </si>
  <si>
    <t>Стоимость 1 м2 инж системы</t>
  </si>
  <si>
    <t>Итоговая стоимость инж системы B*I</t>
  </si>
  <si>
    <t>Итого          D+F+G+J</t>
  </si>
  <si>
    <t>Capex за м.кв.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</si>
  <si>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</si>
  <si>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</si>
  <si>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</si>
  <si>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</si>
  <si>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</si>
  <si>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</si>
  <si>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</si>
  <si>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</si>
  <si>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</si>
  <si>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</si>
  <si>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Номерной фонд (min/max)</t>
  </si>
  <si>
    <t>средняя цена</t>
  </si>
  <si>
    <t>Оздоровительный центр/ СПА / фитнес</t>
  </si>
  <si>
    <t>Залы и переговорные (min/max)</t>
  </si>
  <si>
    <t>Фойе (min/max)</t>
  </si>
  <si>
    <t>Другие помещения</t>
  </si>
  <si>
    <t xml:space="preserve"> Лобби и общественные зоны</t>
  </si>
  <si>
    <t>Лобби и общественные зоны(min/max)</t>
  </si>
  <si>
    <t>Технические помещения</t>
  </si>
  <si>
    <t>проверочная сумма площадей</t>
  </si>
  <si>
    <t>Общая площадь по заданию</t>
  </si>
  <si>
    <t>11400*</t>
  </si>
  <si>
    <t>смр</t>
  </si>
  <si>
    <t>Стоимость объекта руб. за кв. м.</t>
  </si>
  <si>
    <t>всего затрат на здание Гостиница 5 звезд</t>
  </si>
  <si>
    <t>min</t>
  </si>
  <si>
    <t xml:space="preserve">Технические помещения </t>
  </si>
  <si>
    <t>всего затрат на здание Гостиница 4 звезды</t>
  </si>
  <si>
    <t xml:space="preserve">Рестораны и бары </t>
  </si>
  <si>
    <t>Стоимость объекта руб. за кв. м. с учётом НДС</t>
  </si>
  <si>
    <t>всего затрат на здание Гостиница 3 звезды</t>
  </si>
  <si>
    <t>всего затрат на здание Гостиница 2 звезды</t>
  </si>
  <si>
    <t>Гостиница 3* (резиденции)</t>
  </si>
  <si>
    <t>Торговая зона и лыжная школа</t>
  </si>
  <si>
    <t>всего затрат на здание Гостиница 3 звезды Резиденции</t>
  </si>
  <si>
    <t xml:space="preserve">Кухня </t>
  </si>
  <si>
    <t xml:space="preserve">Административная зона </t>
  </si>
  <si>
    <t xml:space="preserve">Парковка крытая </t>
  </si>
  <si>
    <t>всего затрат на здание Многофункциональный центр</t>
  </si>
  <si>
    <t>13 шале, каждое по 15 млн\р</t>
  </si>
  <si>
    <t>всего затрат на здание шале</t>
  </si>
  <si>
    <t>Сумма стоимости зданий</t>
  </si>
  <si>
    <t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t>
  </si>
  <si>
    <t>Организация набережных</t>
  </si>
  <si>
    <t>Трансформаторная подстанция</t>
  </si>
  <si>
    <t>Канализационная насосная станция</t>
  </si>
  <si>
    <t>Стоимость проектных работ - 4% от СМР (мебель и технологическое оборудование не учитываются)</t>
  </si>
  <si>
    <t>общая сумма без НДС</t>
  </si>
  <si>
    <t>общая сумма с учётом НДС</t>
  </si>
  <si>
    <t>МФЦ, в том числе хостел Jo&amp;JOE</t>
  </si>
  <si>
    <t>Наименование объекта</t>
  </si>
  <si>
    <t>Площадь кв.м.</t>
  </si>
  <si>
    <t>CAPEX  ЦРТ (руб.)</t>
  </si>
  <si>
    <t>Клиент</t>
  </si>
  <si>
    <t>Руб./номер</t>
  </si>
  <si>
    <t>Удельная ст-ть стр-ва, руб./кв.м  НДС</t>
  </si>
  <si>
    <t>Ст-ть стр-ва, 
руб. без НДС</t>
  </si>
  <si>
    <t>Ст-ть стр-ва, 
руб. с НДС</t>
  </si>
  <si>
    <t>Срок льготы по налогу на имущество, лет</t>
  </si>
  <si>
    <t>5 звезд</t>
  </si>
  <si>
    <t>4 звезды</t>
  </si>
  <si>
    <t>3 звезды</t>
  </si>
  <si>
    <t>2 звезды</t>
  </si>
  <si>
    <t>Расходы на администрацию и управление</t>
  </si>
  <si>
    <t>Расходы на продажи и маркетинг</t>
  </si>
  <si>
    <t>Извлечение прибыли</t>
  </si>
  <si>
    <t>Операционный бизнес</t>
  </si>
  <si>
    <t>Арендаторы</t>
  </si>
  <si>
    <t>Торговые зоны</t>
  </si>
  <si>
    <t>территория тур.резиденций</t>
  </si>
  <si>
    <t>кв.м/м-место</t>
  </si>
  <si>
    <t>Отдельно стоящий СПА</t>
  </si>
  <si>
    <t>СПА с бассейном</t>
  </si>
  <si>
    <t>от выручки по РиБ</t>
  </si>
  <si>
    <t>% от выручки БС</t>
  </si>
  <si>
    <t>% от выручки департамента</t>
  </si>
  <si>
    <t>от валовой выручки</t>
  </si>
  <si>
    <t>Производственная необходимость</t>
  </si>
  <si>
    <t>Источник:</t>
  </si>
  <si>
    <t>Расчет площадей 24.02.2022 с капексами</t>
  </si>
  <si>
    <t>Площадь номерного фонда</t>
  </si>
  <si>
    <t>кв.м/номер</t>
  </si>
  <si>
    <t>кв.м/п.место</t>
  </si>
  <si>
    <t>Залы и переговорные</t>
  </si>
  <si>
    <t>Фойе</t>
  </si>
  <si>
    <t>Ресторан - количество посадочных мест</t>
  </si>
  <si>
    <t>Ресторан - площадь зала</t>
  </si>
  <si>
    <t>сделана корректировка по кол-ву посадочных мест, исходя из площади зала ресторана</t>
  </si>
  <si>
    <t>дополнительно к номерному фонду</t>
  </si>
  <si>
    <t>Торговая зона МФЦ</t>
  </si>
  <si>
    <t>SPA-комплекс (отдельно стоящий)</t>
  </si>
  <si>
    <t>Торговая зона тур.резиденций</t>
  </si>
  <si>
    <t>Торговая зона отеля 4*</t>
  </si>
  <si>
    <t>Не брендируется
(номерной фонд отеля 5*)</t>
  </si>
  <si>
    <t>Продажа по схеме lease-back</t>
  </si>
  <si>
    <t>Арендатор</t>
  </si>
  <si>
    <t>Операционный бизнес в составе PL Отеля 3*</t>
  </si>
  <si>
    <t xml:space="preserve"> Гостиницы 3*</t>
  </si>
  <si>
    <t>Исторические данные</t>
  </si>
  <si>
    <t>Прогноз</t>
  </si>
  <si>
    <t>AVG. / SUM</t>
  </si>
  <si>
    <t>Загрузка (%)</t>
  </si>
  <si>
    <t>% Динамика</t>
  </si>
  <si>
    <t>Количество номеров в год</t>
  </si>
  <si>
    <t>Изменение в предложении номеров</t>
  </si>
  <si>
    <t>Количество занятых номеров</t>
  </si>
  <si>
    <t>Изменение в спросе на номера</t>
  </si>
  <si>
    <t>Средняя цена на номер ($)</t>
  </si>
  <si>
    <t>% Динамика роста ($)</t>
  </si>
  <si>
    <t>Средняя цена на номер (руб.)</t>
  </si>
  <si>
    <t>% Динамика (руб.)</t>
  </si>
  <si>
    <t>Доходность на номер ($)</t>
  </si>
  <si>
    <t>Доходность на номер (руб.)</t>
  </si>
  <si>
    <t>Обменный курс (средний за год)</t>
  </si>
  <si>
    <t>Источник: аналитика Cushman &amp; Wakefield</t>
  </si>
  <si>
    <t>f</t>
  </si>
  <si>
    <t>k</t>
  </si>
  <si>
    <t>p</t>
  </si>
  <si>
    <t>u</t>
  </si>
  <si>
    <t>z</t>
  </si>
  <si>
    <t>ae</t>
  </si>
  <si>
    <t>aj</t>
  </si>
  <si>
    <t>ao</t>
  </si>
  <si>
    <t>Текущее / будущее предложение качественных гостиничных объектов</t>
  </si>
  <si>
    <t>Наименование</t>
  </si>
  <si>
    <t>Год открытия</t>
  </si>
  <si>
    <t>Ввод в эксплуатацию доп. номерного фонда</t>
  </si>
  <si>
    <t xml:space="preserve"> Гостиницы 4*</t>
  </si>
  <si>
    <t>Доступных номеров</t>
  </si>
  <si>
    <t>1 квартал</t>
  </si>
  <si>
    <t>2 квартал</t>
  </si>
  <si>
    <t>3 квартал</t>
  </si>
  <si>
    <t>4 квартал</t>
  </si>
  <si>
    <t>Гостиницы 5*</t>
  </si>
  <si>
    <t>Гостиницы 4*</t>
  </si>
  <si>
    <t>Гостиницы 3*</t>
  </si>
  <si>
    <t>Продано номеров</t>
  </si>
  <si>
    <t>Выручка по номерам</t>
  </si>
  <si>
    <t>РЫНОК - Горный кластер г. Сочи</t>
  </si>
  <si>
    <t>Сегмент</t>
  </si>
  <si>
    <t xml:space="preserve"> Гостиницы 2*</t>
  </si>
  <si>
    <t>Гостиницы 2*</t>
  </si>
  <si>
    <t xml:space="preserve"> Д А Н Н Ы Е    Р Ы Н К А    С О Ч И</t>
  </si>
  <si>
    <t>Отель ХХХХ</t>
  </si>
  <si>
    <t>DoubleTree by Hilton Sochi Krasnaya Polyana</t>
  </si>
  <si>
    <t>4*</t>
  </si>
  <si>
    <t>ШАЛЕ / Коттеджи</t>
  </si>
  <si>
    <t>Данные рынка о загрузке средств размещения</t>
  </si>
  <si>
    <t xml:space="preserve">Гостиницы 5* </t>
  </si>
  <si>
    <t xml:space="preserve">Гостиницы 4* </t>
  </si>
  <si>
    <t xml:space="preserve">Гостиницы 3* </t>
  </si>
  <si>
    <t xml:space="preserve">Гостиницы 2* </t>
  </si>
  <si>
    <t>Индекс проникновения по загрузке</t>
  </si>
  <si>
    <t>Номера</t>
  </si>
  <si>
    <t>Персонал</t>
  </si>
  <si>
    <t>РАСХОДЫ ПО НОМЕРАМ</t>
  </si>
  <si>
    <t>В PL хостела не будет питания. В МФЦ будет ресторан (арендатор)</t>
  </si>
  <si>
    <t>Питаются в ресторане Гостиницы 5* или в самих шале</t>
  </si>
  <si>
    <t>на проданный номер</t>
  </si>
  <si>
    <t>в т.ч. многофункциональный конференц-зал (с мобильной перегородкой) на 300 кв.м</t>
  </si>
  <si>
    <t>Расходы</t>
  </si>
  <si>
    <t>ПРОГНОЗ ВЫРУЧКИ И РАСХОДОВ ПРЕДПРИЯТИЙ ПИТАНИЯ СРЕДСТВ РАЗМЕЩЕНИЯ</t>
  </si>
  <si>
    <t>Помещения для проведения мероприятий не предусмотрены</t>
  </si>
  <si>
    <t>Расходы на продукты и напитки</t>
  </si>
  <si>
    <t>Прочие расходы</t>
  </si>
  <si>
    <t>Нераспределяемые расходы</t>
  </si>
  <si>
    <t>Прочие расходы на администрацию и управление</t>
  </si>
  <si>
    <t>Прочие расходы на продажи и маркетинг</t>
  </si>
  <si>
    <t>Прочие расходы на текущий ремонт и обслуживание</t>
  </si>
  <si>
    <t>Коммунальные затраты</t>
  </si>
  <si>
    <t>Валовая операционная прибыль</t>
  </si>
  <si>
    <t>Темп выхода на среднеотраслевой уровень</t>
  </si>
  <si>
    <t>руб./номер</t>
  </si>
  <si>
    <t>По состоянию на ДАТУ АНАЛИЗА - ДЛЯ СРАВНЕНИЯ</t>
  </si>
  <si>
    <t>Фиксированные расходы</t>
  </si>
  <si>
    <t>Расходы на страхование имущества</t>
  </si>
  <si>
    <t>Резерв на замещение</t>
  </si>
  <si>
    <t>Чистая операционная прибыль (EBITDA)</t>
  </si>
  <si>
    <t>ПРОГНОЗ ЗЕМЕЛЬНЫХ ПЛАТЕЖЕЙ - ПО ГОДАМ</t>
  </si>
  <si>
    <t>Земельные платежи операционного периода</t>
  </si>
  <si>
    <t>Земельные платежи инвестиционного периода</t>
  </si>
  <si>
    <t>Только КСР + МФЦ</t>
  </si>
  <si>
    <t>Прочие составляющие</t>
  </si>
  <si>
    <t>ТОЧКИ ПИТАНИЯ НА КУРОРТЕ</t>
  </si>
  <si>
    <t>Инфляция накопленным итогом</t>
  </si>
  <si>
    <t>ПРОГНОЗ ВЫРУЧКИ - ОТ СРЕДНЕГО ЧЕКА</t>
  </si>
  <si>
    <t>Завтраки</t>
  </si>
  <si>
    <t>Ужины</t>
  </si>
  <si>
    <t>Вместимость</t>
  </si>
  <si>
    <t>посдаочных мест</t>
  </si>
  <si>
    <t>Емкость номерного фонда</t>
  </si>
  <si>
    <t>номеров</t>
  </si>
  <si>
    <t>%</t>
  </si>
  <si>
    <t>Коэффициент дв.загрузки</t>
  </si>
  <si>
    <t>чел./период</t>
  </si>
  <si>
    <t>чел./день</t>
  </si>
  <si>
    <t>Внешние гости / в день</t>
  </si>
  <si>
    <t>Всего кол-во посетитлей на завтраки / в день</t>
  </si>
  <si>
    <t>Коэффициент оборачиваемости</t>
  </si>
  <si>
    <t>Средний чек</t>
  </si>
  <si>
    <t>руб. без НДС</t>
  </si>
  <si>
    <t>без НДС</t>
  </si>
  <si>
    <t>Выручка от завтраков</t>
  </si>
  <si>
    <t>Доля проживающих - придет на ужин</t>
  </si>
  <si>
    <t>Итого посетитлей на Ужин / в день</t>
  </si>
  <si>
    <t>Выручка Ужинов</t>
  </si>
  <si>
    <t>Обеды / Ланчи</t>
  </si>
  <si>
    <t>Доля проживающих - придет на обед</t>
  </si>
  <si>
    <t>Итого посетитлей на Обед  / в день</t>
  </si>
  <si>
    <t>Выручка Обедов</t>
  </si>
  <si>
    <t>Максимальная вместимость</t>
  </si>
  <si>
    <t>чел.</t>
  </si>
  <si>
    <t>Кол-во посетителей на 1 мероприятие</t>
  </si>
  <si>
    <t>чел./мероприятие</t>
  </si>
  <si>
    <t>Кол-во мероприятий в периоде</t>
  </si>
  <si>
    <t>мероприятий/год</t>
  </si>
  <si>
    <t>Кол-во мероприятий в месяц</t>
  </si>
  <si>
    <t>мероприятий/месяц</t>
  </si>
  <si>
    <t>Стоимость участия</t>
  </si>
  <si>
    <t>руб. /чел. без НДС</t>
  </si>
  <si>
    <t>Прочая выручка</t>
  </si>
  <si>
    <t>% от выручки по мероприятиям</t>
  </si>
  <si>
    <t>Итого выручка</t>
  </si>
  <si>
    <t>Всего проживающих на курорте</t>
  </si>
  <si>
    <t>Всего проживающих на курорте - в день</t>
  </si>
  <si>
    <t>Доля проживающих - придет на завтрак</t>
  </si>
  <si>
    <t>Внешние гости - в день</t>
  </si>
  <si>
    <t>Итого, выручка Ресторана</t>
  </si>
  <si>
    <t>ПРОГНОЗ РАСХОДОВ</t>
  </si>
  <si>
    <t xml:space="preserve"> % от выручки</t>
  </si>
  <si>
    <t>Итого расходы Ресторана</t>
  </si>
  <si>
    <t>Чистая операционная прибыль</t>
  </si>
  <si>
    <t>Гостиничная составляющая</t>
  </si>
  <si>
    <t>Доля выручки - отель</t>
  </si>
  <si>
    <t>Доля выручки - инвестор</t>
  </si>
  <si>
    <t xml:space="preserve">Выручка </t>
  </si>
  <si>
    <t>Отель</t>
  </si>
  <si>
    <t>Инвестор</t>
  </si>
  <si>
    <t xml:space="preserve">Расходы </t>
  </si>
  <si>
    <t xml:space="preserve">Доходы </t>
  </si>
  <si>
    <t>Валовая выручка</t>
  </si>
  <si>
    <t>Оплата услуг УК</t>
  </si>
  <si>
    <t>от выручки инвесторов по номерам</t>
  </si>
  <si>
    <t>Доходы от сдачи в аренду, руб./кв.м/год</t>
  </si>
  <si>
    <t>Площадь торговой зоны отеля</t>
  </si>
  <si>
    <t>Доходы от сдачи в аренду, руб./кв.м/месяц</t>
  </si>
  <si>
    <t>Проверка дохода от сдачи в аренду</t>
  </si>
  <si>
    <t xml:space="preserve"> --&gt;&gt; отдельный расчет на вкладке Retail</t>
  </si>
  <si>
    <t xml:space="preserve">Распределение ВОД </t>
  </si>
  <si>
    <t>Резиденций всего</t>
  </si>
  <si>
    <t>Резиденций продано</t>
  </si>
  <si>
    <t>ВВОДНЫЕ ПАРАМЕТРЫ</t>
  </si>
  <si>
    <t>Дата ввода объекта в эксплуатацию</t>
  </si>
  <si>
    <t>РАСЧЕТ ДОХОДА ОТ СДАЧИ ПОМЕЩЕНИЙ В АРЕНДУ</t>
  </si>
  <si>
    <t>Расчет на листе Retail</t>
  </si>
  <si>
    <t>Учет в составе PL отеля 4*</t>
  </si>
  <si>
    <t>Определение ставок аренды по типам помещений и сезонам (базовый уровень на дату исследования)</t>
  </si>
  <si>
    <t>Помещение</t>
  </si>
  <si>
    <t>Площадь в аренду (постоянно), кв.м</t>
  </si>
  <si>
    <t>Ставка аренды (постоянно), по состоянию на дату исследования, руб./кв.м/год БЕЗ НДС</t>
  </si>
  <si>
    <t>Площадь в аренду (сезон), кв.м</t>
  </si>
  <si>
    <t>Ставка аренды (сезон), по состоянию на дату исследования, руб./кв.м/год БЕЗ НДС</t>
  </si>
  <si>
    <t>Ресторан МФЦ</t>
  </si>
  <si>
    <t>Инфляция (кумулятивно, с даты исследования)</t>
  </si>
  <si>
    <t>Прогноз ставки аренды, руб./кв.м/год - ПОСТОЯННО (не сезон)</t>
  </si>
  <si>
    <t>Прогноз ставки аренды, руб./кв.м/год - СЕЗОН</t>
  </si>
  <si>
    <t>ЗИМА - будни</t>
  </si>
  <si>
    <t>ЗИМА - выходные</t>
  </si>
  <si>
    <t>ЛЕТО - будни</t>
  </si>
  <si>
    <t>ЛЕТО - выходные</t>
  </si>
  <si>
    <t>1 кв.</t>
  </si>
  <si>
    <t>2 кв.</t>
  </si>
  <si>
    <t>3 кв.</t>
  </si>
  <si>
    <t>4 кв.</t>
  </si>
  <si>
    <r>
      <t xml:space="preserve"> * принят в качестве </t>
    </r>
    <r>
      <rPr>
        <i/>
        <sz val="9"/>
        <color theme="4" tint="-0.249977111117893"/>
        <rFont val="Arial"/>
        <family val="2"/>
        <charset val="204"/>
      </rPr>
      <t>обычного</t>
    </r>
    <r>
      <rPr>
        <i/>
        <sz val="9"/>
        <color theme="1"/>
        <rFont val="Arial"/>
        <family val="2"/>
        <charset val="204"/>
      </rPr>
      <t xml:space="preserve"> года</t>
    </r>
  </si>
  <si>
    <t>2021 год</t>
  </si>
  <si>
    <t>Календарные</t>
  </si>
  <si>
    <t>Рабочие</t>
  </si>
  <si>
    <t>Выходные и праздничные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</si>
  <si>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</si>
  <si>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</si>
  <si>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</si>
  <si>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</si>
  <si>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</si>
  <si>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</si>
  <si>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</si>
  <si>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</si>
  <si>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</si>
  <si>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</si>
  <si>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</t>
  </si>
  <si>
    <t>дек</t>
  </si>
  <si>
    <t>http://static.consultant.ru/obj/file/calendar/calendar_2021.pdf</t>
  </si>
  <si>
    <t>Обычный</t>
  </si>
  <si>
    <t>Апрель -  2021 ГОД</t>
  </si>
  <si>
    <t>ПН</t>
  </si>
  <si>
    <t>ВТ</t>
  </si>
  <si>
    <t>СР</t>
  </si>
  <si>
    <t>ЧТ</t>
  </si>
  <si>
    <t>ПТ</t>
  </si>
  <si>
    <t>СБ</t>
  </si>
  <si>
    <t>ВС</t>
  </si>
  <si>
    <t>Ноябрь -  2021 ГОД</t>
  </si>
  <si>
    <t>Не сезонные дни</t>
  </si>
  <si>
    <t>Сезонные дни</t>
  </si>
  <si>
    <t>Распределение по сезонности</t>
  </si>
  <si>
    <t>Распределние дней в периоде - сезон / не сезон</t>
  </si>
  <si>
    <t>Прогноз загрузки</t>
  </si>
  <si>
    <t>Доход от сдачи в аренду</t>
  </si>
  <si>
    <t>ИТОГО, доход от сдачи в аренду  площадей</t>
  </si>
  <si>
    <t>Ввод</t>
  </si>
  <si>
    <t>Коэффициент перехода к полезной площади</t>
  </si>
  <si>
    <t>Полезная площадь
(в аренду), кв.м</t>
  </si>
  <si>
    <t>Валовая выручка от продаж комплекса</t>
  </si>
  <si>
    <t>Прочие расходы, % от выручки</t>
  </si>
  <si>
    <t>Итого, расходы на администрацию и управление, % от выручки</t>
  </si>
  <si>
    <t>Итого, расходы на продажи и маркетинг, % от выручки</t>
  </si>
  <si>
    <t>Итого, расходы на текущий ремонт и эксплуатацию, % от выручки</t>
  </si>
  <si>
    <t>ВСЕГО, расходы курорта</t>
  </si>
  <si>
    <t>ВСЕГО, расходы курорта в % от валовой выручки</t>
  </si>
  <si>
    <t>Сдача в аренду помещений</t>
  </si>
  <si>
    <t>Налог на имущество - курорт</t>
  </si>
  <si>
    <t>Коммунальные платежи</t>
  </si>
  <si>
    <t>ПРОГНОЗ ЧИСЛЕННОСТИ ШР УК</t>
  </si>
  <si>
    <t>Департамент</t>
  </si>
  <si>
    <t>Штатная единица</t>
  </si>
  <si>
    <t xml:space="preserve">Оклад, руб./мес. GROSS </t>
  </si>
  <si>
    <t>УК</t>
  </si>
  <si>
    <t>Служба охраны</t>
  </si>
  <si>
    <t>УК - маркетинг</t>
  </si>
  <si>
    <t>SMM менеджер</t>
  </si>
  <si>
    <t>УК - эксплуатация</t>
  </si>
  <si>
    <t>Сотрудник службы эксплуатации</t>
  </si>
  <si>
    <t>ПРОГНОЗ РАСХОДОВ НА ОПЛАТУ ТРУДА ПЕРСОНАЛА УК</t>
  </si>
  <si>
    <t>Коммунальные расходы по курорту</t>
  </si>
  <si>
    <t>Россия-2035 (в обращении)</t>
  </si>
  <si>
    <t xml:space="preserve">https://rusbonds.ru/bonds/153478/ </t>
  </si>
  <si>
    <t>arithmetiс average 1972-2021</t>
  </si>
  <si>
    <t>Ценообразование и прогноз выручки</t>
  </si>
  <si>
    <t>Год стабилизации</t>
  </si>
  <si>
    <t>Доход инвесторов в стабилизированный год</t>
  </si>
  <si>
    <t>Ставка капитализации</t>
  </si>
  <si>
    <t>Общая площадь продаваемого номерного фонда</t>
  </si>
  <si>
    <t>Индекс инфляции (для перехода к текущим ценам)</t>
  </si>
  <si>
    <t>Цена продажи прогноз, руб./кв.м</t>
  </si>
  <si>
    <t>Цена продажи расчет, руб./кв.м</t>
  </si>
  <si>
    <t>График продаж</t>
  </si>
  <si>
    <t>Флаг ввода в эксплуатацию</t>
  </si>
  <si>
    <t>Итого прибыль (за вычетом расходов), с НДС</t>
  </si>
  <si>
    <t>Итого прибыль (за вычетом расходов), без НДС</t>
  </si>
  <si>
    <t>Операционная прибыль (без НДС)</t>
  </si>
  <si>
    <t>Продажа резиденций</t>
  </si>
  <si>
    <t xml:space="preserve">Зимний сезон </t>
  </si>
  <si>
    <t>с 15.11. по 15.04.</t>
  </si>
  <si>
    <t>ПРОДАЖА, НЕ ставим на баланс</t>
  </si>
  <si>
    <t>ПРОДАЖА</t>
  </si>
  <si>
    <t>Расходы на страхование - курорт</t>
  </si>
  <si>
    <t>Минус: себестоимость резиденций</t>
  </si>
  <si>
    <t>Досрочное погашение - с операционного потока</t>
  </si>
  <si>
    <t>ВНИМАНИЕ</t>
  </si>
  <si>
    <t>Итого: накопленный убыток к переносу</t>
  </si>
  <si>
    <t>Продано после ввода</t>
  </si>
  <si>
    <t>года</t>
  </si>
  <si>
    <t>Сумма</t>
  </si>
  <si>
    <t>РАСЧЕТ ДОХОДА ОТ СДАЧИ В АРЕНДУ МАШИНО-МЕСТ</t>
  </si>
  <si>
    <t>Парковки</t>
  </si>
  <si>
    <t>Кол-во м/мест</t>
  </si>
  <si>
    <t>ПРОГНОЗ ВЫРУЧКИ</t>
  </si>
  <si>
    <t>Кол-во парковочных мест - доступно (м-м/дни)</t>
  </si>
  <si>
    <t>Кол-во прожвающих на курорте (человеко-дни)</t>
  </si>
  <si>
    <t>Кол-во человек в среднем на 1 машину</t>
  </si>
  <si>
    <t>Кол-во парковочных мест - сдано</t>
  </si>
  <si>
    <t>Max</t>
  </si>
  <si>
    <t>Без НДС</t>
  </si>
  <si>
    <t>Стоимость м-м для проживающих на курорте, руб./день</t>
  </si>
  <si>
    <t>Стоимость м-м для гостей без ночевок, руб./день</t>
  </si>
  <si>
    <t>Выручка от сдачи м-м - проживающие</t>
  </si>
  <si>
    <t>Выручка от сдачи м-м - гости без ночевок</t>
  </si>
  <si>
    <t>ИТОГО, выручка от сдачи в аренду</t>
  </si>
  <si>
    <t xml:space="preserve">ПРОГНОЗ РАСХОДОВ </t>
  </si>
  <si>
    <t>Прямые операционные - % от выручки</t>
  </si>
  <si>
    <t>ИТОГО, операционные расходы</t>
  </si>
  <si>
    <t>ПОКАЗАТЕЛИ ЭФФЕКТИВНОСТИ</t>
  </si>
  <si>
    <t>Операционная маржа</t>
  </si>
  <si>
    <t>Кол-во проживающих на курорте (чел.)</t>
  </si>
  <si>
    <t>Средняя длительность проживания</t>
  </si>
  <si>
    <t>Проживающие - воспользуются платной парковкой</t>
  </si>
  <si>
    <t>Гости без ночевок, кот. воспользуются парковкой, % от внутреннего спроса</t>
  </si>
  <si>
    <t>Гости без ночевок, кот. воспользуются парковкой (внешний спрос)</t>
  </si>
  <si>
    <t>Платная парковка</t>
  </si>
  <si>
    <t>в текущих ценах</t>
  </si>
  <si>
    <t>темпы роста, %</t>
  </si>
  <si>
    <t>Предварительная оценка пятнка застройки</t>
  </si>
  <si>
    <t>Пятно застройки, приходящееся на Резиденции</t>
  </si>
  <si>
    <t>до термин.</t>
  </si>
  <si>
    <t>Валовой операционный доход - ВОД</t>
  </si>
  <si>
    <t>С 1 резиденции, руб./мес.</t>
  </si>
  <si>
    <t>С 1 резиденции, руб./год</t>
  </si>
  <si>
    <t>в ценах 2022</t>
  </si>
  <si>
    <t>площадь на место</t>
  </si>
  <si>
    <t>Туристские резиденции</t>
  </si>
  <si>
    <t>Комментарий CW</t>
  </si>
  <si>
    <t>Предложения CW</t>
  </si>
  <si>
    <t>S ном.фонда</t>
  </si>
  <si>
    <t>кв.м общей S/номер</t>
  </si>
  <si>
    <t>Предложение по увеличению количества номеров с сохранением общей площади номерного фонда</t>
  </si>
  <si>
    <t>Наличие СПА</t>
  </si>
  <si>
    <t>Отдельно стоящий корпус SPA-комплекса - учитывается в опер.деятельности гостиницы 3*</t>
  </si>
  <si>
    <t>Корректировка по количеству номеров с сохранением общей площади номерного фонда</t>
  </si>
  <si>
    <t>Корректировка CW</t>
  </si>
  <si>
    <t>Общая площадь объекта без изменений</t>
  </si>
  <si>
    <t>Проверка сумм за УК</t>
  </si>
  <si>
    <t>Себестоимость строительства - без НДС</t>
  </si>
  <si>
    <t>Вопросы для обсуждения с Клиентом</t>
  </si>
  <si>
    <t>Почему такая разница в удельной стоимости у гостиницы 5* и 4* ?</t>
  </si>
  <si>
    <t>Это стоимость строительства с оснащением / оборудованием? (кажется, мало)</t>
  </si>
  <si>
    <t>Включает отделку? Почему меньше, чем в Ибисе? (в расчете на кв.м)</t>
  </si>
  <si>
    <t>Продано до  ввода объекта в эксплуатацию</t>
  </si>
  <si>
    <t>Многофункциональный центр и торговые площади (аренда)</t>
  </si>
  <si>
    <t>млн руб.</t>
  </si>
  <si>
    <t>Показатели проекта на собственный капитал</t>
  </si>
  <si>
    <t>IRR - без TV</t>
  </si>
  <si>
    <t xml:space="preserve">Показатели проекта </t>
  </si>
  <si>
    <t>Чистая текущая ст-ть проекта на дату анализа
с учетом терминальной стоимости</t>
  </si>
  <si>
    <t>FCFE + TV</t>
  </si>
  <si>
    <t xml:space="preserve">NPV </t>
  </si>
  <si>
    <t>Без учета  терминальной стоимости</t>
  </si>
  <si>
    <t>С учетом терминальной стоимости</t>
  </si>
  <si>
    <t>С учетом  терминальной стоимости</t>
  </si>
  <si>
    <t>Денежный поток накопленным итогом - без TV</t>
  </si>
  <si>
    <t>Денежный поток накопленным итогом - c TV</t>
  </si>
  <si>
    <t>Чистая текущая ст-ть проекта на дату анализа - с TV</t>
  </si>
  <si>
    <t>Чистая текущая ст-ть проекта на дату анализа - без TV</t>
  </si>
  <si>
    <t>Дисконтированный денежный поток - без TV</t>
  </si>
  <si>
    <t>Дисконтированный денежный поток - с TV</t>
  </si>
  <si>
    <t>PBP (срок окупаемости) - без TV</t>
  </si>
  <si>
    <t>PBP (срок окупаемости) - c TV</t>
  </si>
  <si>
    <t>Дисконтированный денежный поток накопленным итогом - без TV</t>
  </si>
  <si>
    <t>Дисконтированный денежный поток накопленным итогом - c TV</t>
  </si>
  <si>
    <t>DPBP (дисконтированный срок окупаемости) - без TV</t>
  </si>
  <si>
    <t>DPBP (дисконтированный срок окупаемости) - c TV</t>
  </si>
  <si>
    <t>IRR - c TV</t>
  </si>
  <si>
    <t>FCFF</t>
  </si>
  <si>
    <t>FCFF + TV</t>
  </si>
  <si>
    <t>Для проверки</t>
  </si>
  <si>
    <t>Оборот за год</t>
  </si>
  <si>
    <t>Остаток на счете</t>
  </si>
  <si>
    <t>Дата ввода в эксплуатацию (окончание стр-ва)</t>
  </si>
  <si>
    <t>Льготный период по выплате тела долга (по графику)</t>
  </si>
  <si>
    <t>NPV - без TV</t>
  </si>
  <si>
    <t>IRR - с TV</t>
  </si>
  <si>
    <t>NPV - c TV</t>
  </si>
  <si>
    <t>Основная ставка налога на прибыль</t>
  </si>
  <si>
    <t>федеральн.бюджет</t>
  </si>
  <si>
    <t>регион.бюджет</t>
  </si>
  <si>
    <t>2017-2024 гг.</t>
  </si>
  <si>
    <t>с 2025 г.</t>
  </si>
  <si>
    <t>Период</t>
  </si>
  <si>
    <t>Резиденты туристско-рекреационных ОЭЗ, объединенных в кластер</t>
  </si>
  <si>
    <t>Динамическая ставка поощрительного вознаграждения оператора</t>
  </si>
  <si>
    <t>ВОП от</t>
  </si>
  <si>
    <t>ВОП до</t>
  </si>
  <si>
    <t>% от ВОП</t>
  </si>
  <si>
    <t>Загрузка - полный год работы</t>
  </si>
  <si>
    <t>Загрузка - 3-4 кварталы</t>
  </si>
  <si>
    <t>3-4 кв.</t>
  </si>
  <si>
    <t>Коэффициент учета работы неполный год</t>
  </si>
  <si>
    <t>AVERAGE 2019;2021</t>
  </si>
  <si>
    <t>Корректировка загрузки на фактор неполного 1 года работы</t>
  </si>
  <si>
    <t>3-4 кв. года</t>
  </si>
  <si>
    <t>Год ввода 1 очереди</t>
  </si>
  <si>
    <t>Выручка, руб. без НДС</t>
  </si>
  <si>
    <t>ЧОП</t>
  </si>
  <si>
    <t>Доля расходов на персонал в выручке</t>
  </si>
  <si>
    <t>Доля расходов на персонал в расходах</t>
  </si>
  <si>
    <t>НДФЛ</t>
  </si>
  <si>
    <t>Социальные отчисления</t>
  </si>
  <si>
    <t>в т.ч. в федеральный бюджет</t>
  </si>
  <si>
    <t>Налог на землю / Арендные платежи за землю</t>
  </si>
  <si>
    <t>НДС</t>
  </si>
  <si>
    <t>СВОД</t>
  </si>
  <si>
    <t>за 10 лет</t>
  </si>
  <si>
    <t>Федеральные налоги и сборы</t>
  </si>
  <si>
    <t>Региональные налоги и сборы</t>
  </si>
  <si>
    <t>Местные налоги и сборы</t>
  </si>
  <si>
    <t>ВСПОМОГАТЕЛЬНЫЕ---&gt;</t>
  </si>
  <si>
    <t>Для расчета НДФЛ и соц. отчислений</t>
  </si>
  <si>
    <t>Для расчета налога на прибыль</t>
  </si>
  <si>
    <t>Оклад, руб.</t>
  </si>
  <si>
    <t>Прибыль, руб.</t>
  </si>
  <si>
    <t>РФ</t>
  </si>
  <si>
    <t>Субъект РФ</t>
  </si>
  <si>
    <t>в т.ч. НДФЛ</t>
  </si>
  <si>
    <t>Ставка по налогу на прибыль</t>
  </si>
  <si>
    <t>"чистая з.п."</t>
  </si>
  <si>
    <t>доля НДФЛ в расходах на оплату труда</t>
  </si>
  <si>
    <t>В бюджет РФ</t>
  </si>
  <si>
    <t>Налог на ФОТ</t>
  </si>
  <si>
    <t>Доля налога на прибыль, зачисляемая в федеральный бюджет</t>
  </si>
  <si>
    <t>В бюджет субъекта РФ</t>
  </si>
  <si>
    <t>Итого, платеж</t>
  </si>
  <si>
    <t>доля налога на ФОТ в расходах на оплату труда</t>
  </si>
  <si>
    <t>Доля налога на прибыль, зачисляемая в бюджет субъекта РФ</t>
  </si>
  <si>
    <t>Для расчета НДС</t>
  </si>
  <si>
    <t>Прочие расходы (без персонала)</t>
  </si>
  <si>
    <t>Из них не облагается НДС</t>
  </si>
  <si>
    <t>Из них облагается НДС</t>
  </si>
  <si>
    <t>Выручка с НДС всего</t>
  </si>
  <si>
    <t>НДС входящий</t>
  </si>
  <si>
    <t>Расходы с НДС всего</t>
  </si>
  <si>
    <t>НДС исходящий</t>
  </si>
  <si>
    <t>Сальдо</t>
  </si>
  <si>
    <t>Туристический комплекс "Лунная поляна" - Архыз</t>
  </si>
  <si>
    <t>Расходы на персонал КУРОРТА</t>
  </si>
  <si>
    <t>Средства размещения</t>
  </si>
  <si>
    <t>Итого расходы на персонал</t>
  </si>
  <si>
    <t>Retail</t>
  </si>
  <si>
    <t>Общекурортные</t>
  </si>
  <si>
    <t>Итого, расходы на персонал - Курорт</t>
  </si>
  <si>
    <t>10 лет - льгота по НнИ</t>
  </si>
  <si>
    <t>для примера</t>
  </si>
  <si>
    <t>Коммунальные затраты всего КУРОРТА</t>
  </si>
  <si>
    <t>Итого, коммунальные затраты - Курорт</t>
  </si>
  <si>
    <t>2023-2024 гг.</t>
  </si>
  <si>
    <t>Прогноз турпотока
(кол-во размещенных лиц в КСР)</t>
  </si>
  <si>
    <t>Количество гостей = (Продано номеров в периоде*К двойной загрузки)/ср. продолжительность пребывания</t>
  </si>
  <si>
    <t>Продано номеров в периоде</t>
  </si>
  <si>
    <t>Средняя продолжительность пребывания, дни</t>
  </si>
  <si>
    <t>Средневзвещенная прод-сть пребывания</t>
  </si>
  <si>
    <t>Итого, кол-во размещенных лиц на курорте</t>
  </si>
  <si>
    <t>Кол-во размещенных лиц на курорте</t>
  </si>
  <si>
    <t xml:space="preserve">Сравнение с расчетом в 2021 году: </t>
  </si>
  <si>
    <t>Номеров в наличии</t>
  </si>
  <si>
    <t>Номеров на горничную</t>
  </si>
  <si>
    <t>A&amp;G_5</t>
  </si>
  <si>
    <t>Администрация</t>
  </si>
  <si>
    <t xml:space="preserve">Генеральный менеджер </t>
  </si>
  <si>
    <t>Операционный менеджер</t>
  </si>
  <si>
    <t>Инженер по охране труда и пожарной безопасности</t>
  </si>
  <si>
    <t xml:space="preserve">Юрисконсульт </t>
  </si>
  <si>
    <t>Ассистент генерального менеджера</t>
  </si>
  <si>
    <t>Санитарный врач</t>
  </si>
  <si>
    <t>Бухгалтерия</t>
  </si>
  <si>
    <t xml:space="preserve">Главный бухгалтер </t>
  </si>
  <si>
    <t xml:space="preserve">Заместитель главного бухгалтера </t>
  </si>
  <si>
    <t>Финансовый директор</t>
  </si>
  <si>
    <t xml:space="preserve">Бухгалтер по заработной плате </t>
  </si>
  <si>
    <t xml:space="preserve">Бухгалтер по расчетам с поставщиками  </t>
  </si>
  <si>
    <t xml:space="preserve">Бухгалтер по реализации </t>
  </si>
  <si>
    <t>Бухгалтер по учету ТМЦ и ОС</t>
  </si>
  <si>
    <t>Бухгалтер калькулятор</t>
  </si>
  <si>
    <t xml:space="preserve">Бухгалтер-кассир </t>
  </si>
  <si>
    <t>Бухгалтер по учету банковских операций</t>
  </si>
  <si>
    <t>Внутренний аудитор</t>
  </si>
  <si>
    <t xml:space="preserve">HR </t>
  </si>
  <si>
    <t>Тренинг-менеджер</t>
  </si>
  <si>
    <t>Специалист по кадрам /персоналу</t>
  </si>
  <si>
    <t>Служба снабжения</t>
  </si>
  <si>
    <t xml:space="preserve">Кладовщик материально-технического склада </t>
  </si>
  <si>
    <t>Заведующий складом</t>
  </si>
  <si>
    <t>Руководитель отдела закупок</t>
  </si>
  <si>
    <t>Менеджер по закупкам</t>
  </si>
  <si>
    <t xml:space="preserve">IT </t>
  </si>
  <si>
    <t xml:space="preserve">Руководитель службы IT </t>
  </si>
  <si>
    <t>IT специалист</t>
  </si>
  <si>
    <t>S&amp;M_5</t>
  </si>
  <si>
    <t>Отдел продаж</t>
  </si>
  <si>
    <t>Менеджер по  работе с клиентами (физлица)</t>
  </si>
  <si>
    <t>Менеджер по  работе с корпоративными клиентами</t>
  </si>
  <si>
    <t>Менеджер по продажам MICE</t>
  </si>
  <si>
    <t>Специалисты по бронированию</t>
  </si>
  <si>
    <t>Менеджер по управлению доходами</t>
  </si>
  <si>
    <t>Специалист по е-коммерции</t>
  </si>
  <si>
    <t>Менеджер по маркетингу и PR</t>
  </si>
  <si>
    <t>FM_5</t>
  </si>
  <si>
    <t>Инженерная служба</t>
  </si>
  <si>
    <t xml:space="preserve">Начальник службы - главный инженер </t>
  </si>
  <si>
    <t>Инженер по эксплуатации зданий</t>
  </si>
  <si>
    <t>Инженер по слаботочным системам и автоматике</t>
  </si>
  <si>
    <t xml:space="preserve">Инженер-энергетик </t>
  </si>
  <si>
    <t xml:space="preserve">Инженер ОВиК </t>
  </si>
  <si>
    <t>Дежурный инженер</t>
  </si>
  <si>
    <t>Столяр</t>
  </si>
  <si>
    <t xml:space="preserve">Маляр </t>
  </si>
  <si>
    <t>Сантехник</t>
  </si>
  <si>
    <t>Rooms_5</t>
  </si>
  <si>
    <t>Хозяйственная служба</t>
  </si>
  <si>
    <t>Руководитель</t>
  </si>
  <si>
    <t>Заместитель руководителя</t>
  </si>
  <si>
    <t>Супервайзер</t>
  </si>
  <si>
    <t xml:space="preserve">Горничная </t>
  </si>
  <si>
    <t xml:space="preserve">Горничная служебных помещений </t>
  </si>
  <si>
    <t>Разнорабочий</t>
  </si>
  <si>
    <t>СПИР</t>
  </si>
  <si>
    <t xml:space="preserve">Начальник службы приема и размещения </t>
  </si>
  <si>
    <t xml:space="preserve">Старший администратор </t>
  </si>
  <si>
    <t xml:space="preserve">Администратор </t>
  </si>
  <si>
    <t>Ночной аудитор</t>
  </si>
  <si>
    <t>Менеджер по работе с гостями</t>
  </si>
  <si>
    <t xml:space="preserve">Консьерж </t>
  </si>
  <si>
    <t>Посыльный</t>
  </si>
  <si>
    <t>Прачечная</t>
  </si>
  <si>
    <t>Руководитель прачечной</t>
  </si>
  <si>
    <t>Оператор стиральных машин</t>
  </si>
  <si>
    <t xml:space="preserve">Кастелянша </t>
  </si>
  <si>
    <t>F&amp;B_5</t>
  </si>
  <si>
    <t>Служба питания - адм.</t>
  </si>
  <si>
    <t>Руководитель службы питания</t>
  </si>
  <si>
    <t>Шеф повар</t>
  </si>
  <si>
    <t>Шеф кондитер</t>
  </si>
  <si>
    <t>Руководитель банкетной службы</t>
  </si>
  <si>
    <t>Инженер-технолог по питанию</t>
  </si>
  <si>
    <t>Руководитель службы стюардинга</t>
  </si>
  <si>
    <t>Уборщик производственных и служебных помещений</t>
  </si>
  <si>
    <t>Шведская линия 5*</t>
  </si>
  <si>
    <t>Су-шеф повар</t>
  </si>
  <si>
    <t>Старший повар</t>
  </si>
  <si>
    <t>Повар</t>
  </si>
  <si>
    <t>Повар-заготовщик</t>
  </si>
  <si>
    <t>Пекарь-кондитер</t>
  </si>
  <si>
    <t>Менеджер зала</t>
  </si>
  <si>
    <t>Официант</t>
  </si>
  <si>
    <t>Бармен-кассир</t>
  </si>
  <si>
    <t>Ресторан a-la-carte</t>
  </si>
  <si>
    <t>Повар - универсал</t>
  </si>
  <si>
    <t>Метрдотель</t>
  </si>
  <si>
    <t>Лобби-бар (в т.ч. летне кафе)</t>
  </si>
  <si>
    <t>Бар-менеджер</t>
  </si>
  <si>
    <t>Мойщик посуды</t>
  </si>
  <si>
    <t>F&amp;B_event_5</t>
  </si>
  <si>
    <t>Старший официант</t>
  </si>
  <si>
    <t>Официанты банкетной службы</t>
  </si>
  <si>
    <t>Монтер выставочных площадей и шатров</t>
  </si>
  <si>
    <t>Гардеробщик</t>
  </si>
  <si>
    <t>Уборщик</t>
  </si>
  <si>
    <t>SPA_&amp;_fitness_5</t>
  </si>
  <si>
    <t>СПА и фитнес</t>
  </si>
  <si>
    <t>Администратор</t>
  </si>
  <si>
    <t>Массажист / мастер СПА</t>
  </si>
  <si>
    <t>Врач-косметолог</t>
  </si>
  <si>
    <t xml:space="preserve">Спасатель-тренер (бассейн) </t>
  </si>
  <si>
    <t>Уборщик СПА и фитнес-центра</t>
  </si>
  <si>
    <t>Medicine_5</t>
  </si>
  <si>
    <t>Медицинский центр</t>
  </si>
  <si>
    <t>Главный врач</t>
  </si>
  <si>
    <t>Главная медицинская сестра</t>
  </si>
  <si>
    <t>Врач (2 специальности)</t>
  </si>
  <si>
    <t>Медицинская сестра</t>
  </si>
  <si>
    <t>Рецепционист</t>
  </si>
  <si>
    <t>Уборщица служебных помещений</t>
  </si>
  <si>
    <t>Анимация</t>
  </si>
  <si>
    <t>Начальник службы</t>
  </si>
  <si>
    <t>Аниматор (детская комната, мастеркласы, детский аниматор)</t>
  </si>
  <si>
    <t>MOD_5</t>
  </si>
  <si>
    <t>Прочие услуги</t>
  </si>
  <si>
    <t>Тренер по йоге и спортивной анимации</t>
  </si>
  <si>
    <t>ИТОГО, кол-во штатных единиц</t>
  </si>
  <si>
    <t>A&amp;G_4</t>
  </si>
  <si>
    <t>S&amp;M_4</t>
  </si>
  <si>
    <t>FM_4</t>
  </si>
  <si>
    <t>Rooms_4</t>
  </si>
  <si>
    <t>F&amp;B_4</t>
  </si>
  <si>
    <t>Шведская линия 4*</t>
  </si>
  <si>
    <t>F&amp;B_event_4</t>
  </si>
  <si>
    <t>SPA_&amp;_fitness_4</t>
  </si>
  <si>
    <t>Medicine_4</t>
  </si>
  <si>
    <t>MOD_4</t>
  </si>
  <si>
    <t>A&amp;G_3</t>
  </si>
  <si>
    <t>S&amp;M_3</t>
  </si>
  <si>
    <t>FM_3</t>
  </si>
  <si>
    <t>Rooms_3</t>
  </si>
  <si>
    <t>F&amp;B_3</t>
  </si>
  <si>
    <t>Шведская линия 3*</t>
  </si>
  <si>
    <t>F&amp;B_event_3</t>
  </si>
  <si>
    <t>SPA_&amp;_fitness_3</t>
  </si>
  <si>
    <t>Medicine_3</t>
  </si>
  <si>
    <t>MOD_3</t>
  </si>
  <si>
    <t>Управляющая компания</t>
  </si>
  <si>
    <t>Номерной фонд Гостиницы 5*</t>
  </si>
  <si>
    <t>ИТОГО, кол-во штатных единиц - всего по курорту</t>
  </si>
  <si>
    <t>Примечание / Комментарий</t>
  </si>
  <si>
    <t>Небольшой конференц центр, только переговорные комнаты ,см ниже</t>
  </si>
  <si>
    <t>БОЛЬШОЙ КОМПЛЕКС!</t>
  </si>
  <si>
    <t>Большой конференц центр с многофункциональным залом</t>
  </si>
  <si>
    <t>Небольшая конференц-зона</t>
  </si>
  <si>
    <t>A&amp;G_2</t>
  </si>
  <si>
    <t>S&amp;M_2</t>
  </si>
  <si>
    <t>FM_2</t>
  </si>
  <si>
    <t>Rooms_2</t>
  </si>
  <si>
    <t>F&amp;B_2</t>
  </si>
  <si>
    <t>F&amp;B_event_2</t>
  </si>
  <si>
    <t>SPA_&amp;_fitness_2</t>
  </si>
  <si>
    <t>Medicine_2</t>
  </si>
  <si>
    <t>MOD_2</t>
  </si>
  <si>
    <t>A&amp;G_hostel</t>
  </si>
  <si>
    <t>S&amp;M_hostel</t>
  </si>
  <si>
    <t>FM_hostel</t>
  </si>
  <si>
    <t>Rooms_hostel</t>
  </si>
  <si>
    <t>F&amp;B_hostel</t>
  </si>
  <si>
    <t>F&amp;B_event_hostel</t>
  </si>
  <si>
    <t>SPA_&amp;_fitness_hostel</t>
  </si>
  <si>
    <t>Medicine_hostel</t>
  </si>
  <si>
    <t>MOD_hostel</t>
  </si>
  <si>
    <t>Отдел по работе с арендаторами</t>
  </si>
  <si>
    <t>A&amp;G_Residence</t>
  </si>
  <si>
    <t>S&amp;M_Residence</t>
  </si>
  <si>
    <t>FM_Residence</t>
  </si>
  <si>
    <t>Rooms_Residence</t>
  </si>
  <si>
    <t>F&amp;B_Residence</t>
  </si>
  <si>
    <t>F&amp;B_event_Residence</t>
  </si>
  <si>
    <t>SPA_&amp;_fitness_Residence</t>
  </si>
  <si>
    <t>Medicine_Residence</t>
  </si>
  <si>
    <t>MOD_Residence</t>
  </si>
  <si>
    <t>Ведущий инженер</t>
  </si>
  <si>
    <t>Начальник отдела</t>
  </si>
  <si>
    <t>руб./кв.м</t>
  </si>
  <si>
    <t>Общий бюджет в расчете на общую площадь</t>
  </si>
  <si>
    <t>Терминальная стоимость продажи</t>
  </si>
  <si>
    <t>Терминальная стоимость продажи - руб./номер</t>
  </si>
  <si>
    <t>ВОД / номер</t>
  </si>
  <si>
    <t xml:space="preserve"> EBITDA - руб./номер</t>
  </si>
  <si>
    <t>Доля по кол-ву номерного фонда</t>
  </si>
  <si>
    <t>Доля по площади номерного фонда</t>
  </si>
  <si>
    <t>продажа</t>
  </si>
  <si>
    <t>единиц</t>
  </si>
  <si>
    <t>Доля по выручке (2030 год)</t>
  </si>
  <si>
    <t>Прогнозы 2022</t>
  </si>
  <si>
    <t>Прогнозы 2021</t>
  </si>
  <si>
    <t>ГОСТИНИЦА 5* - 150 номеров</t>
  </si>
  <si>
    <t>ГОСТИНИЦЫ 4* - 400 номеров</t>
  </si>
  <si>
    <t>ГОСТИНИЦЫ 3* - 900 номеров</t>
  </si>
  <si>
    <t>Апартаменты на продажу</t>
  </si>
  <si>
    <t>продажа гостиниц</t>
  </si>
  <si>
    <t>продажа апартаментов в собственность</t>
  </si>
  <si>
    <t>продажа апартов lease-back</t>
  </si>
  <si>
    <t>TV курорта</t>
  </si>
  <si>
    <t>возмещение НДС</t>
  </si>
  <si>
    <t>% по кредиту</t>
  </si>
  <si>
    <t>инвестиции</t>
  </si>
  <si>
    <t>продажа резиденций</t>
  </si>
  <si>
    <t>Общекурортные расходы</t>
  </si>
  <si>
    <t>операционная прибыль гостиницы + инфр-ра</t>
  </si>
  <si>
    <t>Операционный бизнес - с гипотетической продажей в 2037 году</t>
  </si>
  <si>
    <t>Приведение к 2026 году</t>
  </si>
  <si>
    <t>продажа гостиниц (в 2024, 2025 и 2026)</t>
  </si>
  <si>
    <t xml:space="preserve">  Результаты  2021 года</t>
  </si>
  <si>
    <t>Баланс потоков с учетом дисконтирования</t>
  </si>
  <si>
    <t>Дисконт</t>
  </si>
  <si>
    <t xml:space="preserve"> + кредит</t>
  </si>
  <si>
    <t xml:space="preserve"> - выплата кредита</t>
  </si>
  <si>
    <t xml:space="preserve"> - налог на прибыль</t>
  </si>
  <si>
    <t>операционный бизнес</t>
  </si>
  <si>
    <t>минус НДС и земельный налог</t>
  </si>
  <si>
    <t>минус налог на прибыль</t>
  </si>
  <si>
    <t>общекурортные</t>
  </si>
  <si>
    <t>баланс</t>
  </si>
  <si>
    <t>Большой проект</t>
  </si>
  <si>
    <t>без инфляции</t>
  </si>
  <si>
    <t>Площадь номера</t>
  </si>
  <si>
    <t>БЕЗ УЧЕТА ПАРКИНГА</t>
  </si>
  <si>
    <t>Отклонения</t>
  </si>
  <si>
    <t>Чистая текущая стоимость</t>
  </si>
  <si>
    <t>Срок окупаемости</t>
  </si>
  <si>
    <t>Дисконтированный срок окупаемости</t>
  </si>
  <si>
    <t>Внутрення норма доходности</t>
  </si>
  <si>
    <t>АНАЛИЗ ЧУВСТВИТЕЛЬНОСТИ К РАЗМЕРУ СТРОИТЕЛЬНОГО БЮДЖЕТА</t>
  </si>
  <si>
    <t>Размер инвестиций, млн руб.</t>
  </si>
  <si>
    <t>NPV, 
млн руб.</t>
  </si>
  <si>
    <t>АНАЛИЗ ЧУВСТВИТЕЛЬНОСТИ К СТАБИЛИЗИРОВАННОМУ УРОВНЮ ЗАГРУЗКИ</t>
  </si>
  <si>
    <t>Стабилизированный уровень загрузки по всем средствам размещения</t>
  </si>
  <si>
    <t>АНАЛИЗ ЧУВСТВИТЕЛЬНОСТИ К УРОВНЮ ADR</t>
  </si>
  <si>
    <r>
      <t xml:space="preserve">Стабилизированный уровень ADR, по всем средствам размещения - </t>
    </r>
    <r>
      <rPr>
        <sz val="10"/>
        <color rgb="FFC00000"/>
        <rFont val="Arial"/>
        <family val="2"/>
        <charset val="204"/>
      </rPr>
      <t>в текущих ценах</t>
    </r>
  </si>
  <si>
    <t>ПОКАЗАТЕЛИ ПРОЕКТА БЕЗ УЧЕТА ПРОДАЖИ В ТЕРМИНАЛЬНОМ ГОДУ</t>
  </si>
  <si>
    <t>Расчет среднего ADR по всем средствам размещения</t>
  </si>
  <si>
    <t>Итого, выручка по номерам</t>
  </si>
  <si>
    <t>Продано всего</t>
  </si>
  <si>
    <t>ADR - в текущих ценах</t>
  </si>
  <si>
    <t>ПОКАЗАТЕЛИ ПРОЕКТА С УЧЕТОМ ПРОДАЖИ В ТЕРМИНАЛЬНОМ ГОДУ</t>
  </si>
  <si>
    <t xml:space="preserve">Гипотетическая продажа гостиниц в 2030 году </t>
  </si>
  <si>
    <t>Расчет расходов на франшизу</t>
  </si>
  <si>
    <t>Лицензионный платеж по франшизе</t>
  </si>
  <si>
    <t>Маркетинг</t>
  </si>
  <si>
    <t>Бронирования и IT</t>
  </si>
  <si>
    <t>Комиссия OTA</t>
  </si>
  <si>
    <t>Доля бронирований через OTA</t>
  </si>
  <si>
    <t>0 - без учета расходов на бренд</t>
  </si>
  <si>
    <t>2 - франшиза для отелей 4* и 5*</t>
  </si>
  <si>
    <t>Выплаты оператору за маркетинг</t>
  </si>
  <si>
    <t>NPV FCFE TV</t>
  </si>
  <si>
    <t>IRR FCFE TV</t>
  </si>
  <si>
    <t>CAPEX, млн руб. с НДС</t>
  </si>
  <si>
    <t>ВОД за 10 лет, млн руб. без НДС</t>
  </si>
  <si>
    <t>CAPEX, руб. с НДC/ кв.м</t>
  </si>
  <si>
    <t>ВОД за 10 лет, руб. без НДС/кв.м</t>
  </si>
  <si>
    <t>Ресторан тур.резиденций</t>
  </si>
  <si>
    <t>NPV FCFE</t>
  </si>
  <si>
    <t>IRR FCFE</t>
  </si>
  <si>
    <t>Досрочное погашение кредита в 2025-2026 гг.</t>
  </si>
  <si>
    <t>кв.м/м-м</t>
  </si>
  <si>
    <t>Шале (правая шкала)</t>
  </si>
  <si>
    <t>-</t>
  </si>
  <si>
    <t>к рынку 5*</t>
  </si>
  <si>
    <t>к рынку 4*</t>
  </si>
  <si>
    <t>к рынку 3*</t>
  </si>
  <si>
    <t>к рынку 2*</t>
  </si>
  <si>
    <t>к рынку - дома / коттеджи</t>
  </si>
  <si>
    <t>Туристские резиденции (вт.ч. ресторан)</t>
  </si>
  <si>
    <t>Итого на выходе</t>
  </si>
  <si>
    <t>Прогноз параметров</t>
  </si>
  <si>
    <t>Расходы на персонал (Рестораны и Бары)</t>
  </si>
  <si>
    <t>Расходы на персонал (Банкетная служба)</t>
  </si>
  <si>
    <t>Расходы на продукты и напитки (Рестораны и Бары)</t>
  </si>
  <si>
    <t>Расходы на продукты и напитки (Банкетная служба)</t>
  </si>
  <si>
    <t>Прочие операционные расходы (Рестораны и Бары)</t>
  </si>
  <si>
    <t>Прочие операционные расходы (Банкетная служба)</t>
  </si>
  <si>
    <t>Итого, прибыль</t>
  </si>
  <si>
    <t>ВСЕ КСР Курорта</t>
  </si>
  <si>
    <t>Доля ЧОП (EBITDA) в выручке</t>
  </si>
  <si>
    <t>Продано в периоде, тур.резиденций</t>
  </si>
  <si>
    <t>Продано тур.резид., кумулятивно</t>
  </si>
  <si>
    <t xml:space="preserve">Гостиница 5* - Mövenpick </t>
  </si>
  <si>
    <t>МФЦ, в точ числе хостел Jo&amp;JOE</t>
  </si>
  <si>
    <t>Парковка крытая</t>
  </si>
  <si>
    <t>CAPEX, руб./кв.м без НДС</t>
  </si>
  <si>
    <t>Оборудование и оснащение, руб.</t>
  </si>
  <si>
    <t>Итого, руб. без НДС</t>
  </si>
  <si>
    <t>Возможный бренд:
Ibis Styles</t>
  </si>
  <si>
    <t>Гостиница 3* - Ibis 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</si>
</sst>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3">
    <numFmt numFmtId="43" formatCode="_-* #,##0.00_-;\-* #,##0.00_-;_-* &quot;-&quot;??_-;_-@_-"/>
    <numFmt numFmtId="164" formatCode="_-* #,##0.00\ _₽_-;\-* #,##0.00\ _₽_-;_-* &quot;-&quot;??\ _₽_-;_-@_-"/>
    <numFmt numFmtId="165" formatCode="_-[$$-409]* #,##0_ ;_-[$$-409]* \-#,##0\ ;_-[$$-409]* &quot;-&quot;??_ ;_-@_ "/>
    <numFmt numFmtId="166" formatCode="0.0%"/>
    <numFmt numFmtId="167" formatCode="_-* #,##0.00_р_._-;\-* #,##0.00_р_._-;_-* &quot;-&quot;??_р_._-;_-@_-"/>
    <numFmt numFmtId="168" formatCode="#,##0.0"/>
    <numFmt numFmtId="169" formatCode="#,##0.000"/>
    <numFmt numFmtId="170" formatCode="#,##0.00_ ;\-#,##0.00\ "/>
    <numFmt numFmtId="171" formatCode="#,##0_ ;[Red]\-#,##0\ "/>
    <numFmt numFmtId="172" formatCode="0.000"/>
    <numFmt numFmtId="173" formatCode="0.0"/>
    <numFmt numFmtId="174" formatCode="dd/mm/yy;@"/>
    <numFmt numFmtId="175" formatCode="#,##0.0000"/>
    <numFmt numFmtId="176" formatCode="_-* #,##0_р_._-;\-* #,##0_р_._-;_-* &quot;-&quot;??_р_._-;_-@_-"/>
    <numFmt numFmtId="177" formatCode="#,##0_ ;\-#,##0\ "/>
    <numFmt numFmtId="178" formatCode="[$-419]d\ mmm\ yy;@"/>
    <numFmt numFmtId="179" formatCode="#,##0.00_ ;[Red]\-#,##0.00\ "/>
    <numFmt numFmtId="180" formatCode="#,##0.0000_ ;[Red]\-#,##0.0000\ "/>
    <numFmt numFmtId="181" formatCode="#,##0.0_ ;\-#,##0.0\ "/>
    <numFmt numFmtId="182" formatCode="0_ ;\-0\ "/>
    <numFmt numFmtId="183" formatCode="#,##0.0000_ ;\-#,##0.0000\ "/>
    <numFmt numFmtId="184" formatCode="#,##0.0_ ;[Red]\-#,##0.0\ "/>
    <numFmt numFmtId="185" formatCode="&quot;$&quot;#,##0.00"/>
    <numFmt numFmtId="186" formatCode="_-* #,##0\ _₽_-;\-* #,##0\ _₽_-;_-* &quot;-&quot;??\ _₽_-;_-@_-"/>
    <numFmt numFmtId="187" formatCode="_-* #,##0.0\ _₽_-;\-* #,##0.0\ _₽_-;_-* &quot;-&quot;?\ _₽_-;_-@_-"/>
    <numFmt numFmtId="188" formatCode="_-* #,##0_-;\-* #,##0_-;_-* &quot;-&quot;??_-;_-@_-"/>
    <numFmt numFmtId="189" formatCode="_(&quot;$&quot;* #,##0.00_);_(&quot;$&quot;* \(#,##0.00\);_(&quot;$&quot;* &quot;-&quot;??_);_(@_)"/>
    <numFmt numFmtId="190" formatCode="0_ ;[Red]\-0\ "/>
    <numFmt numFmtId="191" formatCode="0.0000%"/>
    <numFmt numFmtId="192" formatCode="0.000%"/>
    <numFmt numFmtId="193" formatCode="#,##0.000_ ;\-#,##0.000\ "/>
    <numFmt numFmtId="194" formatCode="#,##0&quot; &quot;;\(#,##0\);\-&quot; &quot;"/>
    <numFmt numFmtId="195" formatCode="#,##0.000_ ;[Red]\-#,##0.000\ "/>
  </numFmts>
  <fonts count="22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0"/>
      <name val="Arial"/>
      <family val="2"/>
      <charset val="204"/>
    </font>
    <font>
      <sz val="10"/>
      <color theme="1"/>
      <name val="Gill Sans for CW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theme="0"/>
      <name val="Arial"/>
      <family val="2"/>
      <charset val="204"/>
    </font>
    <font>
      <sz val="10"/>
      <color theme="1"/>
      <name val="Gill Sans"/>
      <family val="2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rgb="FFE4002B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rgb="FF696B6B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rgb="FFEE3124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9"/>
      <color theme="4"/>
      <name val="Gill Sans for CW"/>
      <family val="2"/>
    </font>
    <font>
      <sz val="10"/>
      <color rgb="FF003865"/>
      <name val="Arial"/>
      <family val="2"/>
      <charset val="204"/>
    </font>
    <font>
      <b/>
      <sz val="10"/>
      <color rgb="FF696B6B"/>
      <name val="Arial"/>
      <family val="2"/>
      <charset val="204"/>
    </font>
    <font>
      <b/>
      <sz val="10"/>
      <color rgb="FF003865"/>
      <name val="Arial"/>
      <family val="2"/>
      <charset val="204"/>
    </font>
    <font>
      <i/>
      <sz val="10"/>
      <color rgb="FF696B6B"/>
      <name val="Arial"/>
      <family val="2"/>
      <charset val="204"/>
    </font>
    <font>
      <sz val="8"/>
      <color theme="1" tint="0.49998474074526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rgb="FF0070C0"/>
      <name val="Arial"/>
      <family val="2"/>
      <charset val="204"/>
    </font>
    <font>
      <sz val="9"/>
      <name val="Gill Sans for CW"/>
      <family val="2"/>
    </font>
    <font>
      <sz val="10"/>
      <color rgb="FFC00000"/>
      <name val="Arial"/>
      <family val="2"/>
      <charset val="204"/>
    </font>
    <font>
      <b/>
      <sz val="10"/>
      <color rgb="FF0093B2"/>
      <name val="Arial"/>
      <family val="2"/>
      <charset val="204"/>
    </font>
    <font>
      <sz val="10"/>
      <color rgb="FF0093B2"/>
      <name val="Arial"/>
      <family val="2"/>
      <charset val="204"/>
    </font>
    <font>
      <sz val="10"/>
      <name val="Arial Cyr"/>
      <charset val="204"/>
    </font>
    <font>
      <b/>
      <sz val="10"/>
      <color theme="0" tint="-0.499984740745262"/>
      <name val="Arial"/>
      <family val="2"/>
      <charset val="204"/>
    </font>
    <font>
      <b/>
      <sz val="10"/>
      <color rgb="FF002060"/>
      <name val="Arial"/>
      <family val="2"/>
      <charset val="204"/>
    </font>
    <font>
      <b/>
      <sz val="12"/>
      <color rgb="FF0070C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i/>
      <sz val="8"/>
      <color theme="0" tint="-0.499984740745262"/>
      <name val="Arial"/>
      <family val="2"/>
      <charset val="204"/>
    </font>
    <font>
      <i/>
      <sz val="8"/>
      <color rgb="FF696B6B"/>
      <name val="Arial"/>
      <family val="2"/>
      <charset val="204"/>
    </font>
    <font>
      <sz val="8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theme="2"/>
      <name val="Gill Sans for CW"/>
      <family val="2"/>
    </font>
    <font>
      <sz val="11"/>
      <color theme="1"/>
      <name val="Calibri Light"/>
      <family val="2"/>
      <scheme val="major"/>
    </font>
    <font>
      <sz val="16"/>
      <color theme="4"/>
      <name val="Gill Sans for CW"/>
      <family val="2"/>
    </font>
    <font>
      <sz val="10"/>
      <color theme="2"/>
      <name val="Gill Sans for CW"/>
      <family val="2"/>
    </font>
    <font>
      <sz val="10"/>
      <color theme="4"/>
      <name val="Gill Sans for CW"/>
      <family val="2"/>
    </font>
    <font>
      <sz val="9"/>
      <color rgb="FF696A6D"/>
      <name val="Gill Sans for CW"/>
      <family val="2"/>
    </font>
    <font>
      <sz val="12"/>
      <color theme="0"/>
      <name val="Gill Sans for CW"/>
      <family val="2"/>
    </font>
    <font>
      <b/>
      <sz val="10"/>
      <color theme="2"/>
      <name val="Gill Sans for CW"/>
      <family val="2"/>
    </font>
    <font>
      <b/>
      <sz val="10"/>
      <name val="Gill Sans for CW"/>
      <family val="2"/>
    </font>
    <font>
      <sz val="20"/>
      <color theme="3"/>
      <name val="Gill Sans for CW"/>
      <family val="2"/>
    </font>
    <font>
      <sz val="12"/>
      <color theme="3"/>
      <name val="Gill Sans for CW"/>
      <family val="2"/>
    </font>
    <font>
      <sz val="10"/>
      <color theme="1"/>
      <name val="Arial"/>
      <family val="2"/>
    </font>
    <font>
      <u/>
      <sz val="11"/>
      <color theme="10"/>
      <name val="Calibri Light"/>
      <family val="2"/>
      <scheme val="major"/>
    </font>
    <font>
      <sz val="11"/>
      <color theme="1"/>
      <name val="Calibri"/>
      <family val="2"/>
      <scheme val="minor"/>
    </font>
    <font>
      <u/>
      <sz val="10"/>
      <color theme="10"/>
      <name val="Gill Sans for CW"/>
      <family val="2"/>
      <charset val="204"/>
    </font>
    <font>
      <i/>
      <sz val="10"/>
      <color rgb="FFC0000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MS Sans Serif"/>
      <family val="2"/>
    </font>
    <font>
      <sz val="11"/>
      <name val="Calibri"/>
      <family val="2"/>
      <charset val="204"/>
    </font>
    <font>
      <sz val="12"/>
      <color indexed="8"/>
      <name val="Verdana"/>
      <family val="2"/>
      <charset val="204"/>
    </font>
    <font>
      <sz val="11"/>
      <name val="Calibri"/>
      <family val="2"/>
      <charset val="204"/>
    </font>
    <font>
      <sz val="10"/>
      <color indexed="8"/>
      <name val="Arial"/>
      <family val="2"/>
    </font>
    <font>
      <sz val="11"/>
      <name val="Calibri"/>
      <family val="2"/>
      <charset val="204"/>
    </font>
    <font>
      <i/>
      <sz val="9"/>
      <color rgb="FF696B6B"/>
      <name val="Arial"/>
      <family val="2"/>
      <charset val="204"/>
    </font>
    <font>
      <b/>
      <sz val="12"/>
      <color rgb="FFC00000"/>
      <name val="Arial"/>
      <family val="2"/>
      <charset val="204"/>
    </font>
    <font>
      <sz val="10"/>
      <color theme="1" tint="0.34998626667073579"/>
      <name val="Arial"/>
      <family val="2"/>
      <charset val="204"/>
    </font>
    <font>
      <b/>
      <sz val="10"/>
      <color theme="1" tint="0.34998626667073579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9"/>
      <color theme="1" tint="0.34998626667073579"/>
      <name val="Arial"/>
      <family val="2"/>
      <charset val="204"/>
    </font>
    <font>
      <b/>
      <i/>
      <sz val="9"/>
      <color theme="1" tint="0.34998626667073579"/>
      <name val="Arial"/>
      <family val="2"/>
      <charset val="204"/>
    </font>
    <font>
      <sz val="8"/>
      <color theme="1" tint="0.34998626667073579"/>
      <name val="Arial"/>
      <family val="2"/>
      <charset val="204"/>
    </font>
    <font>
      <sz val="10"/>
      <color rgb="FFEF3021"/>
      <name val="Arial"/>
      <family val="2"/>
      <charset val="204"/>
    </font>
    <font>
      <sz val="10"/>
      <color rgb="FF4E8ABE"/>
      <name val="Arial"/>
      <family val="2"/>
      <charset val="204"/>
    </font>
    <font>
      <b/>
      <sz val="10"/>
      <color theme="4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FF0000"/>
      <name val="Gill Sans for CW"/>
      <family val="2"/>
      <charset val="204"/>
    </font>
    <font>
      <b/>
      <sz val="12"/>
      <color rgb="FFFF33CC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0"/>
      <color theme="1" tint="0.499984740745262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rgb="FFCC3399"/>
      <name val="Calibri"/>
      <family val="2"/>
      <charset val="204"/>
      <scheme val="minor"/>
    </font>
    <font>
      <b/>
      <i/>
      <sz val="10"/>
      <color rgb="FFC00000"/>
      <name val="Arial"/>
      <family val="2"/>
      <charset val="204"/>
    </font>
    <font>
      <i/>
      <sz val="10"/>
      <color theme="1"/>
      <name val="Calibri"/>
      <family val="2"/>
      <charset val="204"/>
      <scheme val="minor"/>
    </font>
    <font>
      <sz val="10"/>
      <color rgb="FF002060"/>
      <name val="Arial"/>
      <family val="2"/>
      <charset val="204"/>
    </font>
    <font>
      <i/>
      <sz val="10"/>
      <color theme="1" tint="0.34998626667073579"/>
      <name val="Arial"/>
      <family val="2"/>
      <charset val="204"/>
    </font>
    <font>
      <sz val="11"/>
      <color rgb="FFC00000"/>
      <name val="Arial"/>
      <family val="2"/>
      <charset val="204"/>
    </font>
    <font>
      <sz val="11"/>
      <color rgb="FF696B6B"/>
      <name val="Arial"/>
      <family val="2"/>
      <charset val="204"/>
    </font>
    <font>
      <i/>
      <sz val="10"/>
      <color rgb="FFFF0000"/>
      <name val="Arial"/>
      <family val="2"/>
      <charset val="204"/>
    </font>
    <font>
      <sz val="11"/>
      <color theme="1" tint="0.34998626667073579"/>
      <name val="Calibri"/>
      <family val="2"/>
      <charset val="204"/>
      <scheme val="minor"/>
    </font>
    <font>
      <i/>
      <sz val="10"/>
      <color rgb="FFCC3399"/>
      <name val="Arial"/>
      <family val="2"/>
      <charset val="204"/>
    </font>
    <font>
      <b/>
      <sz val="11"/>
      <color theme="1" tint="0.34998626667073579"/>
      <name val="Calibri"/>
      <family val="2"/>
      <charset val="204"/>
      <scheme val="minor"/>
    </font>
    <font>
      <sz val="10"/>
      <name val="Arial Narrow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FF00"/>
      <name val="Arial"/>
      <family val="2"/>
      <charset val="204"/>
    </font>
    <font>
      <sz val="8"/>
      <color rgb="FFFFFFFF"/>
      <name val="Arial"/>
      <family val="2"/>
      <charset val="204"/>
    </font>
    <font>
      <b/>
      <sz val="10"/>
      <color theme="1"/>
      <name val="Gill Sans for CW"/>
      <family val="2"/>
      <charset val="204"/>
    </font>
    <font>
      <sz val="10"/>
      <color theme="0" tint="-0.34998626667073579"/>
      <name val="Gill Sans for CW"/>
      <family val="2"/>
      <charset val="204"/>
    </font>
    <font>
      <sz val="9"/>
      <color theme="0"/>
      <name val="Arial"/>
      <family val="2"/>
      <charset val="204"/>
    </font>
    <font>
      <i/>
      <sz val="10"/>
      <color rgb="FF0070C0"/>
      <name val="Arial"/>
      <family val="2"/>
      <charset val="204"/>
    </font>
    <font>
      <b/>
      <i/>
      <sz val="10"/>
      <color rgb="FF696B6B"/>
      <name val="Arial"/>
      <family val="2"/>
      <charset val="204"/>
    </font>
    <font>
      <sz val="10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i/>
      <sz val="9"/>
      <color rgb="FFC00000"/>
      <name val="Arial"/>
      <family val="2"/>
      <charset val="204"/>
    </font>
    <font>
      <sz val="7"/>
      <color theme="1" tint="0.34998626667073579"/>
      <name val="Arial"/>
      <family val="2"/>
      <charset val="204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rgb="FF696B6B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93B2"/>
      <name val="Arial"/>
      <family val="2"/>
      <charset val="204"/>
    </font>
    <font>
      <i/>
      <sz val="10"/>
      <color rgb="FF0093B2"/>
      <name val="Arial"/>
      <family val="2"/>
      <charset val="204"/>
    </font>
    <font>
      <sz val="10"/>
      <color rgb="FF0093B2"/>
      <name val="Gill Sans for CW"/>
      <family val="2"/>
      <charset val="204"/>
    </font>
    <font>
      <i/>
      <sz val="10"/>
      <color rgb="FF7030A0"/>
      <name val="Gill Sans for CW"/>
      <family val="2"/>
      <charset val="204"/>
    </font>
    <font>
      <b/>
      <sz val="10"/>
      <color rgb="FFC00000"/>
      <name val="Gill Sans for CW"/>
      <family val="2"/>
      <charset val="204"/>
    </font>
    <font>
      <b/>
      <sz val="8"/>
      <color theme="0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1"/>
      <color rgb="FF0093B2"/>
      <name val="Arial"/>
      <family val="2"/>
      <charset val="204"/>
    </font>
    <font>
      <i/>
      <sz val="10"/>
      <color rgb="FFFF0000"/>
      <name val="Gill Sans for CW"/>
      <family val="2"/>
      <charset val="204"/>
    </font>
    <font>
      <b/>
      <sz val="10"/>
      <color rgb="FFFF0000"/>
      <name val="Gill Sans for CW"/>
      <family val="2"/>
      <charset val="204"/>
    </font>
    <font>
      <sz val="11"/>
      <color theme="1"/>
      <name val="Calibri"/>
      <family val="2"/>
      <charset val="204"/>
    </font>
    <font>
      <sz val="22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22"/>
      <color rgb="FFC00000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595959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20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24"/>
      <color theme="1"/>
      <name val="Arial"/>
      <family val="2"/>
      <charset val="204"/>
    </font>
    <font>
      <b/>
      <sz val="24"/>
      <color theme="1"/>
      <name val="Calibri"/>
      <family val="2"/>
      <charset val="204"/>
    </font>
    <font>
      <sz val="24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b/>
      <sz val="11"/>
      <color rgb="FFFBE4D5"/>
      <name val="Calibri"/>
      <family val="2"/>
      <charset val="204"/>
    </font>
    <font>
      <b/>
      <sz val="14"/>
      <color theme="0"/>
      <name val="Calibri"/>
      <family val="2"/>
      <charset val="204"/>
    </font>
    <font>
      <sz val="10"/>
      <color rgb="FFFF0000"/>
      <name val="Calibri"/>
      <family val="2"/>
      <charset val="204"/>
      <scheme val="minor"/>
    </font>
    <font>
      <b/>
      <sz val="10"/>
      <color rgb="FF0093B2"/>
      <name val="Calibri"/>
      <family val="2"/>
      <charset val="204"/>
      <scheme val="minor"/>
    </font>
    <font>
      <sz val="10"/>
      <color rgb="FF7030A0"/>
      <name val="Gill Sans for CW"/>
      <family val="2"/>
      <charset val="204"/>
    </font>
    <font>
      <i/>
      <sz val="10"/>
      <color rgb="FFFF0000"/>
      <name val="Gill Sans for CW"/>
      <charset val="204"/>
    </font>
    <font>
      <i/>
      <u/>
      <sz val="11"/>
      <color rgb="FF0070C0"/>
      <name val="Calibri"/>
      <family val="2"/>
      <charset val="204"/>
    </font>
    <font>
      <i/>
      <sz val="11"/>
      <color rgb="FF7030A0"/>
      <name val="Calibri"/>
      <family val="2"/>
      <charset val="204"/>
      <scheme val="minor"/>
    </font>
    <font>
      <sz val="10"/>
      <color theme="1" tint="0.249977111117893"/>
      <name val="Arial"/>
      <family val="2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Gill Sans"/>
      <family val="2"/>
    </font>
    <font>
      <i/>
      <sz val="10"/>
      <color rgb="FF002060"/>
      <name val="Arial"/>
      <family val="2"/>
      <charset val="204"/>
    </font>
    <font>
      <i/>
      <sz val="10"/>
      <color theme="1" tint="0.499984740745262"/>
      <name val="Arial"/>
      <family val="2"/>
      <charset val="204"/>
    </font>
    <font>
      <sz val="10"/>
      <color theme="0" tint="-0.499984740745262"/>
      <name val="Gill Sans"/>
      <family val="2"/>
    </font>
    <font>
      <b/>
      <sz val="10"/>
      <color theme="4"/>
      <name val="Gill Sans"/>
      <family val="2"/>
    </font>
    <font>
      <b/>
      <sz val="10"/>
      <name val="Gill Sans fа"/>
      <charset val="204"/>
    </font>
    <font>
      <sz val="10"/>
      <name val="Gill Sans fа"/>
      <charset val="204"/>
    </font>
    <font>
      <sz val="10"/>
      <color theme="3"/>
      <name val="Gill Sans fа"/>
      <charset val="204"/>
    </font>
    <font>
      <b/>
      <sz val="10"/>
      <color theme="3"/>
      <name val="Gill Sans fа"/>
      <charset val="204"/>
    </font>
    <font>
      <sz val="10"/>
      <color theme="1"/>
      <name val="Gill Sans fа"/>
      <charset val="204"/>
    </font>
    <font>
      <b/>
      <sz val="10"/>
      <color theme="1"/>
      <name val="Gill Sans fа"/>
      <charset val="204"/>
    </font>
    <font>
      <sz val="10"/>
      <color theme="1"/>
      <name val="Gill Sans for CW"/>
      <family val="2"/>
    </font>
    <font>
      <b/>
      <sz val="11"/>
      <color rgb="FFC00000"/>
      <name val="Arial"/>
      <family val="2"/>
      <charset val="204"/>
    </font>
    <font>
      <i/>
      <sz val="11"/>
      <color rgb="FFFF0000"/>
      <name val="Calibri"/>
      <family val="2"/>
      <charset val="204"/>
      <scheme val="minor"/>
    </font>
    <font>
      <i/>
      <sz val="10"/>
      <color theme="0" tint="-0.499984740745262"/>
      <name val="Arial"/>
      <family val="2"/>
      <charset val="204"/>
    </font>
    <font>
      <b/>
      <i/>
      <sz val="10"/>
      <color rgb="FF9900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070C0"/>
      <name val="Arial"/>
      <family val="2"/>
      <charset val="204"/>
    </font>
    <font>
      <i/>
      <sz val="8"/>
      <color theme="1"/>
      <name val="Arial"/>
      <family val="2"/>
      <charset val="204"/>
    </font>
    <font>
      <i/>
      <sz val="11"/>
      <color rgb="FF0070C0"/>
      <name val="Arial"/>
      <family val="2"/>
      <charset val="204"/>
    </font>
    <font>
      <i/>
      <sz val="10"/>
      <color rgb="FF696B6B"/>
      <name val="Arial"/>
      <family val="2"/>
    </font>
    <font>
      <sz val="9"/>
      <color rgb="FFFF0000"/>
      <name val="Arial"/>
      <family val="2"/>
      <charset val="204"/>
    </font>
    <font>
      <i/>
      <sz val="10"/>
      <color rgb="FF7030A0"/>
      <name val="Arial"/>
      <family val="2"/>
      <charset val="204"/>
    </font>
    <font>
      <sz val="10"/>
      <color rgb="FF0093B2"/>
      <name val="Arial"/>
      <family val="2"/>
    </font>
    <font>
      <sz val="11"/>
      <color rgb="FF0093B2"/>
      <name val="Arial"/>
      <family val="2"/>
    </font>
    <font>
      <i/>
      <sz val="10"/>
      <color rgb="FF0093B2"/>
      <name val="Arial"/>
      <family val="2"/>
    </font>
    <font>
      <sz val="10"/>
      <color rgb="FFCC3399"/>
      <name val="Arial"/>
      <family val="2"/>
      <charset val="204"/>
    </font>
    <font>
      <sz val="9"/>
      <color theme="1" tint="0.34998626667073579"/>
      <name val="Arial"/>
      <family val="2"/>
      <charset val="204"/>
    </font>
    <font>
      <sz val="10"/>
      <color rgb="FF00B0F0"/>
      <name val="Arial"/>
      <family val="2"/>
      <charset val="204"/>
    </font>
    <font>
      <i/>
      <sz val="10"/>
      <color rgb="FFC00000"/>
      <name val="Gill Sans for CW"/>
      <family val="2"/>
      <charset val="204"/>
    </font>
    <font>
      <sz val="10"/>
      <color theme="2" tint="-0.499984740745262"/>
      <name val="Arial"/>
      <family val="2"/>
      <charset val="204"/>
    </font>
    <font>
      <i/>
      <sz val="9"/>
      <color theme="1"/>
      <name val="Arial"/>
      <family val="2"/>
      <charset val="204"/>
    </font>
    <font>
      <i/>
      <sz val="9"/>
      <color theme="4" tint="-0.249977111117893"/>
      <name val="Arial"/>
      <family val="2"/>
      <charset val="204"/>
    </font>
    <font>
      <b/>
      <sz val="9"/>
      <color theme="1"/>
      <name val="Arial"/>
      <family val="2"/>
      <charset val="204"/>
    </font>
    <font>
      <i/>
      <u/>
      <sz val="8"/>
      <color theme="10"/>
      <name val="Calibri"/>
      <family val="2"/>
      <charset val="204"/>
      <scheme val="minor"/>
    </font>
    <font>
      <sz val="9"/>
      <color rgb="FF696B6B"/>
      <name val="Arial"/>
      <family val="2"/>
      <charset val="204"/>
    </font>
    <font>
      <sz val="8"/>
      <color theme="0" tint="-0.499984740745262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rgb="FFCC3399"/>
      <name val="Calibri"/>
      <family val="2"/>
      <charset val="204"/>
      <scheme val="minor"/>
    </font>
    <font>
      <i/>
      <sz val="8"/>
      <color theme="0"/>
      <name val="Arial"/>
      <family val="2"/>
      <charset val="204"/>
    </font>
    <font>
      <i/>
      <sz val="9"/>
      <color rgb="FF7030A0"/>
      <name val="Arial"/>
      <family val="2"/>
      <charset val="204"/>
    </font>
    <font>
      <i/>
      <sz val="9"/>
      <color rgb="FF7030A0"/>
      <name val="Calibri"/>
      <family val="2"/>
      <charset val="204"/>
      <scheme val="minor"/>
    </font>
    <font>
      <sz val="9"/>
      <color rgb="FF7030A0"/>
      <name val="Arial"/>
      <family val="2"/>
      <charset val="204"/>
    </font>
    <font>
      <b/>
      <sz val="10"/>
      <color rgb="FFCC3399"/>
      <name val="Arial"/>
      <family val="2"/>
      <charset val="204"/>
    </font>
    <font>
      <b/>
      <sz val="10"/>
      <color rgb="FFCC3399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i/>
      <sz val="11"/>
      <color rgb="FF0093B2"/>
      <name val="Calibri"/>
      <family val="2"/>
      <charset val="204"/>
      <scheme val="minor"/>
    </font>
    <font>
      <i/>
      <sz val="10"/>
      <color rgb="FFC0000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i/>
      <sz val="10"/>
      <color rgb="FFEF302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rgb="FFA8B8E6"/>
      <name val="Calibri"/>
      <family val="2"/>
      <charset val="204"/>
      <scheme val="minor"/>
    </font>
    <font>
      <i/>
      <sz val="11"/>
      <color rgb="FFFF0000"/>
      <name val="Calibri"/>
      <family val="2"/>
      <charset val="204"/>
    </font>
    <font>
      <b/>
      <i/>
      <sz val="10"/>
      <color rgb="FFFF66CC"/>
      <name val="Gill Sans for CW"/>
      <family val="2"/>
      <charset val="204"/>
    </font>
    <font>
      <i/>
      <sz val="10"/>
      <color rgb="FFFF66CC"/>
      <name val="Gill Sans for CW"/>
      <family val="2"/>
      <charset val="204"/>
    </font>
    <font>
      <i/>
      <sz val="9"/>
      <color theme="1"/>
      <name val="Gill Sans for CW"/>
      <family val="2"/>
      <charset val="204"/>
    </font>
    <font>
      <i/>
      <sz val="10"/>
      <color theme="1"/>
      <name val="Gill Sans for CW"/>
      <family val="2"/>
      <charset val="204"/>
    </font>
    <font>
      <sz val="12"/>
      <color theme="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sz val="12"/>
      <color rgb="FF0070C0"/>
      <name val="Arial"/>
      <family val="2"/>
      <charset val="204"/>
    </font>
    <font>
      <sz val="12"/>
      <color rgb="FF696B6B"/>
      <name val="Arial"/>
      <family val="2"/>
      <charset val="204"/>
    </font>
    <font>
      <b/>
      <sz val="10"/>
      <color theme="1" tint="0.499984740745262"/>
      <name val="Arial"/>
      <family val="2"/>
      <charset val="204"/>
    </font>
    <font>
      <i/>
      <sz val="10"/>
      <color rgb="FFFFFFFF"/>
      <name val="Arial"/>
      <family val="2"/>
      <charset val="204"/>
    </font>
    <font>
      <b/>
      <sz val="11"/>
      <color rgb="FF00206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0"/>
      <color rgb="FFC00000"/>
      <name val="Arial"/>
      <family val="2"/>
    </font>
    <font>
      <sz val="8"/>
      <color theme="1"/>
      <name val="Gill Sans for CW"/>
      <family val="2"/>
      <charset val="204"/>
    </font>
    <font>
      <b/>
      <sz val="8"/>
      <color theme="1" tint="0.34998626667073579"/>
      <name val="Arial"/>
      <family val="2"/>
      <charset val="204"/>
    </font>
    <font>
      <i/>
      <sz val="10"/>
      <color rgb="FFC00000"/>
      <name val="Gill Sans for CW"/>
      <charset val="204"/>
    </font>
    <font>
      <sz val="8"/>
      <color rgb="FFC00000"/>
      <name val="Gill Sans for CW"/>
      <family val="2"/>
      <charset val="204"/>
    </font>
    <font>
      <sz val="10"/>
      <color rgb="FFC00000"/>
      <name val="Gill Sans for CW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9"/>
      <color rgb="FF0093B2"/>
      <name val="Arial"/>
      <family val="2"/>
      <charset val="204"/>
    </font>
  </fonts>
  <fills count="71">
    <fill>
      <patternFill patternType="none"/>
    </fill>
    <fill>
      <patternFill patternType="gray125"/>
    </fill>
    <fill>
      <patternFill patternType="solid">
        <fgColor rgb="FF0093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0E8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B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rgb="FFA8D08D"/>
      </patternFill>
    </fill>
    <fill>
      <patternFill patternType="solid">
        <fgColor theme="5"/>
        <bgColor theme="5"/>
      </patternFill>
    </fill>
    <fill>
      <patternFill patternType="solid">
        <fgColor rgb="FFC55A11"/>
        <bgColor rgb="FFC55A11"/>
      </patternFill>
    </fill>
    <fill>
      <patternFill patternType="solid">
        <fgColor theme="0"/>
        <bgColor rgb="FFC55A11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621"/>
        <bgColor rgb="FF7F7F7F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rgb="FFD8D8D8"/>
      </patternFill>
    </fill>
    <fill>
      <patternFill patternType="solid">
        <fgColor rgb="FFBED5F0"/>
        <bgColor indexed="64"/>
      </patternFill>
    </fill>
    <fill>
      <patternFill patternType="solid">
        <fgColor rgb="FF00376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id">
        <bgColor theme="0"/>
      </patternFill>
    </fill>
    <fill>
      <patternFill patternType="lightGrid">
        <bgColor theme="0" tint="-0.14999847407452621"/>
      </patternFill>
    </fill>
    <fill>
      <patternFill patternType="lightGrid">
        <bgColor theme="5" tint="0.79998168889431442"/>
      </patternFill>
    </fill>
    <fill>
      <patternFill patternType="lightGrid">
        <bgColor theme="5" tint="0.59999389629810485"/>
      </patternFill>
    </fill>
    <fill>
      <patternFill patternType="solid">
        <fgColor rgb="FFCDFFE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2EF65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69FFB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A8D08D"/>
      </patternFill>
    </fill>
    <fill>
      <patternFill patternType="solid">
        <fgColor rgb="FFFF0000"/>
        <bgColor rgb="FFC55A11"/>
      </patternFill>
    </fill>
  </fills>
  <borders count="165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2"/>
      </bottom>
      <diagonal/>
    </border>
    <border diagonalUp="1" diagonalDown="1">
      <left/>
      <right/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93B2"/>
      </top>
      <bottom/>
      <diagonal/>
    </border>
    <border>
      <left/>
      <right/>
      <top style="thin">
        <color rgb="FF0093B2"/>
      </top>
      <bottom style="thin">
        <color rgb="FF0093B2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 diagonalUp="1" diagonalDown="1">
      <left/>
      <right/>
      <top style="thin">
        <color rgb="FFBFBFBF"/>
      </top>
      <bottom style="thin">
        <color rgb="FFBFBFBF"/>
      </bottom>
      <diagonal style="thin">
        <color rgb="FFBFBFBF"/>
      </diagonal>
    </border>
    <border>
      <left style="thin">
        <color rgb="FF0093B2"/>
      </left>
      <right/>
      <top style="thin">
        <color rgb="FF0093B2"/>
      </top>
      <bottom style="thin">
        <color rgb="FF0093B2"/>
      </bottom>
      <diagonal/>
    </border>
    <border>
      <left/>
      <right style="thin">
        <color rgb="FF0093B2"/>
      </right>
      <top style="thin">
        <color rgb="FF0093B2"/>
      </top>
      <bottom style="thin">
        <color rgb="FF0093B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BFBFBF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rgb="FFBFBFBF"/>
      </bottom>
      <diagonal/>
    </border>
    <border>
      <left style="slantDashDot">
        <color theme="0" tint="-0.24994659260841701"/>
      </left>
      <right style="slantDashDot">
        <color theme="0" tint="-0.24994659260841701"/>
      </right>
      <top style="slantDashDot">
        <color theme="0" tint="-0.24994659260841701"/>
      </top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 diagonalUp="1" diagonalDown="1">
      <left/>
      <right/>
      <top/>
      <bottom/>
      <diagonal style="thin">
        <color theme="0" tint="-0.24994659260841701"/>
      </diagonal>
    </border>
    <border diagonalUp="1" diagonalDown="1">
      <left/>
      <right/>
      <top style="thin">
        <color theme="0" tint="-0.14996795556505021"/>
      </top>
      <bottom style="thin">
        <color theme="0" tint="-0.14996795556505021"/>
      </bottom>
      <diagonal style="thin">
        <color theme="0" tint="-0.14993743705557422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theme="0" tint="-0.14993743705557422"/>
      </top>
      <bottom style="thin">
        <color theme="0" tint="-0.14993743705557422"/>
      </bottom>
      <diagonal style="thin">
        <color theme="0" tint="-0.14993743705557422"/>
      </diagonal>
    </border>
    <border diagonalUp="1" diagonalDown="1">
      <left/>
      <right/>
      <top style="thin">
        <color theme="0" tint="-0.14993743705557422"/>
      </top>
      <bottom style="thin">
        <color theme="0" tint="-0.14996795556505021"/>
      </bottom>
      <diagonal style="thin">
        <color theme="0" tint="-0.14993743705557422"/>
      </diagonal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theme="0"/>
      </bottom>
      <diagonal/>
    </border>
    <border>
      <left style="thin">
        <color auto="1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auto="1"/>
      </left>
      <right/>
      <top style="thin">
        <color theme="0"/>
      </top>
      <bottom style="thin">
        <color indexed="64"/>
      </bottom>
      <diagonal/>
    </border>
    <border>
      <left style="thin">
        <color auto="1"/>
      </left>
      <right style="thin">
        <color theme="1" tint="0.499984740745262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theme="1" tint="0.499984740745262"/>
      </left>
      <right style="thin">
        <color theme="0"/>
      </right>
      <top/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1" tint="0.499984740745262"/>
      </bottom>
      <diagonal/>
    </border>
    <border diagonalUp="1" diagonalDown="1">
      <left style="thin">
        <color theme="0"/>
      </left>
      <right style="thin">
        <color theme="0"/>
      </right>
      <top/>
      <bottom style="thin">
        <color theme="1" tint="0.499984740745262"/>
      </bottom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>
      <left style="thin">
        <color theme="0"/>
      </left>
      <right style="thin">
        <color theme="0"/>
      </right>
      <top style="thin">
        <color theme="4" tint="0.3999450666829432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4" tint="0.39994506668294322"/>
      </top>
      <bottom style="thin">
        <color theme="4" tint="0.39994506668294322"/>
      </bottom>
      <diagonal/>
    </border>
    <border diagonalUp="1" diagonalDown="1">
      <left/>
      <right/>
      <top style="thin">
        <color rgb="FFBFBFBF"/>
      </top>
      <bottom style="thin">
        <color theme="0" tint="-0.24994659260841701"/>
      </bottom>
      <diagonal style="thin">
        <color rgb="FFBFBFBF"/>
      </diagonal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 diagonalDown="1">
      <left/>
      <right/>
      <top style="thin">
        <color theme="0" tint="-0.24994659260841701"/>
      </top>
      <bottom/>
      <diagonal style="thin">
        <color theme="0" tint="-0.24994659260841701"/>
      </diagonal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/>
      <top style="thick">
        <color theme="0"/>
      </top>
      <bottom/>
      <diagonal/>
    </border>
    <border>
      <left style="thin">
        <color rgb="FF0093B2"/>
      </left>
      <right/>
      <top/>
      <bottom style="thin">
        <color theme="0" tint="-0.14993743705557422"/>
      </bottom>
      <diagonal/>
    </border>
    <border>
      <left/>
      <right style="thin">
        <color rgb="FF0093B2"/>
      </right>
      <top/>
      <bottom style="thin">
        <color theme="0" tint="-0.14993743705557422"/>
      </bottom>
      <diagonal/>
    </border>
    <border>
      <left style="thin">
        <color rgb="FF0093B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rgb="FF0093B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93B2"/>
      </left>
      <right/>
      <top/>
      <bottom/>
      <diagonal/>
    </border>
    <border>
      <left/>
      <right style="thin">
        <color rgb="FF0093B2"/>
      </right>
      <top/>
      <bottom/>
      <diagonal/>
    </border>
    <border>
      <left/>
      <right style="thin">
        <color rgb="FF0093B2"/>
      </right>
      <top/>
      <bottom style="thin">
        <color rgb="FFBFBFBF"/>
      </bottom>
      <diagonal/>
    </border>
    <border>
      <left style="thin">
        <color rgb="FF0093B2"/>
      </left>
      <right/>
      <top style="thin">
        <color rgb="FFBFBFBF"/>
      </top>
      <bottom style="thin">
        <color rgb="FFBFBFBF"/>
      </bottom>
      <diagonal/>
    </border>
    <border>
      <left style="thin">
        <color rgb="FF0093B2"/>
      </left>
      <right/>
      <top style="thin">
        <color rgb="FFBFBFBF"/>
      </top>
      <bottom style="thin">
        <color rgb="FF0093B2"/>
      </bottom>
      <diagonal/>
    </border>
    <border>
      <left style="medium">
        <color rgb="FF0093B2"/>
      </left>
      <right/>
      <top style="medium">
        <color rgb="FF0093B2"/>
      </top>
      <bottom style="thin">
        <color rgb="FF0093B2"/>
      </bottom>
      <diagonal/>
    </border>
    <border>
      <left/>
      <right/>
      <top style="medium">
        <color rgb="FF0093B2"/>
      </top>
      <bottom style="thin">
        <color rgb="FF0093B2"/>
      </bottom>
      <diagonal/>
    </border>
    <border>
      <left/>
      <right style="medium">
        <color rgb="FF0093B2"/>
      </right>
      <top style="medium">
        <color rgb="FF0093B2"/>
      </top>
      <bottom style="thin">
        <color rgb="FF0093B2"/>
      </bottom>
      <diagonal/>
    </border>
    <border>
      <left style="medium">
        <color rgb="FF0093B2"/>
      </left>
      <right/>
      <top/>
      <bottom/>
      <diagonal/>
    </border>
    <border>
      <left/>
      <right style="medium">
        <color rgb="FF0093B2"/>
      </right>
      <top/>
      <bottom/>
      <diagonal/>
    </border>
    <border>
      <left style="medium">
        <color rgb="FF0093B2"/>
      </left>
      <right/>
      <top/>
      <bottom style="thin">
        <color theme="0" tint="-0.14993743705557422"/>
      </bottom>
      <diagonal/>
    </border>
    <border>
      <left/>
      <right style="medium">
        <color rgb="FF0093B2"/>
      </right>
      <top/>
      <bottom style="thin">
        <color theme="0" tint="-0.14993743705557422"/>
      </bottom>
      <diagonal/>
    </border>
    <border>
      <left style="medium">
        <color rgb="FF0093B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0093B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93B2"/>
      </left>
      <right/>
      <top style="thin">
        <color theme="0" tint="-0.14993743705557422"/>
      </top>
      <bottom style="medium">
        <color rgb="FF0093B2"/>
      </bottom>
      <diagonal/>
    </border>
    <border>
      <left/>
      <right/>
      <top style="thin">
        <color theme="0" tint="-0.14993743705557422"/>
      </top>
      <bottom style="medium">
        <color rgb="FF0093B2"/>
      </bottom>
      <diagonal/>
    </border>
    <border>
      <left/>
      <right style="thin">
        <color rgb="FF0093B2"/>
      </right>
      <top style="thin">
        <color theme="0" tint="-0.14993743705557422"/>
      </top>
      <bottom style="medium">
        <color rgb="FF0093B2"/>
      </bottom>
      <diagonal/>
    </border>
    <border>
      <left style="thin">
        <color rgb="FF0093B2"/>
      </left>
      <right/>
      <top style="thin">
        <color theme="0" tint="-0.14993743705557422"/>
      </top>
      <bottom style="medium">
        <color rgb="FF0093B2"/>
      </bottom>
      <diagonal/>
    </border>
    <border>
      <left/>
      <right style="medium">
        <color rgb="FF0093B2"/>
      </right>
      <top style="thin">
        <color theme="0" tint="-0.14993743705557422"/>
      </top>
      <bottom style="medium">
        <color rgb="FF0093B2"/>
      </bottom>
      <diagonal/>
    </border>
    <border>
      <left style="medium">
        <color rgb="FF0093B2"/>
      </left>
      <right/>
      <top style="medium">
        <color rgb="FF0093B2"/>
      </top>
      <bottom/>
      <diagonal/>
    </border>
    <border>
      <left/>
      <right/>
      <top style="medium">
        <color rgb="FF0093B2"/>
      </top>
      <bottom/>
      <diagonal/>
    </border>
    <border>
      <left/>
      <right style="medium">
        <color rgb="FF0093B2"/>
      </right>
      <top style="medium">
        <color rgb="FF0093B2"/>
      </top>
      <bottom/>
      <diagonal/>
    </border>
    <border>
      <left style="medium">
        <color rgb="FF0093B2"/>
      </left>
      <right/>
      <top style="thin">
        <color theme="0" tint="-0.14996795556505021"/>
      </top>
      <bottom/>
      <diagonal/>
    </border>
    <border>
      <left/>
      <right style="medium">
        <color rgb="FF0093B2"/>
      </right>
      <top style="thin">
        <color theme="0" tint="-0.14996795556505021"/>
      </top>
      <bottom/>
      <diagonal/>
    </border>
    <border>
      <left/>
      <right/>
      <top/>
      <bottom style="medium">
        <color rgb="FF0093B2"/>
      </bottom>
      <diagonal/>
    </border>
    <border diagonalUp="1" diagonalDown="1">
      <left/>
      <right/>
      <top/>
      <bottom style="thin">
        <color theme="0" tint="-0.24994659260841701"/>
      </bottom>
      <diagonal style="thin">
        <color theme="0" tint="-0.24994659260841701"/>
      </diagonal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05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7" fillId="5" borderId="0"/>
    <xf numFmtId="14" fontId="17" fillId="5" borderId="0" applyBorder="0"/>
    <xf numFmtId="0" fontId="20" fillId="6" borderId="6" applyProtection="0">
      <alignment horizontal="left" vertical="top" wrapText="1"/>
    </xf>
    <xf numFmtId="0" fontId="28" fillId="6" borderId="6" applyProtection="0">
      <alignment horizontal="left" vertical="top" wrapText="1"/>
    </xf>
    <xf numFmtId="0" fontId="32" fillId="0" borderId="0"/>
    <xf numFmtId="0" fontId="42" fillId="6" borderId="6" applyProtection="0">
      <alignment horizontal="left" vertical="top" wrapText="1"/>
    </xf>
    <xf numFmtId="0" fontId="8" fillId="0" borderId="0"/>
    <xf numFmtId="0" fontId="15" fillId="0" borderId="0" applyNumberFormat="0" applyFill="0" applyBorder="0" applyAlignment="0" applyProtection="0"/>
    <xf numFmtId="0" fontId="43" fillId="0" borderId="0" applyProtection="0"/>
    <xf numFmtId="0" fontId="28" fillId="0" borderId="0" applyProtection="0">
      <alignment horizontal="left" vertical="top" wrapText="1"/>
    </xf>
    <xf numFmtId="0" fontId="47" fillId="0" borderId="0" applyProtection="0">
      <alignment horizontal="left" vertical="top" wrapText="1"/>
    </xf>
    <xf numFmtId="0" fontId="46" fillId="0" borderId="0" applyProtection="0">
      <alignment horizontal="left" vertical="top" wrapText="1"/>
    </xf>
    <xf numFmtId="0" fontId="45" fillId="0" borderId="0" applyProtection="0">
      <alignment horizontal="left" vertical="top" shrinkToFit="1"/>
    </xf>
    <xf numFmtId="0" fontId="52" fillId="0" borderId="0" applyProtection="0">
      <alignment horizontal="left" vertical="top"/>
    </xf>
    <xf numFmtId="0" fontId="44" fillId="0" borderId="15" applyProtection="0">
      <alignment horizontal="left" vertical="top"/>
    </xf>
    <xf numFmtId="0" fontId="51" fillId="0" borderId="0" applyProtection="0">
      <alignment horizontal="left" vertical="top"/>
    </xf>
    <xf numFmtId="0" fontId="48" fillId="11" borderId="0" applyProtection="0">
      <alignment horizontal="left" vertical="top"/>
    </xf>
    <xf numFmtId="0" fontId="28" fillId="6" borderId="6" applyProtection="0">
      <alignment horizontal="right" vertical="top" wrapText="1"/>
    </xf>
    <xf numFmtId="0" fontId="49" fillId="6" borderId="6" applyProtection="0">
      <alignment horizontal="left" vertical="top" wrapText="1" shrinkToFit="1"/>
    </xf>
    <xf numFmtId="0" fontId="49" fillId="6" borderId="6" applyProtection="0">
      <alignment horizontal="right" vertical="top" wrapText="1" shrinkToFit="1"/>
    </xf>
    <xf numFmtId="0" fontId="50" fillId="0" borderId="0" applyProtection="0">
      <alignment horizontal="left" vertical="top"/>
    </xf>
    <xf numFmtId="9" fontId="43" fillId="0" borderId="0" applyFont="0" applyFill="0" applyBorder="0" applyAlignment="0" applyProtection="0"/>
    <xf numFmtId="0" fontId="7" fillId="0" borderId="0"/>
    <xf numFmtId="0" fontId="53" fillId="0" borderId="0"/>
    <xf numFmtId="0" fontId="53" fillId="0" borderId="0"/>
    <xf numFmtId="0" fontId="14" fillId="0" borderId="0"/>
    <xf numFmtId="9" fontId="14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55" fillId="0" borderId="0"/>
    <xf numFmtId="0" fontId="56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5" fillId="0" borderId="0"/>
    <xf numFmtId="0" fontId="55" fillId="0" borderId="0"/>
    <xf numFmtId="0" fontId="43" fillId="0" borderId="0" applyProtection="0"/>
    <xf numFmtId="9" fontId="43" fillId="0" borderId="0" applyFont="0" applyFill="0" applyBorder="0" applyAlignment="0" applyProtection="0"/>
    <xf numFmtId="0" fontId="60" fillId="0" borderId="0"/>
    <xf numFmtId="40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9" fillId="0" borderId="0"/>
    <xf numFmtId="0" fontId="1" fillId="0" borderId="0"/>
    <xf numFmtId="0" fontId="62" fillId="0" borderId="0"/>
    <xf numFmtId="0" fontId="63" fillId="0" borderId="0" applyNumberFormat="0" applyFill="0" applyBorder="0" applyProtection="0">
      <alignment vertical="top"/>
    </xf>
    <xf numFmtId="164" fontId="62" fillId="0" borderId="0" applyFont="0" applyFill="0" applyBorder="0" applyAlignment="0" applyProtection="0"/>
    <xf numFmtId="0" fontId="64" fillId="0" borderId="0"/>
    <xf numFmtId="0" fontId="1" fillId="0" borderId="0"/>
    <xf numFmtId="0" fontId="65" fillId="0" borderId="0" applyNumberFormat="0" applyFill="0" applyBorder="0" applyProtection="0"/>
    <xf numFmtId="9" fontId="62" fillId="0" borderId="0" applyFont="0" applyFill="0" applyBorder="0" applyAlignment="0" applyProtection="0"/>
    <xf numFmtId="0" fontId="66" fillId="0" borderId="0"/>
    <xf numFmtId="0" fontId="62" fillId="0" borderId="0"/>
    <xf numFmtId="0" fontId="6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95" fillId="0" borderId="0"/>
    <xf numFmtId="9" fontId="1" fillId="0" borderId="0" applyFont="0" applyFill="0" applyBorder="0" applyAlignment="0" applyProtection="0"/>
    <xf numFmtId="0" fontId="1" fillId="0" borderId="0"/>
    <xf numFmtId="0" fontId="39" fillId="0" borderId="0"/>
    <xf numFmtId="0" fontId="108" fillId="0" borderId="0"/>
    <xf numFmtId="0" fontId="108" fillId="0" borderId="0"/>
    <xf numFmtId="0" fontId="111" fillId="0" borderId="0"/>
    <xf numFmtId="0" fontId="1" fillId="0" borderId="0"/>
    <xf numFmtId="9" fontId="55" fillId="0" borderId="0" applyFont="0" applyFill="0" applyBorder="0" applyAlignment="0" applyProtection="0"/>
    <xf numFmtId="43" fontId="9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3" fillId="0" borderId="0" applyFont="0" applyFill="0" applyBorder="0" applyAlignment="0" applyProtection="0"/>
    <xf numFmtId="0" fontId="43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7" fontId="8" fillId="0" borderId="0" applyFont="0" applyFill="0" applyBorder="0" applyAlignment="0" applyProtection="0"/>
    <xf numFmtId="0" fontId="126" fillId="0" borderId="0"/>
    <xf numFmtId="0" fontId="32" fillId="0" borderId="0"/>
    <xf numFmtId="0" fontId="14" fillId="0" borderId="0"/>
    <xf numFmtId="9" fontId="14" fillId="0" borderId="0" applyFont="0" applyFill="0" applyBorder="0" applyAlignment="0" applyProtection="0"/>
    <xf numFmtId="0" fontId="39" fillId="0" borderId="0"/>
    <xf numFmtId="9" fontId="166" fillId="0" borderId="0" applyFont="0" applyFill="0" applyBorder="0" applyAlignment="0" applyProtection="0"/>
    <xf numFmtId="0" fontId="166" fillId="0" borderId="0"/>
    <xf numFmtId="189" fontId="166" fillId="0" borderId="0" applyFont="0" applyFill="0" applyBorder="0" applyAlignment="0" applyProtection="0"/>
    <xf numFmtId="0" fontId="17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95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91">
    <xf numFmtId="0" fontId="0" fillId="0" borderId="0" xfId="0"/>
    <xf numFmtId="0" fontId="10" fillId="0" borderId="0" xfId="2" applyFont="1" applyAlignment="1">
      <alignment vertical="center"/>
    </xf>
    <xf numFmtId="165" fontId="18" fillId="0" borderId="0" xfId="3" applyNumberFormat="1" applyFont="1" applyBorder="1" applyAlignment="1">
      <alignment horizontal="left"/>
    </xf>
    <xf numFmtId="0" fontId="11" fillId="2" borderId="2" xfId="2" applyFont="1" applyFill="1" applyBorder="1" applyAlignment="1">
      <alignment horizontal="left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8" fillId="0" borderId="0" xfId="2" applyFont="1"/>
    <xf numFmtId="0" fontId="10" fillId="0" borderId="0" xfId="0" applyFont="1" applyAlignment="1">
      <alignment vertical="center"/>
    </xf>
    <xf numFmtId="3" fontId="23" fillId="0" borderId="1" xfId="1" applyNumberFormat="1" applyFont="1" applyBorder="1" applyAlignment="1">
      <alignment horizontal="left" vertical="center" wrapText="1"/>
    </xf>
    <xf numFmtId="0" fontId="12" fillId="0" borderId="2" xfId="0" applyFont="1" applyBorder="1"/>
    <xf numFmtId="3" fontId="12" fillId="0" borderId="2" xfId="1" applyNumberFormat="1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center" wrapText="1"/>
    </xf>
    <xf numFmtId="0" fontId="29" fillId="0" borderId="0" xfId="6" applyFont="1" applyAlignment="1">
      <alignment horizontal="left"/>
    </xf>
    <xf numFmtId="0" fontId="40" fillId="9" borderId="14" xfId="15" applyFont="1" applyFill="1" applyBorder="1" applyAlignment="1">
      <alignment horizontal="center"/>
    </xf>
    <xf numFmtId="0" fontId="8" fillId="9" borderId="14" xfId="15" applyFont="1" applyFill="1" applyBorder="1" applyAlignment="1">
      <alignment horizontal="center"/>
    </xf>
    <xf numFmtId="0" fontId="2" fillId="2" borderId="2" xfId="12" applyFont="1" applyFill="1" applyBorder="1" applyAlignment="1">
      <alignment horizontal="center" vertical="center" wrapText="1"/>
    </xf>
    <xf numFmtId="174" fontId="12" fillId="0" borderId="1" xfId="1" applyNumberFormat="1" applyFont="1" applyFill="1" applyBorder="1" applyAlignment="1">
      <alignment horizontal="center" vertical="center" wrapText="1"/>
    </xf>
    <xf numFmtId="0" fontId="12" fillId="0" borderId="2" xfId="9" applyFont="1" applyFill="1" applyBorder="1">
      <alignment horizontal="left" vertical="top" wrapText="1"/>
    </xf>
    <xf numFmtId="174" fontId="12" fillId="0" borderId="1" xfId="1" applyNumberFormat="1" applyFont="1" applyBorder="1" applyAlignment="1">
      <alignment horizontal="center" vertical="center" wrapText="1"/>
    </xf>
    <xf numFmtId="0" fontId="0" fillId="0" borderId="0" xfId="0"/>
    <xf numFmtId="0" fontId="8" fillId="0" borderId="0" xfId="0" applyFont="1"/>
    <xf numFmtId="0" fontId="0" fillId="0" borderId="0" xfId="0" applyFill="1"/>
    <xf numFmtId="0" fontId="68" fillId="0" borderId="0" xfId="52" applyFont="1"/>
    <xf numFmtId="9" fontId="8" fillId="0" borderId="0" xfId="3" applyFont="1" applyBorder="1" applyAlignment="1">
      <alignment horizontal="right"/>
    </xf>
    <xf numFmtId="9" fontId="8" fillId="0" borderId="0" xfId="3" applyFont="1" applyBorder="1" applyAlignment="1">
      <alignment horizontal="left"/>
    </xf>
    <xf numFmtId="0" fontId="69" fillId="0" borderId="9" xfId="0" applyFont="1" applyBorder="1" applyAlignment="1">
      <alignment horizontal="left" vertical="center"/>
    </xf>
    <xf numFmtId="0" fontId="69" fillId="0" borderId="9" xfId="0" applyFont="1" applyBorder="1" applyAlignment="1">
      <alignment horizontal="left" vertical="center" wrapText="1"/>
    </xf>
    <xf numFmtId="0" fontId="69" fillId="0" borderId="9" xfId="0" applyFont="1" applyBorder="1" applyAlignment="1">
      <alignment horizontal="left" vertical="center" wrapText="1" indent="1"/>
    </xf>
    <xf numFmtId="177" fontId="31" fillId="0" borderId="2" xfId="4" applyNumberFormat="1" applyFont="1" applyFill="1" applyBorder="1" applyAlignment="1">
      <alignment horizontal="center" vertical="center"/>
    </xf>
    <xf numFmtId="10" fontId="71" fillId="0" borderId="0" xfId="3" applyNumberFormat="1" applyFont="1" applyBorder="1" applyAlignment="1">
      <alignment horizontal="center"/>
    </xf>
    <xf numFmtId="0" fontId="8" fillId="0" borderId="0" xfId="6" applyFont="1" applyAlignment="1">
      <alignment horizontal="right"/>
    </xf>
    <xf numFmtId="0" fontId="71" fillId="0" borderId="0" xfId="6" applyFont="1"/>
    <xf numFmtId="177" fontId="8" fillId="0" borderId="0" xfId="6" applyNumberFormat="1" applyFont="1" applyAlignment="1">
      <alignment horizontal="right"/>
    </xf>
    <xf numFmtId="0" fontId="11" fillId="2" borderId="2" xfId="0" applyFont="1" applyFill="1" applyBorder="1" applyAlignment="1">
      <alignment horizontal="center" vertical="center" wrapText="1"/>
    </xf>
    <xf numFmtId="178" fontId="72" fillId="0" borderId="2" xfId="6" applyNumberFormat="1" applyFont="1" applyBorder="1" applyAlignment="1">
      <alignment horizontal="right"/>
    </xf>
    <xf numFmtId="3" fontId="30" fillId="21" borderId="2" xfId="6" applyNumberFormat="1" applyFont="1" applyFill="1" applyBorder="1" applyAlignment="1">
      <alignment horizontal="right" wrapText="1"/>
    </xf>
    <xf numFmtId="3" fontId="30" fillId="0" borderId="2" xfId="6" applyNumberFormat="1" applyFont="1" applyBorder="1" applyAlignment="1">
      <alignment horizontal="right" wrapText="1"/>
    </xf>
    <xf numFmtId="0" fontId="71" fillId="0" borderId="0" xfId="6" applyFont="1" applyAlignment="1">
      <alignment horizontal="left"/>
    </xf>
    <xf numFmtId="3" fontId="30" fillId="22" borderId="9" xfId="6" applyNumberFormat="1" applyFont="1" applyFill="1" applyBorder="1" applyAlignment="1">
      <alignment horizontal="right" wrapText="1"/>
    </xf>
    <xf numFmtId="3" fontId="8" fillId="0" borderId="0" xfId="6" applyNumberFormat="1" applyFont="1" applyAlignment="1">
      <alignment horizontal="right"/>
    </xf>
    <xf numFmtId="0" fontId="8" fillId="0" borderId="0" xfId="6" applyFont="1"/>
    <xf numFmtId="3" fontId="68" fillId="0" borderId="0" xfId="52" applyNumberFormat="1" applyFont="1"/>
    <xf numFmtId="9" fontId="8" fillId="0" borderId="0" xfId="6" applyNumberFormat="1" applyFont="1" applyAlignment="1">
      <alignment horizontal="center"/>
    </xf>
    <xf numFmtId="0" fontId="69" fillId="0" borderId="2" xfId="0" applyFont="1" applyBorder="1" applyAlignment="1">
      <alignment vertical="center"/>
    </xf>
    <xf numFmtId="171" fontId="69" fillId="0" borderId="2" xfId="4" applyNumberFormat="1" applyFont="1" applyFill="1" applyBorder="1" applyAlignment="1">
      <alignment horizontal="center"/>
    </xf>
    <xf numFmtId="171" fontId="31" fillId="0" borderId="2" xfId="4" applyNumberFormat="1" applyFont="1" applyFill="1" applyBorder="1" applyAlignment="1">
      <alignment horizontal="center"/>
    </xf>
    <xf numFmtId="0" fontId="75" fillId="0" borderId="0" xfId="6" applyFont="1" applyAlignment="1">
      <alignment horizontal="right"/>
    </xf>
    <xf numFmtId="171" fontId="75" fillId="0" borderId="0" xfId="6" applyNumberFormat="1" applyFont="1" applyAlignment="1">
      <alignment horizontal="right"/>
    </xf>
    <xf numFmtId="9" fontId="75" fillId="0" borderId="0" xfId="3" applyFont="1" applyAlignment="1">
      <alignment horizontal="right"/>
    </xf>
    <xf numFmtId="0" fontId="13" fillId="0" borderId="0" xfId="6" applyFont="1" applyAlignment="1">
      <alignment horizontal="left"/>
    </xf>
    <xf numFmtId="0" fontId="76" fillId="0" borderId="9" xfId="12" applyFont="1" applyFill="1" applyBorder="1" applyAlignment="1">
      <alignment horizontal="left" vertical="center" wrapText="1"/>
    </xf>
    <xf numFmtId="14" fontId="76" fillId="0" borderId="9" xfId="12" applyNumberFormat="1" applyFont="1" applyFill="1" applyBorder="1" applyAlignment="1">
      <alignment horizontal="right" vertical="center" wrapText="1"/>
    </xf>
    <xf numFmtId="0" fontId="69" fillId="0" borderId="9" xfId="9" applyFont="1" applyFill="1" applyBorder="1">
      <alignment horizontal="left" vertical="top" wrapText="1"/>
    </xf>
    <xf numFmtId="3" fontId="69" fillId="23" borderId="9" xfId="10" applyNumberFormat="1" applyFont="1" applyFill="1" applyBorder="1" applyAlignment="1">
      <alignment horizontal="right" vertical="center" wrapText="1"/>
    </xf>
    <xf numFmtId="171" fontId="70" fillId="0" borderId="9" xfId="10" applyNumberFormat="1" applyFont="1" applyFill="1" applyBorder="1" applyAlignment="1">
      <alignment horizontal="right" vertical="center" wrapText="1"/>
    </xf>
    <xf numFmtId="171" fontId="69" fillId="0" borderId="9" xfId="10" applyNumberFormat="1" applyFont="1" applyFill="1" applyBorder="1" applyAlignment="1">
      <alignment horizontal="right" vertical="center" wrapText="1"/>
    </xf>
    <xf numFmtId="3" fontId="70" fillId="23" borderId="9" xfId="10" applyNumberFormat="1" applyFont="1" applyFill="1" applyBorder="1" applyAlignment="1">
      <alignment horizontal="right" vertical="center" wrapText="1"/>
    </xf>
    <xf numFmtId="171" fontId="27" fillId="23" borderId="9" xfId="10" applyNumberFormat="1" applyFont="1" applyFill="1" applyBorder="1" applyAlignment="1">
      <alignment horizontal="right" vertical="center" wrapText="1"/>
    </xf>
    <xf numFmtId="3" fontId="27" fillId="23" borderId="9" xfId="10" applyNumberFormat="1" applyFont="1" applyFill="1" applyBorder="1" applyAlignment="1">
      <alignment horizontal="right" vertical="center" wrapText="1"/>
    </xf>
    <xf numFmtId="0" fontId="70" fillId="0" borderId="9" xfId="9" applyFont="1" applyFill="1" applyBorder="1">
      <alignment horizontal="left" vertical="top" wrapText="1"/>
    </xf>
    <xf numFmtId="0" fontId="69" fillId="0" borderId="9" xfId="9" applyFont="1" applyFill="1" applyBorder="1" applyAlignment="1">
      <alignment horizontal="left" vertical="top" wrapText="1" indent="1"/>
    </xf>
    <xf numFmtId="0" fontId="27" fillId="23" borderId="9" xfId="9" applyFont="1" applyFill="1" applyBorder="1" applyAlignment="1">
      <alignment horizontal="left" vertical="top" wrapText="1" indent="1"/>
    </xf>
    <xf numFmtId="166" fontId="19" fillId="0" borderId="9" xfId="3" applyNumberFormat="1" applyFont="1" applyFill="1" applyBorder="1" applyAlignment="1">
      <alignment horizontal="right" vertical="center" wrapText="1"/>
    </xf>
    <xf numFmtId="179" fontId="69" fillId="0" borderId="9" xfId="10" applyNumberFormat="1" applyFont="1" applyFill="1" applyBorder="1" applyAlignment="1">
      <alignment horizontal="right" vertical="center" wrapText="1"/>
    </xf>
    <xf numFmtId="180" fontId="69" fillId="0" borderId="9" xfId="10" applyNumberFormat="1" applyFont="1" applyFill="1" applyBorder="1" applyAlignment="1">
      <alignment horizontal="right" vertical="center" wrapText="1"/>
    </xf>
    <xf numFmtId="0" fontId="70" fillId="0" borderId="9" xfId="9" applyFont="1" applyFill="1" applyBorder="1" applyAlignment="1">
      <alignment horizontal="left" vertical="top" wrapText="1" indent="1"/>
    </xf>
    <xf numFmtId="3" fontId="69" fillId="23" borderId="9" xfId="10" applyNumberFormat="1" applyFont="1" applyFill="1" applyBorder="1" applyAlignment="1">
      <alignment horizontal="center" vertical="center" wrapText="1"/>
    </xf>
    <xf numFmtId="171" fontId="70" fillId="0" borderId="9" xfId="10" applyNumberFormat="1" applyFont="1" applyFill="1" applyBorder="1" applyAlignment="1">
      <alignment vertical="center" wrapText="1"/>
    </xf>
    <xf numFmtId="171" fontId="69" fillId="0" borderId="9" xfId="10" applyNumberFormat="1" applyFont="1" applyFill="1" applyBorder="1" applyAlignment="1">
      <alignment vertical="center" wrapText="1"/>
    </xf>
    <xf numFmtId="0" fontId="70" fillId="0" borderId="9" xfId="9" applyFont="1" applyFill="1" applyBorder="1" applyAlignment="1">
      <alignment horizontal="left" vertical="top" indent="1"/>
    </xf>
    <xf numFmtId="0" fontId="69" fillId="0" borderId="9" xfId="9" applyFont="1" applyFill="1" applyBorder="1" applyAlignment="1">
      <alignment horizontal="left" vertical="top" indent="1"/>
    </xf>
    <xf numFmtId="171" fontId="70" fillId="0" borderId="9" xfId="10" applyNumberFormat="1" applyFont="1" applyFill="1" applyBorder="1" applyAlignment="1">
      <alignment horizontal="right" vertical="center"/>
    </xf>
    <xf numFmtId="0" fontId="11" fillId="2" borderId="29" xfId="37" applyFont="1" applyFill="1" applyBorder="1" applyAlignment="1">
      <alignment horizontal="center" vertical="center" wrapText="1"/>
    </xf>
    <xf numFmtId="0" fontId="11" fillId="2" borderId="29" xfId="37" applyFont="1" applyFill="1" applyBorder="1" applyAlignment="1">
      <alignment horizontal="center" vertical="center"/>
    </xf>
    <xf numFmtId="0" fontId="69" fillId="0" borderId="10" xfId="9" applyFont="1" applyFill="1" applyBorder="1" applyAlignment="1">
      <alignment horizontal="left" vertical="center" wrapText="1"/>
    </xf>
    <xf numFmtId="0" fontId="69" fillId="0" borderId="11" xfId="9" applyFont="1" applyFill="1" applyBorder="1" applyAlignment="1">
      <alignment horizontal="left" vertical="center" wrapText="1"/>
    </xf>
    <xf numFmtId="166" fontId="19" fillId="0" borderId="11" xfId="3" applyNumberFormat="1" applyFont="1" applyFill="1" applyBorder="1" applyAlignment="1">
      <alignment horizontal="center" vertical="center" wrapText="1"/>
    </xf>
    <xf numFmtId="0" fontId="74" fillId="0" borderId="11" xfId="9" applyFont="1" applyFill="1" applyBorder="1" applyAlignment="1">
      <alignment horizontal="left" vertical="center"/>
    </xf>
    <xf numFmtId="166" fontId="69" fillId="0" borderId="11" xfId="3" applyNumberFormat="1" applyFont="1" applyFill="1" applyBorder="1" applyAlignment="1">
      <alignment horizontal="center" vertical="center"/>
    </xf>
    <xf numFmtId="0" fontId="69" fillId="5" borderId="11" xfId="9" applyFont="1" applyFill="1" applyBorder="1" applyAlignment="1">
      <alignment horizontal="left" vertical="center" wrapText="1"/>
    </xf>
    <xf numFmtId="0" fontId="56" fillId="5" borderId="11" xfId="38" applyFill="1" applyBorder="1" applyAlignment="1" applyProtection="1">
      <alignment horizontal="left" vertical="center"/>
    </xf>
    <xf numFmtId="175" fontId="69" fillId="0" borderId="11" xfId="10" applyNumberFormat="1" applyFont="1" applyFill="1" applyBorder="1" applyAlignment="1">
      <alignment horizontal="center" vertical="center" wrapText="1"/>
    </xf>
    <xf numFmtId="0" fontId="69" fillId="0" borderId="11" xfId="9" applyFont="1" applyFill="1" applyBorder="1" applyAlignment="1">
      <alignment horizontal="left" vertical="center"/>
    </xf>
    <xf numFmtId="0" fontId="15" fillId="5" borderId="11" xfId="14" applyFill="1" applyBorder="1" applyAlignment="1">
      <alignment horizontal="left" vertical="center"/>
    </xf>
    <xf numFmtId="10" fontId="69" fillId="0" borderId="11" xfId="3" applyNumberFormat="1" applyFont="1" applyBorder="1" applyAlignment="1">
      <alignment horizontal="center" vertical="center"/>
    </xf>
    <xf numFmtId="0" fontId="69" fillId="0" borderId="0" xfId="9" applyFont="1" applyFill="1" applyBorder="1" applyAlignment="1">
      <alignment horizontal="left" vertical="center" wrapText="1"/>
    </xf>
    <xf numFmtId="10" fontId="69" fillId="0" borderId="11" xfId="3" applyNumberFormat="1" applyFont="1" applyFill="1" applyBorder="1" applyAlignment="1">
      <alignment horizontal="center" vertical="center"/>
    </xf>
    <xf numFmtId="0" fontId="15" fillId="5" borderId="11" xfId="14" applyFill="1" applyBorder="1"/>
    <xf numFmtId="0" fontId="77" fillId="0" borderId="11" xfId="9" applyFont="1" applyFill="1" applyBorder="1" applyAlignment="1">
      <alignment horizontal="left" vertical="center" wrapText="1"/>
    </xf>
    <xf numFmtId="166" fontId="77" fillId="0" borderId="11" xfId="3" applyNumberFormat="1" applyFont="1" applyFill="1" applyBorder="1" applyAlignment="1">
      <alignment horizontal="center" vertical="center" wrapText="1"/>
    </xf>
    <xf numFmtId="0" fontId="70" fillId="0" borderId="11" xfId="9" applyFont="1" applyFill="1" applyBorder="1" applyAlignment="1">
      <alignment horizontal="left" vertical="center" wrapText="1"/>
    </xf>
    <xf numFmtId="0" fontId="70" fillId="0" borderId="11" xfId="9" applyFont="1" applyFill="1" applyBorder="1" applyAlignment="1">
      <alignment horizontal="left" vertical="center"/>
    </xf>
    <xf numFmtId="166" fontId="19" fillId="0" borderId="31" xfId="3" applyNumberFormat="1" applyFont="1" applyFill="1" applyBorder="1" applyAlignment="1">
      <alignment horizontal="center" vertical="center" wrapText="1"/>
    </xf>
    <xf numFmtId="166" fontId="69" fillId="0" borderId="32" xfId="3" applyNumberFormat="1" applyFont="1" applyFill="1" applyBorder="1" applyAlignment="1">
      <alignment horizontal="center" vertical="center"/>
    </xf>
    <xf numFmtId="0" fontId="77" fillId="0" borderId="17" xfId="9" applyFont="1" applyFill="1" applyBorder="1" applyAlignment="1">
      <alignment horizontal="left" vertical="center" wrapText="1"/>
    </xf>
    <xf numFmtId="0" fontId="70" fillId="0" borderId="17" xfId="9" applyFont="1" applyFill="1" applyBorder="1" applyAlignment="1">
      <alignment horizontal="left" vertical="center" wrapText="1"/>
    </xf>
    <xf numFmtId="0" fontId="70" fillId="0" borderId="17" xfId="9" applyFont="1" applyFill="1" applyBorder="1" applyAlignment="1">
      <alignment horizontal="left" vertical="center"/>
    </xf>
    <xf numFmtId="14" fontId="19" fillId="0" borderId="9" xfId="12" applyNumberFormat="1" applyFont="1" applyFill="1" applyBorder="1" applyAlignment="1">
      <alignment horizontal="right" vertical="center" wrapText="1"/>
    </xf>
    <xf numFmtId="0" fontId="29" fillId="0" borderId="13" xfId="9" applyFont="1" applyFill="1" applyBorder="1">
      <alignment horizontal="left" vertical="top" wrapText="1"/>
    </xf>
    <xf numFmtId="9" fontId="8" fillId="0" borderId="0" xfId="3" applyFont="1" applyAlignment="1">
      <alignment horizontal="right"/>
    </xf>
    <xf numFmtId="0" fontId="80" fillId="0" borderId="0" xfId="0" applyFont="1"/>
    <xf numFmtId="0" fontId="69" fillId="0" borderId="9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left"/>
    </xf>
    <xf numFmtId="0" fontId="69" fillId="0" borderId="9" xfId="0" applyFont="1" applyBorder="1"/>
    <xf numFmtId="166" fontId="69" fillId="0" borderId="9" xfId="3" applyNumberFormat="1" applyFont="1" applyFill="1" applyBorder="1" applyAlignment="1">
      <alignment horizontal="right"/>
    </xf>
    <xf numFmtId="0" fontId="15" fillId="0" borderId="0" xfId="38" applyFont="1" applyAlignment="1" applyProtection="1"/>
    <xf numFmtId="0" fontId="69" fillId="0" borderId="9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 indent="2"/>
    </xf>
    <xf numFmtId="0" fontId="24" fillId="0" borderId="0" xfId="0" applyFont="1" applyAlignment="1">
      <alignment horizontal="left" vertical="center" indent="1"/>
    </xf>
    <xf numFmtId="172" fontId="72" fillId="0" borderId="2" xfId="6" applyNumberFormat="1" applyFont="1" applyFill="1" applyBorder="1" applyAlignment="1">
      <alignment horizontal="right"/>
    </xf>
    <xf numFmtId="166" fontId="69" fillId="0" borderId="2" xfId="3" applyNumberFormat="1" applyFont="1" applyFill="1" applyBorder="1" applyAlignment="1">
      <alignment horizontal="center" vertical="center"/>
    </xf>
    <xf numFmtId="0" fontId="16" fillId="0" borderId="0" xfId="6" applyFont="1"/>
    <xf numFmtId="0" fontId="70" fillId="0" borderId="9" xfId="2" applyFont="1" applyBorder="1" applyAlignment="1">
      <alignment vertical="center" wrapText="1"/>
    </xf>
    <xf numFmtId="0" fontId="26" fillId="0" borderId="0" xfId="0" applyFont="1"/>
    <xf numFmtId="0" fontId="27" fillId="23" borderId="9" xfId="9" applyFont="1" applyFill="1" applyBorder="1" applyAlignment="1">
      <alignment horizontal="left" vertical="top"/>
    </xf>
    <xf numFmtId="0" fontId="18" fillId="0" borderId="0" xfId="0" applyFont="1" applyFill="1" applyAlignment="1">
      <alignment horizontal="left"/>
    </xf>
    <xf numFmtId="166" fontId="69" fillId="0" borderId="2" xfId="3" applyNumberFormat="1" applyFont="1" applyFill="1" applyBorder="1" applyAlignment="1">
      <alignment horizontal="right"/>
    </xf>
    <xf numFmtId="166" fontId="19" fillId="0" borderId="2" xfId="3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171" fontId="8" fillId="0" borderId="0" xfId="6" applyNumberFormat="1" applyFont="1" applyAlignment="1">
      <alignment horizontal="right"/>
    </xf>
    <xf numFmtId="178" fontId="69" fillId="16" borderId="12" xfId="0" applyNumberFormat="1" applyFont="1" applyFill="1" applyBorder="1"/>
    <xf numFmtId="178" fontId="12" fillId="0" borderId="9" xfId="5" applyNumberFormat="1" applyFont="1" applyFill="1" applyBorder="1" applyAlignment="1">
      <alignment horizontal="right" vertical="center"/>
    </xf>
    <xf numFmtId="166" fontId="12" fillId="0" borderId="9" xfId="5" applyNumberFormat="1" applyFont="1" applyFill="1" applyBorder="1" applyAlignment="1">
      <alignment horizontal="right" vertical="center"/>
    </xf>
    <xf numFmtId="177" fontId="57" fillId="0" borderId="30" xfId="52" applyNumberFormat="1" applyFont="1" applyBorder="1" applyAlignment="1">
      <alignment horizontal="right"/>
    </xf>
    <xf numFmtId="3" fontId="71" fillId="0" borderId="30" xfId="0" applyNumberFormat="1" applyFont="1" applyFill="1" applyBorder="1"/>
    <xf numFmtId="0" fontId="85" fillId="0" borderId="37" xfId="52" applyFont="1" applyFill="1" applyBorder="1" applyAlignment="1">
      <alignment horizontal="right"/>
    </xf>
    <xf numFmtId="0" fontId="22" fillId="0" borderId="2" xfId="9" applyFont="1" applyFill="1" applyBorder="1">
      <alignment horizontal="left" vertical="top" wrapText="1"/>
    </xf>
    <xf numFmtId="3" fontId="69" fillId="0" borderId="2" xfId="3" applyNumberFormat="1" applyFont="1" applyBorder="1" applyAlignment="1">
      <alignment horizontal="center" vertical="center"/>
    </xf>
    <xf numFmtId="3" fontId="70" fillId="0" borderId="2" xfId="3" applyNumberFormat="1" applyFont="1" applyBorder="1" applyAlignment="1">
      <alignment horizontal="center" vertical="center"/>
    </xf>
    <xf numFmtId="3" fontId="22" fillId="0" borderId="2" xfId="9" applyNumberFormat="1" applyFont="1" applyFill="1" applyBorder="1" applyAlignment="1">
      <alignment horizontal="center" vertical="top" wrapText="1"/>
    </xf>
    <xf numFmtId="0" fontId="71" fillId="0" borderId="39" xfId="6" applyFont="1" applyBorder="1"/>
    <xf numFmtId="0" fontId="12" fillId="0" borderId="2" xfId="9" applyFont="1" applyFill="1" applyBorder="1" applyAlignment="1">
      <alignment horizontal="left" vertical="top"/>
    </xf>
    <xf numFmtId="168" fontId="69" fillId="0" borderId="2" xfId="3" applyNumberFormat="1" applyFont="1" applyFill="1" applyBorder="1" applyAlignment="1">
      <alignment horizontal="center" vertical="center"/>
    </xf>
    <xf numFmtId="168" fontId="69" fillId="0" borderId="2" xfId="3" applyNumberFormat="1" applyFont="1" applyBorder="1" applyAlignment="1">
      <alignment horizontal="center" vertical="center"/>
    </xf>
    <xf numFmtId="0" fontId="8" fillId="0" borderId="0" xfId="6" applyFont="1" applyAlignment="1">
      <alignment horizontal="left"/>
    </xf>
    <xf numFmtId="0" fontId="8" fillId="0" borderId="0" xfId="6" applyFont="1" applyAlignment="1">
      <alignment horizontal="center"/>
    </xf>
    <xf numFmtId="0" fontId="3" fillId="0" borderId="0" xfId="2"/>
    <xf numFmtId="3" fontId="12" fillId="0" borderId="2" xfId="9" applyNumberFormat="1" applyFont="1" applyFill="1" applyBorder="1" applyAlignment="1">
      <alignment horizontal="center" vertical="top" wrapText="1"/>
    </xf>
    <xf numFmtId="0" fontId="12" fillId="0" borderId="2" xfId="9" applyFont="1" applyFill="1" applyBorder="1" applyAlignment="1">
      <alignment horizontal="center" vertical="center" wrapText="1"/>
    </xf>
    <xf numFmtId="0" fontId="12" fillId="0" borderId="0" xfId="9" applyFont="1" applyFill="1" applyBorder="1">
      <alignment horizontal="left" vertical="top" wrapText="1"/>
    </xf>
    <xf numFmtId="0" fontId="12" fillId="0" borderId="2" xfId="9" applyFont="1" applyFill="1" applyBorder="1" applyAlignment="1">
      <alignment horizontal="center" vertical="top"/>
    </xf>
    <xf numFmtId="0" fontId="12" fillId="0" borderId="2" xfId="9" applyFont="1" applyFill="1" applyBorder="1" applyAlignment="1">
      <alignment horizontal="center" vertical="top" wrapText="1"/>
    </xf>
    <xf numFmtId="0" fontId="30" fillId="0" borderId="0" xfId="6" applyFont="1"/>
    <xf numFmtId="14" fontId="12" fillId="0" borderId="1" xfId="1" applyNumberFormat="1" applyFont="1" applyBorder="1" applyAlignment="1">
      <alignment horizontal="center" vertical="center" wrapText="1"/>
    </xf>
    <xf numFmtId="1" fontId="19" fillId="0" borderId="1" xfId="1" applyNumberFormat="1" applyFont="1" applyBorder="1" applyAlignment="1">
      <alignment horizontal="center" vertical="center" wrapText="1"/>
    </xf>
    <xf numFmtId="3" fontId="29" fillId="0" borderId="0" xfId="6" applyNumberFormat="1" applyFont="1" applyAlignment="1">
      <alignment horizontal="right"/>
    </xf>
    <xf numFmtId="1" fontId="11" fillId="2" borderId="8" xfId="2" applyNumberFormat="1" applyFont="1" applyFill="1" applyBorder="1" applyAlignment="1">
      <alignment horizontal="center" vertical="center" wrapText="1"/>
    </xf>
    <xf numFmtId="0" fontId="69" fillId="0" borderId="2" xfId="2" applyFont="1" applyBorder="1" applyAlignment="1">
      <alignment vertical="center"/>
    </xf>
    <xf numFmtId="4" fontId="31" fillId="0" borderId="2" xfId="2" applyNumberFormat="1" applyFont="1" applyBorder="1" applyAlignment="1">
      <alignment horizontal="center" vertical="center" wrapText="1"/>
    </xf>
    <xf numFmtId="1" fontId="12" fillId="0" borderId="2" xfId="2" applyNumberFormat="1" applyFont="1" applyBorder="1" applyAlignment="1">
      <alignment horizontal="center" vertical="center" wrapText="1"/>
    </xf>
    <xf numFmtId="3" fontId="12" fillId="0" borderId="35" xfId="52" applyNumberFormat="1" applyFont="1" applyBorder="1" applyAlignment="1">
      <alignment horizontal="center"/>
    </xf>
    <xf numFmtId="0" fontId="12" fillId="0" borderId="1" xfId="52" applyFont="1" applyBorder="1" applyAlignment="1">
      <alignment horizontal="left"/>
    </xf>
    <xf numFmtId="9" fontId="69" fillId="0" borderId="40" xfId="3" applyFont="1" applyBorder="1" applyAlignment="1">
      <alignment horizontal="center" vertical="center"/>
    </xf>
    <xf numFmtId="166" fontId="12" fillId="0" borderId="40" xfId="63" applyNumberFormat="1" applyFont="1" applyBorder="1" applyAlignment="1">
      <alignment horizontal="center" vertical="center" wrapText="1"/>
    </xf>
    <xf numFmtId="0" fontId="12" fillId="0" borderId="1" xfId="52" applyFont="1" applyBorder="1" applyAlignment="1">
      <alignment horizontal="left" indent="1"/>
    </xf>
    <xf numFmtId="9" fontId="69" fillId="0" borderId="2" xfId="3" applyFont="1" applyBorder="1" applyAlignment="1">
      <alignment horizontal="center" vertical="center"/>
    </xf>
    <xf numFmtId="166" fontId="69" fillId="0" borderId="2" xfId="3" applyNumberFormat="1" applyFont="1" applyBorder="1" applyAlignment="1">
      <alignment horizontal="center" vertical="center"/>
    </xf>
    <xf numFmtId="3" fontId="12" fillId="0" borderId="1" xfId="52" applyNumberFormat="1" applyFont="1" applyBorder="1" applyAlignment="1">
      <alignment horizontal="center"/>
    </xf>
    <xf numFmtId="177" fontId="69" fillId="0" borderId="2" xfId="4" applyNumberFormat="1" applyFont="1" applyFill="1" applyBorder="1" applyAlignment="1">
      <alignment horizontal="center" vertical="center"/>
    </xf>
    <xf numFmtId="166" fontId="12" fillId="0" borderId="1" xfId="63" applyNumberFormat="1" applyFont="1" applyBorder="1" applyAlignment="1">
      <alignment horizontal="center" vertical="center" wrapText="1"/>
    </xf>
    <xf numFmtId="9" fontId="69" fillId="0" borderId="41" xfId="3" applyFont="1" applyBorder="1" applyAlignment="1">
      <alignment horizontal="center" vertical="center"/>
    </xf>
    <xf numFmtId="0" fontId="30" fillId="0" borderId="1" xfId="52" applyFont="1" applyBorder="1" applyAlignment="1">
      <alignment horizontal="left"/>
    </xf>
    <xf numFmtId="9" fontId="30" fillId="0" borderId="1" xfId="63" applyFont="1" applyBorder="1" applyAlignment="1">
      <alignment horizontal="center" vertical="center" wrapText="1"/>
    </xf>
    <xf numFmtId="166" fontId="30" fillId="0" borderId="1" xfId="63" applyNumberFormat="1" applyFont="1" applyBorder="1" applyAlignment="1">
      <alignment horizontal="center" vertical="center" wrapText="1"/>
    </xf>
    <xf numFmtId="4" fontId="12" fillId="0" borderId="1" xfId="52" applyNumberFormat="1" applyFont="1" applyBorder="1" applyAlignment="1">
      <alignment horizontal="center"/>
    </xf>
    <xf numFmtId="0" fontId="22" fillId="0" borderId="1" xfId="52" applyFont="1" applyBorder="1" applyAlignment="1">
      <alignment horizontal="left"/>
    </xf>
    <xf numFmtId="4" fontId="30" fillId="0" borderId="1" xfId="52" applyNumberFormat="1" applyFont="1" applyBorder="1" applyAlignment="1">
      <alignment horizontal="center"/>
    </xf>
    <xf numFmtId="0" fontId="8" fillId="0" borderId="0" xfId="52" applyFont="1"/>
    <xf numFmtId="9" fontId="69" fillId="0" borderId="40" xfId="3" applyFont="1" applyFill="1" applyBorder="1" applyAlignment="1">
      <alignment horizontal="center" vertical="center"/>
    </xf>
    <xf numFmtId="4" fontId="30" fillId="0" borderId="1" xfId="52" applyNumberFormat="1" applyFont="1" applyFill="1" applyBorder="1" applyAlignment="1">
      <alignment horizontal="center"/>
    </xf>
    <xf numFmtId="4" fontId="31" fillId="0" borderId="2" xfId="2" applyNumberFormat="1" applyFont="1" applyFill="1" applyBorder="1" applyAlignment="1">
      <alignment horizontal="center" vertical="center" wrapText="1"/>
    </xf>
    <xf numFmtId="0" fontId="1" fillId="0" borderId="0" xfId="64"/>
    <xf numFmtId="3" fontId="1" fillId="0" borderId="0" xfId="64" applyNumberFormat="1"/>
    <xf numFmtId="1" fontId="11" fillId="2" borderId="1" xfId="64" applyNumberFormat="1" applyFont="1" applyFill="1" applyBorder="1" applyAlignment="1">
      <alignment horizontal="center" vertical="center" wrapText="1"/>
    </xf>
    <xf numFmtId="1" fontId="11" fillId="4" borderId="1" xfId="64" applyNumberFormat="1" applyFont="1" applyFill="1" applyBorder="1" applyAlignment="1">
      <alignment horizontal="center" vertical="center" wrapText="1"/>
    </xf>
    <xf numFmtId="0" fontId="92" fillId="0" borderId="0" xfId="64" applyFont="1"/>
    <xf numFmtId="0" fontId="93" fillId="0" borderId="1" xfId="64" applyFont="1" applyBorder="1"/>
    <xf numFmtId="3" fontId="69" fillId="0" borderId="35" xfId="64" applyNumberFormat="1" applyFont="1" applyBorder="1" applyAlignment="1">
      <alignment horizontal="center"/>
    </xf>
    <xf numFmtId="166" fontId="69" fillId="0" borderId="1" xfId="3" applyNumberFormat="1" applyFont="1" applyFill="1" applyBorder="1" applyAlignment="1">
      <alignment horizontal="center"/>
    </xf>
    <xf numFmtId="0" fontId="94" fillId="0" borderId="0" xfId="64" applyFont="1"/>
    <xf numFmtId="0" fontId="69" fillId="0" borderId="1" xfId="64" applyFont="1" applyBorder="1"/>
    <xf numFmtId="3" fontId="69" fillId="0" borderId="1" xfId="64" applyNumberFormat="1" applyFont="1" applyBorder="1" applyAlignment="1">
      <alignment horizontal="center"/>
    </xf>
    <xf numFmtId="178" fontId="31" fillId="0" borderId="1" xfId="4" applyNumberFormat="1" applyFont="1" applyFill="1" applyBorder="1" applyAlignment="1">
      <alignment horizontal="center" vertical="center"/>
    </xf>
    <xf numFmtId="0" fontId="6" fillId="2" borderId="1" xfId="65" applyFont="1" applyFill="1" applyBorder="1" applyAlignment="1">
      <alignment horizontal="left" vertical="center"/>
    </xf>
    <xf numFmtId="166" fontId="12" fillId="0" borderId="1" xfId="3" applyNumberFormat="1" applyFont="1" applyFill="1" applyBorder="1" applyAlignment="1">
      <alignment horizontal="center"/>
    </xf>
    <xf numFmtId="0" fontId="8" fillId="9" borderId="14" xfId="45" applyFont="1" applyFill="1" applyBorder="1" applyAlignment="1">
      <alignment horizontal="center"/>
    </xf>
    <xf numFmtId="9" fontId="69" fillId="0" borderId="2" xfId="5" applyFont="1" applyBorder="1" applyAlignment="1">
      <alignment horizontal="center" vertical="center"/>
    </xf>
    <xf numFmtId="0" fontId="2" fillId="2" borderId="2" xfId="12" applyFont="1" applyFill="1" applyBorder="1" applyAlignment="1">
      <alignment horizontal="left" vertical="center"/>
    </xf>
    <xf numFmtId="3" fontId="69" fillId="0" borderId="1" xfId="64" applyNumberFormat="1" applyFont="1" applyBorder="1"/>
    <xf numFmtId="3" fontId="13" fillId="0" borderId="1" xfId="2" applyNumberFormat="1" applyFont="1" applyFill="1" applyBorder="1" applyAlignment="1">
      <alignment horizontal="center"/>
    </xf>
    <xf numFmtId="0" fontId="22" fillId="4" borderId="1" xfId="65" applyFont="1" applyFill="1" applyBorder="1" applyAlignment="1">
      <alignment horizontal="left" vertical="center"/>
    </xf>
    <xf numFmtId="174" fontId="13" fillId="0" borderId="5" xfId="5" applyNumberFormat="1" applyFont="1" applyFill="1" applyBorder="1" applyAlignment="1">
      <alignment horizontal="center" vertical="center"/>
    </xf>
    <xf numFmtId="3" fontId="12" fillId="0" borderId="9" xfId="5" applyNumberFormat="1" applyFont="1" applyFill="1" applyBorder="1" applyAlignment="1">
      <alignment horizontal="right" vertical="center"/>
    </xf>
    <xf numFmtId="0" fontId="1" fillId="0" borderId="0" xfId="67"/>
    <xf numFmtId="3" fontId="12" fillId="0" borderId="0" xfId="67" applyNumberFormat="1" applyFont="1" applyAlignment="1">
      <alignment horizontal="center"/>
    </xf>
    <xf numFmtId="0" fontId="59" fillId="0" borderId="0" xfId="67" applyFont="1"/>
    <xf numFmtId="1" fontId="11" fillId="2" borderId="2" xfId="67" applyNumberFormat="1" applyFont="1" applyFill="1" applyBorder="1" applyAlignment="1">
      <alignment horizontal="center" vertical="center" wrapText="1"/>
    </xf>
    <xf numFmtId="3" fontId="12" fillId="0" borderId="2" xfId="67" applyNumberFormat="1" applyFont="1" applyBorder="1" applyAlignment="1">
      <alignment horizontal="center"/>
    </xf>
    <xf numFmtId="0" fontId="12" fillId="0" borderId="2" xfId="67" applyFont="1" applyBorder="1" applyAlignment="1">
      <alignment horizontal="left"/>
    </xf>
    <xf numFmtId="1" fontId="11" fillId="2" borderId="2" xfId="67" applyNumberFormat="1" applyFont="1" applyFill="1" applyBorder="1" applyAlignment="1">
      <alignment horizontal="center" vertical="center"/>
    </xf>
    <xf numFmtId="1" fontId="11" fillId="2" borderId="2" xfId="67" applyNumberFormat="1" applyFont="1" applyFill="1" applyBorder="1" applyAlignment="1">
      <alignment horizontal="left" vertical="center"/>
    </xf>
    <xf numFmtId="0" fontId="88" fillId="0" borderId="9" xfId="0" applyFont="1" applyBorder="1" applyAlignment="1">
      <alignment vertical="center"/>
    </xf>
    <xf numFmtId="0" fontId="88" fillId="0" borderId="13" xfId="0" applyFont="1" applyBorder="1" applyAlignment="1">
      <alignment vertical="center"/>
    </xf>
    <xf numFmtId="0" fontId="29" fillId="0" borderId="13" xfId="0" applyFont="1" applyBorder="1" applyAlignment="1">
      <alignment horizontal="right" vertical="center"/>
    </xf>
    <xf numFmtId="3" fontId="12" fillId="0" borderId="2" xfId="67" applyNumberFormat="1" applyFont="1" applyFill="1" applyBorder="1" applyAlignment="1">
      <alignment horizontal="center"/>
    </xf>
    <xf numFmtId="177" fontId="12" fillId="0" borderId="2" xfId="4" applyNumberFormat="1" applyFont="1" applyFill="1" applyBorder="1" applyAlignment="1">
      <alignment horizontal="left" vertical="center"/>
    </xf>
    <xf numFmtId="177" fontId="12" fillId="0" borderId="2" xfId="4" applyNumberFormat="1" applyFont="1" applyFill="1" applyBorder="1" applyAlignment="1">
      <alignment horizontal="center" vertical="center"/>
    </xf>
    <xf numFmtId="181" fontId="69" fillId="0" borderId="2" xfId="4" applyNumberFormat="1" applyFont="1" applyFill="1" applyBorder="1" applyAlignment="1">
      <alignment horizontal="center"/>
    </xf>
    <xf numFmtId="0" fontId="57" fillId="0" borderId="0" xfId="0" applyFont="1"/>
    <xf numFmtId="0" fontId="30" fillId="0" borderId="7" xfId="0" applyFont="1" applyBorder="1" applyAlignment="1">
      <alignment horizontal="left" vertical="center"/>
    </xf>
    <xf numFmtId="168" fontId="30" fillId="0" borderId="7" xfId="0" applyNumberFormat="1" applyFont="1" applyBorder="1" applyAlignment="1">
      <alignment horizontal="center" vertical="center"/>
    </xf>
    <xf numFmtId="0" fontId="98" fillId="2" borderId="2" xfId="0" applyFont="1" applyFill="1" applyBorder="1" applyAlignment="1">
      <alignment horizontal="center" vertical="center" wrapText="1"/>
    </xf>
    <xf numFmtId="10" fontId="69" fillId="0" borderId="2" xfId="3" applyNumberFormat="1" applyFont="1" applyFill="1" applyBorder="1" applyAlignment="1">
      <alignment horizontal="center" vertical="center"/>
    </xf>
    <xf numFmtId="177" fontId="69" fillId="0" borderId="2" xfId="4" applyNumberFormat="1" applyFont="1" applyFill="1" applyBorder="1" applyAlignment="1">
      <alignment horizontal="center"/>
    </xf>
    <xf numFmtId="0" fontId="69" fillId="0" borderId="2" xfId="0" applyFont="1" applyBorder="1" applyAlignment="1">
      <alignment vertical="center" wrapText="1"/>
    </xf>
    <xf numFmtId="170" fontId="69" fillId="0" borderId="2" xfId="4" applyNumberFormat="1" applyFont="1" applyFill="1" applyBorder="1" applyAlignment="1">
      <alignment horizontal="center"/>
    </xf>
    <xf numFmtId="166" fontId="12" fillId="15" borderId="42" xfId="3" applyNumberFormat="1" applyFont="1" applyFill="1" applyBorder="1" applyAlignment="1">
      <alignment horizontal="center" vertical="center"/>
    </xf>
    <xf numFmtId="0" fontId="69" fillId="21" borderId="2" xfId="0" applyFont="1" applyFill="1" applyBorder="1" applyAlignment="1">
      <alignment horizontal="left" vertical="center" indent="2"/>
    </xf>
    <xf numFmtId="0" fontId="69" fillId="21" borderId="2" xfId="0" applyFont="1" applyFill="1" applyBorder="1" applyAlignment="1">
      <alignment vertical="center" wrapText="1"/>
    </xf>
    <xf numFmtId="177" fontId="69" fillId="22" borderId="2" xfId="4" applyNumberFormat="1" applyFont="1" applyFill="1" applyBorder="1" applyAlignment="1">
      <alignment horizontal="center"/>
    </xf>
    <xf numFmtId="0" fontId="70" fillId="0" borderId="2" xfId="0" applyFont="1" applyBorder="1" applyAlignment="1">
      <alignment vertical="center"/>
    </xf>
    <xf numFmtId="0" fontId="70" fillId="0" borderId="2" xfId="0" applyFont="1" applyBorder="1" applyAlignment="1">
      <alignment vertical="center" wrapText="1"/>
    </xf>
    <xf numFmtId="177" fontId="70" fillId="0" borderId="2" xfId="4" applyNumberFormat="1" applyFont="1" applyFill="1" applyBorder="1" applyAlignment="1">
      <alignment horizontal="center"/>
    </xf>
    <xf numFmtId="0" fontId="99" fillId="0" borderId="0" xfId="0" applyFont="1"/>
    <xf numFmtId="0" fontId="8" fillId="0" borderId="0" xfId="6" applyFont="1" applyBorder="1"/>
    <xf numFmtId="0" fontId="10" fillId="0" borderId="0" xfId="0" applyFont="1" applyBorder="1" applyAlignment="1">
      <alignment vertical="center"/>
    </xf>
    <xf numFmtId="171" fontId="69" fillId="16" borderId="2" xfId="0" applyNumberFormat="1" applyFont="1" applyFill="1" applyBorder="1" applyAlignment="1">
      <alignment horizontal="center" vertical="center"/>
    </xf>
    <xf numFmtId="0" fontId="82" fillId="5" borderId="0" xfId="0" applyFont="1" applyFill="1"/>
    <xf numFmtId="0" fontId="2" fillId="2" borderId="0" xfId="0" applyFont="1" applyFill="1" applyAlignment="1">
      <alignment vertical="center" wrapText="1"/>
    </xf>
    <xf numFmtId="3" fontId="13" fillId="0" borderId="2" xfId="3" applyNumberFormat="1" applyFont="1" applyFill="1" applyBorder="1" applyAlignment="1">
      <alignment horizontal="center" vertical="center"/>
    </xf>
    <xf numFmtId="0" fontId="69" fillId="5" borderId="2" xfId="0" applyFont="1" applyFill="1" applyBorder="1"/>
    <xf numFmtId="0" fontId="69" fillId="5" borderId="2" xfId="0" applyFont="1" applyFill="1" applyBorder="1" applyAlignment="1">
      <alignment vertical="center" wrapText="1"/>
    </xf>
    <xf numFmtId="1" fontId="13" fillId="0" borderId="2" xfId="3" applyNumberFormat="1" applyFont="1" applyFill="1" applyBorder="1" applyAlignment="1">
      <alignment horizontal="center" vertical="center"/>
    </xf>
    <xf numFmtId="176" fontId="69" fillId="16" borderId="2" xfId="0" applyNumberFormat="1" applyFont="1" applyFill="1" applyBorder="1" applyAlignment="1">
      <alignment horizontal="center" vertical="center"/>
    </xf>
    <xf numFmtId="173" fontId="13" fillId="0" borderId="2" xfId="3" applyNumberFormat="1" applyFont="1" applyFill="1" applyBorder="1" applyAlignment="1">
      <alignment horizontal="center" vertical="center"/>
    </xf>
    <xf numFmtId="3" fontId="70" fillId="3" borderId="2" xfId="0" applyNumberFormat="1" applyFont="1" applyFill="1" applyBorder="1" applyAlignment="1">
      <alignment horizontal="center" vertical="center"/>
    </xf>
    <xf numFmtId="176" fontId="88" fillId="16" borderId="2" xfId="0" applyNumberFormat="1" applyFont="1" applyFill="1" applyBorder="1" applyAlignment="1">
      <alignment horizontal="left" vertical="center"/>
    </xf>
    <xf numFmtId="171" fontId="88" fillId="16" borderId="2" xfId="0" applyNumberFormat="1" applyFont="1" applyFill="1" applyBorder="1" applyAlignment="1">
      <alignment horizontal="center" vertical="center"/>
    </xf>
    <xf numFmtId="176" fontId="69" fillId="16" borderId="2" xfId="0" applyNumberFormat="1" applyFont="1" applyFill="1" applyBorder="1" applyAlignment="1">
      <alignment horizontal="left" vertical="center"/>
    </xf>
    <xf numFmtId="176" fontId="9" fillId="5" borderId="0" xfId="0" applyNumberFormat="1" applyFont="1" applyFill="1" applyAlignment="1">
      <alignment horizontal="left"/>
    </xf>
    <xf numFmtId="176" fontId="70" fillId="18" borderId="0" xfId="0" applyNumberFormat="1" applyFont="1" applyFill="1"/>
    <xf numFmtId="0" fontId="0" fillId="0" borderId="44" xfId="0" applyBorder="1"/>
    <xf numFmtId="9" fontId="69" fillId="16" borderId="2" xfId="5" applyFont="1" applyFill="1" applyBorder="1" applyAlignment="1">
      <alignment horizontal="center" vertical="center"/>
    </xf>
    <xf numFmtId="166" fontId="69" fillId="0" borderId="2" xfId="5" applyNumberFormat="1" applyFont="1" applyFill="1" applyBorder="1" applyAlignment="1">
      <alignment horizontal="center" vertical="center"/>
    </xf>
    <xf numFmtId="1" fontId="69" fillId="0" borderId="2" xfId="3" applyNumberFormat="1" applyFont="1" applyBorder="1" applyAlignment="1">
      <alignment horizontal="center" vertical="center"/>
    </xf>
    <xf numFmtId="172" fontId="88" fillId="0" borderId="2" xfId="3" applyNumberFormat="1" applyFont="1" applyBorder="1" applyAlignment="1">
      <alignment horizontal="center" vertical="center"/>
    </xf>
    <xf numFmtId="172" fontId="72" fillId="0" borderId="2" xfId="6" applyNumberFormat="1" applyFont="1" applyFill="1" applyBorder="1" applyAlignment="1">
      <alignment horizontal="center"/>
    </xf>
    <xf numFmtId="0" fontId="69" fillId="0" borderId="0" xfId="0" applyFont="1" applyBorder="1" applyAlignment="1">
      <alignment horizontal="left" vertical="center" wrapText="1"/>
    </xf>
    <xf numFmtId="1" fontId="88" fillId="0" borderId="2" xfId="6" applyNumberFormat="1" applyFont="1" applyFill="1" applyBorder="1" applyAlignment="1">
      <alignment horizontal="center"/>
    </xf>
    <xf numFmtId="0" fontId="0" fillId="0" borderId="16" xfId="0" applyBorder="1"/>
    <xf numFmtId="1" fontId="58" fillId="2" borderId="13" xfId="0" applyNumberFormat="1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wrapText="1"/>
    </xf>
    <xf numFmtId="0" fontId="0" fillId="0" borderId="36" xfId="0" applyBorder="1"/>
    <xf numFmtId="10" fontId="69" fillId="0" borderId="2" xfId="3" applyNumberFormat="1" applyFont="1" applyFill="1" applyBorder="1" applyAlignment="1">
      <alignment horizontal="right"/>
    </xf>
    <xf numFmtId="182" fontId="69" fillId="0" borderId="2" xfId="4" applyNumberFormat="1" applyFont="1" applyFill="1" applyBorder="1" applyAlignment="1">
      <alignment horizontal="right"/>
    </xf>
    <xf numFmtId="0" fontId="101" fillId="19" borderId="0" xfId="6" applyFont="1" applyFill="1" applyAlignment="1">
      <alignment horizontal="center" vertical="center"/>
    </xf>
    <xf numFmtId="0" fontId="85" fillId="0" borderId="0" xfId="0" applyFont="1" applyAlignment="1">
      <alignment horizontal="right"/>
    </xf>
    <xf numFmtId="177" fontId="69" fillId="0" borderId="16" xfId="4" applyNumberFormat="1" applyFont="1" applyFill="1" applyBorder="1" applyAlignment="1">
      <alignment horizontal="center"/>
    </xf>
    <xf numFmtId="3" fontId="12" fillId="24" borderId="43" xfId="3" applyNumberFormat="1" applyFont="1" applyFill="1" applyBorder="1" applyAlignment="1">
      <alignment horizontal="center" vertical="center"/>
    </xf>
    <xf numFmtId="181" fontId="70" fillId="0" borderId="2" xfId="4" applyNumberFormat="1" applyFont="1" applyFill="1" applyBorder="1" applyAlignment="1">
      <alignment horizontal="center"/>
    </xf>
    <xf numFmtId="0" fontId="29" fillId="0" borderId="0" xfId="6" applyFont="1" applyAlignment="1">
      <alignment horizontal="right"/>
    </xf>
    <xf numFmtId="0" fontId="69" fillId="0" borderId="1" xfId="64" applyFont="1" applyFill="1" applyBorder="1"/>
    <xf numFmtId="1" fontId="11" fillId="25" borderId="9" xfId="0" applyNumberFormat="1" applyFont="1" applyFill="1" applyBorder="1" applyAlignment="1">
      <alignment horizontal="center" vertical="center" wrapText="1"/>
    </xf>
    <xf numFmtId="0" fontId="69" fillId="16" borderId="2" xfId="0" applyFont="1" applyFill="1" applyBorder="1" applyAlignment="1">
      <alignment vertical="center" wrapText="1"/>
    </xf>
    <xf numFmtId="14" fontId="12" fillId="0" borderId="1" xfId="1" applyNumberFormat="1" applyFont="1" applyFill="1" applyBorder="1" applyAlignment="1">
      <alignment horizontal="center" vertical="center" wrapText="1"/>
    </xf>
    <xf numFmtId="0" fontId="82" fillId="0" borderId="0" xfId="6" applyFont="1"/>
    <xf numFmtId="176" fontId="70" fillId="4" borderId="2" xfId="0" applyNumberFormat="1" applyFont="1" applyFill="1" applyBorder="1"/>
    <xf numFmtId="0" fontId="0" fillId="0" borderId="44" xfId="0" applyFill="1" applyBorder="1"/>
    <xf numFmtId="0" fontId="0" fillId="0" borderId="16" xfId="0" applyFill="1" applyBorder="1"/>
    <xf numFmtId="0" fontId="100" fillId="0" borderId="0" xfId="0" applyFont="1" applyFill="1"/>
    <xf numFmtId="0" fontId="14" fillId="13" borderId="2" xfId="0" applyFont="1" applyFill="1" applyBorder="1" applyAlignment="1">
      <alignment horizontal="center" vertical="center"/>
    </xf>
    <xf numFmtId="0" fontId="69" fillId="0" borderId="9" xfId="9" applyFont="1" applyFill="1" applyBorder="1" applyAlignment="1">
      <alignment horizontal="left" vertical="top"/>
    </xf>
    <xf numFmtId="177" fontId="70" fillId="17" borderId="2" xfId="4" applyNumberFormat="1" applyFont="1" applyFill="1" applyBorder="1" applyAlignment="1">
      <alignment horizontal="center"/>
    </xf>
    <xf numFmtId="0" fontId="29" fillId="0" borderId="0" xfId="6" applyFont="1" applyFill="1" applyAlignment="1">
      <alignment horizontal="left"/>
    </xf>
    <xf numFmtId="3" fontId="69" fillId="5" borderId="2" xfId="0" applyNumberFormat="1" applyFont="1" applyFill="1" applyBorder="1" applyAlignment="1">
      <alignment horizontal="left" indent="1"/>
    </xf>
    <xf numFmtId="3" fontId="69" fillId="0" borderId="2" xfId="3" applyNumberFormat="1" applyFont="1" applyFill="1" applyBorder="1" applyAlignment="1">
      <alignment horizontal="center" vertical="center"/>
    </xf>
    <xf numFmtId="3" fontId="29" fillId="0" borderId="2" xfId="3" applyNumberFormat="1" applyFont="1" applyFill="1" applyBorder="1" applyAlignment="1">
      <alignment horizontal="center" vertical="center"/>
    </xf>
    <xf numFmtId="0" fontId="2" fillId="25" borderId="0" xfId="0" applyFont="1" applyFill="1" applyAlignment="1">
      <alignment vertical="center" wrapText="1"/>
    </xf>
    <xf numFmtId="166" fontId="77" fillId="0" borderId="17" xfId="3" applyNumberFormat="1" applyFont="1" applyFill="1" applyBorder="1" applyAlignment="1">
      <alignment horizontal="center" vertical="center" wrapText="1"/>
    </xf>
    <xf numFmtId="1" fontId="11" fillId="2" borderId="1" xfId="52" applyNumberFormat="1" applyFont="1" applyFill="1" applyBorder="1" applyAlignment="1">
      <alignment horizontal="center" vertical="center" wrapText="1"/>
    </xf>
    <xf numFmtId="177" fontId="12" fillId="0" borderId="7" xfId="4" applyNumberFormat="1" applyFont="1" applyFill="1" applyBorder="1" applyAlignment="1">
      <alignment horizontal="left" vertical="center"/>
    </xf>
    <xf numFmtId="178" fontId="69" fillId="0" borderId="9" xfId="0" applyNumberFormat="1" applyFont="1" applyFill="1" applyBorder="1"/>
    <xf numFmtId="181" fontId="69" fillId="0" borderId="2" xfId="4" applyNumberFormat="1" applyFont="1" applyFill="1" applyBorder="1" applyAlignment="1">
      <alignment horizontal="left"/>
    </xf>
    <xf numFmtId="0" fontId="78" fillId="0" borderId="2" xfId="0" applyFont="1" applyBorder="1" applyAlignment="1">
      <alignment horizontal="center" vertical="center"/>
    </xf>
    <xf numFmtId="0" fontId="12" fillId="0" borderId="2" xfId="9" applyFont="1" applyFill="1" applyBorder="1" applyAlignment="1">
      <alignment horizontal="left" vertical="top" wrapText="1" indent="1"/>
    </xf>
    <xf numFmtId="0" fontId="12" fillId="0" borderId="2" xfId="9" applyFont="1" applyFill="1" applyBorder="1" applyAlignment="1">
      <alignment horizontal="left" vertical="center" wrapText="1"/>
    </xf>
    <xf numFmtId="0" fontId="12" fillId="0" borderId="2" xfId="9" applyFont="1" applyFill="1" applyBorder="1" applyAlignment="1">
      <alignment horizontal="left" vertical="center"/>
    </xf>
    <xf numFmtId="9" fontId="69" fillId="0" borderId="0" xfId="5" applyFont="1" applyBorder="1" applyAlignment="1">
      <alignment horizontal="center" vertical="center"/>
    </xf>
    <xf numFmtId="0" fontId="109" fillId="0" borderId="0" xfId="6" applyFont="1" applyAlignment="1">
      <alignment horizontal="left"/>
    </xf>
    <xf numFmtId="0" fontId="31" fillId="0" borderId="2" xfId="9" applyFont="1" applyFill="1" applyBorder="1" applyAlignment="1">
      <alignment horizontal="left" vertical="center"/>
    </xf>
    <xf numFmtId="3" fontId="69" fillId="0" borderId="2" xfId="3" applyNumberFormat="1" applyFont="1" applyBorder="1" applyAlignment="1">
      <alignment horizontal="center" vertical="center" wrapText="1"/>
    </xf>
    <xf numFmtId="166" fontId="69" fillId="0" borderId="2" xfId="5" applyNumberFormat="1" applyFont="1" applyBorder="1" applyAlignment="1">
      <alignment horizontal="center" vertical="center"/>
    </xf>
    <xf numFmtId="0" fontId="22" fillId="0" borderId="0" xfId="9" applyFont="1" applyFill="1" applyBorder="1">
      <alignment horizontal="left" vertical="top" wrapText="1"/>
    </xf>
    <xf numFmtId="0" fontId="12" fillId="0" borderId="7" xfId="9" applyFont="1" applyFill="1" applyBorder="1" applyAlignment="1">
      <alignment horizontal="center" vertical="center" wrapText="1"/>
    </xf>
    <xf numFmtId="168" fontId="69" fillId="0" borderId="7" xfId="3" applyNumberFormat="1" applyFont="1" applyBorder="1" applyAlignment="1">
      <alignment horizontal="center" vertical="center"/>
    </xf>
    <xf numFmtId="168" fontId="70" fillId="0" borderId="2" xfId="3" applyNumberFormat="1" applyFont="1" applyBorder="1" applyAlignment="1">
      <alignment horizontal="center" vertical="center"/>
    </xf>
    <xf numFmtId="168" fontId="70" fillId="0" borderId="7" xfId="3" applyNumberFormat="1" applyFont="1" applyBorder="1" applyAlignment="1">
      <alignment horizontal="center" vertical="center"/>
    </xf>
    <xf numFmtId="9" fontId="69" fillId="0" borderId="2" xfId="5" applyNumberFormat="1" applyFont="1" applyBorder="1" applyAlignment="1">
      <alignment horizontal="center" vertical="center"/>
    </xf>
    <xf numFmtId="0" fontId="24" fillId="0" borderId="2" xfId="9" applyFont="1" applyFill="1" applyBorder="1" applyAlignment="1">
      <alignment horizontal="center" vertical="center" wrapText="1"/>
    </xf>
    <xf numFmtId="3" fontId="88" fillId="0" borderId="2" xfId="3" applyNumberFormat="1" applyFont="1" applyBorder="1" applyAlignment="1">
      <alignment horizontal="center" vertical="center"/>
    </xf>
    <xf numFmtId="9" fontId="88" fillId="0" borderId="16" xfId="5" applyNumberFormat="1" applyFont="1" applyBorder="1" applyAlignment="1">
      <alignment horizontal="center" vertical="center"/>
    </xf>
    <xf numFmtId="0" fontId="24" fillId="0" borderId="2" xfId="9" applyFont="1" applyFill="1" applyBorder="1" applyAlignment="1">
      <alignment horizontal="left" vertical="top" wrapText="1" indent="2"/>
    </xf>
    <xf numFmtId="168" fontId="69" fillId="0" borderId="0" xfId="3" applyNumberFormat="1" applyFont="1" applyBorder="1" applyAlignment="1">
      <alignment horizontal="center" vertical="center"/>
    </xf>
    <xf numFmtId="0" fontId="12" fillId="4" borderId="2" xfId="9" applyFont="1" applyFill="1" applyBorder="1">
      <alignment horizontal="left" vertical="top" wrapText="1"/>
    </xf>
    <xf numFmtId="3" fontId="69" fillId="4" borderId="2" xfId="3" applyNumberFormat="1" applyFont="1" applyFill="1" applyBorder="1" applyAlignment="1">
      <alignment horizontal="center" vertical="center"/>
    </xf>
    <xf numFmtId="3" fontId="69" fillId="0" borderId="16" xfId="3" applyNumberFormat="1" applyFont="1" applyFill="1" applyBorder="1" applyAlignment="1">
      <alignment horizontal="center" vertical="center"/>
    </xf>
    <xf numFmtId="0" fontId="78" fillId="0" borderId="2" xfId="9" applyFont="1" applyFill="1" applyBorder="1" applyAlignment="1">
      <alignment horizontal="center" vertical="top" wrapText="1"/>
    </xf>
    <xf numFmtId="0" fontId="69" fillId="0" borderId="12" xfId="0" applyFont="1" applyBorder="1"/>
    <xf numFmtId="178" fontId="31" fillId="0" borderId="2" xfId="0" applyNumberFormat="1" applyFont="1" applyFill="1" applyBorder="1" applyAlignment="1">
      <alignment horizontal="right"/>
    </xf>
    <xf numFmtId="175" fontId="12" fillId="0" borderId="9" xfId="5" applyNumberFormat="1" applyFont="1" applyFill="1" applyBorder="1" applyAlignment="1">
      <alignment horizontal="right" vertical="center"/>
    </xf>
    <xf numFmtId="10" fontId="12" fillId="0" borderId="9" xfId="5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 wrapText="1"/>
    </xf>
    <xf numFmtId="14" fontId="69" fillId="0" borderId="2" xfId="3" applyNumberFormat="1" applyFont="1" applyBorder="1" applyAlignment="1">
      <alignment horizontal="center" vertical="center"/>
    </xf>
    <xf numFmtId="14" fontId="69" fillId="0" borderId="2" xfId="3" applyNumberFormat="1" applyFont="1" applyFill="1" applyBorder="1" applyAlignment="1">
      <alignment horizontal="center" vertical="center"/>
    </xf>
    <xf numFmtId="0" fontId="9" fillId="0" borderId="0" xfId="2" applyFont="1"/>
    <xf numFmtId="0" fontId="102" fillId="0" borderId="0" xfId="2" applyFont="1" applyAlignment="1">
      <alignment vertical="center"/>
    </xf>
    <xf numFmtId="0" fontId="69" fillId="0" borderId="2" xfId="2" applyFont="1" applyBorder="1" applyAlignment="1">
      <alignment vertical="center" wrapText="1"/>
    </xf>
    <xf numFmtId="166" fontId="69" fillId="0" borderId="2" xfId="3" applyNumberFormat="1" applyFont="1" applyFill="1" applyBorder="1"/>
    <xf numFmtId="173" fontId="69" fillId="0" borderId="2" xfId="3" applyNumberFormat="1" applyFont="1" applyFill="1" applyBorder="1" applyAlignment="1">
      <alignment horizontal="center" vertical="center"/>
    </xf>
    <xf numFmtId="183" fontId="69" fillId="0" borderId="2" xfId="4" applyNumberFormat="1" applyFont="1" applyFill="1" applyBorder="1"/>
    <xf numFmtId="2" fontId="13" fillId="0" borderId="2" xfId="3" applyNumberFormat="1" applyFont="1" applyFill="1" applyBorder="1" applyAlignment="1">
      <alignment horizontal="center" vertical="center"/>
    </xf>
    <xf numFmtId="170" fontId="69" fillId="0" borderId="2" xfId="4" applyNumberFormat="1" applyFont="1" applyFill="1" applyBorder="1"/>
    <xf numFmtId="0" fontId="69" fillId="0" borderId="2" xfId="2" applyFont="1" applyBorder="1" applyAlignment="1">
      <alignment horizontal="left" vertical="center"/>
    </xf>
    <xf numFmtId="0" fontId="69" fillId="0" borderId="2" xfId="2" applyFont="1" applyBorder="1" applyAlignment="1">
      <alignment horizontal="left" vertical="center" indent="1"/>
    </xf>
    <xf numFmtId="0" fontId="69" fillId="0" borderId="2" xfId="6" applyFont="1" applyBorder="1" applyAlignment="1">
      <alignment horizontal="right" wrapText="1"/>
    </xf>
    <xf numFmtId="0" fontId="69" fillId="0" borderId="2" xfId="2" applyFont="1" applyBorder="1" applyAlignment="1">
      <alignment horizontal="left" vertical="center" wrapText="1"/>
    </xf>
    <xf numFmtId="0" fontId="69" fillId="0" borderId="2" xfId="2" applyFont="1" applyBorder="1" applyAlignment="1">
      <alignment horizontal="left" vertical="center" wrapText="1" indent="1"/>
    </xf>
    <xf numFmtId="178" fontId="74" fillId="0" borderId="2" xfId="6" applyNumberFormat="1" applyFont="1" applyBorder="1" applyAlignment="1">
      <alignment horizontal="right"/>
    </xf>
    <xf numFmtId="178" fontId="110" fillId="0" borderId="2" xfId="6" applyNumberFormat="1" applyFont="1" applyBorder="1" applyAlignment="1">
      <alignment horizontal="right"/>
    </xf>
    <xf numFmtId="10" fontId="69" fillId="0" borderId="2" xfId="3" applyNumberFormat="1" applyFont="1" applyFill="1" applyBorder="1"/>
    <xf numFmtId="4" fontId="3" fillId="0" borderId="0" xfId="2" applyNumberFormat="1"/>
    <xf numFmtId="9" fontId="0" fillId="0" borderId="0" xfId="3" applyFont="1"/>
    <xf numFmtId="3" fontId="71" fillId="0" borderId="0" xfId="6" applyNumberFormat="1" applyFont="1" applyAlignment="1">
      <alignment horizontal="right"/>
    </xf>
    <xf numFmtId="3" fontId="75" fillId="0" borderId="0" xfId="6" applyNumberFormat="1" applyFont="1" applyAlignment="1">
      <alignment horizontal="right"/>
    </xf>
    <xf numFmtId="0" fontId="71" fillId="0" borderId="0" xfId="6" applyFont="1" applyAlignment="1">
      <alignment horizontal="right"/>
    </xf>
    <xf numFmtId="0" fontId="8" fillId="0" borderId="0" xfId="2" applyFont="1" applyAlignment="1">
      <alignment horizontal="center"/>
    </xf>
    <xf numFmtId="0" fontId="11" fillId="2" borderId="9" xfId="2" applyFont="1" applyFill="1" applyBorder="1" applyAlignment="1">
      <alignment horizontal="center" vertical="center" wrapText="1"/>
    </xf>
    <xf numFmtId="0" fontId="76" fillId="0" borderId="9" xfId="12" applyFont="1" applyFill="1" applyBorder="1" applyAlignment="1">
      <alignment horizontal="right" vertical="center" wrapText="1"/>
    </xf>
    <xf numFmtId="0" fontId="70" fillId="10" borderId="9" xfId="9" applyFont="1" applyFill="1" applyBorder="1" applyAlignment="1">
      <alignment horizontal="left" vertical="center" wrapText="1"/>
    </xf>
    <xf numFmtId="171" fontId="30" fillId="10" borderId="11" xfId="10" applyNumberFormat="1" applyFont="1" applyFill="1" applyBorder="1" applyAlignment="1">
      <alignment horizontal="right" vertical="center" wrapText="1"/>
    </xf>
    <xf numFmtId="0" fontId="91" fillId="0" borderId="0" xfId="6" applyFont="1"/>
    <xf numFmtId="9" fontId="69" fillId="0" borderId="9" xfId="9" applyNumberFormat="1" applyFont="1" applyFill="1" applyBorder="1" applyAlignment="1">
      <alignment horizontal="left" vertical="top" wrapText="1" indent="1"/>
    </xf>
    <xf numFmtId="0" fontId="30" fillId="0" borderId="9" xfId="9" applyFont="1" applyFill="1" applyBorder="1">
      <alignment horizontal="left" vertical="top" wrapText="1"/>
    </xf>
    <xf numFmtId="171" fontId="30" fillId="0" borderId="9" xfId="10" applyNumberFormat="1" applyFont="1" applyFill="1" applyBorder="1" applyAlignment="1">
      <alignment horizontal="right" vertical="center" wrapText="1"/>
    </xf>
    <xf numFmtId="0" fontId="70" fillId="10" borderId="9" xfId="9" applyFont="1" applyFill="1" applyBorder="1">
      <alignment horizontal="left" vertical="top" wrapText="1"/>
    </xf>
    <xf numFmtId="171" fontId="69" fillId="0" borderId="11" xfId="10" applyNumberFormat="1" applyFont="1" applyFill="1" applyBorder="1" applyAlignment="1">
      <alignment horizontal="right" vertical="center" wrapText="1"/>
    </xf>
    <xf numFmtId="0" fontId="27" fillId="23" borderId="9" xfId="9" applyFont="1" applyFill="1" applyBorder="1">
      <alignment horizontal="left" vertical="top" wrapText="1"/>
    </xf>
    <xf numFmtId="0" fontId="27" fillId="0" borderId="0" xfId="6" applyFont="1"/>
    <xf numFmtId="3" fontId="87" fillId="23" borderId="9" xfId="10" applyNumberFormat="1" applyFont="1" applyFill="1" applyBorder="1" applyAlignment="1">
      <alignment horizontal="right" vertical="center" wrapText="1"/>
    </xf>
    <xf numFmtId="171" fontId="69" fillId="0" borderId="51" xfId="10" applyNumberFormat="1" applyFont="1" applyFill="1" applyBorder="1" applyAlignment="1">
      <alignment horizontal="right" vertical="center" wrapText="1"/>
    </xf>
    <xf numFmtId="171" fontId="70" fillId="0" borderId="51" xfId="10" applyNumberFormat="1" applyFont="1" applyFill="1" applyBorder="1" applyAlignment="1">
      <alignment horizontal="right" vertical="center" wrapText="1"/>
    </xf>
    <xf numFmtId="171" fontId="27" fillId="23" borderId="52" xfId="10" applyNumberFormat="1" applyFont="1" applyFill="1" applyBorder="1" applyAlignment="1">
      <alignment horizontal="right" vertical="center" wrapText="1"/>
    </xf>
    <xf numFmtId="170" fontId="69" fillId="0" borderId="9" xfId="4" applyNumberFormat="1" applyFont="1" applyFill="1" applyBorder="1" applyAlignment="1">
      <alignment horizontal="right"/>
    </xf>
    <xf numFmtId="171" fontId="69" fillId="4" borderId="9" xfId="10" applyNumberFormat="1" applyFont="1" applyFill="1" applyBorder="1" applyAlignment="1">
      <alignment vertical="center" wrapText="1"/>
    </xf>
    <xf numFmtId="184" fontId="70" fillId="0" borderId="9" xfId="10" applyNumberFormat="1" applyFont="1" applyFill="1" applyBorder="1" applyAlignment="1">
      <alignment horizontal="right" vertical="center" wrapText="1"/>
    </xf>
    <xf numFmtId="171" fontId="69" fillId="23" borderId="9" xfId="10" applyNumberFormat="1" applyFont="1" applyFill="1" applyBorder="1" applyAlignment="1">
      <alignment horizontal="right" vertical="center" wrapText="1"/>
    </xf>
    <xf numFmtId="10" fontId="8" fillId="0" borderId="0" xfId="6" applyNumberFormat="1" applyFont="1" applyAlignment="1">
      <alignment horizontal="right"/>
    </xf>
    <xf numFmtId="0" fontId="11" fillId="2" borderId="10" xfId="2" applyFont="1" applyFill="1" applyBorder="1" applyAlignment="1">
      <alignment horizontal="center" vertical="center" wrapText="1"/>
    </xf>
    <xf numFmtId="0" fontId="12" fillId="0" borderId="11" xfId="2" applyFont="1" applyBorder="1" applyAlignment="1">
      <alignment vertical="center"/>
    </xf>
    <xf numFmtId="3" fontId="70" fillId="23" borderId="11" xfId="10" applyNumberFormat="1" applyFont="1" applyFill="1" applyBorder="1" applyAlignment="1">
      <alignment horizontal="right" vertical="center" wrapText="1"/>
    </xf>
    <xf numFmtId="171" fontId="12" fillId="0" borderId="11" xfId="2" applyNumberFormat="1" applyFont="1" applyBorder="1" applyAlignment="1">
      <alignment horizontal="right" vertical="center"/>
    </xf>
    <xf numFmtId="10" fontId="12" fillId="0" borderId="11" xfId="2" applyNumberFormat="1" applyFont="1" applyBorder="1" applyAlignment="1">
      <alignment horizontal="right" vertical="center"/>
    </xf>
    <xf numFmtId="4" fontId="8" fillId="0" borderId="0" xfId="6" applyNumberFormat="1" applyFont="1" applyAlignment="1">
      <alignment horizontal="right"/>
    </xf>
    <xf numFmtId="0" fontId="79" fillId="0" borderId="0" xfId="2" applyFont="1"/>
    <xf numFmtId="0" fontId="11" fillId="2" borderId="29" xfId="75" applyFont="1" applyFill="1" applyBorder="1" applyAlignment="1">
      <alignment horizontal="left" vertical="center" wrapText="1"/>
    </xf>
    <xf numFmtId="0" fontId="11" fillId="2" borderId="29" xfId="75" applyFont="1" applyFill="1" applyBorder="1" applyAlignment="1">
      <alignment horizontal="right" vertical="center" wrapText="1"/>
    </xf>
    <xf numFmtId="0" fontId="69" fillId="0" borderId="9" xfId="75" applyFont="1" applyBorder="1" applyAlignment="1">
      <alignment vertical="center" wrapText="1"/>
    </xf>
    <xf numFmtId="3" fontId="29" fillId="23" borderId="53" xfId="10" applyNumberFormat="1" applyFont="1" applyFill="1" applyBorder="1" applyAlignment="1">
      <alignment horizontal="center" vertical="center" wrapText="1"/>
    </xf>
    <xf numFmtId="0" fontId="40" fillId="28" borderId="0" xfId="45" applyFont="1" applyFill="1" applyAlignment="1">
      <alignment horizontal="center"/>
    </xf>
    <xf numFmtId="3" fontId="70" fillId="23" borderId="13" xfId="10" applyNumberFormat="1" applyFont="1" applyFill="1" applyBorder="1" applyAlignment="1">
      <alignment horizontal="right" vertical="center" wrapText="1"/>
    </xf>
    <xf numFmtId="10" fontId="19" fillId="0" borderId="9" xfId="76" applyNumberFormat="1" applyFont="1" applyFill="1" applyBorder="1"/>
    <xf numFmtId="3" fontId="19" fillId="0" borderId="9" xfId="77" applyNumberFormat="1" applyFont="1" applyFill="1" applyBorder="1"/>
    <xf numFmtId="3" fontId="19" fillId="0" borderId="9" xfId="75" applyNumberFormat="1" applyFont="1" applyBorder="1"/>
    <xf numFmtId="0" fontId="2" fillId="0" borderId="0" xfId="6" applyFont="1" applyAlignment="1">
      <alignment horizontal="right"/>
    </xf>
    <xf numFmtId="3" fontId="69" fillId="0" borderId="9" xfId="77" applyNumberFormat="1" applyFont="1" applyFill="1" applyBorder="1"/>
    <xf numFmtId="3" fontId="70" fillId="23" borderId="0" xfId="10" applyNumberFormat="1" applyFont="1" applyFill="1" applyBorder="1" applyAlignment="1">
      <alignment horizontal="right" vertical="center" wrapText="1"/>
    </xf>
    <xf numFmtId="0" fontId="11" fillId="2" borderId="0" xfId="75" applyFont="1" applyFill="1" applyAlignment="1">
      <alignment horizontal="center" vertical="center" wrapText="1"/>
    </xf>
    <xf numFmtId="0" fontId="11" fillId="2" borderId="0" xfId="75" applyFont="1" applyFill="1" applyAlignment="1">
      <alignment horizontal="right" wrapText="1"/>
    </xf>
    <xf numFmtId="3" fontId="19" fillId="0" borderId="9" xfId="77" applyNumberFormat="1" applyFont="1" applyBorder="1"/>
    <xf numFmtId="3" fontId="69" fillId="23" borderId="12" xfId="10" applyNumberFormat="1" applyFont="1" applyFill="1" applyBorder="1" applyAlignment="1">
      <alignment horizontal="center" vertical="center" wrapText="1"/>
    </xf>
    <xf numFmtId="3" fontId="33" fillId="0" borderId="45" xfId="77" applyNumberFormat="1" applyFont="1" applyFill="1" applyBorder="1"/>
    <xf numFmtId="0" fontId="69" fillId="0" borderId="9" xfId="2" applyFont="1" applyBorder="1" applyAlignment="1">
      <alignment horizontal="left" vertical="center" wrapText="1" indent="1"/>
    </xf>
    <xf numFmtId="10" fontId="13" fillId="0" borderId="13" xfId="76" applyNumberFormat="1" applyFont="1" applyFill="1" applyBorder="1" applyAlignment="1">
      <alignment horizontal="center"/>
    </xf>
    <xf numFmtId="166" fontId="13" fillId="0" borderId="12" xfId="76" applyNumberFormat="1" applyFont="1" applyBorder="1" applyAlignment="1">
      <alignment horizontal="center" vertical="center" wrapText="1"/>
    </xf>
    <xf numFmtId="3" fontId="69" fillId="23" borderId="13" xfId="10" applyNumberFormat="1" applyFont="1" applyFill="1" applyBorder="1" applyAlignment="1">
      <alignment horizontal="center" vertical="center" wrapText="1"/>
    </xf>
    <xf numFmtId="166" fontId="19" fillId="0" borderId="9" xfId="78" applyNumberFormat="1" applyFont="1" applyBorder="1"/>
    <xf numFmtId="166" fontId="19" fillId="0" borderId="9" xfId="78" applyNumberFormat="1" applyFont="1" applyFill="1" applyBorder="1"/>
    <xf numFmtId="3" fontId="19" fillId="13" borderId="9" xfId="77" applyNumberFormat="1" applyFont="1" applyFill="1" applyBorder="1"/>
    <xf numFmtId="1" fontId="6" fillId="2" borderId="10" xfId="79" applyNumberFormat="1" applyFont="1" applyFill="1" applyBorder="1" applyAlignment="1">
      <alignment horizontal="center" vertical="center" wrapText="1"/>
    </xf>
    <xf numFmtId="1" fontId="112" fillId="2" borderId="10" xfId="79" applyNumberFormat="1" applyFont="1" applyFill="1" applyBorder="1" applyAlignment="1">
      <alignment horizontal="center" vertical="center" wrapText="1"/>
    </xf>
    <xf numFmtId="177" fontId="12" fillId="0" borderId="11" xfId="80" applyNumberFormat="1" applyFont="1" applyFill="1" applyBorder="1" applyAlignment="1">
      <alignment horizontal="left" vertical="center"/>
    </xf>
    <xf numFmtId="171" fontId="12" fillId="4" borderId="11" xfId="79" applyNumberFormat="1" applyFont="1" applyFill="1" applyBorder="1" applyAlignment="1">
      <alignment horizontal="right" vertical="center" wrapText="1"/>
    </xf>
    <xf numFmtId="171" fontId="12" fillId="0" borderId="11" xfId="79" applyNumberFormat="1" applyFont="1" applyBorder="1" applyAlignment="1">
      <alignment horizontal="right" vertical="center" wrapText="1"/>
    </xf>
    <xf numFmtId="177" fontId="113" fillId="0" borderId="11" xfId="80" applyNumberFormat="1" applyFont="1" applyFill="1" applyBorder="1" applyAlignment="1">
      <alignment horizontal="left" vertical="center"/>
    </xf>
    <xf numFmtId="179" fontId="113" fillId="4" borderId="11" xfId="79" applyNumberFormat="1" applyFont="1" applyFill="1" applyBorder="1" applyAlignment="1">
      <alignment horizontal="center" vertical="center" wrapText="1"/>
    </xf>
    <xf numFmtId="179" fontId="113" fillId="0" borderId="11" xfId="79" applyNumberFormat="1" applyFont="1" applyBorder="1" applyAlignment="1">
      <alignment horizontal="right" vertical="center" wrapText="1"/>
    </xf>
    <xf numFmtId="0" fontId="114" fillId="0" borderId="0" xfId="6" applyFont="1"/>
    <xf numFmtId="0" fontId="55" fillId="0" borderId="0" xfId="37"/>
    <xf numFmtId="0" fontId="55" fillId="0" borderId="0" xfId="37" applyAlignment="1">
      <alignment horizontal="center" vertical="center"/>
    </xf>
    <xf numFmtId="0" fontId="55" fillId="0" borderId="0" xfId="37" applyAlignment="1">
      <alignment wrapText="1"/>
    </xf>
    <xf numFmtId="166" fontId="69" fillId="0" borderId="10" xfId="3" applyNumberFormat="1" applyFont="1" applyFill="1" applyBorder="1" applyAlignment="1">
      <alignment horizontal="center" vertical="center"/>
    </xf>
    <xf numFmtId="0" fontId="56" fillId="0" borderId="10" xfId="38" applyFill="1" applyBorder="1" applyAlignment="1" applyProtection="1">
      <alignment horizontal="left" vertical="center"/>
    </xf>
    <xf numFmtId="0" fontId="81" fillId="0" borderId="0" xfId="37" applyFont="1"/>
    <xf numFmtId="0" fontId="15" fillId="5" borderId="11" xfId="14" applyFill="1" applyBorder="1" applyAlignment="1" applyProtection="1">
      <alignment horizontal="left" vertical="center"/>
    </xf>
    <xf numFmtId="4" fontId="69" fillId="0" borderId="11" xfId="3" applyNumberFormat="1" applyFont="1" applyFill="1" applyBorder="1" applyAlignment="1">
      <alignment horizontal="center" vertical="center"/>
    </xf>
    <xf numFmtId="0" fontId="15" fillId="0" borderId="0" xfId="14"/>
    <xf numFmtId="0" fontId="115" fillId="0" borderId="0" xfId="37" applyFont="1"/>
    <xf numFmtId="166" fontId="77" fillId="0" borderId="21" xfId="3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3" fillId="0" borderId="0" xfId="2" applyAlignment="1">
      <alignment wrapText="1"/>
    </xf>
    <xf numFmtId="0" fontId="83" fillId="9" borderId="14" xfId="45" applyFont="1" applyFill="1" applyBorder="1" applyAlignment="1">
      <alignment horizontal="center"/>
    </xf>
    <xf numFmtId="0" fontId="1" fillId="0" borderId="0" xfId="52"/>
    <xf numFmtId="4" fontId="14" fillId="26" borderId="1" xfId="2" applyNumberFormat="1" applyFont="1" applyFill="1" applyBorder="1" applyAlignment="1">
      <alignment horizontal="center"/>
    </xf>
    <xf numFmtId="0" fontId="2" fillId="2" borderId="1" xfId="52" applyFont="1" applyFill="1" applyBorder="1" applyAlignment="1">
      <alignment horizontal="center" vertical="center" wrapText="1"/>
    </xf>
    <xf numFmtId="9" fontId="69" fillId="0" borderId="0" xfId="3" applyFont="1" applyFill="1" applyBorder="1" applyAlignment="1">
      <alignment horizontal="center"/>
    </xf>
    <xf numFmtId="0" fontId="90" fillId="0" borderId="1" xfId="52" applyFont="1" applyBorder="1" applyAlignment="1">
      <alignment horizontal="left" vertical="center"/>
    </xf>
    <xf numFmtId="177" fontId="90" fillId="0" borderId="16" xfId="4" applyNumberFormat="1" applyFont="1" applyFill="1" applyBorder="1" applyAlignment="1">
      <alignment horizontal="center" vertical="center"/>
    </xf>
    <xf numFmtId="166" fontId="8" fillId="0" borderId="0" xfId="6" applyNumberFormat="1" applyFont="1" applyAlignment="1">
      <alignment horizontal="right"/>
    </xf>
    <xf numFmtId="0" fontId="11" fillId="2" borderId="31" xfId="2" applyFont="1" applyFill="1" applyBorder="1" applyAlignment="1">
      <alignment horizontal="center" vertical="center" wrapText="1"/>
    </xf>
    <xf numFmtId="0" fontId="13" fillId="0" borderId="0" xfId="6" applyFont="1"/>
    <xf numFmtId="0" fontId="13" fillId="0" borderId="0" xfId="6" applyFont="1" applyAlignment="1">
      <alignment horizontal="center"/>
    </xf>
    <xf numFmtId="0" fontId="70" fillId="3" borderId="2" xfId="2" applyFont="1" applyFill="1" applyBorder="1" applyAlignment="1">
      <alignment horizontal="right" vertical="center"/>
    </xf>
    <xf numFmtId="178" fontId="69" fillId="0" borderId="2" xfId="6" applyNumberFormat="1" applyFont="1" applyBorder="1" applyAlignment="1">
      <alignment horizontal="right"/>
    </xf>
    <xf numFmtId="9" fontId="8" fillId="0" borderId="0" xfId="6" applyNumberFormat="1" applyFont="1"/>
    <xf numFmtId="177" fontId="31" fillId="0" borderId="2" xfId="4" applyNumberFormat="1" applyFont="1" applyFill="1" applyBorder="1" applyAlignment="1">
      <alignment horizontal="left" vertical="center"/>
    </xf>
    <xf numFmtId="178" fontId="31" fillId="0" borderId="2" xfId="4" applyNumberFormat="1" applyFont="1" applyFill="1" applyBorder="1" applyAlignment="1">
      <alignment horizontal="center" vertical="center"/>
    </xf>
    <xf numFmtId="166" fontId="69" fillId="12" borderId="2" xfId="3" applyNumberFormat="1" applyFont="1" applyFill="1" applyBorder="1" applyAlignment="1">
      <alignment horizontal="right" vertical="center"/>
    </xf>
    <xf numFmtId="166" fontId="69" fillId="0" borderId="2" xfId="6" applyNumberFormat="1" applyFont="1" applyBorder="1" applyAlignment="1">
      <alignment horizontal="right" wrapText="1"/>
    </xf>
    <xf numFmtId="177" fontId="8" fillId="0" borderId="0" xfId="6" applyNumberFormat="1" applyFont="1"/>
    <xf numFmtId="0" fontId="102" fillId="0" borderId="0" xfId="6" applyFont="1" applyAlignment="1">
      <alignment horizontal="right"/>
    </xf>
    <xf numFmtId="0" fontId="72" fillId="0" borderId="2" xfId="2" applyFont="1" applyBorder="1" applyAlignment="1">
      <alignment horizontal="left" vertical="center"/>
    </xf>
    <xf numFmtId="0" fontId="72" fillId="0" borderId="2" xfId="2" applyFont="1" applyBorder="1" applyAlignment="1">
      <alignment horizontal="right" vertical="center" indent="1"/>
    </xf>
    <xf numFmtId="0" fontId="73" fillId="21" borderId="2" xfId="2" applyFont="1" applyFill="1" applyBorder="1" applyAlignment="1">
      <alignment horizontal="right" vertical="center"/>
    </xf>
    <xf numFmtId="3" fontId="70" fillId="22" borderId="2" xfId="2" applyNumberFormat="1" applyFont="1" applyFill="1" applyBorder="1" applyAlignment="1">
      <alignment horizontal="right" vertical="center"/>
    </xf>
    <xf numFmtId="3" fontId="69" fillId="0" borderId="2" xfId="2" applyNumberFormat="1" applyFont="1" applyBorder="1" applyAlignment="1">
      <alignment vertical="center" wrapText="1"/>
    </xf>
    <xf numFmtId="0" fontId="117" fillId="0" borderId="0" xfId="6" applyFont="1"/>
    <xf numFmtId="0" fontId="102" fillId="0" borderId="0" xfId="6" applyFont="1" applyAlignment="1">
      <alignment horizontal="center"/>
    </xf>
    <xf numFmtId="0" fontId="30" fillId="0" borderId="2" xfId="2" applyFont="1" applyBorder="1" applyAlignment="1">
      <alignment horizontal="left" vertical="center"/>
    </xf>
    <xf numFmtId="0" fontId="31" fillId="0" borderId="2" xfId="2" applyFont="1" applyBorder="1" applyAlignment="1">
      <alignment horizontal="left" vertical="center"/>
    </xf>
    <xf numFmtId="3" fontId="30" fillId="22" borderId="2" xfId="6" applyNumberFormat="1" applyFont="1" applyFill="1" applyBorder="1" applyAlignment="1">
      <alignment horizontal="right" wrapText="1"/>
    </xf>
    <xf numFmtId="0" fontId="118" fillId="0" borderId="0" xfId="2" applyFont="1"/>
    <xf numFmtId="166" fontId="12" fillId="8" borderId="4" xfId="3" applyNumberFormat="1" applyFont="1" applyFill="1" applyBorder="1" applyAlignment="1">
      <alignment horizontal="center" vertical="center" wrapText="1"/>
    </xf>
    <xf numFmtId="0" fontId="11" fillId="2" borderId="29" xfId="2" applyFont="1" applyFill="1" applyBorder="1" applyAlignment="1">
      <alignment horizontal="center" vertical="center" wrapText="1"/>
    </xf>
    <xf numFmtId="9" fontId="69" fillId="0" borderId="0" xfId="3" applyFont="1" applyFill="1" applyBorder="1" applyAlignment="1">
      <alignment horizontal="right"/>
    </xf>
    <xf numFmtId="3" fontId="69" fillId="0" borderId="16" xfId="2" applyNumberFormat="1" applyFont="1" applyBorder="1" applyAlignment="1">
      <alignment vertical="center" wrapText="1"/>
    </xf>
    <xf numFmtId="3" fontId="3" fillId="0" borderId="0" xfId="2" applyNumberFormat="1"/>
    <xf numFmtId="3" fontId="69" fillId="0" borderId="2" xfId="2" applyNumberFormat="1" applyFont="1" applyBorder="1" applyAlignment="1">
      <alignment horizontal="center" vertical="center" wrapText="1"/>
    </xf>
    <xf numFmtId="0" fontId="8" fillId="0" borderId="0" xfId="6" applyFont="1" applyAlignment="1">
      <alignment wrapText="1"/>
    </xf>
    <xf numFmtId="0" fontId="2" fillId="2" borderId="2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8" fillId="0" borderId="0" xfId="6" applyFont="1" applyAlignment="1">
      <alignment horizontal="right" wrapText="1"/>
    </xf>
    <xf numFmtId="166" fontId="13" fillId="0" borderId="0" xfId="3" applyNumberFormat="1" applyFont="1" applyAlignment="1">
      <alignment horizontal="center"/>
    </xf>
    <xf numFmtId="0" fontId="2" fillId="2" borderId="0" xfId="2" applyFont="1" applyFill="1" applyAlignment="1">
      <alignment horizontal="left" vertical="center"/>
    </xf>
    <xf numFmtId="3" fontId="69" fillId="0" borderId="2" xfId="2" applyNumberFormat="1" applyFont="1" applyBorder="1" applyAlignment="1">
      <alignment horizontal="center"/>
    </xf>
    <xf numFmtId="3" fontId="8" fillId="0" borderId="0" xfId="6" applyNumberFormat="1" applyFont="1" applyAlignment="1">
      <alignment horizontal="center"/>
    </xf>
    <xf numFmtId="177" fontId="22" fillId="0" borderId="2" xfId="4" applyNumberFormat="1" applyFont="1" applyFill="1" applyBorder="1" applyAlignment="1">
      <alignment horizontal="left" vertical="center"/>
    </xf>
    <xf numFmtId="3" fontId="70" fillId="0" borderId="2" xfId="2" applyNumberFormat="1" applyFont="1" applyBorder="1" applyAlignment="1">
      <alignment vertical="center" wrapText="1"/>
    </xf>
    <xf numFmtId="177" fontId="12" fillId="0" borderId="0" xfId="4" applyNumberFormat="1" applyFont="1" applyFill="1" applyBorder="1" applyAlignment="1">
      <alignment horizontal="left" vertical="center"/>
    </xf>
    <xf numFmtId="0" fontId="11" fillId="2" borderId="30" xfId="2" applyFont="1" applyFill="1" applyBorder="1" applyAlignment="1">
      <alignment horizontal="center" vertical="center" wrapText="1"/>
    </xf>
    <xf numFmtId="178" fontId="69" fillId="0" borderId="9" xfId="6" applyNumberFormat="1" applyFont="1" applyBorder="1" applyAlignment="1">
      <alignment horizontal="center" vertical="center"/>
    </xf>
    <xf numFmtId="177" fontId="2" fillId="2" borderId="2" xfId="2" applyNumberFormat="1" applyFont="1" applyFill="1" applyBorder="1" applyAlignment="1">
      <alignment horizontal="left" vertical="center"/>
    </xf>
    <xf numFmtId="0" fontId="69" fillId="2" borderId="2" xfId="2" applyFont="1" applyFill="1" applyBorder="1" applyAlignment="1">
      <alignment horizontal="center" vertical="center" wrapText="1"/>
    </xf>
    <xf numFmtId="3" fontId="31" fillId="0" borderId="9" xfId="2" applyNumberFormat="1" applyFont="1" applyBorder="1" applyAlignment="1">
      <alignment horizontal="center"/>
    </xf>
    <xf numFmtId="9" fontId="69" fillId="0" borderId="2" xfId="3" applyFont="1" applyFill="1" applyBorder="1" applyAlignment="1">
      <alignment horizontal="center" vertical="center"/>
    </xf>
    <xf numFmtId="166" fontId="31" fillId="0" borderId="2" xfId="3" applyNumberFormat="1" applyFont="1" applyFill="1" applyBorder="1" applyAlignment="1">
      <alignment horizontal="center" vertical="center"/>
    </xf>
    <xf numFmtId="0" fontId="69" fillId="0" borderId="0" xfId="2" applyFont="1" applyAlignment="1">
      <alignment vertical="center"/>
    </xf>
    <xf numFmtId="171" fontId="31" fillId="0" borderId="0" xfId="4" applyNumberFormat="1" applyFont="1" applyFill="1" applyBorder="1" applyAlignment="1">
      <alignment horizontal="center"/>
    </xf>
    <xf numFmtId="171" fontId="69" fillId="0" borderId="0" xfId="4" applyNumberFormat="1" applyFont="1" applyFill="1" applyBorder="1" applyAlignment="1">
      <alignment horizontal="center"/>
    </xf>
    <xf numFmtId="177" fontId="2" fillId="2" borderId="2" xfId="2" applyNumberFormat="1" applyFont="1" applyFill="1" applyBorder="1" applyAlignment="1">
      <alignment horizontal="center" vertical="center"/>
    </xf>
    <xf numFmtId="0" fontId="119" fillId="0" borderId="0" xfId="2" applyFont="1"/>
    <xf numFmtId="0" fontId="120" fillId="0" borderId="0" xfId="2" applyFont="1" applyAlignment="1">
      <alignment horizontal="center"/>
    </xf>
    <xf numFmtId="0" fontId="105" fillId="0" borderId="0" xfId="64" applyFont="1"/>
    <xf numFmtId="166" fontId="13" fillId="0" borderId="1" xfId="3" applyNumberFormat="1" applyFont="1" applyFill="1" applyBorder="1" applyAlignment="1">
      <alignment horizontal="center"/>
    </xf>
    <xf numFmtId="3" fontId="69" fillId="0" borderId="1" xfId="2" applyNumberFormat="1" applyFont="1" applyBorder="1" applyAlignment="1">
      <alignment horizontal="center"/>
    </xf>
    <xf numFmtId="0" fontId="69" fillId="0" borderId="5" xfId="64" applyFont="1" applyBorder="1"/>
    <xf numFmtId="0" fontId="92" fillId="0" borderId="5" xfId="64" applyFont="1" applyBorder="1"/>
    <xf numFmtId="3" fontId="69" fillId="0" borderId="5" xfId="64" applyNumberFormat="1" applyFont="1" applyBorder="1" applyAlignment="1">
      <alignment horizontal="center"/>
    </xf>
    <xf numFmtId="0" fontId="69" fillId="0" borderId="3" xfId="64" applyFont="1" applyBorder="1"/>
    <xf numFmtId="0" fontId="92" fillId="0" borderId="3" xfId="64" applyFont="1" applyBorder="1"/>
    <xf numFmtId="3" fontId="69" fillId="0" borderId="3" xfId="64" applyNumberFormat="1" applyFont="1" applyBorder="1" applyAlignment="1">
      <alignment horizontal="center"/>
    </xf>
    <xf numFmtId="0" fontId="121" fillId="2" borderId="1" xfId="82" applyFont="1" applyFill="1" applyBorder="1" applyAlignment="1">
      <alignment horizontal="center" vertical="center"/>
    </xf>
    <xf numFmtId="0" fontId="121" fillId="2" borderId="1" xfId="82" applyFont="1" applyFill="1" applyBorder="1" applyAlignment="1">
      <alignment horizontal="left" vertical="center"/>
    </xf>
    <xf numFmtId="3" fontId="13" fillId="0" borderId="1" xfId="64" applyNumberFormat="1" applyFont="1" applyBorder="1" applyAlignment="1">
      <alignment horizontal="center"/>
    </xf>
    <xf numFmtId="3" fontId="69" fillId="0" borderId="35" xfId="83" applyNumberFormat="1" applyFont="1" applyBorder="1" applyAlignment="1">
      <alignment horizontal="center"/>
    </xf>
    <xf numFmtId="3" fontId="69" fillId="0" borderId="1" xfId="83" applyNumberFormat="1" applyFont="1" applyBorder="1" applyAlignment="1">
      <alignment horizontal="center"/>
    </xf>
    <xf numFmtId="0" fontId="69" fillId="0" borderId="0" xfId="64" applyFont="1"/>
    <xf numFmtId="3" fontId="69" fillId="0" borderId="0" xfId="64" applyNumberFormat="1" applyFont="1" applyAlignment="1">
      <alignment horizontal="center"/>
    </xf>
    <xf numFmtId="0" fontId="92" fillId="0" borderId="0" xfId="83" applyFont="1"/>
    <xf numFmtId="4" fontId="69" fillId="0" borderId="0" xfId="64" applyNumberFormat="1" applyFont="1" applyAlignment="1">
      <alignment horizontal="center"/>
    </xf>
    <xf numFmtId="0" fontId="92" fillId="0" borderId="0" xfId="83" applyFont="1" applyAlignment="1">
      <alignment horizontal="center"/>
    </xf>
    <xf numFmtId="0" fontId="105" fillId="0" borderId="0" xfId="83" applyFont="1"/>
    <xf numFmtId="0" fontId="6" fillId="2" borderId="1" xfId="82" applyFont="1" applyFill="1" applyBorder="1" applyAlignment="1">
      <alignment horizontal="left" vertical="center"/>
    </xf>
    <xf numFmtId="1" fontId="11" fillId="2" borderId="1" xfId="83" applyNumberFormat="1" applyFont="1" applyFill="1" applyBorder="1" applyAlignment="1">
      <alignment horizontal="center" vertical="center" wrapText="1"/>
    </xf>
    <xf numFmtId="1" fontId="11" fillId="2" borderId="1" xfId="83" applyNumberFormat="1" applyFont="1" applyFill="1" applyBorder="1" applyAlignment="1">
      <alignment horizontal="center" vertical="center" shrinkToFit="1"/>
    </xf>
    <xf numFmtId="3" fontId="69" fillId="0" borderId="1" xfId="83" applyNumberFormat="1" applyFont="1" applyBorder="1"/>
    <xf numFmtId="3" fontId="12" fillId="0" borderId="1" xfId="83" applyNumberFormat="1" applyFont="1" applyBorder="1" applyAlignment="1">
      <alignment horizontal="center"/>
    </xf>
    <xf numFmtId="0" fontId="69" fillId="0" borderId="0" xfId="83" applyFont="1"/>
    <xf numFmtId="3" fontId="69" fillId="0" borderId="1" xfId="64" applyNumberFormat="1" applyFont="1" applyBorder="1" applyAlignment="1">
      <alignment horizontal="left" wrapText="1"/>
    </xf>
    <xf numFmtId="169" fontId="69" fillId="0" borderId="1" xfId="83" applyNumberFormat="1" applyFont="1" applyBorder="1" applyAlignment="1">
      <alignment horizontal="center"/>
    </xf>
    <xf numFmtId="3" fontId="69" fillId="0" borderId="0" xfId="64" applyNumberFormat="1" applyFont="1" applyAlignment="1">
      <alignment horizontal="left" wrapText="1"/>
    </xf>
    <xf numFmtId="3" fontId="12" fillId="0" borderId="0" xfId="64" applyNumberFormat="1" applyFont="1" applyAlignment="1">
      <alignment horizontal="center"/>
    </xf>
    <xf numFmtId="3" fontId="12" fillId="0" borderId="0" xfId="83" applyNumberFormat="1" applyFont="1" applyAlignment="1">
      <alignment horizontal="center"/>
    </xf>
    <xf numFmtId="166" fontId="12" fillId="0" borderId="0" xfId="3" applyNumberFormat="1" applyFont="1" applyBorder="1" applyAlignment="1">
      <alignment horizontal="center"/>
    </xf>
    <xf numFmtId="4" fontId="69" fillId="0" borderId="1" xfId="2" applyNumberFormat="1" applyFont="1" applyBorder="1" applyAlignment="1">
      <alignment horizontal="center"/>
    </xf>
    <xf numFmtId="0" fontId="8" fillId="0" borderId="0" xfId="67" applyFont="1"/>
    <xf numFmtId="0" fontId="122" fillId="0" borderId="0" xfId="52" applyFont="1" applyAlignment="1">
      <alignment horizontal="left" vertical="center"/>
    </xf>
    <xf numFmtId="0" fontId="12" fillId="0" borderId="0" xfId="67" applyFont="1"/>
    <xf numFmtId="0" fontId="12" fillId="0" borderId="2" xfId="67" applyFont="1" applyBorder="1"/>
    <xf numFmtId="14" fontId="19" fillId="0" borderId="2" xfId="52" applyNumberFormat="1" applyFont="1" applyBorder="1" applyAlignment="1">
      <alignment horizontal="center" vertical="center" wrapText="1"/>
    </xf>
    <xf numFmtId="14" fontId="19" fillId="0" borderId="1" xfId="52" applyNumberFormat="1" applyFont="1" applyBorder="1" applyAlignment="1">
      <alignment horizontal="center" vertical="center" wrapText="1"/>
    </xf>
    <xf numFmtId="1" fontId="19" fillId="0" borderId="2" xfId="52" applyNumberFormat="1" applyFont="1" applyBorder="1" applyAlignment="1">
      <alignment horizontal="center" vertical="center" wrapText="1"/>
    </xf>
    <xf numFmtId="0" fontId="89" fillId="0" borderId="0" xfId="52" applyFont="1" applyAlignment="1">
      <alignment horizontal="left" vertical="center"/>
    </xf>
    <xf numFmtId="0" fontId="67" fillId="10" borderId="2" xfId="67" applyFont="1" applyFill="1" applyBorder="1" applyAlignment="1">
      <alignment horizontal="left" indent="2"/>
    </xf>
    <xf numFmtId="0" fontId="67" fillId="10" borderId="2" xfId="67" applyFont="1" applyFill="1" applyBorder="1" applyAlignment="1">
      <alignment horizontal="left"/>
    </xf>
    <xf numFmtId="0" fontId="12" fillId="0" borderId="2" xfId="67" applyFont="1" applyBorder="1" applyAlignment="1">
      <alignment horizontal="left" indent="2"/>
    </xf>
    <xf numFmtId="0" fontId="67" fillId="0" borderId="2" xfId="67" applyFont="1" applyBorder="1" applyAlignment="1">
      <alignment horizontal="left"/>
    </xf>
    <xf numFmtId="0" fontId="22" fillId="10" borderId="2" xfId="67" applyFont="1" applyFill="1" applyBorder="1" applyAlignment="1">
      <alignment horizontal="left" indent="1"/>
    </xf>
    <xf numFmtId="166" fontId="12" fillId="0" borderId="2" xfId="3" applyNumberFormat="1" applyFont="1" applyFill="1" applyBorder="1" applyAlignment="1">
      <alignment horizontal="center" vertical="center"/>
    </xf>
    <xf numFmtId="0" fontId="123" fillId="0" borderId="0" xfId="52" applyFont="1" applyAlignment="1">
      <alignment horizontal="left" vertical="center"/>
    </xf>
    <xf numFmtId="0" fontId="116" fillId="0" borderId="0" xfId="52" applyFont="1" applyAlignment="1">
      <alignment horizontal="left" vertical="center"/>
    </xf>
    <xf numFmtId="0" fontId="67" fillId="0" borderId="1" xfId="52" applyFont="1" applyBorder="1" applyAlignment="1">
      <alignment horizontal="left" vertical="center"/>
    </xf>
    <xf numFmtId="1" fontId="12" fillId="0" borderId="2" xfId="67" applyNumberFormat="1" applyFont="1" applyBorder="1" applyAlignment="1">
      <alignment horizontal="center"/>
    </xf>
    <xf numFmtId="172" fontId="12" fillId="0" borderId="2" xfId="67" applyNumberFormat="1" applyFont="1" applyBorder="1" applyAlignment="1">
      <alignment horizontal="center"/>
    </xf>
    <xf numFmtId="0" fontId="124" fillId="0" borderId="0" xfId="2" applyFont="1"/>
    <xf numFmtId="0" fontId="125" fillId="0" borderId="0" xfId="2" applyFont="1"/>
    <xf numFmtId="1" fontId="11" fillId="2" borderId="38" xfId="67" applyNumberFormat="1" applyFont="1" applyFill="1" applyBorder="1" applyAlignment="1">
      <alignment horizontal="center" vertical="center" wrapText="1"/>
    </xf>
    <xf numFmtId="0" fontId="12" fillId="0" borderId="0" xfId="67" applyFont="1" applyAlignment="1">
      <alignment horizontal="left"/>
    </xf>
    <xf numFmtId="0" fontId="12" fillId="0" borderId="0" xfId="67" applyFont="1" applyAlignment="1">
      <alignment horizontal="left" indent="2"/>
    </xf>
    <xf numFmtId="0" fontId="67" fillId="0" borderId="0" xfId="67" applyFont="1" applyAlignment="1">
      <alignment horizontal="left"/>
    </xf>
    <xf numFmtId="0" fontId="1" fillId="0" borderId="0" xfId="67" applyAlignment="1">
      <alignment horizontal="center" vertical="center"/>
    </xf>
    <xf numFmtId="3" fontId="31" fillId="0" borderId="2" xfId="67" applyNumberFormat="1" applyFont="1" applyBorder="1" applyAlignment="1">
      <alignment horizontal="center"/>
    </xf>
    <xf numFmtId="9" fontId="6" fillId="2" borderId="2" xfId="52" applyNumberFormat="1" applyFont="1" applyFill="1" applyBorder="1" applyAlignment="1">
      <alignment horizontal="center" vertical="center" wrapText="1"/>
    </xf>
    <xf numFmtId="0" fontId="81" fillId="0" borderId="0" xfId="67" applyFont="1"/>
    <xf numFmtId="1" fontId="19" fillId="0" borderId="2" xfId="84" applyNumberFormat="1" applyFont="1" applyBorder="1" applyAlignment="1">
      <alignment horizontal="center" vertical="center" wrapText="1"/>
    </xf>
    <xf numFmtId="166" fontId="41" fillId="0" borderId="0" xfId="67" applyNumberFormat="1" applyFont="1" applyAlignment="1">
      <alignment horizontal="center" vertical="center"/>
    </xf>
    <xf numFmtId="166" fontId="1" fillId="0" borderId="0" xfId="67" applyNumberFormat="1" applyAlignment="1">
      <alignment horizontal="center" vertical="center"/>
    </xf>
    <xf numFmtId="172" fontId="84" fillId="0" borderId="0" xfId="67" applyNumberFormat="1" applyFont="1"/>
    <xf numFmtId="166" fontId="19" fillId="0" borderId="2" xfId="3" applyNumberFormat="1" applyFont="1" applyFill="1" applyBorder="1" applyAlignment="1">
      <alignment horizontal="center" vertical="center" wrapText="1"/>
    </xf>
    <xf numFmtId="3" fontId="38" fillId="0" borderId="2" xfId="67" applyNumberFormat="1" applyFont="1" applyBorder="1" applyAlignment="1">
      <alignment horizontal="center" vertical="center"/>
    </xf>
    <xf numFmtId="3" fontId="12" fillId="0" borderId="2" xfId="67" applyNumberFormat="1" applyFont="1" applyBorder="1" applyAlignment="1">
      <alignment horizontal="center" vertical="center"/>
    </xf>
    <xf numFmtId="166" fontId="84" fillId="0" borderId="0" xfId="3" applyNumberFormat="1" applyFont="1" applyFill="1"/>
    <xf numFmtId="166" fontId="84" fillId="0" borderId="0" xfId="3" applyNumberFormat="1" applyFont="1"/>
    <xf numFmtId="0" fontId="30" fillId="0" borderId="2" xfId="67" applyFont="1" applyBorder="1"/>
    <xf numFmtId="3" fontId="30" fillId="0" borderId="2" xfId="67" applyNumberFormat="1" applyFont="1" applyBorder="1" applyAlignment="1">
      <alignment horizontal="center"/>
    </xf>
    <xf numFmtId="9" fontId="1" fillId="0" borderId="0" xfId="67" applyNumberFormat="1" applyAlignment="1">
      <alignment horizontal="center" vertical="center"/>
    </xf>
    <xf numFmtId="0" fontId="22" fillId="3" borderId="2" xfId="52" applyFont="1" applyFill="1" applyBorder="1" applyAlignment="1">
      <alignment horizontal="left" vertical="center" wrapText="1"/>
    </xf>
    <xf numFmtId="0" fontId="22" fillId="3" borderId="2" xfId="52" applyFont="1" applyFill="1" applyBorder="1" applyAlignment="1">
      <alignment horizontal="center" vertical="center" wrapText="1"/>
    </xf>
    <xf numFmtId="3" fontId="22" fillId="3" borderId="2" xfId="67" applyNumberFormat="1" applyFont="1" applyFill="1" applyBorder="1" applyAlignment="1">
      <alignment horizontal="center"/>
    </xf>
    <xf numFmtId="0" fontId="23" fillId="0" borderId="0" xfId="67" applyFont="1"/>
    <xf numFmtId="3" fontId="22" fillId="15" borderId="2" xfId="67" applyNumberFormat="1" applyFont="1" applyFill="1" applyBorder="1" applyAlignment="1">
      <alignment horizontal="center"/>
    </xf>
    <xf numFmtId="9" fontId="22" fillId="10" borderId="2" xfId="3" applyFont="1" applyFill="1" applyBorder="1" applyAlignment="1">
      <alignment horizontal="center" vertical="center"/>
    </xf>
    <xf numFmtId="3" fontId="22" fillId="10" borderId="2" xfId="67" applyNumberFormat="1" applyFont="1" applyFill="1" applyBorder="1" applyAlignment="1">
      <alignment horizontal="center"/>
    </xf>
    <xf numFmtId="3" fontId="31" fillId="28" borderId="2" xfId="67" applyNumberFormat="1" applyFont="1" applyFill="1" applyBorder="1" applyAlignment="1">
      <alignment horizontal="center"/>
    </xf>
    <xf numFmtId="166" fontId="22" fillId="15" borderId="2" xfId="3" applyNumberFormat="1" applyFont="1" applyFill="1" applyBorder="1" applyAlignment="1">
      <alignment horizontal="center" vertical="center"/>
    </xf>
    <xf numFmtId="166" fontId="22" fillId="10" borderId="2" xfId="3" applyNumberFormat="1" applyFont="1" applyFill="1" applyBorder="1" applyAlignment="1">
      <alignment horizontal="center" vertical="center"/>
    </xf>
    <xf numFmtId="0" fontId="16" fillId="0" borderId="0" xfId="67" applyFont="1"/>
    <xf numFmtId="9" fontId="22" fillId="10" borderId="2" xfId="3" applyFont="1" applyFill="1" applyBorder="1" applyAlignment="1">
      <alignment horizontal="center"/>
    </xf>
    <xf numFmtId="3" fontId="22" fillId="3" borderId="2" xfId="52" applyNumberFormat="1" applyFont="1" applyFill="1" applyBorder="1" applyAlignment="1">
      <alignment horizontal="left" vertical="center" wrapText="1"/>
    </xf>
    <xf numFmtId="9" fontId="22" fillId="3" borderId="2" xfId="3" applyFont="1" applyFill="1" applyBorder="1" applyAlignment="1">
      <alignment horizontal="center" vertical="center" wrapText="1"/>
    </xf>
    <xf numFmtId="9" fontId="22" fillId="3" borderId="2" xfId="3" applyFont="1" applyFill="1" applyBorder="1" applyAlignment="1">
      <alignment horizontal="left" vertical="center" wrapText="1"/>
    </xf>
    <xf numFmtId="3" fontId="103" fillId="10" borderId="2" xfId="67" applyNumberFormat="1" applyFont="1" applyFill="1" applyBorder="1" applyAlignment="1">
      <alignment horizontal="left"/>
    </xf>
    <xf numFmtId="166" fontId="22" fillId="10" borderId="2" xfId="3" applyNumberFormat="1" applyFont="1" applyFill="1" applyBorder="1" applyAlignment="1">
      <alignment horizontal="center"/>
    </xf>
    <xf numFmtId="9" fontId="12" fillId="0" borderId="2" xfId="3" applyFont="1" applyFill="1" applyBorder="1" applyAlignment="1">
      <alignment horizontal="center" vertical="center"/>
    </xf>
    <xf numFmtId="9" fontId="22" fillId="15" borderId="2" xfId="3" applyFont="1" applyFill="1" applyBorder="1" applyAlignment="1">
      <alignment horizontal="center" vertical="center"/>
    </xf>
    <xf numFmtId="166" fontId="22" fillId="12" borderId="2" xfId="3" applyNumberFormat="1" applyFont="1" applyFill="1" applyBorder="1" applyAlignment="1">
      <alignment horizontal="center" vertical="center" wrapText="1"/>
    </xf>
    <xf numFmtId="166" fontId="22" fillId="3" borderId="2" xfId="3" applyNumberFormat="1" applyFont="1" applyFill="1" applyBorder="1" applyAlignment="1">
      <alignment horizontal="center" vertical="center" wrapText="1"/>
    </xf>
    <xf numFmtId="0" fontId="22" fillId="3" borderId="2" xfId="52" applyFont="1" applyFill="1" applyBorder="1" applyAlignment="1">
      <alignment horizontal="left" vertical="center"/>
    </xf>
    <xf numFmtId="0" fontId="21" fillId="0" borderId="0" xfId="67" applyFont="1"/>
    <xf numFmtId="9" fontId="30" fillId="0" borderId="2" xfId="3" applyFont="1" applyFill="1" applyBorder="1" applyAlignment="1">
      <alignment horizontal="center" vertical="center"/>
    </xf>
    <xf numFmtId="0" fontId="12" fillId="4" borderId="0" xfId="9" applyFont="1" applyFill="1" applyBorder="1">
      <alignment horizontal="left" vertical="top" wrapText="1"/>
    </xf>
    <xf numFmtId="3" fontId="69" fillId="4" borderId="0" xfId="3" applyNumberFormat="1" applyFont="1" applyFill="1" applyBorder="1" applyAlignment="1">
      <alignment horizontal="center" vertical="center"/>
    </xf>
    <xf numFmtId="0" fontId="12" fillId="4" borderId="0" xfId="9" applyFont="1" applyFill="1" applyBorder="1" applyAlignment="1">
      <alignment horizontal="left" vertical="top"/>
    </xf>
    <xf numFmtId="3" fontId="0" fillId="0" borderId="21" xfId="0" applyNumberFormat="1" applyBorder="1" applyAlignment="1">
      <alignment horizontal="center" vertical="center"/>
    </xf>
    <xf numFmtId="0" fontId="127" fillId="0" borderId="0" xfId="91" applyFont="1"/>
    <xf numFmtId="0" fontId="128" fillId="0" borderId="0" xfId="91" applyFont="1"/>
    <xf numFmtId="0" fontId="126" fillId="0" borderId="0" xfId="91"/>
    <xf numFmtId="0" fontId="129" fillId="0" borderId="0" xfId="91" applyFont="1"/>
    <xf numFmtId="0" fontId="130" fillId="0" borderId="0" xfId="91" applyFont="1" applyAlignment="1">
      <alignment horizontal="left"/>
    </xf>
    <xf numFmtId="0" fontId="29" fillId="0" borderId="0" xfId="91" applyFont="1" applyAlignment="1">
      <alignment horizontal="left"/>
    </xf>
    <xf numFmtId="0" fontId="8" fillId="29" borderId="54" xfId="91" applyFont="1" applyFill="1" applyBorder="1" applyAlignment="1">
      <alignment horizontal="center" vertical="center" wrapText="1"/>
    </xf>
    <xf numFmtId="3" fontId="8" fillId="29" borderId="54" xfId="91" applyNumberFormat="1" applyFont="1" applyFill="1" applyBorder="1" applyAlignment="1">
      <alignment horizontal="center" vertical="center" wrapText="1"/>
    </xf>
    <xf numFmtId="3" fontId="126" fillId="29" borderId="54" xfId="91" applyNumberFormat="1" applyFill="1" applyBorder="1" applyAlignment="1">
      <alignment horizontal="center" vertical="center" wrapText="1"/>
    </xf>
    <xf numFmtId="3" fontId="16" fillId="29" borderId="55" xfId="91" applyNumberFormat="1" applyFont="1" applyFill="1" applyBorder="1" applyAlignment="1">
      <alignment horizontal="center" vertical="center" wrapText="1"/>
    </xf>
    <xf numFmtId="3" fontId="16" fillId="29" borderId="21" xfId="91" applyNumberFormat="1" applyFont="1" applyFill="1" applyBorder="1" applyAlignment="1">
      <alignment horizontal="center" vertical="center" wrapText="1"/>
    </xf>
    <xf numFmtId="0" fontId="8" fillId="0" borderId="0" xfId="91" applyFont="1" applyAlignment="1">
      <alignment horizontal="center" vertical="center" wrapText="1"/>
    </xf>
    <xf numFmtId="3" fontId="126" fillId="0" borderId="0" xfId="91" applyNumberFormat="1" applyAlignment="1">
      <alignment horizontal="center" vertical="center" wrapText="1"/>
    </xf>
    <xf numFmtId="3" fontId="8" fillId="0" borderId="0" xfId="91" applyNumberFormat="1" applyFont="1" applyAlignment="1">
      <alignment horizontal="center" vertical="center" wrapText="1"/>
    </xf>
    <xf numFmtId="0" fontId="126" fillId="29" borderId="54" xfId="91" applyFill="1" applyBorder="1" applyAlignment="1">
      <alignment horizontal="center" vertical="center" wrapText="1"/>
    </xf>
    <xf numFmtId="0" fontId="131" fillId="29" borderId="55" xfId="91" applyFont="1" applyFill="1" applyBorder="1" applyAlignment="1">
      <alignment horizontal="center" vertical="center" wrapText="1"/>
    </xf>
    <xf numFmtId="0" fontId="131" fillId="29" borderId="21" xfId="91" applyFont="1" applyFill="1" applyBorder="1" applyAlignment="1">
      <alignment horizontal="center" vertical="center" wrapText="1"/>
    </xf>
    <xf numFmtId="0" fontId="62" fillId="5" borderId="21" xfId="91" applyFont="1" applyFill="1" applyBorder="1"/>
    <xf numFmtId="3" fontId="126" fillId="0" borderId="0" xfId="91" applyNumberFormat="1"/>
    <xf numFmtId="3" fontId="8" fillId="0" borderId="0" xfId="91" applyNumberFormat="1" applyFont="1" applyAlignment="1">
      <alignment horizontal="center" vertical="center"/>
    </xf>
    <xf numFmtId="3" fontId="8" fillId="31" borderId="54" xfId="91" applyNumberFormat="1" applyFont="1" applyFill="1" applyBorder="1" applyAlignment="1">
      <alignment horizontal="center" vertical="center"/>
    </xf>
    <xf numFmtId="3" fontId="126" fillId="31" borderId="54" xfId="91" applyNumberFormat="1" applyFill="1" applyBorder="1"/>
    <xf numFmtId="3" fontId="126" fillId="31" borderId="54" xfId="91" applyNumberFormat="1" applyFill="1" applyBorder="1" applyAlignment="1">
      <alignment horizontal="center"/>
    </xf>
    <xf numFmtId="3" fontId="131" fillId="31" borderId="55" xfId="91" applyNumberFormat="1" applyFont="1" applyFill="1" applyBorder="1"/>
    <xf numFmtId="3" fontId="131" fillId="32" borderId="21" xfId="91" applyNumberFormat="1" applyFont="1" applyFill="1" applyBorder="1"/>
    <xf numFmtId="3" fontId="8" fillId="33" borderId="54" xfId="91" applyNumberFormat="1" applyFont="1" applyFill="1" applyBorder="1" applyAlignment="1">
      <alignment horizontal="center" vertical="center"/>
    </xf>
    <xf numFmtId="3" fontId="126" fillId="33" borderId="54" xfId="91" applyNumberFormat="1" applyFill="1" applyBorder="1"/>
    <xf numFmtId="3" fontId="126" fillId="33" borderId="54" xfId="91" applyNumberFormat="1" applyFill="1" applyBorder="1" applyAlignment="1">
      <alignment horizontal="center"/>
    </xf>
    <xf numFmtId="3" fontId="126" fillId="34" borderId="54" xfId="91" applyNumberFormat="1" applyFill="1" applyBorder="1"/>
    <xf numFmtId="3" fontId="131" fillId="34" borderId="55" xfId="91" applyNumberFormat="1" applyFont="1" applyFill="1" applyBorder="1"/>
    <xf numFmtId="3" fontId="131" fillId="35" borderId="21" xfId="91" applyNumberFormat="1" applyFont="1" applyFill="1" applyBorder="1"/>
    <xf numFmtId="3" fontId="8" fillId="0" borderId="0" xfId="91" applyNumberFormat="1" applyFont="1" applyAlignment="1">
      <alignment horizontal="left" vertical="top"/>
    </xf>
    <xf numFmtId="0" fontId="8" fillId="0" borderId="0" xfId="91" applyFont="1" applyAlignment="1">
      <alignment horizontal="left" vertical="top"/>
    </xf>
    <xf numFmtId="3" fontId="8" fillId="0" borderId="0" xfId="91" applyNumberFormat="1" applyFont="1" applyAlignment="1">
      <alignment horizontal="center" vertical="top"/>
    </xf>
    <xf numFmtId="0" fontId="8" fillId="0" borderId="54" xfId="91" applyFont="1" applyBorder="1" applyAlignment="1">
      <alignment horizontal="left" vertical="top" wrapText="1"/>
    </xf>
    <xf numFmtId="3" fontId="8" fillId="30" borderId="54" xfId="91" applyNumberFormat="1" applyFont="1" applyFill="1" applyBorder="1" applyAlignment="1">
      <alignment horizontal="center" vertical="top"/>
    </xf>
    <xf numFmtId="3" fontId="8" fillId="0" borderId="54" xfId="91" applyNumberFormat="1" applyFont="1" applyBorder="1" applyAlignment="1">
      <alignment horizontal="center" vertical="center"/>
    </xf>
    <xf numFmtId="3" fontId="126" fillId="0" borderId="54" xfId="91" applyNumberFormat="1" applyBorder="1"/>
    <xf numFmtId="3" fontId="132" fillId="0" borderId="54" xfId="91" applyNumberFormat="1" applyFont="1" applyBorder="1" applyAlignment="1">
      <alignment horizontal="center"/>
    </xf>
    <xf numFmtId="3" fontId="131" fillId="0" borderId="55" xfId="91" applyNumberFormat="1" applyFont="1" applyBorder="1"/>
    <xf numFmtId="3" fontId="131" fillId="5" borderId="21" xfId="91" applyNumberFormat="1" applyFont="1" applyFill="1" applyBorder="1"/>
    <xf numFmtId="3" fontId="8" fillId="0" borderId="0" xfId="91" applyNumberFormat="1" applyFont="1" applyAlignment="1">
      <alignment horizontal="left"/>
    </xf>
    <xf numFmtId="0" fontId="8" fillId="0" borderId="54" xfId="91" applyFont="1" applyBorder="1" applyAlignment="1">
      <alignment horizontal="left" vertical="top"/>
    </xf>
    <xf numFmtId="3" fontId="8" fillId="0" borderId="0" xfId="91" applyNumberFormat="1" applyFont="1" applyAlignment="1">
      <alignment horizontal="center" vertical="top" wrapText="1"/>
    </xf>
    <xf numFmtId="3" fontId="8" fillId="30" borderId="54" xfId="91" applyNumberFormat="1" applyFont="1" applyFill="1" applyBorder="1" applyAlignment="1">
      <alignment horizontal="center" vertical="top" wrapText="1"/>
    </xf>
    <xf numFmtId="3" fontId="126" fillId="0" borderId="54" xfId="91" applyNumberFormat="1" applyBorder="1" applyAlignment="1">
      <alignment horizontal="right"/>
    </xf>
    <xf numFmtId="3" fontId="131" fillId="0" borderId="55" xfId="91" applyNumberFormat="1" applyFont="1" applyBorder="1" applyAlignment="1">
      <alignment horizontal="right"/>
    </xf>
    <xf numFmtId="3" fontId="16" fillId="0" borderId="0" xfId="91" applyNumberFormat="1" applyFont="1" applyAlignment="1">
      <alignment vertical="top"/>
    </xf>
    <xf numFmtId="0" fontId="8" fillId="0" borderId="0" xfId="91" applyFont="1" applyAlignment="1">
      <alignment vertical="center" wrapText="1"/>
    </xf>
    <xf numFmtId="3" fontId="131" fillId="5" borderId="50" xfId="91" applyNumberFormat="1" applyFont="1" applyFill="1" applyBorder="1" applyAlignment="1">
      <alignment horizontal="center"/>
    </xf>
    <xf numFmtId="3" fontId="131" fillId="5" borderId="49" xfId="91" applyNumberFormat="1" applyFont="1" applyFill="1" applyBorder="1" applyAlignment="1">
      <alignment horizontal="center"/>
    </xf>
    <xf numFmtId="3" fontId="126" fillId="0" borderId="0" xfId="91" applyNumberFormat="1" applyAlignment="1">
      <alignment vertical="center"/>
    </xf>
    <xf numFmtId="0" fontId="8" fillId="0" borderId="0" xfId="91" applyFont="1" applyAlignment="1">
      <alignment vertical="top" wrapText="1"/>
    </xf>
    <xf numFmtId="0" fontId="8" fillId="0" borderId="54" xfId="91" applyFont="1" applyBorder="1" applyAlignment="1">
      <alignment vertical="top" wrapText="1"/>
    </xf>
    <xf numFmtId="3" fontId="8" fillId="30" borderId="54" xfId="91" applyNumberFormat="1" applyFont="1" applyFill="1" applyBorder="1" applyAlignment="1">
      <alignment horizontal="center" vertical="center" wrapText="1"/>
    </xf>
    <xf numFmtId="3" fontId="8" fillId="0" borderId="54" xfId="91" applyNumberFormat="1" applyFont="1" applyBorder="1" applyAlignment="1">
      <alignment horizontal="center" vertical="center" wrapText="1"/>
    </xf>
    <xf numFmtId="3" fontId="126" fillId="0" borderId="54" xfId="91" applyNumberFormat="1" applyBorder="1" applyAlignment="1">
      <alignment vertical="center"/>
    </xf>
    <xf numFmtId="3" fontId="132" fillId="0" borderId="54" xfId="91" applyNumberFormat="1" applyFont="1" applyBorder="1" applyAlignment="1">
      <alignment horizontal="center" vertical="center"/>
    </xf>
    <xf numFmtId="3" fontId="131" fillId="0" borderId="55" xfId="91" applyNumberFormat="1" applyFont="1" applyBorder="1" applyAlignment="1">
      <alignment vertical="center"/>
    </xf>
    <xf numFmtId="3" fontId="131" fillId="5" borderId="21" xfId="91" applyNumberFormat="1" applyFont="1" applyFill="1" applyBorder="1" applyAlignment="1">
      <alignment vertical="center"/>
    </xf>
    <xf numFmtId="3" fontId="126" fillId="0" borderId="54" xfId="91" applyNumberFormat="1" applyBorder="1" applyAlignment="1">
      <alignment horizontal="right" vertical="center"/>
    </xf>
    <xf numFmtId="3" fontId="131" fillId="0" borderId="55" xfId="91" applyNumberFormat="1" applyFont="1" applyBorder="1" applyAlignment="1">
      <alignment horizontal="right" vertical="center"/>
    </xf>
    <xf numFmtId="0" fontId="8" fillId="0" borderId="0" xfId="91" applyFont="1" applyAlignment="1">
      <alignment vertical="top"/>
    </xf>
    <xf numFmtId="0" fontId="8" fillId="0" borderId="54" xfId="91" applyFont="1" applyBorder="1" applyAlignment="1">
      <alignment vertical="top"/>
    </xf>
    <xf numFmtId="3" fontId="126" fillId="0" borderId="54" xfId="91" applyNumberFormat="1" applyBorder="1" applyAlignment="1">
      <alignment horizontal="center"/>
    </xf>
    <xf numFmtId="3" fontId="126" fillId="0" borderId="57" xfId="91" applyNumberFormat="1" applyBorder="1" applyAlignment="1">
      <alignment horizontal="center" vertical="center"/>
    </xf>
    <xf numFmtId="3" fontId="8" fillId="31" borderId="54" xfId="91" applyNumberFormat="1" applyFont="1" applyFill="1" applyBorder="1" applyAlignment="1">
      <alignment horizontal="center" vertical="center" wrapText="1"/>
    </xf>
    <xf numFmtId="3" fontId="8" fillId="34" borderId="54" xfId="91" applyNumberFormat="1" applyFont="1" applyFill="1" applyBorder="1" applyAlignment="1">
      <alignment horizontal="center" vertical="center" wrapText="1"/>
    </xf>
    <xf numFmtId="3" fontId="126" fillId="34" borderId="54" xfId="91" applyNumberFormat="1" applyFill="1" applyBorder="1" applyAlignment="1">
      <alignment horizontal="center"/>
    </xf>
    <xf numFmtId="3" fontId="131" fillId="34" borderId="55" xfId="91" applyNumberFormat="1" applyFont="1" applyFill="1" applyBorder="1" applyAlignment="1">
      <alignment horizontal="right" vertical="center"/>
    </xf>
    <xf numFmtId="3" fontId="131" fillId="35" borderId="21" xfId="91" applyNumberFormat="1" applyFont="1" applyFill="1" applyBorder="1" applyAlignment="1">
      <alignment horizontal="right" vertical="center"/>
    </xf>
    <xf numFmtId="3" fontId="126" fillId="0" borderId="54" xfId="91" applyNumberFormat="1" applyBorder="1" applyAlignment="1">
      <alignment horizontal="center" vertical="center"/>
    </xf>
    <xf numFmtId="3" fontId="131" fillId="5" borderId="21" xfId="91" applyNumberFormat="1" applyFont="1" applyFill="1" applyBorder="1" applyAlignment="1">
      <alignment horizontal="right" vertical="center"/>
    </xf>
    <xf numFmtId="3" fontId="8" fillId="33" borderId="54" xfId="91" applyNumberFormat="1" applyFont="1" applyFill="1" applyBorder="1" applyAlignment="1">
      <alignment horizontal="center" vertical="center" wrapText="1"/>
    </xf>
    <xf numFmtId="3" fontId="126" fillId="0" borderId="0" xfId="91" applyNumberFormat="1" applyAlignment="1">
      <alignment horizontal="right" vertical="center"/>
    </xf>
    <xf numFmtId="0" fontId="62" fillId="0" borderId="21" xfId="91" applyFont="1" applyBorder="1"/>
    <xf numFmtId="3" fontId="133" fillId="0" borderId="0" xfId="91" applyNumberFormat="1" applyFont="1" applyAlignment="1">
      <alignment horizontal="center" vertical="center"/>
    </xf>
    <xf numFmtId="3" fontId="133" fillId="30" borderId="54" xfId="91" applyNumberFormat="1" applyFont="1" applyFill="1" applyBorder="1" applyAlignment="1">
      <alignment horizontal="center" vertical="center"/>
    </xf>
    <xf numFmtId="3" fontId="131" fillId="0" borderId="21" xfId="91" applyNumberFormat="1" applyFont="1" applyBorder="1" applyAlignment="1">
      <alignment vertical="center"/>
    </xf>
    <xf numFmtId="3" fontId="8" fillId="30" borderId="54" xfId="91" applyNumberFormat="1" applyFont="1" applyFill="1" applyBorder="1" applyAlignment="1">
      <alignment horizontal="center" vertical="center"/>
    </xf>
    <xf numFmtId="0" fontId="16" fillId="0" borderId="0" xfId="91" applyFont="1" applyAlignment="1">
      <alignment horizontal="left"/>
    </xf>
    <xf numFmtId="3" fontId="126" fillId="0" borderId="0" xfId="91" applyNumberFormat="1" applyAlignment="1">
      <alignment horizontal="right"/>
    </xf>
    <xf numFmtId="0" fontId="16" fillId="0" borderId="0" xfId="91" applyFont="1"/>
    <xf numFmtId="0" fontId="126" fillId="0" borderId="0" xfId="91" applyAlignment="1">
      <alignment horizontal="center"/>
    </xf>
    <xf numFmtId="0" fontId="126" fillId="0" borderId="54" xfId="91" applyBorder="1" applyAlignment="1">
      <alignment horizontal="center"/>
    </xf>
    <xf numFmtId="3" fontId="126" fillId="0" borderId="0" xfId="91" applyNumberFormat="1" applyAlignment="1">
      <alignment horizontal="center" vertical="center"/>
    </xf>
    <xf numFmtId="3" fontId="131" fillId="0" borderId="0" xfId="91" applyNumberFormat="1" applyFont="1"/>
    <xf numFmtId="3" fontId="131" fillId="0" borderId="21" xfId="91" applyNumberFormat="1" applyFont="1" applyBorder="1"/>
    <xf numFmtId="0" fontId="16" fillId="0" borderId="54" xfId="91" applyFont="1" applyBorder="1" applyAlignment="1">
      <alignment vertical="top" wrapText="1"/>
    </xf>
    <xf numFmtId="3" fontId="16" fillId="0" borderId="54" xfId="91" applyNumberFormat="1" applyFont="1" applyBorder="1" applyAlignment="1">
      <alignment horizontal="center" vertical="center" wrapText="1"/>
    </xf>
    <xf numFmtId="0" fontId="135" fillId="0" borderId="0" xfId="91" applyFont="1" applyAlignment="1">
      <alignment vertical="top"/>
    </xf>
    <xf numFmtId="3" fontId="16" fillId="0" borderId="0" xfId="91" applyNumberFormat="1" applyFont="1" applyAlignment="1">
      <alignment horizontal="center" vertical="center" wrapText="1"/>
    </xf>
    <xf numFmtId="3" fontId="129" fillId="14" borderId="0" xfId="91" applyNumberFormat="1" applyFont="1" applyFill="1"/>
    <xf numFmtId="3" fontId="136" fillId="27" borderId="0" xfId="91" applyNumberFormat="1" applyFont="1" applyFill="1"/>
    <xf numFmtId="0" fontId="138" fillId="3" borderId="21" xfId="91" applyFont="1" applyFill="1" applyBorder="1"/>
    <xf numFmtId="3" fontId="139" fillId="37" borderId="21" xfId="91" applyNumberFormat="1" applyFont="1" applyFill="1" applyBorder="1"/>
    <xf numFmtId="3" fontId="126" fillId="38" borderId="0" xfId="91" applyNumberFormat="1" applyFill="1"/>
    <xf numFmtId="0" fontId="140" fillId="0" borderId="0" xfId="91" applyFont="1" applyAlignment="1">
      <alignment horizontal="left" vertical="top"/>
    </xf>
    <xf numFmtId="0" fontId="141" fillId="0" borderId="0" xfId="91" applyFont="1"/>
    <xf numFmtId="3" fontId="140" fillId="0" borderId="0" xfId="91" applyNumberFormat="1" applyFont="1" applyAlignment="1">
      <alignment horizontal="center" vertical="center" wrapText="1"/>
    </xf>
    <xf numFmtId="3" fontId="142" fillId="0" borderId="0" xfId="91" applyNumberFormat="1" applyFont="1"/>
    <xf numFmtId="0" fontId="142" fillId="0" borderId="0" xfId="91" applyFont="1"/>
    <xf numFmtId="0" fontId="131" fillId="3" borderId="21" xfId="91" applyFont="1" applyFill="1" applyBorder="1"/>
    <xf numFmtId="3" fontId="139" fillId="3" borderId="21" xfId="91" applyNumberFormat="1" applyFont="1" applyFill="1" applyBorder="1"/>
    <xf numFmtId="3" fontId="129" fillId="5" borderId="0" xfId="91" applyNumberFormat="1" applyFont="1" applyFill="1"/>
    <xf numFmtId="3" fontId="16" fillId="29" borderId="49" xfId="91" applyNumberFormat="1" applyFont="1" applyFill="1" applyBorder="1" applyAlignment="1">
      <alignment horizontal="center" vertical="center" wrapText="1"/>
    </xf>
    <xf numFmtId="3" fontId="8" fillId="34" borderId="54" xfId="91" applyNumberFormat="1" applyFont="1" applyFill="1" applyBorder="1" applyAlignment="1">
      <alignment horizontal="center" vertical="center"/>
    </xf>
    <xf numFmtId="3" fontId="131" fillId="5" borderId="21" xfId="91" applyNumberFormat="1" applyFont="1" applyFill="1" applyBorder="1" applyAlignment="1">
      <alignment horizontal="right"/>
    </xf>
    <xf numFmtId="0" fontId="126" fillId="30" borderId="54" xfId="91" applyFill="1" applyBorder="1" applyAlignment="1">
      <alignment horizontal="center"/>
    </xf>
    <xf numFmtId="0" fontId="126" fillId="0" borderId="54" xfId="91" applyBorder="1"/>
    <xf numFmtId="3" fontId="131" fillId="0" borderId="54" xfId="91" applyNumberFormat="1" applyFont="1" applyBorder="1"/>
    <xf numFmtId="3" fontId="143" fillId="14" borderId="0" xfId="91" applyNumberFormat="1" applyFont="1" applyFill="1"/>
    <xf numFmtId="3" fontId="139" fillId="39" borderId="21" xfId="91" applyNumberFormat="1" applyFont="1" applyFill="1" applyBorder="1"/>
    <xf numFmtId="0" fontId="16" fillId="0" borderId="0" xfId="91" applyFont="1" applyAlignment="1">
      <alignment horizontal="left" vertical="top"/>
    </xf>
    <xf numFmtId="3" fontId="139" fillId="5" borderId="0" xfId="91" applyNumberFormat="1" applyFont="1" applyFill="1"/>
    <xf numFmtId="3" fontId="126" fillId="0" borderId="0" xfId="91" applyNumberFormat="1" applyAlignment="1">
      <alignment horizontal="center"/>
    </xf>
    <xf numFmtId="0" fontId="16" fillId="0" borderId="57" xfId="91" applyFont="1" applyBorder="1" applyAlignment="1">
      <alignment vertical="top" wrapText="1"/>
    </xf>
    <xf numFmtId="3" fontId="16" fillId="0" borderId="57" xfId="91" applyNumberFormat="1" applyFont="1" applyBorder="1" applyAlignment="1">
      <alignment horizontal="center" vertical="center" wrapText="1"/>
    </xf>
    <xf numFmtId="0" fontId="135" fillId="0" borderId="60" xfId="91" applyFont="1" applyBorder="1" applyAlignment="1">
      <alignment vertical="top"/>
    </xf>
    <xf numFmtId="3" fontId="16" fillId="0" borderId="62" xfId="91" applyNumberFormat="1" applyFont="1" applyBorder="1" applyAlignment="1">
      <alignment horizontal="center" vertical="center" wrapText="1"/>
    </xf>
    <xf numFmtId="3" fontId="143" fillId="14" borderId="50" xfId="91" applyNumberFormat="1" applyFont="1" applyFill="1" applyBorder="1"/>
    <xf numFmtId="3" fontId="129" fillId="37" borderId="21" xfId="91" applyNumberFormat="1" applyFont="1" applyFill="1" applyBorder="1"/>
    <xf numFmtId="3" fontId="126" fillId="40" borderId="0" xfId="91" applyNumberFormat="1" applyFill="1"/>
    <xf numFmtId="3" fontId="129" fillId="3" borderId="21" xfId="91" applyNumberFormat="1" applyFont="1" applyFill="1" applyBorder="1"/>
    <xf numFmtId="3" fontId="137" fillId="14" borderId="0" xfId="91" applyNumberFormat="1" applyFont="1" applyFill="1"/>
    <xf numFmtId="0" fontId="126" fillId="5" borderId="0" xfId="91" applyFill="1"/>
    <xf numFmtId="0" fontId="131" fillId="5" borderId="0" xfId="91" applyFont="1" applyFill="1"/>
    <xf numFmtId="0" fontId="136" fillId="0" borderId="0" xfId="91" applyFont="1"/>
    <xf numFmtId="3" fontId="16" fillId="29" borderId="54" xfId="91" applyNumberFormat="1" applyFont="1" applyFill="1" applyBorder="1" applyAlignment="1">
      <alignment horizontal="center" vertical="center" wrapText="1"/>
    </xf>
    <xf numFmtId="3" fontId="16" fillId="29" borderId="0" xfId="91" applyNumberFormat="1" applyFont="1" applyFill="1" applyAlignment="1">
      <alignment horizontal="center" vertical="center" wrapText="1"/>
    </xf>
    <xf numFmtId="0" fontId="131" fillId="29" borderId="54" xfId="91" applyFont="1" applyFill="1" applyBorder="1" applyAlignment="1">
      <alignment horizontal="center" vertical="center" wrapText="1"/>
    </xf>
    <xf numFmtId="0" fontId="131" fillId="29" borderId="0" xfId="91" applyFont="1" applyFill="1" applyAlignment="1">
      <alignment horizontal="center" vertical="center" wrapText="1"/>
    </xf>
    <xf numFmtId="0" fontId="126" fillId="0" borderId="55" xfId="91" applyBorder="1"/>
    <xf numFmtId="0" fontId="126" fillId="0" borderId="21" xfId="91" applyBorder="1"/>
    <xf numFmtId="0" fontId="62" fillId="3" borderId="64" xfId="91" applyFont="1" applyFill="1" applyBorder="1"/>
    <xf numFmtId="3" fontId="139" fillId="36" borderId="54" xfId="91" applyNumberFormat="1" applyFont="1" applyFill="1" applyBorder="1"/>
    <xf numFmtId="0" fontId="126" fillId="0" borderId="61" xfId="91" applyBorder="1"/>
    <xf numFmtId="0" fontId="126" fillId="0" borderId="65" xfId="91" applyBorder="1"/>
    <xf numFmtId="0" fontId="62" fillId="3" borderId="21" xfId="91" applyFont="1" applyFill="1" applyBorder="1"/>
    <xf numFmtId="3" fontId="129" fillId="37" borderId="64" xfId="91" applyNumberFormat="1" applyFont="1" applyFill="1" applyBorder="1"/>
    <xf numFmtId="0" fontId="136" fillId="0" borderId="0" xfId="91" applyFont="1" applyAlignment="1">
      <alignment horizontal="right"/>
    </xf>
    <xf numFmtId="3" fontId="136" fillId="0" borderId="0" xfId="91" applyNumberFormat="1" applyFont="1"/>
    <xf numFmtId="0" fontId="62" fillId="3" borderId="66" xfId="91" applyFont="1" applyFill="1" applyBorder="1"/>
    <xf numFmtId="3" fontId="139" fillId="41" borderId="57" xfId="91" applyNumberFormat="1" applyFont="1" applyFill="1" applyBorder="1"/>
    <xf numFmtId="3" fontId="144" fillId="0" borderId="0" xfId="91" applyNumberFormat="1" applyFont="1"/>
    <xf numFmtId="0" fontId="126" fillId="3" borderId="21" xfId="91" applyFill="1" applyBorder="1"/>
    <xf numFmtId="3" fontId="134" fillId="42" borderId="54" xfId="91" applyNumberFormat="1" applyFont="1" applyFill="1" applyBorder="1" applyAlignment="1">
      <alignment horizontal="center" vertical="center" wrapText="1"/>
    </xf>
    <xf numFmtId="0" fontId="126" fillId="0" borderId="21" xfId="91" applyFont="1" applyBorder="1"/>
    <xf numFmtId="0" fontId="126" fillId="0" borderId="21" xfId="91" applyFont="1" applyBorder="1" applyAlignment="1">
      <alignment vertical="top" wrapText="1"/>
    </xf>
    <xf numFmtId="0" fontId="126" fillId="0" borderId="21" xfId="91" applyFont="1" applyBorder="1" applyAlignment="1">
      <alignment horizontal="center" vertical="center"/>
    </xf>
    <xf numFmtId="3" fontId="126" fillId="0" borderId="21" xfId="91" applyNumberFormat="1" applyFont="1" applyBorder="1" applyAlignment="1">
      <alignment horizontal="center" vertical="center" wrapText="1"/>
    </xf>
    <xf numFmtId="3" fontId="131" fillId="0" borderId="21" xfId="91" applyNumberFormat="1" applyFont="1" applyBorder="1" applyAlignment="1">
      <alignment horizontal="right"/>
    </xf>
    <xf numFmtId="0" fontId="126" fillId="0" borderId="21" xfId="91" applyFont="1" applyBorder="1" applyAlignment="1">
      <alignment horizontal="center"/>
    </xf>
    <xf numFmtId="3" fontId="126" fillId="0" borderId="21" xfId="91" applyNumberFormat="1" applyFont="1" applyBorder="1" applyAlignment="1">
      <alignment horizontal="center"/>
    </xf>
    <xf numFmtId="0" fontId="136" fillId="3" borderId="21" xfId="91" applyFont="1" applyFill="1" applyBorder="1" applyAlignment="1">
      <alignment horizontal="right"/>
    </xf>
    <xf numFmtId="0" fontId="131" fillId="3" borderId="21" xfId="91" applyFont="1" applyFill="1" applyBorder="1" applyAlignment="1">
      <alignment vertical="top" wrapText="1"/>
    </xf>
    <xf numFmtId="0" fontId="131" fillId="3" borderId="21" xfId="91" applyFont="1" applyFill="1" applyBorder="1" applyAlignment="1">
      <alignment horizontal="center"/>
    </xf>
    <xf numFmtId="3" fontId="131" fillId="3" borderId="21" xfId="91" applyNumberFormat="1" applyFont="1" applyFill="1" applyBorder="1" applyAlignment="1">
      <alignment horizontal="center"/>
    </xf>
    <xf numFmtId="3" fontId="131" fillId="3" borderId="21" xfId="91" applyNumberFormat="1" applyFont="1" applyFill="1" applyBorder="1" applyAlignment="1">
      <alignment horizontal="right"/>
    </xf>
    <xf numFmtId="3" fontId="131" fillId="3" borderId="21" xfId="91" applyNumberFormat="1" applyFont="1" applyFill="1" applyBorder="1"/>
    <xf numFmtId="0" fontId="106" fillId="19" borderId="0" xfId="0" applyFont="1" applyFill="1"/>
    <xf numFmtId="0" fontId="26" fillId="43" borderId="21" xfId="0" applyFont="1" applyFill="1" applyBorder="1" applyAlignment="1">
      <alignment horizontal="center" wrapText="1"/>
    </xf>
    <xf numFmtId="0" fontId="26" fillId="27" borderId="21" xfId="0" applyFont="1" applyFill="1" applyBorder="1" applyAlignment="1">
      <alignment horizontal="center" wrapText="1"/>
    </xf>
    <xf numFmtId="0" fontId="126" fillId="0" borderId="21" xfId="91" applyFont="1" applyFill="1" applyBorder="1" applyAlignment="1">
      <alignment vertical="top" wrapText="1"/>
    </xf>
    <xf numFmtId="3" fontId="139" fillId="12" borderId="21" xfId="91" applyNumberFormat="1" applyFont="1" applyFill="1" applyBorder="1"/>
    <xf numFmtId="3" fontId="145" fillId="2" borderId="0" xfId="91" applyNumberFormat="1" applyFont="1" applyFill="1"/>
    <xf numFmtId="3" fontId="134" fillId="44" borderId="54" xfId="91" applyNumberFormat="1" applyFont="1" applyFill="1" applyBorder="1" applyAlignment="1">
      <alignment horizontal="center" vertical="center" wrapText="1"/>
    </xf>
    <xf numFmtId="3" fontId="126" fillId="14" borderId="0" xfId="91" applyNumberFormat="1" applyFill="1"/>
    <xf numFmtId="0" fontId="59" fillId="0" borderId="0" xfId="52" applyFont="1" applyAlignment="1">
      <alignment horizontal="center" vertical="center"/>
    </xf>
    <xf numFmtId="0" fontId="59" fillId="0" borderId="0" xfId="52" applyFont="1"/>
    <xf numFmtId="0" fontId="59" fillId="0" borderId="0" xfId="52" applyFont="1" applyAlignment="1">
      <alignment horizontal="center"/>
    </xf>
    <xf numFmtId="0" fontId="146" fillId="0" borderId="0" xfId="52" applyFont="1"/>
    <xf numFmtId="0" fontId="104" fillId="19" borderId="0" xfId="52" applyFont="1" applyFill="1" applyAlignment="1">
      <alignment horizontal="center"/>
    </xf>
    <xf numFmtId="0" fontId="59" fillId="0" borderId="0" xfId="52" applyFont="1" applyFill="1" applyAlignment="1">
      <alignment horizontal="center" vertical="center"/>
    </xf>
    <xf numFmtId="0" fontId="146" fillId="0" borderId="0" xfId="52" applyFont="1" applyFill="1"/>
    <xf numFmtId="0" fontId="59" fillId="0" borderId="0" xfId="52" applyFont="1" applyFill="1"/>
    <xf numFmtId="0" fontId="59" fillId="0" borderId="0" xfId="52" applyFont="1" applyFill="1" applyAlignment="1">
      <alignment horizontal="center"/>
    </xf>
    <xf numFmtId="0" fontId="104" fillId="0" borderId="0" xfId="52" applyFont="1" applyFill="1" applyAlignment="1">
      <alignment horizontal="center"/>
    </xf>
    <xf numFmtId="0" fontId="2" fillId="2" borderId="40" xfId="52" applyFont="1" applyFill="1" applyBorder="1" applyAlignment="1">
      <alignment horizontal="center" vertical="center" wrapText="1"/>
    </xf>
    <xf numFmtId="0" fontId="12" fillId="0" borderId="3" xfId="52" applyFont="1" applyBorder="1" applyAlignment="1">
      <alignment horizontal="left" vertical="center"/>
    </xf>
    <xf numFmtId="177" fontId="31" fillId="0" borderId="8" xfId="4" applyNumberFormat="1" applyFont="1" applyFill="1" applyBorder="1" applyAlignment="1">
      <alignment horizontal="center" vertical="center"/>
    </xf>
    <xf numFmtId="3" fontId="12" fillId="0" borderId="1" xfId="52" applyNumberFormat="1" applyFont="1" applyBorder="1" applyAlignment="1">
      <alignment horizontal="center" vertical="center" wrapText="1"/>
    </xf>
    <xf numFmtId="0" fontId="86" fillId="0" borderId="0" xfId="52" applyFont="1"/>
    <xf numFmtId="0" fontId="12" fillId="0" borderId="3" xfId="52" applyFont="1" applyFill="1" applyBorder="1" applyAlignment="1">
      <alignment horizontal="left" vertical="center"/>
    </xf>
    <xf numFmtId="3" fontId="12" fillId="0" borderId="3" xfId="52" applyNumberFormat="1" applyFont="1" applyFill="1" applyBorder="1" applyAlignment="1">
      <alignment horizontal="left" vertical="center"/>
    </xf>
    <xf numFmtId="3" fontId="30" fillId="0" borderId="3" xfId="52" applyNumberFormat="1" applyFont="1" applyFill="1" applyBorder="1" applyAlignment="1">
      <alignment horizontal="left" vertical="center"/>
    </xf>
    <xf numFmtId="177" fontId="30" fillId="0" borderId="8" xfId="4" applyNumberFormat="1" applyFont="1" applyFill="1" applyBorder="1" applyAlignment="1">
      <alignment horizontal="center" vertical="center"/>
    </xf>
    <xf numFmtId="0" fontId="147" fillId="0" borderId="0" xfId="52" applyFont="1"/>
    <xf numFmtId="3" fontId="12" fillId="0" borderId="1" xfId="52" applyNumberFormat="1" applyFont="1" applyFill="1" applyBorder="1" applyAlignment="1">
      <alignment horizontal="center" vertical="center" wrapText="1"/>
    </xf>
    <xf numFmtId="0" fontId="24" fillId="0" borderId="1" xfId="52" applyFont="1" applyBorder="1" applyAlignment="1">
      <alignment horizontal="center" vertical="center"/>
    </xf>
    <xf numFmtId="0" fontId="8" fillId="0" borderId="0" xfId="6" applyFont="1" applyAlignment="1">
      <alignment horizontal="center" vertical="center" wrapText="1"/>
    </xf>
    <xf numFmtId="3" fontId="69" fillId="0" borderId="2" xfId="2" applyNumberFormat="1" applyFont="1" applyFill="1" applyBorder="1" applyAlignment="1">
      <alignment horizontal="center" vertical="center" wrapText="1"/>
    </xf>
    <xf numFmtId="3" fontId="70" fillId="0" borderId="2" xfId="2" applyNumberFormat="1" applyFont="1" applyFill="1" applyBorder="1" applyAlignment="1">
      <alignment vertical="center" wrapText="1"/>
    </xf>
    <xf numFmtId="3" fontId="31" fillId="0" borderId="9" xfId="2" applyNumberFormat="1" applyFont="1" applyFill="1" applyBorder="1" applyAlignment="1">
      <alignment horizontal="center"/>
    </xf>
    <xf numFmtId="1" fontId="30" fillId="0" borderId="2" xfId="4" applyNumberFormat="1" applyFont="1" applyFill="1" applyBorder="1" applyAlignment="1">
      <alignment horizontal="center" vertical="center"/>
    </xf>
    <xf numFmtId="168" fontId="31" fillId="0" borderId="2" xfId="3" applyNumberFormat="1" applyFont="1" applyFill="1" applyBorder="1" applyAlignment="1">
      <alignment horizontal="center"/>
    </xf>
    <xf numFmtId="3" fontId="8" fillId="0" borderId="0" xfId="6" applyNumberFormat="1" applyFont="1" applyFill="1" applyAlignment="1">
      <alignment horizontal="center"/>
    </xf>
    <xf numFmtId="0" fontId="69" fillId="0" borderId="2" xfId="2" applyFont="1" applyFill="1" applyBorder="1" applyAlignment="1">
      <alignment vertical="center"/>
    </xf>
    <xf numFmtId="177" fontId="12" fillId="0" borderId="2" xfId="2" applyNumberFormat="1" applyFont="1" applyFill="1" applyBorder="1" applyAlignment="1">
      <alignment horizontal="left" vertical="center"/>
    </xf>
    <xf numFmtId="4" fontId="12" fillId="0" borderId="1" xfId="52" applyNumberFormat="1" applyFont="1" applyFill="1" applyBorder="1" applyAlignment="1">
      <alignment horizontal="center"/>
    </xf>
    <xf numFmtId="3" fontId="31" fillId="0" borderId="2" xfId="2" applyNumberFormat="1" applyFont="1" applyFill="1" applyBorder="1" applyAlignment="1">
      <alignment horizontal="center" vertical="center" wrapText="1"/>
    </xf>
    <xf numFmtId="3" fontId="69" fillId="0" borderId="2" xfId="2" applyNumberFormat="1" applyFont="1" applyFill="1" applyBorder="1" applyAlignment="1">
      <alignment vertical="center" wrapText="1"/>
    </xf>
    <xf numFmtId="3" fontId="68" fillId="0" borderId="0" xfId="52" applyNumberFormat="1" applyFont="1" applyFill="1"/>
    <xf numFmtId="168" fontId="12" fillId="0" borderId="1" xfId="52" applyNumberFormat="1" applyFont="1" applyBorder="1" applyAlignment="1">
      <alignment horizontal="center" vertical="center"/>
    </xf>
    <xf numFmtId="14" fontId="31" fillId="0" borderId="2" xfId="52" applyNumberFormat="1" applyFont="1" applyFill="1" applyBorder="1" applyAlignment="1">
      <alignment horizontal="center" vertical="center" wrapText="1"/>
    </xf>
    <xf numFmtId="3" fontId="12" fillId="0" borderId="1" xfId="83" applyNumberFormat="1" applyFont="1" applyFill="1" applyBorder="1" applyAlignment="1">
      <alignment horizontal="center"/>
    </xf>
    <xf numFmtId="0" fontId="92" fillId="0" borderId="0" xfId="64" applyFont="1" applyFill="1"/>
    <xf numFmtId="3" fontId="69" fillId="0" borderId="1" xfId="64" applyNumberFormat="1" applyFont="1" applyFill="1" applyBorder="1" applyAlignment="1">
      <alignment horizontal="left" wrapText="1"/>
    </xf>
    <xf numFmtId="0" fontId="67" fillId="0" borderId="0" xfId="52" applyFont="1" applyBorder="1" applyAlignment="1">
      <alignment horizontal="left" vertical="center"/>
    </xf>
    <xf numFmtId="1" fontId="12" fillId="0" borderId="0" xfId="67" applyNumberFormat="1" applyFont="1" applyBorder="1" applyAlignment="1">
      <alignment horizontal="center"/>
    </xf>
    <xf numFmtId="3" fontId="12" fillId="0" borderId="0" xfId="67" applyNumberFormat="1" applyFont="1" applyBorder="1" applyAlignment="1">
      <alignment horizontal="center"/>
    </xf>
    <xf numFmtId="3" fontId="90" fillId="0" borderId="1" xfId="52" applyNumberFormat="1" applyFont="1" applyFill="1" applyBorder="1" applyAlignment="1">
      <alignment horizontal="left" vertical="center"/>
    </xf>
    <xf numFmtId="1" fontId="12" fillId="0" borderId="2" xfId="67" applyNumberFormat="1" applyFont="1" applyFill="1" applyBorder="1" applyAlignment="1">
      <alignment horizontal="center"/>
    </xf>
    <xf numFmtId="172" fontId="12" fillId="0" borderId="2" xfId="67" applyNumberFormat="1" applyFont="1" applyFill="1" applyBorder="1" applyAlignment="1">
      <alignment horizontal="center"/>
    </xf>
    <xf numFmtId="0" fontId="90" fillId="0" borderId="0" xfId="52" applyFont="1" applyBorder="1" applyAlignment="1">
      <alignment horizontal="left" vertical="center"/>
    </xf>
    <xf numFmtId="0" fontId="126" fillId="0" borderId="0" xfId="91"/>
    <xf numFmtId="3" fontId="8" fillId="0" borderId="0" xfId="91" applyNumberFormat="1" applyFont="1" applyAlignment="1">
      <alignment horizontal="center" vertical="center" wrapText="1"/>
    </xf>
    <xf numFmtId="0" fontId="67" fillId="0" borderId="2" xfId="9" applyFont="1" applyFill="1" applyBorder="1">
      <alignment horizontal="left" vertical="top" wrapText="1"/>
    </xf>
    <xf numFmtId="3" fontId="12" fillId="0" borderId="2" xfId="9" applyNumberFormat="1" applyFont="1" applyFill="1" applyBorder="1" applyAlignment="1">
      <alignment horizontal="center" vertical="center" wrapText="1"/>
    </xf>
    <xf numFmtId="3" fontId="12" fillId="4" borderId="2" xfId="9" applyNumberFormat="1" applyFont="1" applyFill="1" applyBorder="1" applyAlignment="1">
      <alignment horizontal="center" vertical="center" wrapText="1"/>
    </xf>
    <xf numFmtId="0" fontId="12" fillId="4" borderId="2" xfId="9" applyFont="1" applyFill="1" applyBorder="1" applyAlignment="1">
      <alignment horizontal="center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3" fontId="70" fillId="0" borderId="2" xfId="3" applyNumberFormat="1" applyFont="1" applyFill="1" applyBorder="1" applyAlignment="1">
      <alignment horizontal="center" vertical="center"/>
    </xf>
    <xf numFmtId="0" fontId="24" fillId="0" borderId="2" xfId="9" applyFont="1" applyFill="1" applyBorder="1" applyAlignment="1">
      <alignment horizontal="left" vertical="center"/>
    </xf>
    <xf numFmtId="3" fontId="13" fillId="0" borderId="2" xfId="67" applyNumberFormat="1" applyFont="1" applyFill="1" applyBorder="1" applyAlignment="1">
      <alignment horizontal="center"/>
    </xf>
    <xf numFmtId="3" fontId="13" fillId="0" borderId="2" xfId="67" applyNumberFormat="1" applyFont="1" applyBorder="1" applyAlignment="1">
      <alignment horizontal="center"/>
    </xf>
    <xf numFmtId="3" fontId="13" fillId="0" borderId="38" xfId="67" applyNumberFormat="1" applyFont="1" applyFill="1" applyBorder="1" applyAlignment="1">
      <alignment horizontal="center"/>
    </xf>
    <xf numFmtId="166" fontId="13" fillId="0" borderId="2" xfId="3" applyNumberFormat="1" applyFont="1" applyFill="1" applyBorder="1" applyAlignment="1">
      <alignment horizontal="center"/>
    </xf>
    <xf numFmtId="3" fontId="12" fillId="0" borderId="2" xfId="67" applyNumberFormat="1" applyFont="1" applyBorder="1" applyAlignment="1">
      <alignment horizontal="left"/>
    </xf>
    <xf numFmtId="0" fontId="148" fillId="0" borderId="0" xfId="2" applyFont="1"/>
    <xf numFmtId="0" fontId="22" fillId="10" borderId="0" xfId="67" applyFont="1" applyFill="1" applyAlignment="1">
      <alignment horizontal="left" indent="1"/>
    </xf>
    <xf numFmtId="166" fontId="13" fillId="0" borderId="2" xfId="3" applyNumberFormat="1" applyFont="1" applyFill="1" applyBorder="1" applyAlignment="1">
      <alignment horizontal="center" vertical="center"/>
    </xf>
    <xf numFmtId="3" fontId="24" fillId="10" borderId="2" xfId="67" applyNumberFormat="1" applyFont="1" applyFill="1" applyBorder="1" applyAlignment="1">
      <alignment horizontal="center"/>
    </xf>
    <xf numFmtId="9" fontId="24" fillId="10" borderId="2" xfId="3" applyFont="1" applyFill="1" applyBorder="1" applyAlignment="1">
      <alignment horizontal="center" vertical="center"/>
    </xf>
    <xf numFmtId="166" fontId="24" fillId="10" borderId="2" xfId="3" applyNumberFormat="1" applyFont="1" applyFill="1" applyBorder="1" applyAlignment="1">
      <alignment horizontal="center" vertical="center"/>
    </xf>
    <xf numFmtId="4" fontId="31" fillId="28" borderId="2" xfId="67" applyNumberFormat="1" applyFont="1" applyFill="1" applyBorder="1" applyAlignment="1">
      <alignment horizontal="center"/>
    </xf>
    <xf numFmtId="3" fontId="31" fillId="0" borderId="2" xfId="67" applyNumberFormat="1" applyFont="1" applyFill="1" applyBorder="1" applyAlignment="1">
      <alignment horizontal="center"/>
    </xf>
    <xf numFmtId="166" fontId="24" fillId="15" borderId="2" xfId="3" applyNumberFormat="1" applyFont="1" applyFill="1" applyBorder="1" applyAlignment="1">
      <alignment horizontal="center" vertical="center"/>
    </xf>
    <xf numFmtId="0" fontId="149" fillId="0" borderId="0" xfId="2" applyFont="1"/>
    <xf numFmtId="0" fontId="12" fillId="0" borderId="2" xfId="9" applyFont="1" applyFill="1" applyBorder="1" applyAlignment="1">
      <alignment horizontal="left" vertical="center" wrapText="1"/>
    </xf>
    <xf numFmtId="0" fontId="126" fillId="0" borderId="0" xfId="91"/>
    <xf numFmtId="1" fontId="11" fillId="2" borderId="1" xfId="83" applyNumberFormat="1" applyFont="1" applyFill="1" applyBorder="1" applyAlignment="1">
      <alignment horizontal="center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0" fontId="12" fillId="13" borderId="2" xfId="9" applyFont="1" applyFill="1" applyBorder="1">
      <alignment horizontal="left" vertical="top" wrapText="1"/>
    </xf>
    <xf numFmtId="0" fontId="1" fillId="0" borderId="0" xfId="67" applyFill="1"/>
    <xf numFmtId="1" fontId="11" fillId="2" borderId="2" xfId="67" applyNumberFormat="1" applyFont="1" applyFill="1" applyBorder="1" applyAlignment="1">
      <alignment horizontal="center" vertical="center" wrapText="1"/>
    </xf>
    <xf numFmtId="0" fontId="126" fillId="0" borderId="0" xfId="91" applyAlignment="1">
      <alignment horizontal="right"/>
    </xf>
    <xf numFmtId="0" fontId="150" fillId="0" borderId="0" xfId="91" applyFont="1"/>
    <xf numFmtId="3" fontId="13" fillId="0" borderId="2" xfId="3" applyNumberFormat="1" applyFont="1" applyBorder="1" applyAlignment="1">
      <alignment horizontal="center" vertical="center"/>
    </xf>
    <xf numFmtId="3" fontId="13" fillId="0" borderId="7" xfId="3" applyNumberFormat="1" applyFont="1" applyFill="1" applyBorder="1" applyAlignment="1">
      <alignment horizontal="center" vertical="center"/>
    </xf>
    <xf numFmtId="168" fontId="69" fillId="0" borderId="0" xfId="3" applyNumberFormat="1" applyFont="1" applyFill="1" applyBorder="1" applyAlignment="1">
      <alignment horizontal="center" vertical="center"/>
    </xf>
    <xf numFmtId="0" fontId="151" fillId="0" borderId="0" xfId="0" applyFont="1" applyAlignment="1">
      <alignment horizontal="left" indent="1"/>
    </xf>
    <xf numFmtId="3" fontId="119" fillId="0" borderId="0" xfId="2" applyNumberFormat="1" applyFont="1"/>
    <xf numFmtId="168" fontId="13" fillId="0" borderId="2" xfId="3" applyNumberFormat="1" applyFont="1" applyBorder="1" applyAlignment="1">
      <alignment horizontal="center" vertical="center"/>
    </xf>
    <xf numFmtId="0" fontId="109" fillId="0" borderId="0" xfId="6" applyFont="1" applyAlignment="1">
      <alignment horizontal="left" indent="1"/>
    </xf>
    <xf numFmtId="0" fontId="57" fillId="0" borderId="0" xfId="6" applyFont="1" applyAlignment="1">
      <alignment horizontal="left" indent="1"/>
    </xf>
    <xf numFmtId="3" fontId="29" fillId="0" borderId="0" xfId="6" applyNumberFormat="1" applyFont="1" applyFill="1" applyAlignment="1">
      <alignment horizontal="right"/>
    </xf>
    <xf numFmtId="0" fontId="67" fillId="4" borderId="2" xfId="9" applyFont="1" applyFill="1" applyBorder="1">
      <alignment horizontal="left" vertical="top" wrapText="1"/>
    </xf>
    <xf numFmtId="0" fontId="152" fillId="0" borderId="13" xfId="0" applyFont="1" applyBorder="1" applyAlignment="1">
      <alignment horizontal="left" vertical="center"/>
    </xf>
    <xf numFmtId="3" fontId="12" fillId="45" borderId="21" xfId="5" applyNumberFormat="1" applyFont="1" applyFill="1" applyBorder="1" applyAlignment="1">
      <alignment horizontal="right" vertical="center"/>
    </xf>
    <xf numFmtId="0" fontId="6" fillId="46" borderId="0" xfId="93" applyFont="1" applyFill="1" applyAlignment="1">
      <alignment vertical="center"/>
    </xf>
    <xf numFmtId="0" fontId="6" fillId="46" borderId="0" xfId="93" applyFont="1" applyFill="1" applyAlignment="1">
      <alignment horizontal="left" vertical="center"/>
    </xf>
    <xf numFmtId="0" fontId="6" fillId="46" borderId="0" xfId="93" applyFont="1" applyFill="1" applyAlignment="1">
      <alignment horizontal="centerContinuous" vertical="center"/>
    </xf>
    <xf numFmtId="0" fontId="14" fillId="0" borderId="0" xfId="93" applyAlignment="1">
      <alignment vertical="center"/>
    </xf>
    <xf numFmtId="0" fontId="14" fillId="0" borderId="0" xfId="93"/>
    <xf numFmtId="0" fontId="77" fillId="6" borderId="67" xfId="93" applyFont="1" applyFill="1" applyBorder="1" applyAlignment="1">
      <alignment vertical="center"/>
    </xf>
    <xf numFmtId="0" fontId="77" fillId="6" borderId="68" xfId="93" applyFont="1" applyFill="1" applyBorder="1" applyAlignment="1">
      <alignment horizontal="center" vertical="center"/>
    </xf>
    <xf numFmtId="0" fontId="85" fillId="6" borderId="69" xfId="93" applyFont="1" applyFill="1" applyBorder="1" applyAlignment="1">
      <alignment horizontal="center" vertical="center"/>
    </xf>
    <xf numFmtId="0" fontId="77" fillId="6" borderId="70" xfId="93" applyFont="1" applyFill="1" applyBorder="1" applyAlignment="1">
      <alignment horizontal="center" vertical="center"/>
    </xf>
    <xf numFmtId="0" fontId="77" fillId="6" borderId="71" xfId="93" applyFont="1" applyFill="1" applyBorder="1" applyAlignment="1">
      <alignment horizontal="center" vertical="center"/>
    </xf>
    <xf numFmtId="0" fontId="77" fillId="6" borderId="69" xfId="93" applyFont="1" applyFill="1" applyBorder="1" applyAlignment="1">
      <alignment horizontal="center" vertical="center"/>
    </xf>
    <xf numFmtId="0" fontId="77" fillId="47" borderId="72" xfId="93" applyFont="1" applyFill="1" applyBorder="1" applyAlignment="1">
      <alignment horizontal="center" vertical="center"/>
    </xf>
    <xf numFmtId="0" fontId="34" fillId="6" borderId="73" xfId="93" applyFont="1" applyFill="1" applyBorder="1" applyAlignment="1">
      <alignment vertical="center"/>
    </xf>
    <xf numFmtId="166" fontId="107" fillId="6" borderId="74" xfId="94" applyNumberFormat="1" applyFont="1" applyFill="1" applyBorder="1" applyAlignment="1">
      <alignment horizontal="center" vertical="center"/>
    </xf>
    <xf numFmtId="166" fontId="153" fillId="6" borderId="74" xfId="94" applyNumberFormat="1" applyFont="1" applyFill="1" applyBorder="1" applyAlignment="1">
      <alignment horizontal="center" vertical="center"/>
    </xf>
    <xf numFmtId="166" fontId="107" fillId="6" borderId="75" xfId="94" applyNumberFormat="1" applyFont="1" applyFill="1" applyBorder="1" applyAlignment="1">
      <alignment horizontal="center" vertical="center"/>
    </xf>
    <xf numFmtId="166" fontId="107" fillId="6" borderId="76" xfId="94" applyNumberFormat="1" applyFont="1" applyFill="1" applyBorder="1" applyAlignment="1">
      <alignment horizontal="center" vertical="center"/>
    </xf>
    <xf numFmtId="166" fontId="107" fillId="6" borderId="77" xfId="94" applyNumberFormat="1" applyFont="1" applyFill="1" applyBorder="1" applyAlignment="1">
      <alignment horizontal="center" vertical="center"/>
    </xf>
    <xf numFmtId="166" fontId="107" fillId="47" borderId="78" xfId="94" applyNumberFormat="1" applyFont="1" applyFill="1" applyBorder="1" applyAlignment="1">
      <alignment horizontal="center" vertical="center"/>
    </xf>
    <xf numFmtId="0" fontId="87" fillId="6" borderId="73" xfId="93" applyFont="1" applyFill="1" applyBorder="1" applyAlignment="1">
      <alignment vertical="center"/>
    </xf>
    <xf numFmtId="166" fontId="14" fillId="6" borderId="74" xfId="94" applyNumberFormat="1" applyFont="1" applyFill="1" applyBorder="1" applyAlignment="1">
      <alignment horizontal="center" vertical="center"/>
    </xf>
    <xf numFmtId="166" fontId="14" fillId="6" borderId="77" xfId="94" applyNumberFormat="1" applyFont="1" applyFill="1" applyBorder="1" applyAlignment="1">
      <alignment horizontal="center" vertical="center"/>
    </xf>
    <xf numFmtId="166" fontId="14" fillId="6" borderId="79" xfId="94" applyNumberFormat="1" applyFont="1" applyFill="1" applyBorder="1" applyAlignment="1">
      <alignment horizontal="center" vertical="center"/>
    </xf>
    <xf numFmtId="166" fontId="154" fillId="6" borderId="79" xfId="94" applyNumberFormat="1" applyFont="1" applyFill="1" applyBorder="1" applyAlignment="1">
      <alignment horizontal="center" vertical="center"/>
    </xf>
    <xf numFmtId="166" fontId="14" fillId="6" borderId="75" xfId="94" applyNumberFormat="1" applyFont="1" applyFill="1" applyBorder="1" applyAlignment="1">
      <alignment horizontal="center" vertical="center"/>
    </xf>
    <xf numFmtId="166" fontId="155" fillId="48" borderId="80" xfId="39" applyNumberFormat="1" applyFont="1" applyFill="1" applyBorder="1" applyAlignment="1">
      <alignment horizontal="center" vertical="center"/>
    </xf>
    <xf numFmtId="166" fontId="155" fillId="48" borderId="74" xfId="39" applyNumberFormat="1" applyFont="1" applyFill="1" applyBorder="1" applyAlignment="1">
      <alignment horizontal="center" vertical="center"/>
    </xf>
    <xf numFmtId="166" fontId="155" fillId="48" borderId="81" xfId="39" applyNumberFormat="1" applyFont="1" applyFill="1" applyBorder="1" applyAlignment="1">
      <alignment horizontal="center" vertical="center"/>
    </xf>
    <xf numFmtId="166" fontId="14" fillId="47" borderId="78" xfId="94" applyNumberFormat="1" applyFont="1" applyFill="1" applyBorder="1" applyAlignment="1">
      <alignment horizontal="center" vertical="center"/>
    </xf>
    <xf numFmtId="3" fontId="14" fillId="6" borderId="74" xfId="93" applyNumberFormat="1" applyFill="1" applyBorder="1" applyAlignment="1">
      <alignment horizontal="center" vertical="center"/>
    </xf>
    <xf numFmtId="3" fontId="155" fillId="6" borderId="75" xfId="93" applyNumberFormat="1" applyFont="1" applyFill="1" applyBorder="1" applyAlignment="1">
      <alignment horizontal="center" vertical="center"/>
    </xf>
    <xf numFmtId="3" fontId="14" fillId="49" borderId="80" xfId="93" applyNumberFormat="1" applyFill="1" applyBorder="1" applyAlignment="1">
      <alignment horizontal="center" vertical="center"/>
    </xf>
    <xf numFmtId="3" fontId="14" fillId="49" borderId="74" xfId="93" applyNumberFormat="1" applyFill="1" applyBorder="1" applyAlignment="1">
      <alignment horizontal="center" vertical="center"/>
    </xf>
    <xf numFmtId="3" fontId="14" fillId="47" borderId="78" xfId="93" applyNumberFormat="1" applyFill="1" applyBorder="1" applyAlignment="1">
      <alignment horizontal="center" vertical="center"/>
    </xf>
    <xf numFmtId="166" fontId="14" fillId="6" borderId="76" xfId="94" applyNumberFormat="1" applyFont="1" applyFill="1" applyBorder="1" applyAlignment="1">
      <alignment horizontal="center" vertical="center"/>
    </xf>
    <xf numFmtId="3" fontId="14" fillId="6" borderId="77" xfId="93" applyNumberFormat="1" applyFill="1" applyBorder="1" applyAlignment="1">
      <alignment horizontal="center" vertical="center"/>
    </xf>
    <xf numFmtId="3" fontId="154" fillId="6" borderId="77" xfId="93" applyNumberFormat="1" applyFont="1" applyFill="1" applyBorder="1" applyAlignment="1">
      <alignment horizontal="center" vertical="center"/>
    </xf>
    <xf numFmtId="3" fontId="14" fillId="6" borderId="75" xfId="93" applyNumberFormat="1" applyFill="1" applyBorder="1" applyAlignment="1">
      <alignment horizontal="center" vertical="center"/>
    </xf>
    <xf numFmtId="3" fontId="14" fillId="6" borderId="76" xfId="93" applyNumberFormat="1" applyFill="1" applyBorder="1" applyAlignment="1">
      <alignment horizontal="center" vertical="center"/>
    </xf>
    <xf numFmtId="166" fontId="14" fillId="6" borderId="80" xfId="94" applyNumberFormat="1" applyFont="1" applyFill="1" applyBorder="1" applyAlignment="1">
      <alignment horizontal="center" vertical="center"/>
    </xf>
    <xf numFmtId="185" fontId="14" fillId="6" borderId="74" xfId="94" applyNumberFormat="1" applyFont="1" applyFill="1" applyBorder="1" applyAlignment="1">
      <alignment horizontal="center" vertical="center"/>
    </xf>
    <xf numFmtId="185" fontId="14" fillId="6" borderId="75" xfId="94" applyNumberFormat="1" applyFont="1" applyFill="1" applyBorder="1" applyAlignment="1">
      <alignment horizontal="center" vertical="center"/>
    </xf>
    <xf numFmtId="185" fontId="14" fillId="6" borderId="80" xfId="94" applyNumberFormat="1" applyFont="1" applyFill="1" applyBorder="1" applyAlignment="1">
      <alignment horizontal="center" vertical="center"/>
    </xf>
    <xf numFmtId="185" fontId="14" fillId="47" borderId="78" xfId="94" applyNumberFormat="1" applyFont="1" applyFill="1" applyBorder="1" applyAlignment="1">
      <alignment horizontal="center" vertical="center"/>
    </xf>
    <xf numFmtId="166" fontId="14" fillId="6" borderId="77" xfId="93" applyNumberFormat="1" applyFill="1" applyBorder="1" applyAlignment="1">
      <alignment horizontal="center" vertical="center"/>
    </xf>
    <xf numFmtId="166" fontId="14" fillId="6" borderId="79" xfId="93" applyNumberFormat="1" applyFill="1" applyBorder="1" applyAlignment="1">
      <alignment horizontal="center" vertical="center"/>
    </xf>
    <xf numFmtId="166" fontId="154" fillId="6" borderId="79" xfId="93" applyNumberFormat="1" applyFont="1" applyFill="1" applyBorder="1" applyAlignment="1">
      <alignment horizontal="center" vertical="center"/>
    </xf>
    <xf numFmtId="166" fontId="14" fillId="6" borderId="76" xfId="93" applyNumberFormat="1" applyFill="1" applyBorder="1" applyAlignment="1">
      <alignment horizontal="center" vertical="center"/>
    </xf>
    <xf numFmtId="3" fontId="107" fillId="6" borderId="74" xfId="93" applyNumberFormat="1" applyFont="1" applyFill="1" applyBorder="1" applyAlignment="1">
      <alignment horizontal="center" vertical="center"/>
    </xf>
    <xf numFmtId="3" fontId="107" fillId="6" borderId="75" xfId="93" applyNumberFormat="1" applyFont="1" applyFill="1" applyBorder="1" applyAlignment="1">
      <alignment horizontal="center" vertical="center"/>
    </xf>
    <xf numFmtId="3" fontId="107" fillId="6" borderId="80" xfId="93" applyNumberFormat="1" applyFont="1" applyFill="1" applyBorder="1" applyAlignment="1">
      <alignment horizontal="center" vertical="center"/>
    </xf>
    <xf numFmtId="3" fontId="107" fillId="6" borderId="81" xfId="93" applyNumberFormat="1" applyFont="1" applyFill="1" applyBorder="1" applyAlignment="1">
      <alignment horizontal="center" vertical="center"/>
    </xf>
    <xf numFmtId="3" fontId="107" fillId="47" borderId="78" xfId="93" applyNumberFormat="1" applyFont="1" applyFill="1" applyBorder="1" applyAlignment="1">
      <alignment horizontal="center" vertical="center"/>
    </xf>
    <xf numFmtId="0" fontId="107" fillId="0" borderId="0" xfId="93" applyFont="1" applyAlignment="1">
      <alignment vertical="center"/>
    </xf>
    <xf numFmtId="185" fontId="14" fillId="6" borderId="77" xfId="94" applyNumberFormat="1" applyFont="1" applyFill="1" applyBorder="1" applyAlignment="1">
      <alignment horizontal="center" vertical="center"/>
    </xf>
    <xf numFmtId="185" fontId="14" fillId="6" borderId="79" xfId="94" applyNumberFormat="1" applyFont="1" applyFill="1" applyBorder="1" applyAlignment="1">
      <alignment horizontal="center" vertical="center"/>
    </xf>
    <xf numFmtId="185" fontId="154" fillId="6" borderId="74" xfId="94" applyNumberFormat="1" applyFont="1" applyFill="1" applyBorder="1" applyAlignment="1">
      <alignment horizontal="center" vertical="center"/>
    </xf>
    <xf numFmtId="166" fontId="154" fillId="6" borderId="74" xfId="94" applyNumberFormat="1" applyFont="1" applyFill="1" applyBorder="1" applyAlignment="1">
      <alignment horizontal="center" vertical="center"/>
    </xf>
    <xf numFmtId="3" fontId="107" fillId="6" borderId="77" xfId="93" applyNumberFormat="1" applyFont="1" applyFill="1" applyBorder="1" applyAlignment="1">
      <alignment horizontal="center" vertical="center"/>
    </xf>
    <xf numFmtId="3" fontId="107" fillId="6" borderId="79" xfId="93" applyNumberFormat="1" applyFont="1" applyFill="1" applyBorder="1" applyAlignment="1">
      <alignment horizontal="center" vertical="center"/>
    </xf>
    <xf numFmtId="3" fontId="153" fillId="6" borderId="74" xfId="93" applyNumberFormat="1" applyFont="1" applyFill="1" applyBorder="1" applyAlignment="1">
      <alignment horizontal="center" vertical="center"/>
    </xf>
    <xf numFmtId="186" fontId="107" fillId="0" borderId="0" xfId="93" applyNumberFormat="1" applyFont="1" applyAlignment="1">
      <alignment vertical="center"/>
    </xf>
    <xf numFmtId="186" fontId="14" fillId="0" borderId="0" xfId="93" applyNumberFormat="1" applyAlignment="1">
      <alignment vertical="center"/>
    </xf>
    <xf numFmtId="187" fontId="14" fillId="0" borderId="0" xfId="93" applyNumberFormat="1" applyAlignment="1">
      <alignment vertical="center"/>
    </xf>
    <xf numFmtId="0" fontId="156" fillId="6" borderId="73" xfId="93" applyFont="1" applyFill="1" applyBorder="1" applyAlignment="1">
      <alignment vertical="center"/>
    </xf>
    <xf numFmtId="10" fontId="157" fillId="6" borderId="74" xfId="39" applyNumberFormat="1" applyFont="1" applyFill="1" applyBorder="1" applyAlignment="1">
      <alignment horizontal="center" vertical="center"/>
    </xf>
    <xf numFmtId="166" fontId="157" fillId="6" borderId="79" xfId="39" applyNumberFormat="1" applyFont="1" applyFill="1" applyBorder="1" applyAlignment="1">
      <alignment horizontal="center" vertical="center"/>
    </xf>
    <xf numFmtId="166" fontId="157" fillId="6" borderId="75" xfId="39" applyNumberFormat="1" applyFont="1" applyFill="1" applyBorder="1" applyAlignment="1">
      <alignment horizontal="center" vertical="center"/>
    </xf>
    <xf numFmtId="166" fontId="157" fillId="47" borderId="78" xfId="94" applyNumberFormat="1" applyFont="1" applyFill="1" applyBorder="1" applyAlignment="1">
      <alignment horizontal="center" vertical="center"/>
    </xf>
    <xf numFmtId="0" fontId="154" fillId="0" borderId="0" xfId="93" applyFont="1" applyAlignment="1">
      <alignment vertical="center"/>
    </xf>
    <xf numFmtId="186" fontId="154" fillId="0" borderId="0" xfId="93" applyNumberFormat="1" applyFont="1" applyAlignment="1">
      <alignment vertical="center"/>
    </xf>
    <xf numFmtId="0" fontId="156" fillId="6" borderId="82" xfId="93" applyFont="1" applyFill="1" applyBorder="1" applyAlignment="1">
      <alignment vertical="center"/>
    </xf>
    <xf numFmtId="173" fontId="157" fillId="6" borderId="83" xfId="93" applyNumberFormat="1" applyFont="1" applyFill="1" applyBorder="1" applyAlignment="1">
      <alignment horizontal="center" vertical="center"/>
    </xf>
    <xf numFmtId="168" fontId="157" fillId="6" borderId="83" xfId="93" applyNumberFormat="1" applyFont="1" applyFill="1" applyBorder="1" applyAlignment="1">
      <alignment horizontal="center" vertical="center"/>
    </xf>
    <xf numFmtId="173" fontId="157" fillId="6" borderId="84" xfId="93" applyNumberFormat="1" applyFont="1" applyFill="1" applyBorder="1" applyAlignment="1">
      <alignment horizontal="center" vertical="center"/>
    </xf>
    <xf numFmtId="168" fontId="157" fillId="6" borderId="85" xfId="93" applyNumberFormat="1" applyFont="1" applyFill="1" applyBorder="1" applyAlignment="1">
      <alignment horizontal="center" vertical="center"/>
    </xf>
    <xf numFmtId="173" fontId="157" fillId="6" borderId="86" xfId="93" applyNumberFormat="1" applyFont="1" applyFill="1" applyBorder="1" applyAlignment="1">
      <alignment horizontal="center" vertical="center"/>
    </xf>
    <xf numFmtId="168" fontId="157" fillId="6" borderId="87" xfId="93" applyNumberFormat="1" applyFont="1" applyFill="1" applyBorder="1" applyAlignment="1">
      <alignment horizontal="center" vertical="center"/>
    </xf>
    <xf numFmtId="173" fontId="158" fillId="48" borderId="83" xfId="39" applyNumberFormat="1" applyFont="1" applyFill="1" applyBorder="1" applyAlignment="1">
      <alignment horizontal="center" vertical="center"/>
    </xf>
    <xf numFmtId="168" fontId="157" fillId="47" borderId="88" xfId="93" applyNumberFormat="1" applyFont="1" applyFill="1" applyBorder="1" applyAlignment="1">
      <alignment horizontal="center" vertical="center"/>
    </xf>
    <xf numFmtId="0" fontId="154" fillId="5" borderId="0" xfId="93" applyFont="1" applyFill="1" applyAlignment="1">
      <alignment vertical="center"/>
    </xf>
    <xf numFmtId="0" fontId="107" fillId="0" borderId="0" xfId="93" applyFont="1" applyAlignment="1">
      <alignment horizontal="center"/>
    </xf>
    <xf numFmtId="166" fontId="14" fillId="5" borderId="0" xfId="94" applyNumberFormat="1" applyFont="1" applyFill="1" applyBorder="1" applyAlignment="1">
      <alignment horizontal="center" vertical="center"/>
    </xf>
    <xf numFmtId="0" fontId="6" fillId="2" borderId="0" xfId="93" applyFont="1" applyFill="1" applyAlignment="1">
      <alignment vertical="center"/>
    </xf>
    <xf numFmtId="0" fontId="159" fillId="6" borderId="89" xfId="93" applyFont="1" applyFill="1" applyBorder="1" applyAlignment="1">
      <alignment horizontal="left" vertical="center"/>
    </xf>
    <xf numFmtId="0" fontId="159" fillId="6" borderId="91" xfId="93" applyFont="1" applyFill="1" applyBorder="1" applyAlignment="1">
      <alignment horizontal="center" vertical="center"/>
    </xf>
    <xf numFmtId="9" fontId="14" fillId="0" borderId="0" xfId="94" applyFont="1"/>
    <xf numFmtId="3" fontId="14" fillId="0" borderId="0" xfId="93" applyNumberFormat="1"/>
    <xf numFmtId="0" fontId="8" fillId="0" borderId="92" xfId="13" applyBorder="1" applyAlignment="1">
      <alignment horizontal="center" vertical="center"/>
    </xf>
    <xf numFmtId="0" fontId="8" fillId="0" borderId="93" xfId="13" applyBorder="1" applyAlignment="1">
      <alignment horizontal="center" vertical="center"/>
    </xf>
    <xf numFmtId="0" fontId="8" fillId="0" borderId="94" xfId="13" applyBorder="1" applyAlignment="1">
      <alignment horizontal="center" vertical="center"/>
    </xf>
    <xf numFmtId="0" fontId="8" fillId="0" borderId="95" xfId="13" applyBorder="1" applyAlignment="1">
      <alignment horizontal="center" vertical="center"/>
    </xf>
    <xf numFmtId="3" fontId="14" fillId="6" borderId="83" xfId="93" applyNumberFormat="1" applyFill="1" applyBorder="1" applyAlignment="1">
      <alignment horizontal="center" vertical="center"/>
    </xf>
    <xf numFmtId="0" fontId="107" fillId="0" borderId="0" xfId="93" applyFont="1"/>
    <xf numFmtId="3" fontId="107" fillId="0" borderId="0" xfId="93" applyNumberFormat="1" applyFont="1" applyAlignment="1">
      <alignment horizontal="center"/>
    </xf>
    <xf numFmtId="3" fontId="107" fillId="6" borderId="39" xfId="93" applyNumberFormat="1" applyFont="1" applyFill="1" applyBorder="1" applyAlignment="1">
      <alignment horizontal="center" vertical="center"/>
    </xf>
    <xf numFmtId="188" fontId="107" fillId="0" borderId="0" xfId="93" applyNumberFormat="1" applyFont="1" applyAlignment="1">
      <alignment horizontal="center"/>
    </xf>
    <xf numFmtId="0" fontId="8" fillId="0" borderId="96" xfId="13" applyBorder="1"/>
    <xf numFmtId="0" fontId="8" fillId="0" borderId="97" xfId="13" applyBorder="1"/>
    <xf numFmtId="1" fontId="14" fillId="0" borderId="0" xfId="94" applyNumberFormat="1" applyFont="1" applyFill="1"/>
    <xf numFmtId="0" fontId="14" fillId="3" borderId="0" xfId="93" applyFill="1"/>
    <xf numFmtId="0" fontId="107" fillId="3" borderId="0" xfId="93" applyFont="1" applyFill="1" applyAlignment="1">
      <alignment horizontal="center"/>
    </xf>
    <xf numFmtId="0" fontId="160" fillId="50" borderId="98" xfId="95" applyFont="1" applyFill="1" applyBorder="1" applyAlignment="1">
      <alignment horizontal="left" vertical="center" wrapText="1"/>
    </xf>
    <xf numFmtId="0" fontId="160" fillId="5" borderId="98" xfId="95" applyFont="1" applyFill="1" applyBorder="1" applyAlignment="1">
      <alignment horizontal="right" vertical="center" wrapText="1"/>
    </xf>
    <xf numFmtId="0" fontId="160" fillId="3" borderId="98" xfId="95" applyFont="1" applyFill="1" applyBorder="1" applyAlignment="1">
      <alignment horizontal="right" vertical="center" wrapText="1"/>
    </xf>
    <xf numFmtId="0" fontId="160" fillId="50" borderId="99" xfId="95" quotePrefix="1" applyFont="1" applyFill="1" applyBorder="1" applyAlignment="1">
      <alignment horizontal="left" vertical="center"/>
    </xf>
    <xf numFmtId="0" fontId="161" fillId="5" borderId="99" xfId="95" quotePrefix="1" applyFont="1" applyFill="1" applyBorder="1" applyAlignment="1">
      <alignment horizontal="right" vertical="center"/>
    </xf>
    <xf numFmtId="0" fontId="161" fillId="3" borderId="99" xfId="95" quotePrefix="1" applyFont="1" applyFill="1" applyBorder="1" applyAlignment="1">
      <alignment horizontal="right" vertical="center"/>
    </xf>
    <xf numFmtId="0" fontId="162" fillId="5" borderId="100" xfId="9" applyFont="1" applyFill="1" applyBorder="1" applyAlignment="1">
      <alignment horizontal="left" vertical="top"/>
    </xf>
    <xf numFmtId="3" fontId="161" fillId="5" borderId="6" xfId="95" applyNumberFormat="1" applyFont="1" applyFill="1" applyBorder="1" applyAlignment="1">
      <alignment vertical="center"/>
    </xf>
    <xf numFmtId="3" fontId="161" fillId="3" borderId="6" xfId="95" applyNumberFormat="1" applyFont="1" applyFill="1" applyBorder="1" applyAlignment="1">
      <alignment vertical="center"/>
    </xf>
    <xf numFmtId="3" fontId="161" fillId="5" borderId="100" xfId="95" applyNumberFormat="1" applyFont="1" applyFill="1" applyBorder="1" applyAlignment="1">
      <alignment vertical="center"/>
    </xf>
    <xf numFmtId="3" fontId="161" fillId="3" borderId="100" xfId="95" applyNumberFormat="1" applyFont="1" applyFill="1" applyBorder="1" applyAlignment="1">
      <alignment vertical="center"/>
    </xf>
    <xf numFmtId="3" fontId="161" fillId="51" borderId="100" xfId="95" applyNumberFormat="1" applyFont="1" applyFill="1" applyBorder="1" applyAlignment="1">
      <alignment vertical="center"/>
    </xf>
    <xf numFmtId="0" fontId="162" fillId="5" borderId="6" xfId="9" applyFont="1" applyFill="1" applyAlignment="1">
      <alignment horizontal="left" vertical="top"/>
    </xf>
    <xf numFmtId="3" fontId="161" fillId="51" borderId="6" xfId="95" applyNumberFormat="1" applyFont="1" applyFill="1" applyBorder="1" applyAlignment="1">
      <alignment vertical="center"/>
    </xf>
    <xf numFmtId="0" fontId="162" fillId="5" borderId="101" xfId="9" applyFont="1" applyFill="1" applyBorder="1" applyAlignment="1">
      <alignment horizontal="left" vertical="top"/>
    </xf>
    <xf numFmtId="3" fontId="161" fillId="16" borderId="101" xfId="95" applyNumberFormat="1" applyFont="1" applyFill="1" applyBorder="1" applyAlignment="1">
      <alignment vertical="center"/>
    </xf>
    <xf numFmtId="3" fontId="161" fillId="5" borderId="101" xfId="95" applyNumberFormat="1" applyFont="1" applyFill="1" applyBorder="1" applyAlignment="1">
      <alignment vertical="center"/>
    </xf>
    <xf numFmtId="3" fontId="161" fillId="3" borderId="101" xfId="95" applyNumberFormat="1" applyFont="1" applyFill="1" applyBorder="1" applyAlignment="1">
      <alignment vertical="center"/>
    </xf>
    <xf numFmtId="3" fontId="161" fillId="51" borderId="101" xfId="95" applyNumberFormat="1" applyFont="1" applyFill="1" applyBorder="1" applyAlignment="1">
      <alignment vertical="center"/>
    </xf>
    <xf numFmtId="0" fontId="163" fillId="5" borderId="102" xfId="9" applyFont="1" applyFill="1" applyBorder="1" applyAlignment="1">
      <alignment horizontal="left" vertical="top"/>
    </xf>
    <xf numFmtId="3" fontId="160" fillId="5" borderId="102" xfId="95" applyNumberFormat="1" applyFont="1" applyFill="1" applyBorder="1" applyAlignment="1">
      <alignment vertical="center"/>
    </xf>
    <xf numFmtId="3" fontId="160" fillId="3" borderId="102" xfId="95" applyNumberFormat="1" applyFont="1" applyFill="1" applyBorder="1" applyAlignment="1">
      <alignment vertical="center"/>
    </xf>
    <xf numFmtId="3" fontId="160" fillId="51" borderId="102" xfId="95" applyNumberFormat="1" applyFont="1" applyFill="1" applyBorder="1" applyAlignment="1">
      <alignment vertical="center"/>
    </xf>
    <xf numFmtId="3" fontId="160" fillId="12" borderId="102" xfId="95" applyNumberFormat="1" applyFont="1" applyFill="1" applyBorder="1" applyAlignment="1">
      <alignment vertical="center"/>
    </xf>
    <xf numFmtId="0" fontId="16" fillId="10" borderId="0" xfId="13" applyFont="1" applyFill="1"/>
    <xf numFmtId="3" fontId="16" fillId="10" borderId="0" xfId="13" applyNumberFormat="1" applyFont="1" applyFill="1"/>
    <xf numFmtId="0" fontId="8" fillId="0" borderId="0" xfId="13"/>
    <xf numFmtId="9" fontId="0" fillId="0" borderId="0" xfId="40" applyFont="1"/>
    <xf numFmtId="3" fontId="16" fillId="51" borderId="0" xfId="13" applyNumberFormat="1" applyFont="1" applyFill="1"/>
    <xf numFmtId="0" fontId="16" fillId="0" borderId="0" xfId="13" applyFont="1"/>
    <xf numFmtId="3" fontId="16" fillId="0" borderId="0" xfId="13" applyNumberFormat="1" applyFont="1"/>
    <xf numFmtId="0" fontId="160" fillId="3" borderId="25" xfId="95" applyFont="1" applyFill="1" applyBorder="1" applyAlignment="1">
      <alignment horizontal="right" vertical="center" wrapText="1"/>
    </xf>
    <xf numFmtId="0" fontId="161" fillId="3" borderId="20" xfId="95" quotePrefix="1" applyFont="1" applyFill="1" applyBorder="1" applyAlignment="1">
      <alignment horizontal="right" vertical="center"/>
    </xf>
    <xf numFmtId="0" fontId="164" fillId="5" borderId="27" xfId="9" applyFont="1" applyFill="1" applyBorder="1" applyAlignment="1">
      <alignment horizontal="left" vertical="top"/>
    </xf>
    <xf numFmtId="9" fontId="14" fillId="0" borderId="27" xfId="39" applyFont="1" applyFill="1" applyBorder="1" applyAlignment="1">
      <alignment horizontal="center" vertical="center"/>
    </xf>
    <xf numFmtId="9" fontId="107" fillId="0" borderId="46" xfId="39" applyFont="1" applyFill="1" applyBorder="1" applyAlignment="1">
      <alignment horizontal="center" vertical="center"/>
    </xf>
    <xf numFmtId="9" fontId="14" fillId="10" borderId="47" xfId="39" applyFont="1" applyFill="1" applyBorder="1" applyAlignment="1">
      <alignment horizontal="center" vertical="center"/>
    </xf>
    <xf numFmtId="9" fontId="107" fillId="15" borderId="48" xfId="39" applyFont="1" applyFill="1" applyBorder="1" applyAlignment="1">
      <alignment horizontal="center" vertical="center"/>
    </xf>
    <xf numFmtId="9" fontId="107" fillId="15" borderId="47" xfId="39" applyFont="1" applyFill="1" applyBorder="1" applyAlignment="1">
      <alignment horizontal="center" vertical="center"/>
    </xf>
    <xf numFmtId="9" fontId="14" fillId="0" borderId="0" xfId="39" applyFont="1" applyAlignment="1">
      <alignment horizontal="center" vertical="center"/>
    </xf>
    <xf numFmtId="9" fontId="14" fillId="0" borderId="0" xfId="39" applyFont="1" applyFill="1" applyAlignment="1">
      <alignment horizontal="center" vertical="center"/>
    </xf>
    <xf numFmtId="0" fontId="8" fillId="50" borderId="103" xfId="13" applyFill="1" applyBorder="1"/>
    <xf numFmtId="0" fontId="165" fillId="50" borderId="104" xfId="25" applyFont="1" applyFill="1" applyBorder="1" applyAlignment="1">
      <alignment horizontal="left" vertical="top" shrinkToFit="1"/>
    </xf>
    <xf numFmtId="3" fontId="14" fillId="0" borderId="27" xfId="39" applyNumberFormat="1" applyFont="1" applyFill="1" applyBorder="1" applyAlignment="1">
      <alignment horizontal="center" vertical="center"/>
    </xf>
    <xf numFmtId="3" fontId="107" fillId="0" borderId="46" xfId="39" applyNumberFormat="1" applyFont="1" applyFill="1" applyBorder="1" applyAlignment="1">
      <alignment horizontal="center" vertical="center"/>
    </xf>
    <xf numFmtId="3" fontId="107" fillId="10" borderId="47" xfId="39" applyNumberFormat="1" applyFont="1" applyFill="1" applyBorder="1" applyAlignment="1">
      <alignment horizontal="center" vertical="center"/>
    </xf>
    <xf numFmtId="3" fontId="107" fillId="10" borderId="48" xfId="39" applyNumberFormat="1" applyFont="1" applyFill="1" applyBorder="1" applyAlignment="1">
      <alignment horizontal="center" vertical="center"/>
    </xf>
    <xf numFmtId="0" fontId="77" fillId="6" borderId="105" xfId="93" applyFont="1" applyFill="1" applyBorder="1" applyAlignment="1">
      <alignment vertical="center"/>
    </xf>
    <xf numFmtId="0" fontId="77" fillId="6" borderId="106" xfId="93" applyFont="1" applyFill="1" applyBorder="1" applyAlignment="1">
      <alignment horizontal="center" vertical="center"/>
    </xf>
    <xf numFmtId="0" fontId="77" fillId="3" borderId="107" xfId="93" applyFont="1" applyFill="1" applyBorder="1" applyAlignment="1">
      <alignment horizontal="center" vertical="center"/>
    </xf>
    <xf numFmtId="166" fontId="14" fillId="0" borderId="0" xfId="93" applyNumberFormat="1"/>
    <xf numFmtId="166" fontId="14" fillId="3" borderId="108" xfId="93" applyNumberFormat="1" applyFill="1" applyBorder="1"/>
    <xf numFmtId="1" fontId="14" fillId="0" borderId="0" xfId="93" applyNumberFormat="1"/>
    <xf numFmtId="1" fontId="14" fillId="3" borderId="108" xfId="93" applyNumberFormat="1" applyFill="1" applyBorder="1"/>
    <xf numFmtId="0" fontId="159" fillId="6" borderId="90" xfId="93" applyFont="1" applyFill="1" applyBorder="1" applyAlignment="1">
      <alignment horizontal="center" vertical="center" shrinkToFit="1"/>
    </xf>
    <xf numFmtId="0" fontId="162" fillId="5" borderId="0" xfId="9" applyFont="1" applyFill="1" applyBorder="1" applyAlignment="1">
      <alignment horizontal="left" vertical="top"/>
    </xf>
    <xf numFmtId="3" fontId="161" fillId="52" borderId="6" xfId="95" applyNumberFormat="1" applyFont="1" applyFill="1" applyBorder="1" applyAlignment="1">
      <alignment vertical="center"/>
    </xf>
    <xf numFmtId="3" fontId="161" fillId="54" borderId="6" xfId="95" applyNumberFormat="1" applyFont="1" applyFill="1" applyBorder="1" applyAlignment="1">
      <alignment vertical="center"/>
    </xf>
    <xf numFmtId="3" fontId="161" fillId="55" borderId="6" xfId="95" applyNumberFormat="1" applyFont="1" applyFill="1" applyBorder="1" applyAlignment="1">
      <alignment vertical="center"/>
    </xf>
    <xf numFmtId="3" fontId="161" fillId="20" borderId="6" xfId="95" applyNumberFormat="1" applyFont="1" applyFill="1" applyBorder="1" applyAlignment="1">
      <alignment vertical="center"/>
    </xf>
    <xf numFmtId="3" fontId="161" fillId="53" borderId="6" xfId="95" applyNumberFormat="1" applyFont="1" applyFill="1" applyBorder="1" applyAlignment="1">
      <alignment vertical="center"/>
    </xf>
    <xf numFmtId="3" fontId="161" fillId="20" borderId="101" xfId="95" applyNumberFormat="1" applyFont="1" applyFill="1" applyBorder="1" applyAlignment="1">
      <alignment vertical="center"/>
    </xf>
    <xf numFmtId="3" fontId="160" fillId="20" borderId="102" xfId="95" applyNumberFormat="1" applyFont="1" applyFill="1" applyBorder="1" applyAlignment="1">
      <alignment vertical="center"/>
    </xf>
    <xf numFmtId="166" fontId="14" fillId="0" borderId="0" xfId="93" applyNumberFormat="1" applyFill="1"/>
    <xf numFmtId="0" fontId="164" fillId="16" borderId="27" xfId="9" applyFont="1" applyFill="1" applyBorder="1" applyAlignment="1">
      <alignment horizontal="left" vertical="top"/>
    </xf>
    <xf numFmtId="0" fontId="16" fillId="56" borderId="0" xfId="13" applyFont="1" applyFill="1"/>
    <xf numFmtId="3" fontId="16" fillId="56" borderId="0" xfId="13" applyNumberFormat="1" applyFont="1" applyFill="1"/>
    <xf numFmtId="3" fontId="16" fillId="20" borderId="0" xfId="13" applyNumberFormat="1" applyFont="1" applyFill="1"/>
    <xf numFmtId="3" fontId="8" fillId="56" borderId="0" xfId="13" applyNumberFormat="1" applyFont="1" applyFill="1" applyAlignment="1">
      <alignment horizontal="center"/>
    </xf>
    <xf numFmtId="9" fontId="8" fillId="56" borderId="0" xfId="5" applyFont="1" applyFill="1" applyAlignment="1">
      <alignment horizontal="center"/>
    </xf>
    <xf numFmtId="9" fontId="8" fillId="56" borderId="14" xfId="5" applyFont="1" applyFill="1" applyBorder="1" applyAlignment="1">
      <alignment horizontal="center"/>
    </xf>
    <xf numFmtId="3" fontId="8" fillId="56" borderId="0" xfId="13" applyNumberFormat="1" applyFont="1" applyFill="1"/>
    <xf numFmtId="3" fontId="8" fillId="51" borderId="0" xfId="13" applyNumberFormat="1" applyFont="1" applyFill="1"/>
    <xf numFmtId="3" fontId="16" fillId="56" borderId="14" xfId="13" applyNumberFormat="1" applyFont="1" applyFill="1" applyBorder="1" applyAlignment="1">
      <alignment horizontal="center"/>
    </xf>
    <xf numFmtId="0" fontId="159" fillId="6" borderId="110" xfId="93" applyFont="1" applyFill="1" applyBorder="1" applyAlignment="1">
      <alignment horizontal="center" vertical="center" shrinkToFit="1"/>
    </xf>
    <xf numFmtId="173" fontId="158" fillId="48" borderId="109" xfId="39" applyNumberFormat="1" applyFont="1" applyFill="1" applyBorder="1" applyAlignment="1">
      <alignment horizontal="center" vertical="center"/>
    </xf>
    <xf numFmtId="0" fontId="14" fillId="0" borderId="0" xfId="93" applyFill="1"/>
    <xf numFmtId="1" fontId="155" fillId="48" borderId="111" xfId="39" applyNumberFormat="1" applyFont="1" applyFill="1" applyBorder="1" applyAlignment="1">
      <alignment horizontal="center" vertical="center"/>
    </xf>
    <xf numFmtId="1" fontId="155" fillId="48" borderId="109" xfId="39" applyNumberFormat="1" applyFont="1" applyFill="1" applyBorder="1" applyAlignment="1">
      <alignment horizontal="center" vertical="center"/>
    </xf>
    <xf numFmtId="0" fontId="87" fillId="6" borderId="82" xfId="93" applyFont="1" applyFill="1" applyBorder="1" applyAlignment="1">
      <alignment vertical="center"/>
    </xf>
    <xf numFmtId="166" fontId="14" fillId="6" borderId="83" xfId="94" applyNumberFormat="1" applyFont="1" applyFill="1" applyBorder="1" applyAlignment="1">
      <alignment horizontal="center" vertical="center"/>
    </xf>
    <xf numFmtId="166" fontId="14" fillId="6" borderId="85" xfId="94" applyNumberFormat="1" applyFont="1" applyFill="1" applyBorder="1" applyAlignment="1">
      <alignment horizontal="center" vertical="center"/>
    </xf>
    <xf numFmtId="166" fontId="14" fillId="6" borderId="84" xfId="94" applyNumberFormat="1" applyFont="1" applyFill="1" applyBorder="1" applyAlignment="1">
      <alignment horizontal="center" vertical="center"/>
    </xf>
    <xf numFmtId="166" fontId="154" fillId="6" borderId="84" xfId="94" applyNumberFormat="1" applyFont="1" applyFill="1" applyBorder="1" applyAlignment="1">
      <alignment horizontal="center" vertical="center"/>
    </xf>
    <xf numFmtId="166" fontId="14" fillId="6" borderId="86" xfId="94" applyNumberFormat="1" applyFont="1" applyFill="1" applyBorder="1" applyAlignment="1">
      <alignment horizontal="center" vertical="center"/>
    </xf>
    <xf numFmtId="166" fontId="14" fillId="6" borderId="87" xfId="94" applyNumberFormat="1" applyFont="1" applyFill="1" applyBorder="1" applyAlignment="1">
      <alignment horizontal="center" vertical="center"/>
    </xf>
    <xf numFmtId="166" fontId="14" fillId="47" borderId="88" xfId="94" applyNumberFormat="1" applyFont="1" applyFill="1" applyBorder="1" applyAlignment="1">
      <alignment horizontal="center" vertical="center"/>
    </xf>
    <xf numFmtId="0" fontId="69" fillId="0" borderId="0" xfId="64" applyFont="1" applyBorder="1"/>
    <xf numFmtId="0" fontId="92" fillId="0" borderId="0" xfId="64" applyFont="1" applyBorder="1"/>
    <xf numFmtId="3" fontId="69" fillId="0" borderId="0" xfId="64" applyNumberFormat="1" applyFont="1" applyBorder="1" applyAlignment="1">
      <alignment horizontal="center"/>
    </xf>
    <xf numFmtId="166" fontId="13" fillId="0" borderId="1" xfId="5" applyNumberFormat="1" applyFont="1" applyBorder="1" applyAlignment="1">
      <alignment horizontal="center"/>
    </xf>
    <xf numFmtId="166" fontId="69" fillId="0" borderId="1" xfId="5" applyNumberFormat="1" applyFont="1" applyBorder="1" applyAlignment="1">
      <alignment horizontal="center"/>
    </xf>
    <xf numFmtId="169" fontId="69" fillId="0" borderId="1" xfId="83" applyNumberFormat="1" applyFont="1" applyFill="1" applyBorder="1" applyAlignment="1">
      <alignment horizontal="center"/>
    </xf>
    <xf numFmtId="166" fontId="69" fillId="0" borderId="1" xfId="5" applyNumberFormat="1" applyFont="1" applyFill="1" applyBorder="1" applyAlignment="1">
      <alignment horizontal="center"/>
    </xf>
    <xf numFmtId="3" fontId="30" fillId="0" borderId="2" xfId="67" applyNumberFormat="1" applyFont="1" applyFill="1" applyBorder="1" applyAlignment="1">
      <alignment horizontal="center"/>
    </xf>
    <xf numFmtId="3" fontId="69" fillId="0" borderId="1" xfId="3" applyNumberFormat="1" applyFont="1" applyFill="1" applyBorder="1" applyAlignment="1">
      <alignment horizontal="center"/>
    </xf>
    <xf numFmtId="0" fontId="167" fillId="0" borderId="0" xfId="52" applyFont="1" applyAlignment="1">
      <alignment horizontal="left" vertical="center"/>
    </xf>
    <xf numFmtId="0" fontId="67" fillId="0" borderId="2" xfId="67" applyFont="1" applyFill="1" applyBorder="1" applyAlignment="1">
      <alignment horizontal="left"/>
    </xf>
    <xf numFmtId="0" fontId="67" fillId="0" borderId="0" xfId="67" applyFont="1" applyBorder="1" applyAlignment="1">
      <alignment horizontal="left"/>
    </xf>
    <xf numFmtId="9" fontId="22" fillId="12" borderId="2" xfId="3" applyFont="1" applyFill="1" applyBorder="1" applyAlignment="1">
      <alignment horizontal="center" vertical="center" wrapText="1"/>
    </xf>
    <xf numFmtId="166" fontId="69" fillId="0" borderId="112" xfId="3" applyNumberFormat="1" applyFont="1" applyFill="1" applyBorder="1" applyAlignment="1">
      <alignment horizontal="center"/>
    </xf>
    <xf numFmtId="3" fontId="24" fillId="15" borderId="2" xfId="67" applyNumberFormat="1" applyFont="1" applyFill="1" applyBorder="1" applyAlignment="1">
      <alignment horizontal="center"/>
    </xf>
    <xf numFmtId="0" fontId="168" fillId="0" borderId="0" xfId="67" applyFont="1"/>
    <xf numFmtId="3" fontId="22" fillId="12" borderId="2" xfId="52" applyNumberFormat="1" applyFont="1" applyFill="1" applyBorder="1" applyAlignment="1">
      <alignment horizontal="center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1" fontId="169" fillId="0" borderId="2" xfId="84" applyNumberFormat="1" applyFont="1" applyBorder="1" applyAlignment="1">
      <alignment horizontal="center" vertical="center" wrapText="1"/>
    </xf>
    <xf numFmtId="0" fontId="24" fillId="0" borderId="2" xfId="67" applyFont="1" applyBorder="1" applyAlignment="1">
      <alignment horizontal="left" indent="1"/>
    </xf>
    <xf numFmtId="1" fontId="169" fillId="0" borderId="2" xfId="84" applyNumberFormat="1" applyFont="1" applyFill="1" applyBorder="1" applyAlignment="1">
      <alignment horizontal="center" vertical="center" wrapText="1"/>
    </xf>
    <xf numFmtId="0" fontId="22" fillId="0" borderId="2" xfId="67" applyFont="1" applyBorder="1"/>
    <xf numFmtId="3" fontId="169" fillId="0" borderId="2" xfId="84" applyNumberFormat="1" applyFont="1" applyBorder="1" applyAlignment="1">
      <alignment horizontal="center" vertical="center" wrapText="1"/>
    </xf>
    <xf numFmtId="3" fontId="169" fillId="0" borderId="2" xfId="84" applyNumberFormat="1" applyFont="1" applyFill="1" applyBorder="1" applyAlignment="1">
      <alignment horizontal="center" vertical="center" wrapText="1"/>
    </xf>
    <xf numFmtId="3" fontId="22" fillId="0" borderId="2" xfId="67" applyNumberFormat="1" applyFont="1" applyBorder="1" applyAlignment="1">
      <alignment horizontal="center"/>
    </xf>
    <xf numFmtId="166" fontId="33" fillId="0" borderId="2" xfId="3" applyNumberFormat="1" applyFont="1" applyFill="1" applyBorder="1" applyAlignment="1">
      <alignment horizontal="center" vertical="center" wrapText="1"/>
    </xf>
    <xf numFmtId="1" fontId="22" fillId="10" borderId="2" xfId="67" applyNumberFormat="1" applyFont="1" applyFill="1" applyBorder="1" applyAlignment="1">
      <alignment horizontal="center"/>
    </xf>
    <xf numFmtId="0" fontId="170" fillId="0" borderId="0" xfId="67" applyFont="1" applyAlignment="1">
      <alignment horizontal="left"/>
    </xf>
    <xf numFmtId="169" fontId="12" fillId="0" borderId="2" xfId="67" applyNumberFormat="1" applyFont="1" applyBorder="1" applyAlignment="1">
      <alignment horizontal="center"/>
    </xf>
    <xf numFmtId="166" fontId="12" fillId="0" borderId="2" xfId="3" applyNumberFormat="1" applyFont="1" applyFill="1" applyBorder="1" applyAlignment="1">
      <alignment horizontal="center"/>
    </xf>
    <xf numFmtId="9" fontId="22" fillId="3" borderId="2" xfId="5" applyFont="1" applyFill="1" applyBorder="1" applyAlignment="1">
      <alignment horizontal="left" vertical="center" wrapText="1"/>
    </xf>
    <xf numFmtId="0" fontId="12" fillId="0" borderId="2" xfId="67" applyFont="1" applyBorder="1" applyAlignment="1">
      <alignment horizontal="left" indent="1"/>
    </xf>
    <xf numFmtId="0" fontId="69" fillId="57" borderId="2" xfId="2" applyFont="1" applyFill="1" applyBorder="1" applyAlignment="1">
      <alignment vertical="center"/>
    </xf>
    <xf numFmtId="171" fontId="31" fillId="57" borderId="2" xfId="4" applyNumberFormat="1" applyFont="1" applyFill="1" applyBorder="1" applyAlignment="1">
      <alignment horizontal="center"/>
    </xf>
    <xf numFmtId="171" fontId="69" fillId="57" borderId="2" xfId="4" applyNumberFormat="1" applyFont="1" applyFill="1" applyBorder="1" applyAlignment="1">
      <alignment horizontal="center"/>
    </xf>
    <xf numFmtId="1" fontId="11" fillId="2" borderId="2" xfId="67" applyNumberFormat="1" applyFont="1" applyFill="1" applyBorder="1" applyAlignment="1">
      <alignment horizontal="center" vertical="center" wrapText="1"/>
    </xf>
    <xf numFmtId="0" fontId="83" fillId="0" borderId="0" xfId="67" applyFont="1"/>
    <xf numFmtId="0" fontId="9" fillId="0" borderId="0" xfId="52" applyFont="1"/>
    <xf numFmtId="9" fontId="29" fillId="0" borderId="0" xfId="52" applyNumberFormat="1" applyFont="1"/>
    <xf numFmtId="174" fontId="31" fillId="0" borderId="0" xfId="52" applyNumberFormat="1" applyFont="1" applyAlignment="1">
      <alignment horizontal="center"/>
    </xf>
    <xf numFmtId="176" fontId="83" fillId="0" borderId="0" xfId="4" applyNumberFormat="1" applyFont="1" applyAlignment="1">
      <alignment horizontal="right"/>
    </xf>
    <xf numFmtId="0" fontId="6" fillId="2" borderId="2" xfId="52" applyFont="1" applyFill="1" applyBorder="1" applyAlignment="1">
      <alignment horizontal="center" vertical="center" wrapText="1"/>
    </xf>
    <xf numFmtId="166" fontId="31" fillId="0" borderId="2" xfId="3" applyNumberFormat="1" applyFont="1" applyBorder="1" applyAlignment="1">
      <alignment horizontal="center" vertical="center" wrapText="1"/>
    </xf>
    <xf numFmtId="0" fontId="122" fillId="0" borderId="8" xfId="52" applyFont="1" applyBorder="1" applyAlignment="1">
      <alignment horizontal="left" vertical="center"/>
    </xf>
    <xf numFmtId="0" fontId="12" fillId="0" borderId="8" xfId="67" applyFont="1" applyBorder="1"/>
    <xf numFmtId="172" fontId="31" fillId="0" borderId="8" xfId="3" applyNumberFormat="1" applyFont="1" applyBorder="1" applyAlignment="1">
      <alignment horizontal="center" vertical="center" wrapText="1"/>
    </xf>
    <xf numFmtId="9" fontId="12" fillId="0" borderId="1" xfId="3" applyFont="1" applyFill="1" applyBorder="1" applyAlignment="1">
      <alignment horizontal="center"/>
    </xf>
    <xf numFmtId="0" fontId="172" fillId="0" borderId="0" xfId="52" applyFont="1" applyAlignment="1">
      <alignment horizontal="left" vertical="center"/>
    </xf>
    <xf numFmtId="0" fontId="24" fillId="0" borderId="2" xfId="67" applyFont="1" applyBorder="1"/>
    <xf numFmtId="3" fontId="13" fillId="0" borderId="1" xfId="3" applyNumberFormat="1" applyFont="1" applyFill="1" applyBorder="1" applyAlignment="1">
      <alignment horizontal="center"/>
    </xf>
    <xf numFmtId="0" fontId="173" fillId="0" borderId="0" xfId="2" applyFont="1"/>
    <xf numFmtId="3" fontId="38" fillId="0" borderId="2" xfId="67" applyNumberFormat="1" applyFont="1" applyBorder="1" applyAlignment="1">
      <alignment horizontal="left" indent="2"/>
    </xf>
    <xf numFmtId="0" fontId="38" fillId="0" borderId="2" xfId="67" applyFont="1" applyBorder="1"/>
    <xf numFmtId="1" fontId="37" fillId="0" borderId="2" xfId="52" applyNumberFormat="1" applyFont="1" applyBorder="1" applyAlignment="1">
      <alignment horizontal="center" vertical="center" wrapText="1"/>
    </xf>
    <xf numFmtId="166" fontId="31" fillId="0" borderId="2" xfId="3" applyNumberFormat="1" applyFont="1" applyFill="1" applyBorder="1" applyAlignment="1">
      <alignment horizontal="center" vertical="center" wrapText="1"/>
    </xf>
    <xf numFmtId="4" fontId="13" fillId="0" borderId="1" xfId="3" applyNumberFormat="1" applyFont="1" applyFill="1" applyBorder="1" applyAlignment="1">
      <alignment horizontal="center"/>
    </xf>
    <xf numFmtId="2" fontId="19" fillId="0" borderId="2" xfId="52" applyNumberFormat="1" applyFont="1" applyBorder="1" applyAlignment="1">
      <alignment horizontal="center" vertical="center" wrapText="1"/>
    </xf>
    <xf numFmtId="3" fontId="19" fillId="0" borderId="2" xfId="52" applyNumberFormat="1" applyFont="1" applyBorder="1" applyAlignment="1">
      <alignment horizontal="center" vertical="center" wrapText="1"/>
    </xf>
    <xf numFmtId="9" fontId="19" fillId="0" borderId="2" xfId="3" applyFont="1" applyBorder="1" applyAlignment="1">
      <alignment horizontal="center" vertical="center" wrapText="1"/>
    </xf>
    <xf numFmtId="3" fontId="12" fillId="0" borderId="1" xfId="3" applyNumberFormat="1" applyFont="1" applyFill="1" applyBorder="1" applyAlignment="1">
      <alignment horizontal="center"/>
    </xf>
    <xf numFmtId="0" fontId="17" fillId="0" borderId="0" xfId="2" applyFont="1"/>
    <xf numFmtId="173" fontId="19" fillId="0" borderId="2" xfId="52" applyNumberFormat="1" applyFont="1" applyBorder="1" applyAlignment="1">
      <alignment horizontal="center" vertical="center" wrapText="1"/>
    </xf>
    <xf numFmtId="0" fontId="24" fillId="0" borderId="0" xfId="67" applyFont="1"/>
    <xf numFmtId="0" fontId="102" fillId="0" borderId="0" xfId="52" applyFont="1" applyAlignment="1">
      <alignment horizontal="left" vertical="center"/>
    </xf>
    <xf numFmtId="0" fontId="174" fillId="0" borderId="0" xfId="52" applyFont="1" applyAlignment="1">
      <alignment horizontal="left" vertical="center"/>
    </xf>
    <xf numFmtId="0" fontId="90" fillId="10" borderId="2" xfId="67" applyFont="1" applyFill="1" applyBorder="1" applyAlignment="1">
      <alignment horizontal="left"/>
    </xf>
    <xf numFmtId="3" fontId="12" fillId="10" borderId="2" xfId="67" applyNumberFormat="1" applyFont="1" applyFill="1" applyBorder="1" applyAlignment="1">
      <alignment horizontal="center" vertical="center"/>
    </xf>
    <xf numFmtId="0" fontId="175" fillId="10" borderId="2" xfId="67" applyFont="1" applyFill="1" applyBorder="1" applyAlignment="1">
      <alignment horizontal="left"/>
    </xf>
    <xf numFmtId="3" fontId="12" fillId="13" borderId="2" xfId="9" applyNumberFormat="1" applyFont="1" applyFill="1" applyBorder="1" applyAlignment="1">
      <alignment horizontal="center" vertical="center" wrapText="1"/>
    </xf>
    <xf numFmtId="4" fontId="30" fillId="0" borderId="7" xfId="2" applyNumberFormat="1" applyFont="1" applyFill="1" applyBorder="1" applyAlignment="1">
      <alignment horizontal="center" vertical="center" wrapText="1"/>
    </xf>
    <xf numFmtId="0" fontId="12" fillId="0" borderId="0" xfId="67" applyFont="1" applyBorder="1"/>
    <xf numFmtId="0" fontId="24" fillId="0" borderId="0" xfId="67" applyFont="1" applyBorder="1"/>
    <xf numFmtId="1" fontId="19" fillId="0" borderId="2" xfId="52" applyNumberFormat="1" applyFont="1" applyFill="1" applyBorder="1" applyAlignment="1">
      <alignment horizontal="center" vertical="center" wrapText="1"/>
    </xf>
    <xf numFmtId="166" fontId="19" fillId="0" borderId="2" xfId="3" applyNumberFormat="1" applyFont="1" applyBorder="1" applyAlignment="1">
      <alignment horizontal="center" vertical="center" wrapText="1"/>
    </xf>
    <xf numFmtId="0" fontId="8" fillId="0" borderId="0" xfId="2" applyFont="1" applyBorder="1"/>
    <xf numFmtId="0" fontId="89" fillId="0" borderId="0" xfId="52" applyFont="1" applyBorder="1" applyAlignment="1">
      <alignment horizontal="left" vertical="center"/>
    </xf>
    <xf numFmtId="0" fontId="24" fillId="0" borderId="7" xfId="67" applyFont="1" applyBorder="1"/>
    <xf numFmtId="9" fontId="19" fillId="0" borderId="7" xfId="3" applyFont="1" applyBorder="1" applyAlignment="1">
      <alignment horizontal="center" vertical="center" wrapText="1"/>
    </xf>
    <xf numFmtId="0" fontId="178" fillId="0" borderId="0" xfId="2" applyFont="1"/>
    <xf numFmtId="0" fontId="179" fillId="10" borderId="2" xfId="67" applyFont="1" applyFill="1" applyBorder="1" applyAlignment="1">
      <alignment horizontal="left"/>
    </xf>
    <xf numFmtId="0" fontId="180" fillId="10" borderId="2" xfId="67" applyFont="1" applyFill="1" applyBorder="1" applyAlignment="1">
      <alignment horizontal="left"/>
    </xf>
    <xf numFmtId="3" fontId="178" fillId="10" borderId="2" xfId="67" applyNumberFormat="1" applyFont="1" applyFill="1" applyBorder="1" applyAlignment="1">
      <alignment horizontal="center" vertical="center"/>
    </xf>
    <xf numFmtId="176" fontId="1" fillId="0" borderId="0" xfId="4" applyNumberFormat="1" applyFont="1" applyAlignment="1">
      <alignment horizontal="right"/>
    </xf>
    <xf numFmtId="4" fontId="12" fillId="8" borderId="2" xfId="67" applyNumberFormat="1" applyFont="1" applyFill="1" applyBorder="1" applyAlignment="1">
      <alignment horizontal="center"/>
    </xf>
    <xf numFmtId="3" fontId="30" fillId="28" borderId="2" xfId="67" applyNumberFormat="1" applyFont="1" applyFill="1" applyBorder="1" applyAlignment="1">
      <alignment horizontal="center"/>
    </xf>
    <xf numFmtId="3" fontId="67" fillId="10" borderId="2" xfId="67" applyNumberFormat="1" applyFont="1" applyFill="1" applyBorder="1" applyAlignment="1">
      <alignment horizontal="right"/>
    </xf>
    <xf numFmtId="9" fontId="12" fillId="10" borderId="2" xfId="3" applyFont="1" applyFill="1" applyBorder="1" applyAlignment="1">
      <alignment horizontal="center" vertical="center"/>
    </xf>
    <xf numFmtId="9" fontId="182" fillId="0" borderId="0" xfId="3" applyFont="1" applyFill="1" applyBorder="1" applyAlignment="1">
      <alignment horizontal="center"/>
    </xf>
    <xf numFmtId="0" fontId="9" fillId="3" borderId="0" xfId="52" applyFont="1" applyFill="1"/>
    <xf numFmtId="0" fontId="1" fillId="3" borderId="0" xfId="67" applyFill="1"/>
    <xf numFmtId="0" fontId="22" fillId="0" borderId="2" xfId="67" applyFont="1" applyBorder="1" applyAlignment="1">
      <alignment horizontal="left" indent="1"/>
    </xf>
    <xf numFmtId="3" fontId="22" fillId="12" borderId="2" xfId="67" applyNumberFormat="1" applyFont="1" applyFill="1" applyBorder="1" applyAlignment="1">
      <alignment horizontal="center"/>
    </xf>
    <xf numFmtId="0" fontId="24" fillId="0" borderId="2" xfId="67" applyFont="1" applyBorder="1" applyAlignment="1">
      <alignment horizontal="left" indent="3"/>
    </xf>
    <xf numFmtId="9" fontId="24" fillId="0" borderId="2" xfId="3" applyFont="1" applyFill="1" applyBorder="1" applyAlignment="1">
      <alignment horizontal="right"/>
    </xf>
    <xf numFmtId="0" fontId="29" fillId="0" borderId="2" xfId="67" applyFont="1" applyBorder="1" applyAlignment="1">
      <alignment horizontal="left" indent="1"/>
    </xf>
    <xf numFmtId="166" fontId="12" fillId="8" borderId="9" xfId="3" applyNumberFormat="1" applyFont="1" applyFill="1" applyBorder="1" applyAlignment="1">
      <alignment horizontal="center" vertical="center" wrapText="1"/>
    </xf>
    <xf numFmtId="1" fontId="31" fillId="0" borderId="2" xfId="52" applyNumberFormat="1" applyFont="1" applyFill="1" applyBorder="1" applyAlignment="1">
      <alignment horizontal="center" vertical="center" wrapText="1"/>
    </xf>
    <xf numFmtId="0" fontId="29" fillId="0" borderId="8" xfId="67" applyFont="1" applyBorder="1" applyAlignment="1">
      <alignment horizontal="left"/>
    </xf>
    <xf numFmtId="3" fontId="31" fillId="0" borderId="1" xfId="3" applyNumberFormat="1" applyFont="1" applyFill="1" applyBorder="1" applyAlignment="1">
      <alignment horizontal="center"/>
    </xf>
    <xf numFmtId="9" fontId="22" fillId="10" borderId="2" xfId="5" applyFont="1" applyFill="1" applyBorder="1" applyAlignment="1">
      <alignment horizontal="center"/>
    </xf>
    <xf numFmtId="166" fontId="69" fillId="0" borderId="35" xfId="3" applyNumberFormat="1" applyFont="1" applyFill="1" applyBorder="1" applyAlignment="1">
      <alignment horizontal="center"/>
    </xf>
    <xf numFmtId="0" fontId="119" fillId="0" borderId="0" xfId="2" applyFont="1" applyFill="1"/>
    <xf numFmtId="0" fontId="184" fillId="0" borderId="0" xfId="2" applyFont="1" applyFill="1"/>
    <xf numFmtId="0" fontId="8" fillId="0" borderId="0" xfId="67" applyFont="1" applyBorder="1"/>
    <xf numFmtId="3" fontId="30" fillId="0" borderId="7" xfId="67" applyNumberFormat="1" applyFont="1" applyBorder="1" applyAlignment="1">
      <alignment horizontal="center"/>
    </xf>
    <xf numFmtId="0" fontId="1" fillId="0" borderId="0" xfId="67" applyBorder="1"/>
    <xf numFmtId="9" fontId="30" fillId="0" borderId="7" xfId="3" applyFont="1" applyFill="1" applyBorder="1" applyAlignment="1">
      <alignment horizontal="center" vertical="center"/>
    </xf>
    <xf numFmtId="0" fontId="30" fillId="0" borderId="0" xfId="67" applyFont="1" applyBorder="1"/>
    <xf numFmtId="3" fontId="30" fillId="0" borderId="0" xfId="67" applyNumberFormat="1" applyFont="1" applyBorder="1" applyAlignment="1">
      <alignment horizontal="center"/>
    </xf>
    <xf numFmtId="9" fontId="30" fillId="0" borderId="0" xfId="3" applyFont="1" applyFill="1" applyBorder="1" applyAlignment="1">
      <alignment horizontal="center" vertical="center"/>
    </xf>
    <xf numFmtId="9" fontId="12" fillId="0" borderId="2" xfId="5" applyFont="1" applyBorder="1" applyAlignment="1">
      <alignment horizontal="center"/>
    </xf>
    <xf numFmtId="3" fontId="22" fillId="0" borderId="2" xfId="67" applyNumberFormat="1" applyFont="1" applyFill="1" applyBorder="1" applyAlignment="1">
      <alignment horizontal="center"/>
    </xf>
    <xf numFmtId="165" fontId="177" fillId="0" borderId="0" xfId="3" applyNumberFormat="1" applyFont="1" applyBorder="1" applyAlignment="1">
      <alignment horizontal="left"/>
    </xf>
    <xf numFmtId="0" fontId="2" fillId="19" borderId="0" xfId="67" applyFont="1" applyFill="1" applyAlignment="1">
      <alignment horizontal="center"/>
    </xf>
    <xf numFmtId="3" fontId="177" fillId="0" borderId="2" xfId="84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3" fontId="12" fillId="0" borderId="2" xfId="9" applyNumberFormat="1" applyFont="1" applyFill="1" applyBorder="1">
      <alignment horizontal="left" vertical="top" wrapText="1"/>
    </xf>
    <xf numFmtId="3" fontId="31" fillId="0" borderId="2" xfId="9" applyNumberFormat="1" applyFont="1" applyFill="1" applyBorder="1" applyAlignment="1">
      <alignment horizontal="center" vertical="top" wrapText="1"/>
    </xf>
    <xf numFmtId="14" fontId="12" fillId="0" borderId="2" xfId="9" applyNumberFormat="1" applyFont="1" applyFill="1" applyBorder="1" applyAlignment="1">
      <alignment horizontal="center" vertical="center" wrapText="1"/>
    </xf>
    <xf numFmtId="0" fontId="151" fillId="0" borderId="0" xfId="0" applyFont="1"/>
    <xf numFmtId="0" fontId="29" fillId="0" borderId="0" xfId="0" applyFont="1" applyAlignment="1">
      <alignment horizontal="left" vertical="center"/>
    </xf>
    <xf numFmtId="14" fontId="12" fillId="0" borderId="2" xfId="9" applyNumberFormat="1" applyFont="1" applyFill="1" applyBorder="1" applyAlignment="1">
      <alignment horizontal="right" vertical="top" wrapText="1"/>
    </xf>
    <xf numFmtId="3" fontId="12" fillId="0" borderId="9" xfId="5" applyNumberFormat="1" applyFont="1" applyFill="1" applyBorder="1" applyAlignment="1">
      <alignment horizontal="center" vertical="center"/>
    </xf>
    <xf numFmtId="3" fontId="12" fillId="0" borderId="2" xfId="5" applyNumberFormat="1" applyFont="1" applyFill="1" applyBorder="1" applyAlignment="1">
      <alignment horizontal="center" vertical="center"/>
    </xf>
    <xf numFmtId="0" fontId="12" fillId="0" borderId="9" xfId="0" applyFont="1" applyBorder="1"/>
    <xf numFmtId="174" fontId="12" fillId="0" borderId="5" xfId="5" applyNumberFormat="1" applyFont="1" applyFill="1" applyBorder="1" applyAlignment="1">
      <alignment horizontal="center" vertical="center"/>
    </xf>
    <xf numFmtId="1" fontId="19" fillId="0" borderId="9" xfId="1" applyNumberFormat="1" applyFont="1" applyBorder="1" applyAlignment="1">
      <alignment horizontal="center" vertical="center" wrapText="1"/>
    </xf>
    <xf numFmtId="169" fontId="12" fillId="0" borderId="9" xfId="1" applyNumberFormat="1" applyFont="1" applyBorder="1" applyAlignment="1">
      <alignment horizontal="center" vertical="center" wrapText="1"/>
    </xf>
    <xf numFmtId="3" fontId="12" fillId="0" borderId="9" xfId="1" applyNumberFormat="1" applyFont="1" applyBorder="1" applyAlignment="1">
      <alignment horizontal="left" vertical="center" wrapText="1"/>
    </xf>
    <xf numFmtId="3" fontId="185" fillId="0" borderId="9" xfId="0" applyNumberFormat="1" applyFont="1" applyBorder="1" applyAlignment="1">
      <alignment horizontal="center" vertical="center" wrapText="1"/>
    </xf>
    <xf numFmtId="3" fontId="12" fillId="4" borderId="9" xfId="1" applyNumberFormat="1" applyFont="1" applyFill="1" applyBorder="1" applyAlignment="1">
      <alignment horizontal="left" vertical="center"/>
    </xf>
    <xf numFmtId="0" fontId="0" fillId="4" borderId="0" xfId="0" applyFill="1"/>
    <xf numFmtId="0" fontId="186" fillId="0" borderId="0" xfId="0" applyFont="1"/>
    <xf numFmtId="0" fontId="40" fillId="0" borderId="0" xfId="0" applyFont="1" applyAlignment="1">
      <alignment horizontal="center" vertical="center" wrapText="1"/>
    </xf>
    <xf numFmtId="0" fontId="40" fillId="0" borderId="0" xfId="0" applyFont="1"/>
    <xf numFmtId="3" fontId="22" fillId="0" borderId="3" xfId="64" applyNumberFormat="1" applyFont="1" applyBorder="1" applyAlignment="1">
      <alignment horizontal="center"/>
    </xf>
    <xf numFmtId="0" fontId="40" fillId="0" borderId="21" xfId="0" applyFont="1" applyBorder="1" applyAlignment="1">
      <alignment horizontal="center" vertical="center" wrapText="1"/>
    </xf>
    <xf numFmtId="0" fontId="40" fillId="0" borderId="113" xfId="0" applyFont="1" applyBorder="1" applyAlignment="1">
      <alignment horizontal="center" vertical="center" wrapText="1"/>
    </xf>
    <xf numFmtId="0" fontId="40" fillId="49" borderId="19" xfId="0" applyFont="1" applyFill="1" applyBorder="1"/>
    <xf numFmtId="0" fontId="40" fillId="49" borderId="21" xfId="0" applyFont="1" applyFill="1" applyBorder="1" applyAlignment="1">
      <alignment horizontal="center" vertical="center" wrapText="1"/>
    </xf>
    <xf numFmtId="0" fontId="40" fillId="49" borderId="113" xfId="0" applyFont="1" applyFill="1" applyBorder="1" applyAlignment="1">
      <alignment horizontal="center" vertical="center" wrapText="1"/>
    </xf>
    <xf numFmtId="1" fontId="12" fillId="0" borderId="1" xfId="64" applyNumberFormat="1" applyFont="1" applyBorder="1" applyAlignment="1">
      <alignment horizontal="center"/>
    </xf>
    <xf numFmtId="0" fontId="40" fillId="7" borderId="19" xfId="0" applyFont="1" applyFill="1" applyBorder="1"/>
    <xf numFmtId="0" fontId="40" fillId="7" borderId="21" xfId="0" applyFont="1" applyFill="1" applyBorder="1" applyAlignment="1">
      <alignment horizontal="center" vertical="center" wrapText="1"/>
    </xf>
    <xf numFmtId="0" fontId="40" fillId="7" borderId="113" xfId="0" applyFont="1" applyFill="1" applyBorder="1" applyAlignment="1">
      <alignment horizontal="center" vertical="center" wrapText="1"/>
    </xf>
    <xf numFmtId="0" fontId="40" fillId="0" borderId="19" xfId="0" applyFont="1" applyBorder="1"/>
    <xf numFmtId="0" fontId="40" fillId="0" borderId="33" xfId="0" applyFont="1" applyBorder="1"/>
    <xf numFmtId="0" fontId="40" fillId="0" borderId="34" xfId="0" applyFont="1" applyBorder="1" applyAlignment="1">
      <alignment horizontal="center" vertical="center" wrapText="1"/>
    </xf>
    <xf numFmtId="0" fontId="40" fillId="0" borderId="114" xfId="0" applyFont="1" applyBorder="1" applyAlignment="1">
      <alignment horizontal="center" vertical="center" wrapText="1"/>
    </xf>
    <xf numFmtId="0" fontId="189" fillId="0" borderId="0" xfId="99" applyFont="1"/>
    <xf numFmtId="0" fontId="173" fillId="0" borderId="0" xfId="0" applyFont="1" applyAlignment="1">
      <alignment horizontal="center" vertical="center" wrapText="1"/>
    </xf>
    <xf numFmtId="0" fontId="173" fillId="0" borderId="0" xfId="0" applyFont="1"/>
    <xf numFmtId="0" fontId="40" fillId="0" borderId="21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90" fillId="0" borderId="1" xfId="0" applyFont="1" applyBorder="1" applyAlignment="1">
      <alignment horizontal="left" vertical="center"/>
    </xf>
    <xf numFmtId="1" fontId="19" fillId="0" borderId="35" xfId="1" applyNumberFormat="1" applyFont="1" applyBorder="1" applyAlignment="1">
      <alignment horizontal="center" vertical="center" wrapText="1"/>
    </xf>
    <xf numFmtId="1" fontId="33" fillId="0" borderId="1" xfId="1" applyNumberFormat="1" applyFont="1" applyBorder="1" applyAlignment="1">
      <alignment horizontal="left" vertical="center" wrapText="1"/>
    </xf>
    <xf numFmtId="1" fontId="33" fillId="0" borderId="1" xfId="1" applyNumberFormat="1" applyFont="1" applyBorder="1" applyAlignment="1">
      <alignment horizontal="center" vertical="center" wrapText="1"/>
    </xf>
    <xf numFmtId="0" fontId="191" fillId="0" borderId="0" xfId="0" applyFont="1" applyAlignment="1">
      <alignment horizontal="center" vertical="center" wrapText="1"/>
    </xf>
    <xf numFmtId="0" fontId="191" fillId="0" borderId="0" xfId="0" applyFont="1"/>
    <xf numFmtId="0" fontId="188" fillId="0" borderId="21" xfId="0" applyFont="1" applyBorder="1"/>
    <xf numFmtId="0" fontId="40" fillId="21" borderId="21" xfId="0" applyFont="1" applyFill="1" applyBorder="1"/>
    <xf numFmtId="0" fontId="40" fillId="21" borderId="21" xfId="0" applyFont="1" applyFill="1" applyBorder="1" applyAlignment="1">
      <alignment horizontal="center" vertical="center" wrapText="1"/>
    </xf>
    <xf numFmtId="0" fontId="40" fillId="57" borderId="2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right"/>
    </xf>
    <xf numFmtId="0" fontId="176" fillId="0" borderId="0" xfId="0" applyFont="1"/>
    <xf numFmtId="0" fontId="176" fillId="21" borderId="21" xfId="0" applyFont="1" applyFill="1" applyBorder="1"/>
    <xf numFmtId="0" fontId="176" fillId="21" borderId="21" xfId="0" applyFont="1" applyFill="1" applyBorder="1" applyAlignment="1">
      <alignment horizontal="center" vertical="center" wrapText="1"/>
    </xf>
    <xf numFmtId="0" fontId="176" fillId="57" borderId="21" xfId="0" applyFont="1" applyFill="1" applyBorder="1" applyAlignment="1">
      <alignment horizontal="center" vertical="center" wrapText="1"/>
    </xf>
    <xf numFmtId="0" fontId="176" fillId="0" borderId="0" xfId="0" applyFont="1" applyAlignment="1">
      <alignment horizontal="right"/>
    </xf>
    <xf numFmtId="0" fontId="40" fillId="57" borderId="21" xfId="0" applyFont="1" applyFill="1" applyBorder="1"/>
    <xf numFmtId="0" fontId="40" fillId="24" borderId="21" xfId="0" applyFont="1" applyFill="1" applyBorder="1" applyAlignment="1">
      <alignment horizontal="center" vertical="center" wrapText="1"/>
    </xf>
    <xf numFmtId="0" fontId="176" fillId="57" borderId="2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3" fontId="13" fillId="0" borderId="9" xfId="0" applyNumberFormat="1" applyFont="1" applyBorder="1" applyAlignment="1">
      <alignment horizontal="center" vertical="center" wrapText="1"/>
    </xf>
    <xf numFmtId="0" fontId="30" fillId="5" borderId="9" xfId="0" applyFont="1" applyFill="1" applyBorder="1"/>
    <xf numFmtId="3" fontId="30" fillId="0" borderId="9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68" fillId="0" borderId="0" xfId="0" applyFont="1"/>
    <xf numFmtId="9" fontId="12" fillId="0" borderId="2" xfId="5" applyFont="1" applyFill="1" applyBorder="1" applyAlignment="1">
      <alignment horizontal="center" vertical="top" wrapText="1"/>
    </xf>
    <xf numFmtId="3" fontId="0" fillId="0" borderId="0" xfId="0" applyNumberFormat="1" applyAlignment="1">
      <alignment horizontal="left"/>
    </xf>
    <xf numFmtId="14" fontId="31" fillId="0" borderId="2" xfId="9" applyNumberFormat="1" applyFont="1" applyFill="1" applyBorder="1" applyAlignment="1">
      <alignment horizontal="center" vertical="top" wrapText="1"/>
    </xf>
    <xf numFmtId="4" fontId="12" fillId="0" borderId="9" xfId="5" applyNumberFormat="1" applyFont="1" applyFill="1" applyBorder="1" applyAlignment="1">
      <alignment horizontal="center" vertical="center"/>
    </xf>
    <xf numFmtId="3" fontId="12" fillId="4" borderId="12" xfId="1" applyNumberFormat="1" applyFont="1" applyFill="1" applyBorder="1" applyAlignment="1">
      <alignment horizontal="left" vertical="center"/>
    </xf>
    <xf numFmtId="3" fontId="12" fillId="4" borderId="13" xfId="1" applyNumberFormat="1" applyFont="1" applyFill="1" applyBorder="1" applyAlignment="1">
      <alignment horizontal="left" vertical="center"/>
    </xf>
    <xf numFmtId="3" fontId="12" fillId="0" borderId="2" xfId="1" applyNumberFormat="1" applyFont="1" applyBorder="1" applyAlignment="1">
      <alignment horizontal="left" vertical="center" wrapText="1"/>
    </xf>
    <xf numFmtId="9" fontId="12" fillId="0" borderId="2" xfId="5" applyFont="1" applyFill="1" applyBorder="1" applyAlignment="1">
      <alignment horizontal="center" vertical="center"/>
    </xf>
    <xf numFmtId="3" fontId="70" fillId="0" borderId="1" xfId="64" applyNumberFormat="1" applyFont="1" applyBorder="1" applyAlignment="1">
      <alignment horizontal="center" wrapText="1"/>
    </xf>
    <xf numFmtId="166" fontId="59" fillId="0" borderId="0" xfId="52" applyNumberFormat="1" applyFont="1"/>
    <xf numFmtId="166" fontId="8" fillId="0" borderId="0" xfId="52" applyNumberFormat="1" applyFont="1" applyAlignment="1">
      <alignment horizontal="left" vertical="center"/>
    </xf>
    <xf numFmtId="1" fontId="11" fillId="2" borderId="9" xfId="67" applyNumberFormat="1" applyFont="1" applyFill="1" applyBorder="1" applyAlignment="1">
      <alignment horizontal="center" vertical="center" wrapText="1"/>
    </xf>
    <xf numFmtId="0" fontId="8" fillId="0" borderId="0" xfId="52" applyFont="1" applyAlignment="1">
      <alignment horizontal="left" vertical="center"/>
    </xf>
    <xf numFmtId="0" fontId="12" fillId="0" borderId="1" xfId="52" applyFont="1" applyBorder="1" applyAlignment="1">
      <alignment horizontal="left" vertical="center"/>
    </xf>
    <xf numFmtId="1" fontId="19" fillId="0" borderId="1" xfId="52" applyNumberFormat="1" applyFont="1" applyBorder="1" applyAlignment="1">
      <alignment horizontal="center" vertical="center" wrapText="1"/>
    </xf>
    <xf numFmtId="172" fontId="19" fillId="0" borderId="1" xfId="52" applyNumberFormat="1" applyFont="1" applyBorder="1" applyAlignment="1">
      <alignment horizontal="center" vertical="center" wrapText="1"/>
    </xf>
    <xf numFmtId="0" fontId="8" fillId="0" borderId="0" xfId="52" applyFont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2" borderId="5" xfId="52" applyFont="1" applyFill="1" applyBorder="1" applyAlignment="1">
      <alignment horizontal="left" vertical="center" wrapText="1"/>
    </xf>
    <xf numFmtId="0" fontId="2" fillId="2" borderId="5" xfId="52" applyFont="1" applyFill="1" applyBorder="1" applyAlignment="1">
      <alignment horizontal="center" vertical="center" wrapText="1"/>
    </xf>
    <xf numFmtId="0" fontId="30" fillId="0" borderId="0" xfId="52" applyFont="1" applyAlignment="1">
      <alignment horizontal="left" vertical="center"/>
    </xf>
    <xf numFmtId="166" fontId="30" fillId="0" borderId="0" xfId="52" applyNumberFormat="1" applyFont="1" applyAlignment="1">
      <alignment horizontal="left" vertical="center"/>
    </xf>
    <xf numFmtId="0" fontId="30" fillId="3" borderId="1" xfId="52" applyFont="1" applyFill="1" applyBorder="1" applyAlignment="1">
      <alignment horizontal="left" vertical="center"/>
    </xf>
    <xf numFmtId="3" fontId="30" fillId="12" borderId="1" xfId="52" applyNumberFormat="1" applyFont="1" applyFill="1" applyBorder="1" applyAlignment="1">
      <alignment horizontal="center" vertical="center"/>
    </xf>
    <xf numFmtId="0" fontId="12" fillId="0" borderId="0" xfId="52" applyFont="1" applyAlignment="1">
      <alignment horizontal="left" vertical="center"/>
    </xf>
    <xf numFmtId="166" fontId="12" fillId="0" borderId="0" xfId="52" applyNumberFormat="1" applyFont="1" applyAlignment="1">
      <alignment horizontal="left" vertical="center"/>
    </xf>
    <xf numFmtId="3" fontId="12" fillId="0" borderId="1" xfId="52" applyNumberFormat="1" applyFont="1" applyBorder="1" applyAlignment="1">
      <alignment horizontal="left" vertical="center" indent="1"/>
    </xf>
    <xf numFmtId="3" fontId="12" fillId="0" borderId="1" xfId="52" applyNumberFormat="1" applyFont="1" applyBorder="1" applyAlignment="1">
      <alignment horizontal="center" vertical="center"/>
    </xf>
    <xf numFmtId="0" fontId="192" fillId="0" borderId="0" xfId="52" applyFont="1"/>
    <xf numFmtId="166" fontId="192" fillId="0" borderId="0" xfId="52" applyNumberFormat="1" applyFont="1"/>
    <xf numFmtId="0" fontId="22" fillId="0" borderId="1" xfId="52" applyFont="1" applyBorder="1" applyAlignment="1">
      <alignment horizontal="left" vertical="center"/>
    </xf>
    <xf numFmtId="3" fontId="22" fillId="0" borderId="3" xfId="52" applyNumberFormat="1" applyFont="1" applyBorder="1" applyAlignment="1">
      <alignment horizontal="center" vertical="center"/>
    </xf>
    <xf numFmtId="0" fontId="12" fillId="0" borderId="1" xfId="52" applyFont="1" applyBorder="1" applyAlignment="1">
      <alignment horizontal="left" vertical="center" indent="1"/>
    </xf>
    <xf numFmtId="166" fontId="69" fillId="0" borderId="40" xfId="3" applyNumberFormat="1" applyFont="1" applyFill="1" applyBorder="1" applyAlignment="1">
      <alignment horizontal="center" vertical="center"/>
    </xf>
    <xf numFmtId="3" fontId="12" fillId="0" borderId="1" xfId="63" applyNumberFormat="1" applyFont="1" applyFill="1" applyBorder="1" applyAlignment="1">
      <alignment horizontal="center" vertical="center" wrapText="1"/>
    </xf>
    <xf numFmtId="0" fontId="181" fillId="0" borderId="0" xfId="52" applyFont="1" applyAlignment="1">
      <alignment horizontal="left" vertical="center"/>
    </xf>
    <xf numFmtId="0" fontId="193" fillId="0" borderId="0" xfId="52" applyFont="1"/>
    <xf numFmtId="0" fontId="31" fillId="0" borderId="1" xfId="52" applyFont="1" applyBorder="1" applyAlignment="1">
      <alignment horizontal="left" vertical="center"/>
    </xf>
    <xf numFmtId="166" fontId="31" fillId="0" borderId="40" xfId="3" applyNumberFormat="1" applyFont="1" applyFill="1" applyBorder="1" applyAlignment="1">
      <alignment horizontal="center" vertical="center"/>
    </xf>
    <xf numFmtId="10" fontId="69" fillId="0" borderId="40" xfId="3" applyNumberFormat="1" applyFont="1" applyFill="1" applyBorder="1" applyAlignment="1">
      <alignment horizontal="center" vertical="center"/>
    </xf>
    <xf numFmtId="14" fontId="183" fillId="0" borderId="1" xfId="52" applyNumberFormat="1" applyFont="1" applyFill="1" applyBorder="1" applyAlignment="1">
      <alignment horizontal="center" vertical="center" wrapText="1"/>
    </xf>
    <xf numFmtId="3" fontId="12" fillId="0" borderId="1" xfId="52" applyNumberFormat="1" applyFont="1" applyFill="1" applyBorder="1" applyAlignment="1">
      <alignment horizontal="center" vertical="center"/>
    </xf>
    <xf numFmtId="190" fontId="13" fillId="0" borderId="0" xfId="4" applyNumberFormat="1" applyFont="1" applyFill="1" applyBorder="1" applyAlignment="1">
      <alignment horizontal="center"/>
    </xf>
    <xf numFmtId="166" fontId="13" fillId="0" borderId="1" xfId="5" applyNumberFormat="1" applyFont="1" applyFill="1" applyBorder="1" applyAlignment="1">
      <alignment horizontal="center"/>
    </xf>
    <xf numFmtId="0" fontId="36" fillId="0" borderId="21" xfId="100" applyFont="1" applyBorder="1"/>
    <xf numFmtId="1" fontId="11" fillId="2" borderId="0" xfId="100" applyNumberFormat="1" applyFont="1" applyFill="1" applyAlignment="1">
      <alignment horizontal="left" vertical="center"/>
    </xf>
    <xf numFmtId="1" fontId="11" fillId="2" borderId="0" xfId="100" applyNumberFormat="1" applyFont="1" applyFill="1" applyAlignment="1">
      <alignment horizontal="center" vertical="center" wrapText="1"/>
    </xf>
    <xf numFmtId="1" fontId="12" fillId="2" borderId="0" xfId="100" applyNumberFormat="1" applyFont="1" applyFill="1" applyAlignment="1">
      <alignment horizontal="center" vertical="center" wrapText="1"/>
    </xf>
    <xf numFmtId="9" fontId="35" fillId="0" borderId="0" xfId="78" applyFont="1" applyFill="1" applyBorder="1" applyAlignment="1">
      <alignment horizontal="center" vertical="center" wrapText="1"/>
    </xf>
    <xf numFmtId="0" fontId="1" fillId="0" borderId="0" xfId="100"/>
    <xf numFmtId="0" fontId="36" fillId="0" borderId="0" xfId="100" applyFont="1"/>
    <xf numFmtId="9" fontId="19" fillId="0" borderId="1" xfId="78" applyFont="1" applyFill="1" applyBorder="1" applyAlignment="1">
      <alignment horizontal="left" vertical="center"/>
    </xf>
    <xf numFmtId="0" fontId="12" fillId="0" borderId="1" xfId="100" applyFont="1" applyBorder="1"/>
    <xf numFmtId="9" fontId="12" fillId="0" borderId="1" xfId="78" applyFont="1" applyFill="1" applyBorder="1" applyAlignment="1">
      <alignment horizontal="center" vertical="center" wrapText="1"/>
    </xf>
    <xf numFmtId="1" fontId="19" fillId="8" borderId="35" xfId="101" applyNumberFormat="1" applyFont="1" applyFill="1" applyBorder="1" applyAlignment="1">
      <alignment horizontal="center" vertical="center" wrapText="1"/>
    </xf>
    <xf numFmtId="1" fontId="19" fillId="8" borderId="1" xfId="101" applyNumberFormat="1" applyFont="1" applyFill="1" applyBorder="1" applyAlignment="1">
      <alignment horizontal="center" vertical="center" wrapText="1"/>
    </xf>
    <xf numFmtId="1" fontId="19" fillId="0" borderId="1" xfId="101" applyNumberFormat="1" applyFont="1" applyBorder="1" applyAlignment="1">
      <alignment horizontal="center" vertical="center" wrapText="1"/>
    </xf>
    <xf numFmtId="1" fontId="19" fillId="0" borderId="1" xfId="101" applyNumberFormat="1" applyFont="1" applyBorder="1" applyAlignment="1">
      <alignment horizontal="left" vertical="center"/>
    </xf>
    <xf numFmtId="1" fontId="12" fillId="0" borderId="1" xfId="101" applyNumberFormat="1" applyFont="1" applyBorder="1" applyAlignment="1">
      <alignment horizontal="center" vertical="center" wrapText="1"/>
    </xf>
    <xf numFmtId="169" fontId="12" fillId="0" borderId="1" xfId="100" applyNumberFormat="1" applyFont="1" applyBorder="1" applyAlignment="1">
      <alignment horizontal="center"/>
    </xf>
    <xf numFmtId="0" fontId="78" fillId="0" borderId="0" xfId="100" applyFont="1" applyAlignment="1">
      <alignment horizontal="left"/>
    </xf>
    <xf numFmtId="0" fontId="8" fillId="0" borderId="0" xfId="100" applyFont="1"/>
    <xf numFmtId="0" fontId="38" fillId="0" borderId="0" xfId="100" applyFont="1"/>
    <xf numFmtId="0" fontId="37" fillId="0" borderId="0" xfId="100" applyFont="1"/>
    <xf numFmtId="3" fontId="2" fillId="2" borderId="0" xfId="100" applyNumberFormat="1" applyFont="1" applyFill="1" applyAlignment="1">
      <alignment horizontal="left"/>
    </xf>
    <xf numFmtId="3" fontId="2" fillId="2" borderId="0" xfId="100" applyNumberFormat="1" applyFont="1" applyFill="1" applyAlignment="1">
      <alignment horizontal="center" vertical="center" wrapText="1"/>
    </xf>
    <xf numFmtId="3" fontId="2" fillId="2" borderId="0" xfId="100" applyNumberFormat="1" applyFont="1" applyFill="1" applyAlignment="1">
      <alignment horizontal="center" wrapText="1"/>
    </xf>
    <xf numFmtId="0" fontId="194" fillId="19" borderId="0" xfId="100" applyFont="1" applyFill="1"/>
    <xf numFmtId="3" fontId="12" fillId="0" borderId="2" xfId="100" applyNumberFormat="1" applyFont="1" applyBorder="1" applyAlignment="1">
      <alignment horizontal="left"/>
    </xf>
    <xf numFmtId="3" fontId="12" fillId="0" borderId="2" xfId="100" applyNumberFormat="1" applyFont="1" applyBorder="1" applyAlignment="1">
      <alignment horizontal="left" wrapText="1"/>
    </xf>
    <xf numFmtId="3" fontId="12" fillId="0" borderId="2" xfId="100" applyNumberFormat="1" applyFont="1" applyBorder="1" applyAlignment="1">
      <alignment horizontal="center" wrapText="1"/>
    </xf>
    <xf numFmtId="3" fontId="12" fillId="0" borderId="2" xfId="101" applyNumberFormat="1" applyFont="1" applyBorder="1" applyAlignment="1">
      <alignment horizontal="center" vertical="center" wrapText="1"/>
    </xf>
    <xf numFmtId="3" fontId="12" fillId="8" borderId="115" xfId="2" applyNumberFormat="1" applyFont="1" applyFill="1" applyBorder="1" applyAlignment="1">
      <alignment horizontal="center" wrapText="1"/>
    </xf>
    <xf numFmtId="3" fontId="31" fillId="0" borderId="2" xfId="100" applyNumberFormat="1" applyFont="1" applyBorder="1" applyAlignment="1">
      <alignment horizontal="center" wrapText="1"/>
    </xf>
    <xf numFmtId="0" fontId="8" fillId="0" borderId="0" xfId="100" applyFont="1" applyAlignment="1">
      <alignment horizontal="left"/>
    </xf>
    <xf numFmtId="0" fontId="12" fillId="0" borderId="0" xfId="100" applyFont="1"/>
    <xf numFmtId="173" fontId="8" fillId="0" borderId="0" xfId="100" applyNumberFormat="1" applyFont="1" applyAlignment="1">
      <alignment horizontal="center"/>
    </xf>
    <xf numFmtId="3" fontId="12" fillId="0" borderId="1" xfId="101" applyNumberFormat="1" applyFont="1" applyBorder="1" applyAlignment="1">
      <alignment horizontal="center" vertical="center" wrapText="1"/>
    </xf>
    <xf numFmtId="0" fontId="1" fillId="0" borderId="0" xfId="100" applyAlignment="1">
      <alignment horizontal="left"/>
    </xf>
    <xf numFmtId="3" fontId="12" fillId="0" borderId="1" xfId="101" applyNumberFormat="1" applyFont="1" applyFill="1" applyBorder="1" applyAlignment="1">
      <alignment horizontal="center" vertical="center" wrapText="1"/>
    </xf>
    <xf numFmtId="0" fontId="195" fillId="0" borderId="0" xfId="52" applyFont="1" applyAlignment="1">
      <alignment horizontal="left" vertical="center"/>
    </xf>
    <xf numFmtId="0" fontId="196" fillId="0" borderId="0" xfId="52" applyFont="1"/>
    <xf numFmtId="0" fontId="195" fillId="0" borderId="1" xfId="52" applyFont="1" applyBorder="1" applyAlignment="1">
      <alignment horizontal="left" vertical="center" indent="1"/>
    </xf>
    <xf numFmtId="9" fontId="197" fillId="0" borderId="40" xfId="3" applyNumberFormat="1" applyFont="1" applyFill="1" applyBorder="1" applyAlignment="1">
      <alignment horizontal="center" vertical="center"/>
    </xf>
    <xf numFmtId="0" fontId="198" fillId="0" borderId="0" xfId="52" applyFont="1" applyAlignment="1">
      <alignment horizontal="left" vertical="center"/>
    </xf>
    <xf numFmtId="0" fontId="30" fillId="0" borderId="1" xfId="52" applyFont="1" applyBorder="1" applyAlignment="1">
      <alignment horizontal="left" vertical="center"/>
    </xf>
    <xf numFmtId="166" fontId="30" fillId="0" borderId="40" xfId="3" applyNumberFormat="1" applyFont="1" applyFill="1" applyBorder="1" applyAlignment="1">
      <alignment horizontal="center" vertical="center"/>
    </xf>
    <xf numFmtId="0" fontId="199" fillId="0" borderId="0" xfId="52" applyFont="1"/>
    <xf numFmtId="3" fontId="22" fillId="0" borderId="3" xfId="52" applyNumberFormat="1" applyFont="1" applyFill="1" applyBorder="1" applyAlignment="1">
      <alignment horizontal="center" vertical="center"/>
    </xf>
    <xf numFmtId="10" fontId="69" fillId="0" borderId="10" xfId="96" applyNumberFormat="1" applyFont="1" applyFill="1" applyBorder="1" applyAlignment="1">
      <alignment horizontal="center" vertical="center"/>
    </xf>
    <xf numFmtId="166" fontId="12" fillId="0" borderId="11" xfId="96" applyNumberFormat="1" applyFont="1" applyFill="1" applyBorder="1" applyAlignment="1">
      <alignment horizontal="left" vertical="center" wrapText="1"/>
    </xf>
    <xf numFmtId="191" fontId="69" fillId="0" borderId="11" xfId="96" applyNumberFormat="1" applyFont="1" applyFill="1" applyBorder="1" applyAlignment="1">
      <alignment horizontal="center" vertical="center"/>
    </xf>
    <xf numFmtId="192" fontId="69" fillId="0" borderId="11" xfId="96" applyNumberFormat="1" applyFont="1" applyFill="1" applyBorder="1" applyAlignment="1">
      <alignment horizontal="center" vertical="center"/>
    </xf>
    <xf numFmtId="0" fontId="56" fillId="0" borderId="0" xfId="38" applyAlignment="1" applyProtection="1"/>
    <xf numFmtId="3" fontId="30" fillId="0" borderId="16" xfId="6" applyNumberFormat="1" applyFont="1" applyBorder="1" applyAlignment="1">
      <alignment horizontal="right" wrapText="1"/>
    </xf>
    <xf numFmtId="0" fontId="30" fillId="0" borderId="0" xfId="2" applyFont="1" applyBorder="1" applyAlignment="1">
      <alignment horizontal="left" vertical="center"/>
    </xf>
    <xf numFmtId="3" fontId="30" fillId="21" borderId="0" xfId="6" applyNumberFormat="1" applyFont="1" applyFill="1" applyBorder="1" applyAlignment="1">
      <alignment horizontal="right" wrapText="1"/>
    </xf>
    <xf numFmtId="3" fontId="30" fillId="0" borderId="0" xfId="6" applyNumberFormat="1" applyFont="1" applyBorder="1" applyAlignment="1">
      <alignment horizontal="right" wrapText="1"/>
    </xf>
    <xf numFmtId="171" fontId="88" fillId="0" borderId="2" xfId="0" applyNumberFormat="1" applyFont="1" applyFill="1" applyBorder="1" applyAlignment="1">
      <alignment horizontal="center" vertical="center"/>
    </xf>
    <xf numFmtId="9" fontId="100" fillId="0" borderId="0" xfId="5" applyFont="1" applyFill="1" applyAlignment="1">
      <alignment horizontal="center"/>
    </xf>
    <xf numFmtId="1" fontId="13" fillId="0" borderId="5" xfId="5" applyNumberFormat="1" applyFont="1" applyFill="1" applyBorder="1" applyAlignment="1">
      <alignment horizontal="center" vertical="center"/>
    </xf>
    <xf numFmtId="177" fontId="69" fillId="16" borderId="2" xfId="0" applyNumberFormat="1" applyFont="1" applyFill="1" applyBorder="1" applyAlignment="1">
      <alignment horizontal="center" vertical="center"/>
    </xf>
    <xf numFmtId="193" fontId="69" fillId="16" borderId="2" xfId="0" applyNumberFormat="1" applyFont="1" applyFill="1" applyBorder="1" applyAlignment="1">
      <alignment horizontal="center" vertical="center"/>
    </xf>
    <xf numFmtId="0" fontId="70" fillId="5" borderId="2" xfId="0" applyFont="1" applyFill="1" applyBorder="1" applyAlignment="1">
      <alignment vertical="center" wrapText="1"/>
    </xf>
    <xf numFmtId="177" fontId="70" fillId="16" borderId="2" xfId="0" applyNumberFormat="1" applyFont="1" applyFill="1" applyBorder="1" applyAlignment="1">
      <alignment horizontal="center" vertical="center"/>
    </xf>
    <xf numFmtId="3" fontId="70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71" fontId="69" fillId="16" borderId="0" xfId="0" applyNumberFormat="1" applyFont="1" applyFill="1" applyBorder="1" applyAlignment="1">
      <alignment horizontal="center" vertical="center"/>
    </xf>
    <xf numFmtId="171" fontId="69" fillId="0" borderId="0" xfId="10" applyNumberFormat="1" applyFont="1" applyFill="1" applyBorder="1" applyAlignment="1">
      <alignment horizontal="right" vertical="center" wrapText="1"/>
    </xf>
    <xf numFmtId="0" fontId="8" fillId="14" borderId="0" xfId="6" applyFont="1" applyFill="1" applyAlignment="1">
      <alignment horizontal="center"/>
    </xf>
    <xf numFmtId="0" fontId="8" fillId="0" borderId="0" xfId="6" applyFont="1" applyFill="1" applyAlignment="1">
      <alignment horizontal="center"/>
    </xf>
    <xf numFmtId="171" fontId="69" fillId="59" borderId="2" xfId="4" applyNumberFormat="1" applyFont="1" applyFill="1" applyBorder="1" applyAlignment="1">
      <alignment horizontal="center"/>
    </xf>
    <xf numFmtId="171" fontId="27" fillId="22" borderId="9" xfId="10" applyNumberFormat="1" applyFont="1" applyFill="1" applyBorder="1" applyAlignment="1">
      <alignment horizontal="right" vertical="center" wrapText="1"/>
    </xf>
    <xf numFmtId="171" fontId="12" fillId="0" borderId="11" xfId="79" applyNumberFormat="1" applyFont="1" applyFill="1" applyBorder="1" applyAlignment="1">
      <alignment horizontal="right" vertical="center" wrapText="1"/>
    </xf>
    <xf numFmtId="0" fontId="14" fillId="0" borderId="0" xfId="6" applyFont="1" applyAlignment="1">
      <alignment horizontal="right"/>
    </xf>
    <xf numFmtId="0" fontId="6" fillId="58" borderId="0" xfId="6" applyFont="1" applyFill="1" applyAlignment="1">
      <alignment horizontal="center" vertical="center"/>
    </xf>
    <xf numFmtId="3" fontId="19" fillId="0" borderId="9" xfId="76" applyNumberFormat="1" applyFont="1" applyFill="1" applyBorder="1"/>
    <xf numFmtId="0" fontId="27" fillId="0" borderId="0" xfId="6" applyFont="1" applyAlignment="1">
      <alignment horizontal="center"/>
    </xf>
    <xf numFmtId="166" fontId="34" fillId="0" borderId="9" xfId="3" applyNumberFormat="1" applyFont="1" applyFill="1" applyBorder="1" applyAlignment="1">
      <alignment horizontal="right" vertical="center" wrapText="1"/>
    </xf>
    <xf numFmtId="0" fontId="151" fillId="0" borderId="0" xfId="0" applyFont="1" applyBorder="1"/>
    <xf numFmtId="9" fontId="177" fillId="16" borderId="2" xfId="5" applyFont="1" applyFill="1" applyBorder="1" applyAlignment="1">
      <alignment horizontal="center" vertical="center"/>
    </xf>
    <xf numFmtId="0" fontId="151" fillId="0" borderId="44" xfId="0" applyFont="1" applyFill="1" applyBorder="1"/>
    <xf numFmtId="0" fontId="177" fillId="5" borderId="2" xfId="0" applyFont="1" applyFill="1" applyBorder="1" applyAlignment="1">
      <alignment horizontal="left" vertical="center" wrapText="1" indent="1"/>
    </xf>
    <xf numFmtId="10" fontId="59" fillId="0" borderId="0" xfId="52" applyNumberFormat="1" applyFont="1"/>
    <xf numFmtId="0" fontId="76" fillId="23" borderId="9" xfId="12" applyFont="1" applyFill="1" applyBorder="1" applyAlignment="1">
      <alignment horizontal="center" vertical="center" wrapText="1"/>
    </xf>
    <xf numFmtId="3" fontId="30" fillId="0" borderId="9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6" fillId="2" borderId="9" xfId="1" applyNumberFormat="1" applyFont="1" applyFill="1" applyBorder="1" applyAlignment="1">
      <alignment horizontal="left" vertical="center" wrapText="1"/>
    </xf>
    <xf numFmtId="3" fontId="12" fillId="0" borderId="1" xfId="0" applyNumberFormat="1" applyFont="1" applyBorder="1"/>
    <xf numFmtId="0" fontId="8" fillId="0" borderId="0" xfId="0" applyFont="1" applyAlignment="1">
      <alignment horizontal="right"/>
    </xf>
    <xf numFmtId="0" fontId="6" fillId="2" borderId="9" xfId="1" applyFont="1" applyFill="1" applyBorder="1" applyAlignment="1">
      <alignment horizontal="left" vertical="center" wrapText="1"/>
    </xf>
    <xf numFmtId="0" fontId="12" fillId="0" borderId="1" xfId="0" applyFont="1" applyBorder="1"/>
    <xf numFmtId="3" fontId="12" fillId="0" borderId="1" xfId="1" applyNumberFormat="1" applyFont="1" applyBorder="1" applyAlignment="1">
      <alignment horizontal="center" vertical="center" wrapText="1"/>
    </xf>
    <xf numFmtId="169" fontId="12" fillId="0" borderId="1" xfId="1" applyNumberFormat="1" applyFont="1" applyBorder="1" applyAlignment="1">
      <alignment horizontal="center" vertical="center" wrapText="1"/>
    </xf>
    <xf numFmtId="169" fontId="12" fillId="0" borderId="0" xfId="1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left" indent="1"/>
    </xf>
    <xf numFmtId="168" fontId="12" fillId="0" borderId="1" xfId="1" applyNumberFormat="1" applyFont="1" applyBorder="1" applyAlignment="1">
      <alignment horizontal="center" vertical="center" wrapText="1"/>
    </xf>
    <xf numFmtId="9" fontId="12" fillId="0" borderId="1" xfId="5" applyFont="1" applyBorder="1" applyAlignment="1">
      <alignment horizontal="center" vertical="center" wrapText="1"/>
    </xf>
    <xf numFmtId="1" fontId="12" fillId="0" borderId="1" xfId="5" applyNumberFormat="1" applyFont="1" applyFill="1" applyBorder="1" applyAlignment="1">
      <alignment horizontal="center" vertical="center"/>
    </xf>
    <xf numFmtId="0" fontId="30" fillId="0" borderId="1" xfId="0" applyFont="1" applyBorder="1"/>
    <xf numFmtId="3" fontId="30" fillId="0" borderId="1" xfId="1" applyNumberFormat="1" applyFont="1" applyBorder="1" applyAlignment="1">
      <alignment horizontal="center" vertical="center" wrapText="1"/>
    </xf>
    <xf numFmtId="166" fontId="12" fillId="0" borderId="5" xfId="5" applyNumberFormat="1" applyFont="1" applyBorder="1" applyAlignment="1">
      <alignment horizontal="center" vertical="center"/>
    </xf>
    <xf numFmtId="0" fontId="30" fillId="0" borderId="4" xfId="1" applyFont="1" applyBorder="1" applyAlignment="1">
      <alignment horizontal="left" vertical="center" wrapText="1"/>
    </xf>
    <xf numFmtId="3" fontId="30" fillId="0" borderId="4" xfId="0" applyNumberFormat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14" fontId="11" fillId="2" borderId="9" xfId="0" applyNumberFormat="1" applyFont="1" applyFill="1" applyBorder="1" applyAlignment="1">
      <alignment horizontal="center" vertical="center" wrapText="1"/>
    </xf>
    <xf numFmtId="9" fontId="31" fillId="0" borderId="1" xfId="5" applyFont="1" applyBorder="1" applyAlignment="1">
      <alignment horizontal="left" vertical="center"/>
    </xf>
    <xf numFmtId="9" fontId="31" fillId="0" borderId="1" xfId="5" applyFont="1" applyBorder="1" applyAlignment="1">
      <alignment horizontal="center" vertical="center"/>
    </xf>
    <xf numFmtId="3" fontId="27" fillId="0" borderId="1" xfId="0" applyNumberFormat="1" applyFont="1" applyFill="1" applyBorder="1" applyAlignment="1">
      <alignment horizontal="center" vertical="center"/>
    </xf>
    <xf numFmtId="3" fontId="19" fillId="0" borderId="2" xfId="52" applyNumberFormat="1" applyFont="1" applyFill="1" applyBorder="1" applyAlignment="1">
      <alignment horizontal="center" vertical="center" wrapText="1"/>
    </xf>
    <xf numFmtId="3" fontId="12" fillId="0" borderId="1" xfId="1" applyNumberFormat="1" applyFont="1" applyFill="1" applyBorder="1" applyAlignment="1">
      <alignment horizontal="center" vertical="center" wrapText="1"/>
    </xf>
    <xf numFmtId="9" fontId="14" fillId="0" borderId="1" xfId="5" applyFont="1" applyFill="1" applyBorder="1" applyAlignment="1">
      <alignment horizontal="center" vertical="center"/>
    </xf>
    <xf numFmtId="1" fontId="37" fillId="0" borderId="2" xfId="52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left" indent="1"/>
    </xf>
    <xf numFmtId="3" fontId="169" fillId="0" borderId="0" xfId="1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indent="1"/>
    </xf>
    <xf numFmtId="9" fontId="169" fillId="0" borderId="0" xfId="5" applyFont="1" applyBorder="1" applyAlignment="1">
      <alignment horizontal="center" vertical="center" wrapText="1"/>
    </xf>
    <xf numFmtId="3" fontId="30" fillId="0" borderId="4" xfId="0" applyNumberFormat="1" applyFont="1" applyFill="1" applyBorder="1" applyAlignment="1">
      <alignment horizontal="center" vertical="center" wrapText="1"/>
    </xf>
    <xf numFmtId="0" fontId="151" fillId="0" borderId="0" xfId="67" applyFont="1"/>
    <xf numFmtId="0" fontId="200" fillId="0" borderId="0" xfId="67" applyFont="1"/>
    <xf numFmtId="169" fontId="24" fillId="0" borderId="2" xfId="67" applyNumberFormat="1" applyFont="1" applyFill="1" applyBorder="1" applyAlignment="1">
      <alignment horizontal="center"/>
    </xf>
    <xf numFmtId="2" fontId="12" fillId="0" borderId="1" xfId="5" applyNumberFormat="1" applyFont="1" applyFill="1" applyBorder="1" applyAlignment="1">
      <alignment horizontal="center" vertical="center"/>
    </xf>
    <xf numFmtId="3" fontId="69" fillId="0" borderId="0" xfId="3" applyNumberFormat="1" applyFont="1" applyFill="1" applyBorder="1" applyAlignment="1">
      <alignment horizontal="center" vertical="center"/>
    </xf>
    <xf numFmtId="3" fontId="12" fillId="14" borderId="1" xfId="52" applyNumberFormat="1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119" xfId="0" applyBorder="1"/>
    <xf numFmtId="168" fontId="69" fillId="0" borderId="120" xfId="3" applyNumberFormat="1" applyFont="1" applyFill="1" applyBorder="1" applyAlignment="1">
      <alignment horizontal="center" vertical="center"/>
    </xf>
    <xf numFmtId="0" fontId="109" fillId="0" borderId="0" xfId="6" applyFont="1" applyBorder="1" applyAlignment="1">
      <alignment horizontal="left"/>
    </xf>
    <xf numFmtId="3" fontId="69" fillId="0" borderId="120" xfId="3" applyNumberFormat="1" applyFont="1" applyBorder="1" applyAlignment="1">
      <alignment horizontal="center" vertical="center"/>
    </xf>
    <xf numFmtId="0" fontId="22" fillId="0" borderId="120" xfId="9" applyFont="1" applyFill="1" applyBorder="1" applyAlignment="1">
      <alignment horizontal="center" vertical="top"/>
    </xf>
    <xf numFmtId="0" fontId="0" fillId="0" borderId="121" xfId="0" applyBorder="1"/>
    <xf numFmtId="168" fontId="69" fillId="0" borderId="122" xfId="3" applyNumberFormat="1" applyFont="1" applyFill="1" applyBorder="1" applyAlignment="1">
      <alignment horizontal="center" vertical="center"/>
    </xf>
    <xf numFmtId="0" fontId="109" fillId="0" borderId="123" xfId="6" applyFont="1" applyBorder="1" applyAlignment="1">
      <alignment horizontal="left"/>
    </xf>
    <xf numFmtId="0" fontId="2" fillId="2" borderId="7" xfId="12" applyFont="1" applyFill="1" applyBorder="1" applyAlignment="1">
      <alignment horizontal="center" vertical="center" wrapText="1"/>
    </xf>
    <xf numFmtId="0" fontId="109" fillId="0" borderId="120" xfId="6" applyFont="1" applyBorder="1" applyAlignment="1">
      <alignment horizontal="center"/>
    </xf>
    <xf numFmtId="0" fontId="109" fillId="0" borderId="0" xfId="6" applyFont="1" applyBorder="1" applyAlignment="1">
      <alignment horizontal="center"/>
    </xf>
    <xf numFmtId="168" fontId="69" fillId="0" borderId="120" xfId="3" applyNumberFormat="1" applyFont="1" applyBorder="1" applyAlignment="1">
      <alignment horizontal="center" vertical="center"/>
    </xf>
    <xf numFmtId="0" fontId="2" fillId="2" borderId="8" xfId="12" applyFont="1" applyFill="1" applyBorder="1" applyAlignment="1">
      <alignment horizontal="left" vertical="center"/>
    </xf>
    <xf numFmtId="0" fontId="109" fillId="0" borderId="125" xfId="6" applyFont="1" applyBorder="1" applyAlignment="1">
      <alignment horizontal="center"/>
    </xf>
    <xf numFmtId="3" fontId="69" fillId="0" borderId="126" xfId="3" applyNumberFormat="1" applyFont="1" applyBorder="1" applyAlignment="1">
      <alignment horizontal="center" vertical="center"/>
    </xf>
    <xf numFmtId="3" fontId="69" fillId="0" borderId="125" xfId="3" applyNumberFormat="1" applyFont="1" applyBorder="1" applyAlignment="1">
      <alignment horizontal="center" vertical="center"/>
    </xf>
    <xf numFmtId="0" fontId="2" fillId="2" borderId="120" xfId="12" applyFont="1" applyFill="1" applyBorder="1" applyAlignment="1">
      <alignment horizontal="center" vertical="center" wrapText="1"/>
    </xf>
    <xf numFmtId="0" fontId="2" fillId="2" borderId="127" xfId="12" applyFont="1" applyFill="1" applyBorder="1" applyAlignment="1">
      <alignment horizontal="center" vertical="center" wrapText="1"/>
    </xf>
    <xf numFmtId="3" fontId="69" fillId="0" borderId="127" xfId="3" applyNumberFormat="1" applyFont="1" applyFill="1" applyBorder="1" applyAlignment="1">
      <alignment horizontal="center" vertical="center"/>
    </xf>
    <xf numFmtId="3" fontId="70" fillId="0" borderId="127" xfId="3" applyNumberFormat="1" applyFont="1" applyFill="1" applyBorder="1" applyAlignment="1">
      <alignment horizontal="center" vertical="center"/>
    </xf>
    <xf numFmtId="0" fontId="0" fillId="0" borderId="128" xfId="0" applyBorder="1"/>
    <xf numFmtId="3" fontId="70" fillId="0" borderId="123" xfId="3" applyNumberFormat="1" applyFont="1" applyFill="1" applyBorder="1" applyAlignment="1">
      <alignment horizontal="center" vertical="center"/>
    </xf>
    <xf numFmtId="0" fontId="201" fillId="0" borderId="0" xfId="0" applyFont="1"/>
    <xf numFmtId="0" fontId="27" fillId="0" borderId="0" xfId="6" applyFont="1" applyFill="1" applyAlignment="1">
      <alignment horizontal="center"/>
    </xf>
    <xf numFmtId="0" fontId="2" fillId="25" borderId="1" xfId="52" applyFont="1" applyFill="1" applyBorder="1" applyAlignment="1">
      <alignment horizontal="center" vertical="center" wrapText="1"/>
    </xf>
    <xf numFmtId="0" fontId="202" fillId="0" borderId="0" xfId="52" applyFont="1"/>
    <xf numFmtId="0" fontId="203" fillId="0" borderId="0" xfId="52" applyFont="1"/>
    <xf numFmtId="3" fontId="131" fillId="0" borderId="21" xfId="91" applyNumberFormat="1" applyFont="1" applyFill="1" applyBorder="1" applyAlignment="1">
      <alignment horizontal="right"/>
    </xf>
    <xf numFmtId="0" fontId="204" fillId="0" borderId="0" xfId="6" applyFont="1" applyAlignment="1">
      <alignment horizontal="right"/>
    </xf>
    <xf numFmtId="0" fontId="12" fillId="0" borderId="2" xfId="9" applyFont="1" applyFill="1" applyBorder="1" applyAlignment="1">
      <alignment horizontal="left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vertical="center"/>
    </xf>
    <xf numFmtId="166" fontId="69" fillId="0" borderId="10" xfId="3" applyNumberFormat="1" applyFont="1" applyFill="1" applyBorder="1" applyAlignment="1">
      <alignment horizontal="right"/>
    </xf>
    <xf numFmtId="0" fontId="91" fillId="0" borderId="4" xfId="0" applyFont="1" applyBorder="1" applyAlignment="1">
      <alignment vertical="center"/>
    </xf>
    <xf numFmtId="0" fontId="0" fillId="0" borderId="0" xfId="0" applyAlignment="1">
      <alignment horizontal="right"/>
    </xf>
    <xf numFmtId="171" fontId="69" fillId="0" borderId="9" xfId="0" applyNumberFormat="1" applyFont="1" applyBorder="1" applyAlignment="1">
      <alignment horizontal="right"/>
    </xf>
    <xf numFmtId="0" fontId="11" fillId="2" borderId="12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 wrapText="1"/>
    </xf>
    <xf numFmtId="10" fontId="19" fillId="0" borderId="9" xfId="3" applyNumberFormat="1" applyFont="1" applyFill="1" applyBorder="1" applyAlignment="1">
      <alignment horizontal="right" vertical="center" wrapText="1"/>
    </xf>
    <xf numFmtId="0" fontId="205" fillId="0" borderId="0" xfId="6" applyFont="1" applyAlignment="1">
      <alignment horizontal="center" vertical="center"/>
    </xf>
    <xf numFmtId="0" fontId="8" fillId="0" borderId="0" xfId="6" applyFont="1" applyFill="1"/>
    <xf numFmtId="0" fontId="11" fillId="4" borderId="12" xfId="0" applyFont="1" applyFill="1" applyBorder="1" applyAlignment="1">
      <alignment horizontal="center" vertical="center" wrapText="1"/>
    </xf>
    <xf numFmtId="0" fontId="69" fillId="4" borderId="12" xfId="0" applyFont="1" applyFill="1" applyBorder="1" applyAlignment="1">
      <alignment horizontal="left" vertical="center"/>
    </xf>
    <xf numFmtId="166" fontId="69" fillId="0" borderId="12" xfId="3" applyNumberFormat="1" applyFont="1" applyFill="1" applyBorder="1" applyAlignment="1">
      <alignment horizontal="right"/>
    </xf>
    <xf numFmtId="0" fontId="11" fillId="4" borderId="32" xfId="2" applyFont="1" applyFill="1" applyBorder="1" applyAlignment="1">
      <alignment horizontal="center" vertical="center" wrapText="1"/>
    </xf>
    <xf numFmtId="0" fontId="69" fillId="4" borderId="32" xfId="2" applyFont="1" applyFill="1" applyBorder="1" applyAlignment="1">
      <alignment horizontal="left" vertical="center" wrapText="1"/>
    </xf>
    <xf numFmtId="0" fontId="205" fillId="0" borderId="0" xfId="6" applyFont="1" applyBorder="1" applyAlignment="1">
      <alignment horizontal="center" vertical="center"/>
    </xf>
    <xf numFmtId="171" fontId="70" fillId="0" borderId="0" xfId="10" applyNumberFormat="1" applyFont="1" applyFill="1" applyBorder="1" applyAlignment="1">
      <alignment horizontal="right" vertical="center" wrapText="1"/>
    </xf>
    <xf numFmtId="10" fontId="69" fillId="0" borderId="9" xfId="3" applyNumberFormat="1" applyFont="1" applyFill="1" applyBorder="1" applyAlignment="1">
      <alignment horizontal="right" vertical="center" wrapText="1"/>
    </xf>
    <xf numFmtId="0" fontId="11" fillId="2" borderId="12" xfId="0" applyFont="1" applyFill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right" vertical="center" wrapText="1"/>
    </xf>
    <xf numFmtId="171" fontId="12" fillId="0" borderId="11" xfId="2" applyNumberFormat="1" applyFont="1" applyFill="1" applyBorder="1" applyAlignment="1">
      <alignment horizontal="right" vertical="center"/>
    </xf>
    <xf numFmtId="171" fontId="69" fillId="0" borderId="9" xfId="0" applyNumberFormat="1" applyFont="1" applyFill="1" applyBorder="1" applyAlignment="1">
      <alignment horizontal="right"/>
    </xf>
    <xf numFmtId="3" fontId="177" fillId="23" borderId="9" xfId="10" applyNumberFormat="1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left" vertical="center" wrapText="1"/>
    </xf>
    <xf numFmtId="0" fontId="27" fillId="0" borderId="0" xfId="9" applyFont="1" applyFill="1" applyBorder="1" applyAlignment="1">
      <alignment horizontal="left" vertical="top" wrapText="1" indent="1"/>
    </xf>
    <xf numFmtId="3" fontId="69" fillId="0" borderId="9" xfId="10" applyNumberFormat="1" applyFont="1" applyFill="1" applyBorder="1" applyAlignment="1">
      <alignment horizontal="right" vertical="center" wrapText="1"/>
    </xf>
    <xf numFmtId="171" fontId="27" fillId="0" borderId="9" xfId="10" applyNumberFormat="1" applyFont="1" applyFill="1" applyBorder="1" applyAlignment="1">
      <alignment horizontal="right" vertical="center" wrapText="1"/>
    </xf>
    <xf numFmtId="171" fontId="27" fillId="0" borderId="13" xfId="10" applyNumberFormat="1" applyFont="1" applyFill="1" applyBorder="1" applyAlignment="1">
      <alignment horizontal="right" vertical="center" wrapText="1"/>
    </xf>
    <xf numFmtId="0" fontId="27" fillId="0" borderId="0" xfId="6" applyFont="1" applyFill="1"/>
    <xf numFmtId="9" fontId="0" fillId="0" borderId="0" xfId="5" applyFont="1" applyFill="1"/>
    <xf numFmtId="1" fontId="11" fillId="2" borderId="2" xfId="67" applyNumberFormat="1" applyFont="1" applyFill="1" applyBorder="1" applyAlignment="1">
      <alignment horizontal="center" vertical="center" wrapText="1"/>
    </xf>
    <xf numFmtId="9" fontId="27" fillId="0" borderId="9" xfId="5" applyFont="1" applyFill="1" applyBorder="1" applyAlignment="1">
      <alignment horizontal="right" vertical="center" wrapText="1"/>
    </xf>
    <xf numFmtId="0" fontId="27" fillId="0" borderId="9" xfId="9" applyFont="1" applyFill="1" applyBorder="1" applyAlignment="1">
      <alignment horizontal="left" vertical="top" wrapText="1" indent="1"/>
    </xf>
    <xf numFmtId="9" fontId="16" fillId="0" borderId="0" xfId="5" applyFont="1"/>
    <xf numFmtId="3" fontId="70" fillId="23" borderId="12" xfId="10" applyNumberFormat="1" applyFont="1" applyFill="1" applyBorder="1" applyAlignment="1">
      <alignment horizontal="right" vertical="center" wrapText="1"/>
    </xf>
    <xf numFmtId="171" fontId="8" fillId="0" borderId="0" xfId="6" applyNumberFormat="1" applyFont="1"/>
    <xf numFmtId="9" fontId="8" fillId="0" borderId="0" xfId="5" applyFont="1"/>
    <xf numFmtId="9" fontId="8" fillId="0" borderId="0" xfId="6" applyNumberFormat="1" applyFont="1" applyAlignment="1">
      <alignment horizontal="right"/>
    </xf>
    <xf numFmtId="10" fontId="12" fillId="0" borderId="11" xfId="2" applyNumberFormat="1" applyFont="1" applyFill="1" applyBorder="1" applyAlignment="1">
      <alignment horizontal="right" vertical="center"/>
    </xf>
    <xf numFmtId="0" fontId="8" fillId="0" borderId="0" xfId="6" applyFont="1" applyFill="1" applyAlignment="1">
      <alignment horizontal="right"/>
    </xf>
    <xf numFmtId="10" fontId="22" fillId="0" borderId="11" xfId="2" applyNumberFormat="1" applyFont="1" applyFill="1" applyBorder="1" applyAlignment="1">
      <alignment horizontal="right" vertical="center"/>
    </xf>
    <xf numFmtId="0" fontId="69" fillId="0" borderId="12" xfId="0" applyFont="1" applyBorder="1" applyAlignment="1">
      <alignment vertical="center" wrapText="1"/>
    </xf>
    <xf numFmtId="0" fontId="11" fillId="2" borderId="13" xfId="0" applyFont="1" applyFill="1" applyBorder="1" applyAlignment="1">
      <alignment horizontal="left" vertical="center" wrapText="1"/>
    </xf>
    <xf numFmtId="166" fontId="69" fillId="0" borderId="129" xfId="3" applyNumberFormat="1" applyFont="1" applyFill="1" applyBorder="1" applyAlignment="1">
      <alignment horizontal="right"/>
    </xf>
    <xf numFmtId="166" fontId="69" fillId="0" borderId="129" xfId="3" applyNumberFormat="1" applyFont="1" applyFill="1" applyBorder="1" applyAlignment="1">
      <alignment horizontal="center"/>
    </xf>
    <xf numFmtId="166" fontId="70" fillId="0" borderId="9" xfId="3" applyNumberFormat="1" applyFont="1" applyFill="1" applyBorder="1" applyAlignment="1">
      <alignment horizontal="center"/>
    </xf>
    <xf numFmtId="10" fontId="69" fillId="0" borderId="9" xfId="3" applyNumberFormat="1" applyFont="1" applyFill="1" applyBorder="1" applyAlignment="1">
      <alignment horizontal="right" wrapText="1"/>
    </xf>
    <xf numFmtId="166" fontId="69" fillId="0" borderId="129" xfId="3" applyNumberFormat="1" applyFont="1" applyFill="1" applyBorder="1" applyAlignment="1">
      <alignment horizontal="center" vertical="center"/>
    </xf>
    <xf numFmtId="166" fontId="12" fillId="0" borderId="9" xfId="5" applyNumberFormat="1" applyFont="1" applyFill="1" applyBorder="1" applyAlignment="1">
      <alignment horizontal="center" vertical="center"/>
    </xf>
    <xf numFmtId="166" fontId="69" fillId="0" borderId="9" xfId="3" applyNumberFormat="1" applyFont="1" applyFill="1" applyBorder="1" applyAlignment="1">
      <alignment horizontal="right" vertical="center" wrapText="1"/>
    </xf>
    <xf numFmtId="9" fontId="96" fillId="0" borderId="13" xfId="3" applyFont="1" applyFill="1" applyBorder="1" applyAlignment="1">
      <alignment horizontal="right"/>
    </xf>
    <xf numFmtId="0" fontId="0" fillId="0" borderId="12" xfId="0" applyBorder="1"/>
    <xf numFmtId="0" fontId="82" fillId="0" borderId="0" xfId="6" applyFont="1" applyFill="1"/>
    <xf numFmtId="0" fontId="12" fillId="4" borderId="2" xfId="9" applyFont="1" applyFill="1" applyBorder="1" applyAlignment="1">
      <alignment horizontal="center" vertical="top" wrapText="1"/>
    </xf>
    <xf numFmtId="14" fontId="12" fillId="0" borderId="2" xfId="9" applyNumberFormat="1" applyFont="1" applyFill="1" applyBorder="1" applyAlignment="1">
      <alignment horizontal="center" vertical="top" wrapText="1"/>
    </xf>
    <xf numFmtId="166" fontId="69" fillId="0" borderId="16" xfId="3" applyNumberFormat="1" applyFont="1" applyFill="1" applyBorder="1" applyAlignment="1">
      <alignment horizontal="right"/>
    </xf>
    <xf numFmtId="3" fontId="14" fillId="0" borderId="0" xfId="6" applyNumberFormat="1" applyFont="1" applyAlignment="1">
      <alignment horizontal="right"/>
    </xf>
    <xf numFmtId="0" fontId="161" fillId="9" borderId="20" xfId="95" quotePrefix="1" applyFont="1" applyFill="1" applyBorder="1" applyAlignment="1">
      <alignment horizontal="right" vertical="center"/>
    </xf>
    <xf numFmtId="0" fontId="160" fillId="9" borderId="99" xfId="95" quotePrefix="1" applyFont="1" applyFill="1" applyBorder="1" applyAlignment="1">
      <alignment horizontal="left" vertical="center"/>
    </xf>
    <xf numFmtId="9" fontId="107" fillId="0" borderId="14" xfId="39" applyFont="1" applyFill="1" applyBorder="1" applyAlignment="1">
      <alignment horizontal="center" vertical="center"/>
    </xf>
    <xf numFmtId="0" fontId="160" fillId="9" borderId="98" xfId="95" applyFont="1" applyFill="1" applyBorder="1" applyAlignment="1">
      <alignment horizontal="left" vertical="center" wrapText="1"/>
    </xf>
    <xf numFmtId="169" fontId="14" fillId="0" borderId="46" xfId="39" applyNumberFormat="1" applyFont="1" applyFill="1" applyBorder="1" applyAlignment="1">
      <alignment horizontal="center" vertical="center"/>
    </xf>
    <xf numFmtId="169" fontId="14" fillId="0" borderId="14" xfId="39" applyNumberFormat="1" applyFont="1" applyFill="1" applyBorder="1" applyAlignment="1">
      <alignment horizontal="center" vertical="center"/>
    </xf>
    <xf numFmtId="0" fontId="160" fillId="9" borderId="25" xfId="95" applyFont="1" applyFill="1" applyBorder="1" applyAlignment="1">
      <alignment horizontal="left" vertical="center" wrapText="1"/>
    </xf>
    <xf numFmtId="169" fontId="1" fillId="0" borderId="0" xfId="64" applyNumberFormat="1"/>
    <xf numFmtId="169" fontId="12" fillId="0" borderId="9" xfId="1" applyNumberFormat="1" applyFont="1" applyFill="1" applyBorder="1" applyAlignment="1">
      <alignment horizontal="center" vertical="center" wrapText="1"/>
    </xf>
    <xf numFmtId="1" fontId="19" fillId="0" borderId="1" xfId="1" applyNumberFormat="1" applyFont="1" applyFill="1" applyBorder="1" applyAlignment="1">
      <alignment horizontal="center" vertical="center" wrapText="1"/>
    </xf>
    <xf numFmtId="3" fontId="13" fillId="0" borderId="9" xfId="0" applyNumberFormat="1" applyFont="1" applyFill="1" applyBorder="1" applyAlignment="1">
      <alignment horizontal="center" vertical="center" wrapText="1"/>
    </xf>
    <xf numFmtId="0" fontId="206" fillId="4" borderId="0" xfId="0" applyFont="1" applyFill="1"/>
    <xf numFmtId="9" fontId="1" fillId="0" borderId="0" xfId="5"/>
    <xf numFmtId="0" fontId="70" fillId="0" borderId="9" xfId="0" applyFont="1" applyBorder="1" applyAlignment="1">
      <alignment vertical="center"/>
    </xf>
    <xf numFmtId="0" fontId="70" fillId="0" borderId="9" xfId="0" applyFont="1" applyBorder="1" applyAlignment="1">
      <alignment vertical="center" wrapText="1"/>
    </xf>
    <xf numFmtId="171" fontId="70" fillId="0" borderId="9" xfId="0" applyNumberFormat="1" applyFont="1" applyBorder="1" applyAlignment="1">
      <alignment horizontal="right"/>
    </xf>
    <xf numFmtId="166" fontId="70" fillId="0" borderId="10" xfId="3" applyNumberFormat="1" applyFont="1" applyFill="1" applyBorder="1" applyAlignment="1">
      <alignment horizontal="right"/>
    </xf>
    <xf numFmtId="3" fontId="178" fillId="15" borderId="2" xfId="67" applyNumberFormat="1" applyFont="1" applyFill="1" applyBorder="1" applyAlignment="1">
      <alignment horizontal="center" vertical="center"/>
    </xf>
    <xf numFmtId="3" fontId="126" fillId="0" borderId="0" xfId="91" applyNumberFormat="1"/>
    <xf numFmtId="0" fontId="69" fillId="0" borderId="9" xfId="75" applyFont="1" applyBorder="1" applyAlignment="1">
      <alignment vertical="center"/>
    </xf>
    <xf numFmtId="1" fontId="9" fillId="0" borderId="9" xfId="67" applyNumberFormat="1" applyFont="1" applyBorder="1" applyAlignment="1">
      <alignment horizontal="center"/>
    </xf>
    <xf numFmtId="0" fontId="1" fillId="0" borderId="0" xfId="102"/>
    <xf numFmtId="0" fontId="6" fillId="2" borderId="9" xfId="79" applyFont="1" applyFill="1" applyBorder="1" applyAlignment="1">
      <alignment horizontal="center" vertical="center" wrapText="1"/>
    </xf>
    <xf numFmtId="0" fontId="69" fillId="3" borderId="9" xfId="75" applyFont="1" applyFill="1" applyBorder="1" applyAlignment="1">
      <alignment vertical="center"/>
    </xf>
    <xf numFmtId="3" fontId="12" fillId="3" borderId="9" xfId="67" applyNumberFormat="1" applyFont="1" applyFill="1" applyBorder="1" applyAlignment="1">
      <alignment horizontal="center"/>
    </xf>
    <xf numFmtId="0" fontId="1" fillId="0" borderId="0" xfId="75"/>
    <xf numFmtId="0" fontId="69" fillId="0" borderId="9" xfId="75" applyFont="1" applyBorder="1" applyAlignment="1">
      <alignment horizontal="left" vertical="center" indent="1"/>
    </xf>
    <xf numFmtId="3" fontId="12" fillId="0" borderId="9" xfId="67" applyNumberFormat="1" applyFont="1" applyBorder="1" applyAlignment="1">
      <alignment horizontal="center"/>
    </xf>
    <xf numFmtId="9" fontId="1" fillId="0" borderId="0" xfId="102" applyNumberFormat="1"/>
    <xf numFmtId="0" fontId="88" fillId="0" borderId="9" xfId="75" applyFont="1" applyBorder="1" applyAlignment="1">
      <alignment vertical="center"/>
    </xf>
    <xf numFmtId="9" fontId="12" fillId="0" borderId="9" xfId="103" applyFont="1" applyFill="1" applyBorder="1" applyAlignment="1">
      <alignment horizontal="center" vertical="center" wrapText="1"/>
    </xf>
    <xf numFmtId="9" fontId="12" fillId="0" borderId="9" xfId="103" applyFont="1" applyBorder="1" applyAlignment="1">
      <alignment horizontal="center"/>
    </xf>
    <xf numFmtId="0" fontId="69" fillId="60" borderId="9" xfId="75" applyFont="1" applyFill="1" applyBorder="1" applyAlignment="1">
      <alignment vertical="center"/>
    </xf>
    <xf numFmtId="3" fontId="22" fillId="60" borderId="9" xfId="67" applyNumberFormat="1" applyFont="1" applyFill="1" applyBorder="1" applyAlignment="1">
      <alignment horizontal="center"/>
    </xf>
    <xf numFmtId="0" fontId="69" fillId="0" borderId="9" xfId="75" applyFont="1" applyBorder="1" applyAlignment="1">
      <alignment horizontal="left" vertical="center" indent="2"/>
    </xf>
    <xf numFmtId="0" fontId="207" fillId="0" borderId="0" xfId="2" applyFont="1"/>
    <xf numFmtId="0" fontId="11" fillId="2" borderId="131" xfId="102" applyFont="1" applyFill="1" applyBorder="1" applyAlignment="1">
      <alignment horizontal="center" vertical="center" wrapText="1"/>
    </xf>
    <xf numFmtId="1" fontId="11" fillId="2" borderId="131" xfId="102" applyNumberFormat="1" applyFont="1" applyFill="1" applyBorder="1" applyAlignment="1">
      <alignment horizontal="center" vertical="center" wrapText="1"/>
    </xf>
    <xf numFmtId="0" fontId="8" fillId="0" borderId="0" xfId="102" applyFont="1"/>
    <xf numFmtId="0" fontId="22" fillId="4" borderId="1" xfId="102" applyFont="1" applyFill="1" applyBorder="1" applyAlignment="1">
      <alignment horizontal="left" vertical="center"/>
    </xf>
    <xf numFmtId="0" fontId="22" fillId="4" borderId="1" xfId="102" applyFont="1" applyFill="1" applyBorder="1" applyAlignment="1">
      <alignment vertical="center"/>
    </xf>
    <xf numFmtId="194" fontId="12" fillId="4" borderId="1" xfId="102" applyNumberFormat="1" applyFont="1" applyFill="1" applyBorder="1" applyAlignment="1">
      <alignment vertical="center"/>
    </xf>
    <xf numFmtId="0" fontId="8" fillId="0" borderId="0" xfId="102" applyFont="1" applyAlignment="1">
      <alignment vertical="center"/>
    </xf>
    <xf numFmtId="0" fontId="12" fillId="0" borderId="1" xfId="102" applyFont="1" applyBorder="1" applyAlignment="1">
      <alignment horizontal="left" vertical="center"/>
    </xf>
    <xf numFmtId="9" fontId="12" fillId="0" borderId="1" xfId="102" applyNumberFormat="1" applyFont="1" applyBorder="1" applyAlignment="1">
      <alignment vertical="center"/>
    </xf>
    <xf numFmtId="194" fontId="12" fillId="0" borderId="1" xfId="102" applyNumberFormat="1" applyFont="1" applyBorder="1" applyAlignment="1">
      <alignment vertical="center"/>
    </xf>
    <xf numFmtId="0" fontId="12" fillId="0" borderId="1" xfId="102" applyFont="1" applyBorder="1" applyAlignment="1">
      <alignment vertical="center"/>
    </xf>
    <xf numFmtId="0" fontId="208" fillId="0" borderId="0" xfId="75" applyFont="1"/>
    <xf numFmtId="0" fontId="209" fillId="0" borderId="0" xfId="75" applyFont="1"/>
    <xf numFmtId="3" fontId="12" fillId="8" borderId="9" xfId="9" applyNumberFormat="1" applyFont="1" applyFill="1" applyBorder="1" applyAlignment="1">
      <alignment horizontal="center" vertical="top" wrapText="1"/>
    </xf>
    <xf numFmtId="0" fontId="70" fillId="0" borderId="13" xfId="75" applyFont="1" applyBorder="1" applyAlignment="1">
      <alignment horizontal="center" vertical="center"/>
    </xf>
    <xf numFmtId="166" fontId="12" fillId="8" borderId="9" xfId="103" applyNumberFormat="1" applyFont="1" applyFill="1" applyBorder="1" applyAlignment="1">
      <alignment horizontal="center" vertical="center" wrapText="1"/>
    </xf>
    <xf numFmtId="166" fontId="12" fillId="0" borderId="9" xfId="103" applyNumberFormat="1" applyFont="1" applyFill="1" applyBorder="1" applyAlignment="1">
      <alignment horizontal="center" vertical="center" wrapText="1"/>
    </xf>
    <xf numFmtId="194" fontId="12" fillId="0" borderId="1" xfId="102" applyNumberFormat="1" applyFont="1" applyBorder="1"/>
    <xf numFmtId="0" fontId="210" fillId="0" borderId="0" xfId="75" applyFont="1"/>
    <xf numFmtId="9" fontId="31" fillId="0" borderId="9" xfId="103" applyFont="1" applyBorder="1" applyAlignment="1">
      <alignment horizontal="center"/>
    </xf>
    <xf numFmtId="0" fontId="211" fillId="0" borderId="0" xfId="75" applyFont="1"/>
    <xf numFmtId="9" fontId="12" fillId="0" borderId="9" xfId="3" applyFont="1" applyFill="1" applyBorder="1" applyAlignment="1">
      <alignment horizontal="center" vertical="center" wrapText="1"/>
    </xf>
    <xf numFmtId="0" fontId="69" fillId="0" borderId="0" xfId="75" applyFont="1" applyAlignment="1">
      <alignment vertical="center"/>
    </xf>
    <xf numFmtId="9" fontId="12" fillId="0" borderId="0" xfId="103" applyFont="1" applyBorder="1" applyAlignment="1">
      <alignment horizontal="center"/>
    </xf>
    <xf numFmtId="9" fontId="12" fillId="0" borderId="0" xfId="3" applyFont="1" applyFill="1" applyBorder="1" applyAlignment="1">
      <alignment horizontal="center" vertical="center" wrapText="1"/>
    </xf>
    <xf numFmtId="0" fontId="99" fillId="0" borderId="0" xfId="75" applyFont="1" applyAlignment="1">
      <alignment horizontal="center" vertical="center"/>
    </xf>
    <xf numFmtId="0" fontId="69" fillId="0" borderId="9" xfId="75" applyFont="1" applyBorder="1" applyAlignment="1">
      <alignment horizontal="left" vertical="center" indent="3"/>
    </xf>
    <xf numFmtId="0" fontId="212" fillId="0" borderId="0" xfId="102" applyFont="1"/>
    <xf numFmtId="3" fontId="12" fillId="0" borderId="9" xfId="67" applyNumberFormat="1" applyFont="1" applyFill="1" applyBorder="1" applyAlignment="1">
      <alignment horizontal="center"/>
    </xf>
    <xf numFmtId="3" fontId="12" fillId="15" borderId="2" xfId="67" applyNumberFormat="1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horizontal="center" vertical="center" wrapText="1"/>
    </xf>
    <xf numFmtId="3" fontId="70" fillId="13" borderId="2" xfId="0" applyNumberFormat="1" applyFont="1" applyFill="1" applyBorder="1" applyAlignment="1">
      <alignment horizontal="center" vertical="center"/>
    </xf>
    <xf numFmtId="1" fontId="9" fillId="0" borderId="0" xfId="67" applyNumberFormat="1" applyFont="1" applyBorder="1" applyAlignment="1">
      <alignment horizontal="center"/>
    </xf>
    <xf numFmtId="1" fontId="6" fillId="19" borderId="9" xfId="79" applyNumberFormat="1" applyFont="1" applyFill="1" applyBorder="1" applyAlignment="1">
      <alignment horizontal="center" vertical="center" wrapText="1"/>
    </xf>
    <xf numFmtId="0" fontId="22" fillId="10" borderId="2" xfId="67" applyFont="1" applyFill="1" applyBorder="1" applyAlignment="1">
      <alignment horizontal="left"/>
    </xf>
    <xf numFmtId="0" fontId="12" fillId="10" borderId="2" xfId="67" applyFont="1" applyFill="1" applyBorder="1" applyAlignment="1">
      <alignment horizontal="left"/>
    </xf>
    <xf numFmtId="3" fontId="12" fillId="10" borderId="2" xfId="67" applyNumberFormat="1" applyFont="1" applyFill="1" applyBorder="1" applyAlignment="1">
      <alignment horizontal="center"/>
    </xf>
    <xf numFmtId="3" fontId="59" fillId="0" borderId="0" xfId="67" applyNumberFormat="1" applyFont="1"/>
    <xf numFmtId="3" fontId="1" fillId="0" borderId="0" xfId="67" applyNumberFormat="1"/>
    <xf numFmtId="0" fontId="12" fillId="0" borderId="0" xfId="67" applyFont="1" applyFill="1"/>
    <xf numFmtId="0" fontId="12" fillId="15" borderId="2" xfId="67" applyFont="1" applyFill="1" applyBorder="1" applyAlignment="1">
      <alignment horizontal="left"/>
    </xf>
    <xf numFmtId="3" fontId="12" fillId="15" borderId="2" xfId="67" applyNumberFormat="1" applyFont="1" applyFill="1" applyBorder="1" applyAlignment="1">
      <alignment horizontal="center"/>
    </xf>
    <xf numFmtId="0" fontId="1" fillId="0" borderId="0" xfId="67" applyFill="1" applyAlignment="1">
      <alignment horizontal="center" vertical="center"/>
    </xf>
    <xf numFmtId="0" fontId="83" fillId="0" borderId="0" xfId="67" applyFont="1" applyFill="1"/>
    <xf numFmtId="0" fontId="12" fillId="0" borderId="2" xfId="67" applyFont="1" applyFill="1" applyBorder="1"/>
    <xf numFmtId="3" fontId="12" fillId="0" borderId="45" xfId="67" applyNumberFormat="1" applyFont="1" applyBorder="1" applyAlignment="1">
      <alignment horizontal="center"/>
    </xf>
    <xf numFmtId="0" fontId="68" fillId="0" borderId="0" xfId="52" applyFont="1" applyFill="1"/>
    <xf numFmtId="0" fontId="81" fillId="0" borderId="0" xfId="102" applyFont="1"/>
    <xf numFmtId="0" fontId="213" fillId="0" borderId="0" xfId="102" applyFont="1"/>
    <xf numFmtId="194" fontId="12" fillId="0" borderId="1" xfId="102" applyNumberFormat="1" applyFont="1" applyFill="1" applyBorder="1" applyAlignment="1">
      <alignment vertical="center"/>
    </xf>
    <xf numFmtId="166" fontId="13" fillId="8" borderId="9" xfId="103" applyNumberFormat="1" applyFont="1" applyFill="1" applyBorder="1" applyAlignment="1">
      <alignment horizontal="center" vertical="center" wrapText="1"/>
    </xf>
    <xf numFmtId="0" fontId="81" fillId="0" borderId="0" xfId="75" applyFont="1"/>
    <xf numFmtId="166" fontId="12" fillId="56" borderId="14" xfId="103" applyNumberFormat="1" applyFont="1" applyFill="1" applyBorder="1" applyAlignment="1">
      <alignment horizontal="center"/>
    </xf>
    <xf numFmtId="1" fontId="22" fillId="0" borderId="0" xfId="67" applyNumberFormat="1" applyFont="1" applyAlignment="1">
      <alignment horizontal="center"/>
    </xf>
    <xf numFmtId="0" fontId="12" fillId="4" borderId="1" xfId="102" applyFont="1" applyFill="1" applyBorder="1" applyAlignment="1">
      <alignment horizontal="left" vertical="center"/>
    </xf>
    <xf numFmtId="4" fontId="12" fillId="0" borderId="1" xfId="102" applyNumberFormat="1" applyFont="1" applyFill="1" applyBorder="1" applyAlignment="1">
      <alignment vertical="center"/>
    </xf>
    <xf numFmtId="3" fontId="12" fillId="0" borderId="1" xfId="102" applyNumberFormat="1" applyFont="1" applyBorder="1" applyAlignment="1">
      <alignment vertical="center"/>
    </xf>
    <xf numFmtId="3" fontId="12" fillId="0" borderId="1" xfId="102" applyNumberFormat="1" applyFont="1" applyFill="1" applyBorder="1" applyAlignment="1">
      <alignment vertical="center"/>
    </xf>
    <xf numFmtId="4" fontId="13" fillId="0" borderId="1" xfId="102" applyNumberFormat="1" applyFont="1" applyBorder="1" applyAlignment="1">
      <alignment vertical="center"/>
    </xf>
    <xf numFmtId="4" fontId="13" fillId="0" borderId="1" xfId="102" applyNumberFormat="1" applyFont="1" applyFill="1" applyBorder="1" applyAlignment="1">
      <alignment vertical="center"/>
    </xf>
    <xf numFmtId="168" fontId="12" fillId="0" borderId="1" xfId="52" applyNumberFormat="1" applyFont="1" applyFill="1" applyBorder="1" applyAlignment="1">
      <alignment horizontal="center" vertical="center"/>
    </xf>
    <xf numFmtId="168" fontId="12" fillId="0" borderId="1" xfId="52" applyNumberFormat="1" applyFont="1" applyFill="1" applyBorder="1" applyAlignment="1">
      <alignment horizontal="center"/>
    </xf>
    <xf numFmtId="3" fontId="22" fillId="4" borderId="1" xfId="102" applyNumberFormat="1" applyFont="1" applyFill="1" applyBorder="1" applyAlignment="1">
      <alignment horizontal="right" vertical="center"/>
    </xf>
    <xf numFmtId="3" fontId="0" fillId="0" borderId="0" xfId="0" applyNumberFormat="1"/>
    <xf numFmtId="3" fontId="12" fillId="0" borderId="1" xfId="102" applyNumberFormat="1" applyFont="1" applyBorder="1" applyAlignment="1">
      <alignment horizontal="center" vertical="center"/>
    </xf>
    <xf numFmtId="3" fontId="22" fillId="4" borderId="1" xfId="102" applyNumberFormat="1" applyFont="1" applyFill="1" applyBorder="1" applyAlignment="1">
      <alignment horizontal="center" vertical="center"/>
    </xf>
    <xf numFmtId="0" fontId="22" fillId="4" borderId="1" xfId="102" applyFont="1" applyFill="1" applyBorder="1" applyAlignment="1">
      <alignment horizontal="center" vertical="center"/>
    </xf>
    <xf numFmtId="3" fontId="12" fillId="0" borderId="0" xfId="102" applyNumberFormat="1" applyFont="1" applyFill="1" applyBorder="1" applyAlignment="1">
      <alignment vertical="center"/>
    </xf>
    <xf numFmtId="0" fontId="36" fillId="0" borderId="0" xfId="0" applyFont="1"/>
    <xf numFmtId="164" fontId="214" fillId="0" borderId="1" xfId="104" applyFont="1" applyFill="1" applyBorder="1" applyAlignment="1">
      <alignment horizontal="center" vertical="center" wrapText="1"/>
    </xf>
    <xf numFmtId="0" fontId="214" fillId="0" borderId="1" xfId="0" applyFont="1" applyBorder="1"/>
    <xf numFmtId="9" fontId="215" fillId="0" borderId="1" xfId="5" applyFont="1" applyFill="1" applyBorder="1" applyAlignment="1">
      <alignment horizontal="center" vertical="center" wrapText="1"/>
    </xf>
    <xf numFmtId="9" fontId="35" fillId="0" borderId="1" xfId="5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 wrapText="1"/>
    </xf>
    <xf numFmtId="14" fontId="19" fillId="8" borderId="1" xfId="1" applyNumberFormat="1" applyFont="1" applyFill="1" applyBorder="1" applyAlignment="1">
      <alignment horizontal="center" vertical="center" wrapText="1"/>
    </xf>
    <xf numFmtId="14" fontId="19" fillId="0" borderId="1" xfId="1" applyNumberFormat="1" applyFont="1" applyBorder="1" applyAlignment="1">
      <alignment horizontal="center" vertical="center" wrapText="1"/>
    </xf>
    <xf numFmtId="9" fontId="19" fillId="0" borderId="1" xfId="5" applyFont="1" applyFill="1" applyBorder="1" applyAlignment="1">
      <alignment horizontal="center" vertical="center" wrapText="1"/>
    </xf>
    <xf numFmtId="9" fontId="12" fillId="0" borderId="1" xfId="5" applyFont="1" applyFill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/>
    </xf>
    <xf numFmtId="0" fontId="38" fillId="0" borderId="0" xfId="0" applyFont="1"/>
    <xf numFmtId="1" fontId="11" fillId="2" borderId="0" xfId="0" applyNumberFormat="1" applyFont="1" applyFill="1" applyAlignment="1">
      <alignment horizontal="left" vertical="center"/>
    </xf>
    <xf numFmtId="1" fontId="11" fillId="25" borderId="0" xfId="0" applyNumberFormat="1" applyFont="1" applyFill="1" applyAlignment="1">
      <alignment horizontal="center" vertical="center" wrapText="1"/>
    </xf>
    <xf numFmtId="1" fontId="11" fillId="10" borderId="0" xfId="0" applyNumberFormat="1" applyFont="1" applyFill="1" applyAlignment="1">
      <alignment horizontal="left" vertical="center"/>
    </xf>
    <xf numFmtId="1" fontId="13" fillId="10" borderId="0" xfId="0" applyNumberFormat="1" applyFont="1" applyFill="1" applyAlignment="1">
      <alignment horizontal="right" vertical="center" wrapText="1"/>
    </xf>
    <xf numFmtId="1" fontId="13" fillId="10" borderId="0" xfId="0" applyNumberFormat="1" applyFont="1" applyFill="1" applyAlignment="1">
      <alignment horizontal="center" vertical="center" wrapText="1"/>
    </xf>
    <xf numFmtId="3" fontId="13" fillId="15" borderId="0" xfId="5" applyNumberFormat="1" applyFont="1" applyFill="1" applyAlignment="1">
      <alignment horizontal="center" vertical="center" wrapText="1"/>
    </xf>
    <xf numFmtId="9" fontId="13" fillId="10" borderId="0" xfId="5" applyFont="1" applyFill="1" applyAlignment="1">
      <alignment horizontal="center" vertical="center" wrapText="1"/>
    </xf>
    <xf numFmtId="0" fontId="37" fillId="0" borderId="0" xfId="0" applyFont="1"/>
    <xf numFmtId="3" fontId="12" fillId="8" borderId="1" xfId="0" applyNumberFormat="1" applyFont="1" applyFill="1" applyBorder="1" applyAlignment="1">
      <alignment horizontal="left" wrapText="1"/>
    </xf>
    <xf numFmtId="3" fontId="12" fillId="8" borderId="1" xfId="0" applyNumberFormat="1" applyFont="1" applyFill="1" applyBorder="1" applyAlignment="1">
      <alignment horizontal="center" wrapText="1"/>
    </xf>
    <xf numFmtId="3" fontId="12" fillId="8" borderId="1" xfId="0" applyNumberFormat="1" applyFont="1" applyFill="1" applyBorder="1" applyAlignment="1">
      <alignment horizontal="left"/>
    </xf>
    <xf numFmtId="3" fontId="12" fillId="8" borderId="5" xfId="0" applyNumberFormat="1" applyFont="1" applyFill="1" applyBorder="1" applyAlignment="1">
      <alignment horizontal="left" wrapText="1"/>
    </xf>
    <xf numFmtId="3" fontId="12" fillId="8" borderId="5" xfId="0" applyNumberFormat="1" applyFont="1" applyFill="1" applyBorder="1" applyAlignment="1">
      <alignment horizontal="center" wrapText="1"/>
    </xf>
    <xf numFmtId="3" fontId="12" fillId="7" borderId="5" xfId="0" applyNumberFormat="1" applyFont="1" applyFill="1" applyBorder="1" applyAlignment="1">
      <alignment horizontal="left" wrapText="1"/>
    </xf>
    <xf numFmtId="3" fontId="12" fillId="7" borderId="1" xfId="0" applyNumberFormat="1" applyFont="1" applyFill="1" applyBorder="1" applyAlignment="1">
      <alignment horizontal="left" wrapText="1"/>
    </xf>
    <xf numFmtId="3" fontId="12" fillId="7" borderId="1" xfId="0" applyNumberFormat="1" applyFont="1" applyFill="1" applyBorder="1" applyAlignment="1">
      <alignment horizontal="center" wrapText="1"/>
    </xf>
    <xf numFmtId="3" fontId="12" fillId="7" borderId="5" xfId="0" applyNumberFormat="1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left" wrapText="1"/>
    </xf>
    <xf numFmtId="0" fontId="37" fillId="0" borderId="0" xfId="0" applyFont="1" applyAlignment="1">
      <alignment horizontal="right"/>
    </xf>
    <xf numFmtId="3" fontId="12" fillId="7" borderId="1" xfId="0" applyNumberFormat="1" applyFont="1" applyFill="1" applyBorder="1" applyAlignment="1">
      <alignment horizontal="left"/>
    </xf>
    <xf numFmtId="0" fontId="12" fillId="8" borderId="5" xfId="0" applyFont="1" applyFill="1" applyBorder="1" applyAlignment="1">
      <alignment horizontal="left" wrapText="1"/>
    </xf>
    <xf numFmtId="3" fontId="12" fillId="8" borderId="1" xfId="0" applyNumberFormat="1" applyFont="1" applyFill="1" applyBorder="1"/>
    <xf numFmtId="3" fontId="12" fillId="8" borderId="5" xfId="0" applyNumberFormat="1" applyFont="1" applyFill="1" applyBorder="1" applyAlignment="1">
      <alignment horizontal="left"/>
    </xf>
    <xf numFmtId="3" fontId="12" fillId="61" borderId="1" xfId="0" applyNumberFormat="1" applyFont="1" applyFill="1" applyBorder="1" applyAlignment="1">
      <alignment horizontal="center" wrapText="1"/>
    </xf>
    <xf numFmtId="3" fontId="12" fillId="7" borderId="5" xfId="0" applyNumberFormat="1" applyFont="1" applyFill="1" applyBorder="1" applyAlignment="1">
      <alignment horizontal="left"/>
    </xf>
    <xf numFmtId="3" fontId="13" fillId="8" borderId="1" xfId="0" applyNumberFormat="1" applyFont="1" applyFill="1" applyBorder="1" applyAlignment="1">
      <alignment horizontal="center" wrapText="1"/>
    </xf>
    <xf numFmtId="3" fontId="13" fillId="7" borderId="1" xfId="0" applyNumberFormat="1" applyFont="1" applyFill="1" applyBorder="1" applyAlignment="1">
      <alignment horizontal="center" wrapText="1"/>
    </xf>
    <xf numFmtId="3" fontId="12" fillId="61" borderId="5" xfId="0" applyNumberFormat="1" applyFont="1" applyFill="1" applyBorder="1" applyAlignment="1">
      <alignment horizontal="center" wrapText="1"/>
    </xf>
    <xf numFmtId="0" fontId="22" fillId="0" borderId="1" xfId="0" applyFont="1" applyBorder="1"/>
    <xf numFmtId="3" fontId="30" fillId="0" borderId="1" xfId="0" applyNumberFormat="1" applyFont="1" applyBorder="1" applyAlignment="1">
      <alignment horizontal="center"/>
    </xf>
    <xf numFmtId="0" fontId="12" fillId="0" borderId="0" xfId="0" applyFont="1"/>
    <xf numFmtId="173" fontId="8" fillId="0" borderId="0" xfId="0" applyNumberFormat="1" applyFont="1" applyAlignment="1">
      <alignment horizontal="center"/>
    </xf>
    <xf numFmtId="1" fontId="13" fillId="15" borderId="0" xfId="0" applyNumberFormat="1" applyFont="1" applyFill="1" applyAlignment="1">
      <alignment horizontal="right" vertical="center"/>
    </xf>
    <xf numFmtId="9" fontId="13" fillId="15" borderId="0" xfId="5" applyFont="1" applyFill="1" applyAlignment="1">
      <alignment horizontal="center" vertical="center" wrapText="1"/>
    </xf>
    <xf numFmtId="3" fontId="12" fillId="61" borderId="1" xfId="0" applyNumberFormat="1" applyFont="1" applyFill="1" applyBorder="1" applyAlignment="1">
      <alignment horizontal="left" wrapText="1"/>
    </xf>
    <xf numFmtId="0" fontId="17" fillId="0" borderId="0" xfId="0" applyFont="1"/>
    <xf numFmtId="3" fontId="14" fillId="15" borderId="0" xfId="5" applyNumberFormat="1" applyFont="1" applyFill="1" applyAlignment="1">
      <alignment horizontal="center" vertical="center" wrapText="1"/>
    </xf>
    <xf numFmtId="1" fontId="13" fillId="15" borderId="0" xfId="0" applyNumberFormat="1" applyFont="1" applyFill="1" applyAlignment="1">
      <alignment horizontal="center" vertical="center" wrapText="1"/>
    </xf>
    <xf numFmtId="173" fontId="8" fillId="0" borderId="0" xfId="100" applyNumberFormat="1" applyFont="1" applyFill="1" applyAlignment="1">
      <alignment horizontal="center"/>
    </xf>
    <xf numFmtId="3" fontId="30" fillId="0" borderId="1" xfId="0" applyNumberFormat="1" applyFont="1" applyFill="1" applyBorder="1" applyAlignment="1">
      <alignment horizontal="center"/>
    </xf>
    <xf numFmtId="1" fontId="217" fillId="2" borderId="0" xfId="0" applyNumberFormat="1" applyFont="1" applyFill="1" applyAlignment="1">
      <alignment horizontal="center" vertical="center" wrapText="1"/>
    </xf>
    <xf numFmtId="0" fontId="81" fillId="0" borderId="0" xfId="0" applyFont="1" applyAlignment="1">
      <alignment horizontal="left" indent="1"/>
    </xf>
    <xf numFmtId="3" fontId="11" fillId="2" borderId="0" xfId="0" applyNumberFormat="1" applyFont="1" applyFill="1" applyAlignment="1">
      <alignment horizontal="left" vertical="center"/>
    </xf>
    <xf numFmtId="3" fontId="30" fillId="56" borderId="14" xfId="0" applyNumberFormat="1" applyFont="1" applyFill="1" applyBorder="1" applyAlignment="1">
      <alignment horizontal="center"/>
    </xf>
    <xf numFmtId="0" fontId="22" fillId="4" borderId="0" xfId="9" applyFont="1" applyFill="1" applyBorder="1" applyAlignment="1">
      <alignment horizontal="left" vertical="top"/>
    </xf>
    <xf numFmtId="0" fontId="177" fillId="0" borderId="2" xfId="67" applyFont="1" applyBorder="1" applyAlignment="1">
      <alignment horizontal="left" indent="1"/>
    </xf>
    <xf numFmtId="3" fontId="30" fillId="0" borderId="0" xfId="67" applyNumberFormat="1" applyFont="1" applyFill="1" applyBorder="1" applyAlignment="1">
      <alignment horizontal="center"/>
    </xf>
    <xf numFmtId="184" fontId="70" fillId="0" borderId="9" xfId="0" applyNumberFormat="1" applyFont="1" applyFill="1" applyBorder="1" applyAlignment="1">
      <alignment horizontal="right"/>
    </xf>
    <xf numFmtId="0" fontId="0" fillId="0" borderId="7" xfId="0" applyBorder="1"/>
    <xf numFmtId="3" fontId="0" fillId="0" borderId="7" xfId="0" applyNumberFormat="1" applyBorder="1" applyAlignment="1">
      <alignment horizontal="center"/>
    </xf>
    <xf numFmtId="0" fontId="26" fillId="0" borderId="0" xfId="0" applyFont="1" applyAlignment="1">
      <alignment horizontal="left" indent="2"/>
    </xf>
    <xf numFmtId="9" fontId="69" fillId="0" borderId="9" xfId="5" applyFont="1" applyBorder="1" applyAlignment="1">
      <alignment vertical="center" wrapText="1"/>
    </xf>
    <xf numFmtId="0" fontId="69" fillId="0" borderId="9" xfId="0" applyFont="1" applyBorder="1" applyAlignment="1">
      <alignment horizontal="right" vertical="center" wrapText="1"/>
    </xf>
    <xf numFmtId="171" fontId="70" fillId="0" borderId="12" xfId="0" applyNumberFormat="1" applyFont="1" applyBorder="1" applyAlignment="1">
      <alignment horizontal="right"/>
    </xf>
    <xf numFmtId="171" fontId="88" fillId="0" borderId="12" xfId="0" applyNumberFormat="1" applyFont="1" applyBorder="1" applyAlignment="1">
      <alignment horizontal="left"/>
    </xf>
    <xf numFmtId="0" fontId="58" fillId="2" borderId="12" xfId="0" applyFont="1" applyFill="1" applyBorder="1" applyAlignment="1">
      <alignment horizontal="left" vertical="center"/>
    </xf>
    <xf numFmtId="0" fontId="58" fillId="62" borderId="12" xfId="0" applyFont="1" applyFill="1" applyBorder="1" applyAlignment="1">
      <alignment horizontal="left" vertical="center"/>
    </xf>
    <xf numFmtId="0" fontId="11" fillId="62" borderId="12" xfId="0" applyFont="1" applyFill="1" applyBorder="1" applyAlignment="1">
      <alignment horizontal="right" vertical="center" wrapText="1"/>
    </xf>
    <xf numFmtId="3" fontId="69" fillId="0" borderId="9" xfId="0" applyNumberFormat="1" applyFont="1" applyBorder="1" applyAlignment="1">
      <alignment vertical="center" wrapText="1"/>
    </xf>
    <xf numFmtId="171" fontId="88" fillId="0" borderId="11" xfId="10" applyNumberFormat="1" applyFont="1" applyFill="1" applyBorder="1" applyAlignment="1">
      <alignment horizontal="right" vertical="center" wrapText="1"/>
    </xf>
    <xf numFmtId="0" fontId="8" fillId="14" borderId="0" xfId="6" applyFont="1" applyFill="1"/>
    <xf numFmtId="0" fontId="218" fillId="63" borderId="0" xfId="0" applyFont="1" applyFill="1" applyAlignment="1">
      <alignment horizontal="right"/>
    </xf>
    <xf numFmtId="0" fontId="26" fillId="0" borderId="0" xfId="0" applyFont="1" applyAlignment="1">
      <alignment horizontal="right"/>
    </xf>
    <xf numFmtId="3" fontId="70" fillId="0" borderId="9" xfId="0" applyNumberFormat="1" applyFont="1" applyBorder="1" applyAlignment="1">
      <alignment horizontal="right" vertical="center"/>
    </xf>
    <xf numFmtId="3" fontId="69" fillId="0" borderId="9" xfId="0" applyNumberFormat="1" applyFont="1" applyFill="1" applyBorder="1" applyAlignment="1">
      <alignment horizontal="right" vertical="center"/>
    </xf>
    <xf numFmtId="3" fontId="70" fillId="0" borderId="9" xfId="0" applyNumberFormat="1" applyFont="1" applyFill="1" applyBorder="1" applyAlignment="1">
      <alignment horizontal="right" vertical="center"/>
    </xf>
    <xf numFmtId="171" fontId="69" fillId="56" borderId="9" xfId="10" applyNumberFormat="1" applyFont="1" applyFill="1" applyBorder="1" applyAlignment="1">
      <alignment horizontal="right" vertical="center" wrapText="1"/>
    </xf>
    <xf numFmtId="166" fontId="0" fillId="0" borderId="0" xfId="5" applyNumberFormat="1" applyFont="1"/>
    <xf numFmtId="0" fontId="81" fillId="0" borderId="0" xfId="0" applyFont="1"/>
    <xf numFmtId="0" fontId="0" fillId="0" borderId="26" xfId="0" applyBorder="1"/>
    <xf numFmtId="171" fontId="70" fillId="0" borderId="18" xfId="0" applyNumberFormat="1" applyFont="1" applyBorder="1" applyAlignment="1">
      <alignment horizontal="right"/>
    </xf>
    <xf numFmtId="171" fontId="70" fillId="0" borderId="18" xfId="0" applyNumberFormat="1" applyFont="1" applyFill="1" applyBorder="1" applyAlignment="1">
      <alignment horizontal="right"/>
    </xf>
    <xf numFmtId="3" fontId="12" fillId="0" borderId="16" xfId="67" applyNumberFormat="1" applyFont="1" applyBorder="1" applyAlignment="1">
      <alignment horizontal="center"/>
    </xf>
    <xf numFmtId="0" fontId="86" fillId="0" borderId="0" xfId="0" applyFont="1"/>
    <xf numFmtId="171" fontId="8" fillId="0" borderId="0" xfId="6" applyNumberFormat="1" applyFont="1" applyFill="1"/>
    <xf numFmtId="9" fontId="30" fillId="0" borderId="1" xfId="5" applyFont="1" applyFill="1" applyBorder="1" applyAlignment="1">
      <alignment horizontal="left" vertical="center"/>
    </xf>
    <xf numFmtId="1" fontId="11" fillId="2" borderId="2" xfId="67" applyNumberFormat="1" applyFont="1" applyFill="1" applyBorder="1" applyAlignment="1">
      <alignment horizontal="center" vertical="center" wrapText="1"/>
    </xf>
    <xf numFmtId="9" fontId="31" fillId="0" borderId="8" xfId="5" applyFont="1" applyFill="1" applyBorder="1" applyAlignment="1">
      <alignment horizontal="center" vertical="center"/>
    </xf>
    <xf numFmtId="0" fontId="0" fillId="0" borderId="21" xfId="0" applyBorder="1" applyAlignment="1">
      <alignment horizontal="right"/>
    </xf>
    <xf numFmtId="0" fontId="221" fillId="0" borderId="0" xfId="2" applyFont="1"/>
    <xf numFmtId="0" fontId="11" fillId="2" borderId="12" xfId="2" applyFont="1" applyFill="1" applyBorder="1" applyAlignment="1">
      <alignment horizontal="left" vertical="center"/>
    </xf>
    <xf numFmtId="0" fontId="98" fillId="2" borderId="12" xfId="2" applyFont="1" applyFill="1" applyBorder="1" applyAlignment="1">
      <alignment horizontal="left" vertical="center" wrapText="1"/>
    </xf>
    <xf numFmtId="166" fontId="14" fillId="64" borderId="0" xfId="3" applyNumberFormat="1" applyFont="1" applyFill="1" applyBorder="1" applyAlignment="1">
      <alignment horizontal="right" vertical="center" wrapText="1"/>
    </xf>
    <xf numFmtId="0" fontId="70" fillId="0" borderId="11" xfId="9" applyFont="1" applyFill="1" applyBorder="1" applyAlignment="1">
      <alignment horizontal="left" vertical="top" wrapText="1" indent="1"/>
    </xf>
    <xf numFmtId="0" fontId="74" fillId="0" borderId="11" xfId="9" applyFont="1" applyFill="1" applyBorder="1">
      <alignment horizontal="left" vertical="top" wrapText="1"/>
    </xf>
    <xf numFmtId="0" fontId="74" fillId="0" borderId="11" xfId="9" applyFont="1" applyFill="1" applyBorder="1" applyAlignment="1">
      <alignment horizontal="center" vertical="top" wrapText="1"/>
    </xf>
    <xf numFmtId="171" fontId="69" fillId="0" borderId="11" xfId="9" applyNumberFormat="1" applyFont="1" applyFill="1" applyBorder="1" applyAlignment="1">
      <alignment horizontal="right" vertical="top" wrapText="1" indent="1"/>
    </xf>
    <xf numFmtId="0" fontId="222" fillId="0" borderId="11" xfId="9" applyFont="1" applyFill="1" applyBorder="1" applyAlignment="1">
      <alignment horizontal="left" vertical="top" wrapText="1" indent="1"/>
    </xf>
    <xf numFmtId="166" fontId="69" fillId="0" borderId="11" xfId="3" applyNumberFormat="1" applyFont="1" applyFill="1" applyBorder="1" applyAlignment="1">
      <alignment horizontal="right" vertical="top" wrapText="1" indent="1"/>
    </xf>
    <xf numFmtId="0" fontId="29" fillId="0" borderId="0" xfId="9" applyFont="1" applyFill="1" applyBorder="1" applyAlignment="1">
      <alignment horizontal="left" vertical="top"/>
    </xf>
    <xf numFmtId="0" fontId="14" fillId="4" borderId="32" xfId="2" applyFont="1" applyFill="1" applyBorder="1" applyAlignment="1">
      <alignment horizontal="center" vertical="center" wrapText="1"/>
    </xf>
    <xf numFmtId="4" fontId="69" fillId="65" borderId="1" xfId="2" applyNumberFormat="1" applyFont="1" applyFill="1" applyBorder="1" applyAlignment="1">
      <alignment horizontal="center"/>
    </xf>
    <xf numFmtId="3" fontId="69" fillId="0" borderId="11" xfId="3" applyNumberFormat="1" applyFont="1" applyFill="1" applyBorder="1" applyAlignment="1">
      <alignment horizontal="center" vertical="top" shrinkToFit="1"/>
    </xf>
    <xf numFmtId="3" fontId="69" fillId="65" borderId="11" xfId="3" applyNumberFormat="1" applyFont="1" applyFill="1" applyBorder="1" applyAlignment="1">
      <alignment horizontal="center" vertical="top" shrinkToFit="1"/>
    </xf>
    <xf numFmtId="0" fontId="14" fillId="4" borderId="132" xfId="2" applyFont="1" applyFill="1" applyBorder="1" applyAlignment="1">
      <alignment horizontal="center" vertical="center" wrapText="1"/>
    </xf>
    <xf numFmtId="0" fontId="14" fillId="4" borderId="133" xfId="2" applyFont="1" applyFill="1" applyBorder="1" applyAlignment="1">
      <alignment horizontal="center" vertical="center" wrapText="1"/>
    </xf>
    <xf numFmtId="3" fontId="69" fillId="64" borderId="134" xfId="3" applyNumberFormat="1" applyFont="1" applyFill="1" applyBorder="1" applyAlignment="1">
      <alignment horizontal="center" vertical="top" wrapText="1"/>
    </xf>
    <xf numFmtId="166" fontId="69" fillId="64" borderId="135" xfId="3" applyNumberFormat="1" applyFont="1" applyFill="1" applyBorder="1" applyAlignment="1">
      <alignment horizontal="center" vertical="top" wrapText="1"/>
    </xf>
    <xf numFmtId="171" fontId="69" fillId="65" borderId="134" xfId="3" applyNumberFormat="1" applyFont="1" applyFill="1" applyBorder="1" applyAlignment="1">
      <alignment horizontal="center" vertical="top" wrapText="1"/>
    </xf>
    <xf numFmtId="166" fontId="69" fillId="65" borderId="135" xfId="3" applyNumberFormat="1" applyFont="1" applyFill="1" applyBorder="1" applyAlignment="1">
      <alignment horizontal="center" vertical="top" wrapText="1"/>
    </xf>
    <xf numFmtId="171" fontId="69" fillId="0" borderId="134" xfId="3" applyNumberFormat="1" applyFont="1" applyFill="1" applyBorder="1" applyAlignment="1">
      <alignment horizontal="center" vertical="top" wrapText="1"/>
    </xf>
    <xf numFmtId="166" fontId="69" fillId="0" borderId="135" xfId="3" applyNumberFormat="1" applyFont="1" applyFill="1" applyBorder="1" applyAlignment="1">
      <alignment horizontal="center" vertical="top" wrapText="1"/>
    </xf>
    <xf numFmtId="0" fontId="11" fillId="2" borderId="136" xfId="2" applyFont="1" applyFill="1" applyBorder="1" applyAlignment="1">
      <alignment horizontal="left" vertical="center"/>
    </xf>
    <xf numFmtId="0" fontId="11" fillId="2" borderId="0" xfId="2" applyFont="1" applyFill="1" applyBorder="1" applyAlignment="1">
      <alignment horizontal="left" vertical="center"/>
    </xf>
    <xf numFmtId="0" fontId="98" fillId="2" borderId="0" xfId="2" applyFont="1" applyFill="1" applyBorder="1" applyAlignment="1">
      <alignment horizontal="left" vertical="center" wrapText="1"/>
    </xf>
    <xf numFmtId="0" fontId="11" fillId="2" borderId="137" xfId="2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right" vertical="center" wrapText="1"/>
    </xf>
    <xf numFmtId="3" fontId="69" fillId="0" borderId="16" xfId="2" applyNumberFormat="1" applyFont="1" applyFill="1" applyBorder="1" applyAlignment="1">
      <alignment vertical="center" wrapText="1"/>
    </xf>
    <xf numFmtId="4" fontId="14" fillId="26" borderId="1" xfId="0" applyNumberFormat="1" applyFont="1" applyFill="1" applyBorder="1" applyAlignment="1">
      <alignment horizontal="center"/>
    </xf>
    <xf numFmtId="171" fontId="69" fillId="64" borderId="134" xfId="3" applyNumberFormat="1" applyFont="1" applyFill="1" applyBorder="1" applyAlignment="1">
      <alignment horizontal="center" vertical="top" wrapText="1"/>
    </xf>
    <xf numFmtId="0" fontId="3" fillId="0" borderId="0" xfId="2" applyFill="1"/>
    <xf numFmtId="4" fontId="69" fillId="0" borderId="1" xfId="2" applyNumberFormat="1" applyFont="1" applyFill="1" applyBorder="1" applyAlignment="1">
      <alignment horizontal="center"/>
    </xf>
    <xf numFmtId="4" fontId="69" fillId="66" borderId="1" xfId="2" applyNumberFormat="1" applyFont="1" applyFill="1" applyBorder="1" applyAlignment="1">
      <alignment horizontal="center"/>
    </xf>
    <xf numFmtId="171" fontId="69" fillId="66" borderId="134" xfId="3" applyNumberFormat="1" applyFont="1" applyFill="1" applyBorder="1" applyAlignment="1">
      <alignment horizontal="center" vertical="top" wrapText="1"/>
    </xf>
    <xf numFmtId="166" fontId="69" fillId="66" borderId="135" xfId="3" applyNumberFormat="1" applyFont="1" applyFill="1" applyBorder="1" applyAlignment="1">
      <alignment horizontal="center" vertical="top" wrapText="1"/>
    </xf>
    <xf numFmtId="171" fontId="70" fillId="0" borderId="9" xfId="0" applyNumberFormat="1" applyFont="1" applyFill="1" applyBorder="1" applyAlignment="1">
      <alignment horizontal="right"/>
    </xf>
    <xf numFmtId="166" fontId="13" fillId="0" borderId="9" xfId="3" applyNumberFormat="1" applyFont="1" applyFill="1" applyBorder="1" applyAlignment="1">
      <alignment horizontal="right" vertical="center" wrapText="1"/>
    </xf>
    <xf numFmtId="3" fontId="12" fillId="0" borderId="7" xfId="67" applyNumberFormat="1" applyFont="1" applyFill="1" applyBorder="1" applyAlignment="1">
      <alignment horizontal="center"/>
    </xf>
    <xf numFmtId="3" fontId="12" fillId="56" borderId="14" xfId="67" applyNumberFormat="1" applyFont="1" applyFill="1" applyBorder="1" applyAlignment="1">
      <alignment horizontal="center"/>
    </xf>
    <xf numFmtId="169" fontId="12" fillId="0" borderId="2" xfId="67" applyNumberFormat="1" applyFont="1" applyFill="1" applyBorder="1" applyAlignment="1">
      <alignment horizontal="center"/>
    </xf>
    <xf numFmtId="0" fontId="223" fillId="0" borderId="0" xfId="2" applyFont="1" applyAlignment="1">
      <alignment horizontal="right"/>
    </xf>
    <xf numFmtId="171" fontId="69" fillId="67" borderId="9" xfId="10" applyNumberFormat="1" applyFont="1" applyFill="1" applyBorder="1" applyAlignment="1">
      <alignment horizontal="right" vertical="center" wrapText="1"/>
    </xf>
    <xf numFmtId="0" fontId="11" fillId="2" borderId="138" xfId="2" applyFont="1" applyFill="1" applyBorder="1" applyAlignment="1">
      <alignment horizontal="left" vertical="center"/>
    </xf>
    <xf numFmtId="0" fontId="3" fillId="0" borderId="0" xfId="2" applyBorder="1"/>
    <xf numFmtId="0" fontId="221" fillId="0" borderId="0" xfId="2" applyFont="1" applyBorder="1"/>
    <xf numFmtId="0" fontId="11" fillId="4" borderId="0" xfId="2" applyFont="1" applyFill="1" applyBorder="1" applyAlignment="1">
      <alignment horizontal="left" vertical="center"/>
    </xf>
    <xf numFmtId="0" fontId="14" fillId="4" borderId="0" xfId="2" applyFont="1" applyFill="1" applyBorder="1" applyAlignment="1">
      <alignment horizontal="left" vertical="center"/>
    </xf>
    <xf numFmtId="0" fontId="98" fillId="4" borderId="0" xfId="2" applyFont="1" applyFill="1" applyBorder="1" applyAlignment="1">
      <alignment horizontal="left" vertical="center" wrapText="1"/>
    </xf>
    <xf numFmtId="3" fontId="69" fillId="64" borderId="11" xfId="3" applyNumberFormat="1" applyFont="1" applyFill="1" applyBorder="1" applyAlignment="1">
      <alignment horizontal="center" vertical="top" shrinkToFit="1"/>
    </xf>
    <xf numFmtId="3" fontId="69" fillId="66" borderId="11" xfId="3" applyNumberFormat="1" applyFont="1" applyFill="1" applyBorder="1" applyAlignment="1">
      <alignment horizontal="center" vertical="top" shrinkToFit="1"/>
    </xf>
    <xf numFmtId="171" fontId="69" fillId="0" borderId="11" xfId="9" applyNumberFormat="1" applyFont="1" applyFill="1" applyBorder="1" applyAlignment="1">
      <alignment horizontal="right" vertical="top" indent="1" shrinkToFit="1"/>
    </xf>
    <xf numFmtId="166" fontId="69" fillId="64" borderId="134" xfId="3" applyNumberFormat="1" applyFont="1" applyFill="1" applyBorder="1" applyAlignment="1">
      <alignment horizontal="center" vertical="top" wrapText="1"/>
    </xf>
    <xf numFmtId="166" fontId="69" fillId="0" borderId="139" xfId="3" applyNumberFormat="1" applyFont="1" applyFill="1" applyBorder="1" applyAlignment="1">
      <alignment horizontal="center"/>
    </xf>
    <xf numFmtId="166" fontId="69" fillId="65" borderId="139" xfId="3" applyNumberFormat="1" applyFont="1" applyFill="1" applyBorder="1" applyAlignment="1">
      <alignment horizontal="center"/>
    </xf>
    <xf numFmtId="166" fontId="69" fillId="0" borderId="140" xfId="3" applyNumberFormat="1" applyFont="1" applyFill="1" applyBorder="1" applyAlignment="1">
      <alignment horizontal="center"/>
    </xf>
    <xf numFmtId="0" fontId="224" fillId="0" borderId="141" xfId="2" applyFont="1" applyBorder="1"/>
    <xf numFmtId="0" fontId="225" fillId="0" borderId="142" xfId="2" applyFont="1" applyBorder="1"/>
    <xf numFmtId="0" fontId="224" fillId="0" borderId="142" xfId="2" applyFont="1" applyBorder="1"/>
    <xf numFmtId="0" fontId="225" fillId="0" borderId="143" xfId="2" applyFont="1" applyBorder="1"/>
    <xf numFmtId="0" fontId="11" fillId="2" borderId="144" xfId="2" applyFont="1" applyFill="1" applyBorder="1" applyAlignment="1">
      <alignment horizontal="left" vertical="center"/>
    </xf>
    <xf numFmtId="0" fontId="11" fillId="2" borderId="145" xfId="2" applyFont="1" applyFill="1" applyBorder="1" applyAlignment="1">
      <alignment horizontal="center" vertical="center" wrapText="1"/>
    </xf>
    <xf numFmtId="0" fontId="14" fillId="4" borderId="146" xfId="2" applyFont="1" applyFill="1" applyBorder="1" applyAlignment="1">
      <alignment horizontal="center" vertical="center" wrapText="1"/>
    </xf>
    <xf numFmtId="0" fontId="14" fillId="4" borderId="147" xfId="2" applyFont="1" applyFill="1" applyBorder="1" applyAlignment="1">
      <alignment horizontal="center" vertical="center" wrapText="1"/>
    </xf>
    <xf numFmtId="3" fontId="69" fillId="64" borderId="148" xfId="3" applyNumberFormat="1" applyFont="1" applyFill="1" applyBorder="1" applyAlignment="1">
      <alignment horizontal="center" vertical="top" wrapText="1"/>
    </xf>
    <xf numFmtId="166" fontId="69" fillId="64" borderId="149" xfId="3" applyNumberFormat="1" applyFont="1" applyFill="1" applyBorder="1" applyAlignment="1">
      <alignment horizontal="center" vertical="top" wrapText="1"/>
    </xf>
    <xf numFmtId="171" fontId="69" fillId="0" borderId="148" xfId="3" applyNumberFormat="1" applyFont="1" applyFill="1" applyBorder="1" applyAlignment="1">
      <alignment horizontal="center" vertical="top" wrapText="1"/>
    </xf>
    <xf numFmtId="166" fontId="69" fillId="0" borderId="149" xfId="3" applyNumberFormat="1" applyFont="1" applyFill="1" applyBorder="1" applyAlignment="1">
      <alignment horizontal="center" vertical="top" wrapText="1"/>
    </xf>
    <xf numFmtId="171" fontId="69" fillId="65" borderId="148" xfId="3" applyNumberFormat="1" applyFont="1" applyFill="1" applyBorder="1" applyAlignment="1">
      <alignment horizontal="center" vertical="top" wrapText="1"/>
    </xf>
    <xf numFmtId="166" fontId="69" fillId="65" borderId="149" xfId="3" applyNumberFormat="1" applyFont="1" applyFill="1" applyBorder="1" applyAlignment="1">
      <alignment horizontal="center" vertical="top" wrapText="1"/>
    </xf>
    <xf numFmtId="171" fontId="69" fillId="0" borderId="150" xfId="3" applyNumberFormat="1" applyFont="1" applyFill="1" applyBorder="1" applyAlignment="1">
      <alignment horizontal="center" vertical="top" wrapText="1"/>
    </xf>
    <xf numFmtId="3" fontId="69" fillId="0" borderId="151" xfId="3" applyNumberFormat="1" applyFont="1" applyFill="1" applyBorder="1" applyAlignment="1">
      <alignment horizontal="center" vertical="top" shrinkToFit="1"/>
    </xf>
    <xf numFmtId="166" fontId="69" fillId="0" borderId="152" xfId="3" applyNumberFormat="1" applyFont="1" applyFill="1" applyBorder="1" applyAlignment="1">
      <alignment horizontal="center" vertical="top" wrapText="1"/>
    </xf>
    <xf numFmtId="171" fontId="69" fillId="0" borderId="153" xfId="3" applyNumberFormat="1" applyFont="1" applyFill="1" applyBorder="1" applyAlignment="1">
      <alignment horizontal="center" vertical="top" wrapText="1"/>
    </xf>
    <xf numFmtId="166" fontId="69" fillId="0" borderId="154" xfId="3" applyNumberFormat="1" applyFont="1" applyFill="1" applyBorder="1" applyAlignment="1">
      <alignment horizontal="center" vertical="top" wrapText="1"/>
    </xf>
    <xf numFmtId="3" fontId="69" fillId="0" borderId="139" xfId="2" applyNumberFormat="1" applyFont="1" applyFill="1" applyBorder="1" applyAlignment="1">
      <alignment horizontal="center"/>
    </xf>
    <xf numFmtId="3" fontId="69" fillId="66" borderId="139" xfId="2" applyNumberFormat="1" applyFont="1" applyFill="1" applyBorder="1" applyAlignment="1">
      <alignment horizontal="center"/>
    </xf>
    <xf numFmtId="3" fontId="69" fillId="0" borderId="140" xfId="2" applyNumberFormat="1" applyFont="1" applyFill="1" applyBorder="1" applyAlignment="1">
      <alignment horizontal="center"/>
    </xf>
    <xf numFmtId="171" fontId="69" fillId="64" borderId="148" xfId="3" applyNumberFormat="1" applyFont="1" applyFill="1" applyBorder="1" applyAlignment="1">
      <alignment horizontal="center" vertical="top" wrapText="1"/>
    </xf>
    <xf numFmtId="171" fontId="69" fillId="66" borderId="148" xfId="3" applyNumberFormat="1" applyFont="1" applyFill="1" applyBorder="1" applyAlignment="1">
      <alignment horizontal="center" vertical="top" wrapText="1"/>
    </xf>
    <xf numFmtId="166" fontId="69" fillId="66" borderId="149" xfId="3" applyNumberFormat="1" applyFont="1" applyFill="1" applyBorder="1" applyAlignment="1">
      <alignment horizontal="center" vertical="top" wrapText="1"/>
    </xf>
    <xf numFmtId="0" fontId="220" fillId="0" borderId="155" xfId="79" applyFont="1" applyBorder="1" applyAlignment="1">
      <alignment horizontal="left"/>
    </xf>
    <xf numFmtId="0" fontId="3" fillId="0" borderId="156" xfId="2" applyBorder="1"/>
    <xf numFmtId="0" fontId="221" fillId="0" borderId="156" xfId="2" applyFont="1" applyBorder="1"/>
    <xf numFmtId="0" fontId="3" fillId="0" borderId="157" xfId="2" applyBorder="1"/>
    <xf numFmtId="0" fontId="3" fillId="0" borderId="144" xfId="2" applyBorder="1"/>
    <xf numFmtId="0" fontId="3" fillId="0" borderId="145" xfId="2" applyBorder="1"/>
    <xf numFmtId="0" fontId="11" fillId="2" borderId="158" xfId="2" applyFont="1" applyFill="1" applyBorder="1" applyAlignment="1">
      <alignment horizontal="left" vertical="center"/>
    </xf>
    <xf numFmtId="0" fontId="11" fillId="2" borderId="159" xfId="2" applyFont="1" applyFill="1" applyBorder="1" applyAlignment="1">
      <alignment horizontal="center" vertical="center" wrapText="1"/>
    </xf>
    <xf numFmtId="0" fontId="14" fillId="4" borderId="144" xfId="2" applyFont="1" applyFill="1" applyBorder="1" applyAlignment="1">
      <alignment horizontal="left" vertical="center"/>
    </xf>
    <xf numFmtId="166" fontId="14" fillId="64" borderId="145" xfId="3" applyNumberFormat="1" applyFont="1" applyFill="1" applyBorder="1" applyAlignment="1">
      <alignment horizontal="right" vertical="center" wrapText="1"/>
    </xf>
    <xf numFmtId="0" fontId="70" fillId="0" borderId="148" xfId="9" applyFont="1" applyFill="1" applyBorder="1" applyAlignment="1">
      <alignment horizontal="left" vertical="top" wrapText="1" indent="1"/>
    </xf>
    <xf numFmtId="171" fontId="69" fillId="0" borderId="149" xfId="9" applyNumberFormat="1" applyFont="1" applyFill="1" applyBorder="1" applyAlignment="1">
      <alignment horizontal="right" vertical="top" wrapText="1" indent="1"/>
    </xf>
    <xf numFmtId="166" fontId="69" fillId="0" borderId="149" xfId="3" applyNumberFormat="1" applyFont="1" applyFill="1" applyBorder="1" applyAlignment="1">
      <alignment horizontal="right" vertical="top" wrapText="1" indent="1"/>
    </xf>
    <xf numFmtId="171" fontId="69" fillId="0" borderId="149" xfId="9" applyNumberFormat="1" applyFont="1" applyFill="1" applyBorder="1" applyAlignment="1">
      <alignment horizontal="right" vertical="top" indent="1" shrinkToFit="1"/>
    </xf>
    <xf numFmtId="0" fontId="70" fillId="0" borderId="150" xfId="9" applyFont="1" applyFill="1" applyBorder="1" applyAlignment="1">
      <alignment horizontal="left" vertical="top" wrapText="1" indent="1"/>
    </xf>
    <xf numFmtId="0" fontId="74" fillId="0" borderId="151" xfId="9" applyFont="1" applyFill="1" applyBorder="1" applyAlignment="1">
      <alignment horizontal="center" vertical="top" wrapText="1"/>
    </xf>
    <xf numFmtId="171" fontId="69" fillId="0" borderId="151" xfId="9" applyNumberFormat="1" applyFont="1" applyFill="1" applyBorder="1" applyAlignment="1">
      <alignment horizontal="right" vertical="top" indent="1" shrinkToFit="1"/>
    </xf>
    <xf numFmtId="0" fontId="3" fillId="0" borderId="160" xfId="2" applyBorder="1"/>
    <xf numFmtId="0" fontId="70" fillId="0" borderId="151" xfId="9" applyFont="1" applyFill="1" applyBorder="1" applyAlignment="1">
      <alignment horizontal="left" vertical="top" wrapText="1" indent="1"/>
    </xf>
    <xf numFmtId="171" fontId="69" fillId="0" borderId="154" xfId="9" applyNumberFormat="1" applyFont="1" applyFill="1" applyBorder="1" applyAlignment="1">
      <alignment horizontal="right" vertical="top" indent="1" shrinkToFit="1"/>
    </xf>
    <xf numFmtId="0" fontId="221" fillId="0" borderId="157" xfId="2" applyFont="1" applyBorder="1"/>
    <xf numFmtId="0" fontId="221" fillId="0" borderId="145" xfId="2" applyFont="1" applyBorder="1"/>
    <xf numFmtId="0" fontId="74" fillId="0" borderId="151" xfId="9" applyFont="1" applyFill="1" applyBorder="1">
      <alignment horizontal="left" vertical="top" wrapText="1"/>
    </xf>
    <xf numFmtId="1" fontId="11" fillId="2" borderId="2" xfId="67" applyNumberFormat="1" applyFont="1" applyFill="1" applyBorder="1" applyAlignment="1">
      <alignment horizontal="center" vertical="center" wrapText="1"/>
    </xf>
    <xf numFmtId="0" fontId="219" fillId="3" borderId="0" xfId="0" applyFont="1" applyFill="1" applyAlignment="1">
      <alignment horizontal="left"/>
    </xf>
    <xf numFmtId="166" fontId="69" fillId="14" borderId="2" xfId="3" applyNumberFormat="1" applyFont="1" applyFill="1" applyBorder="1"/>
    <xf numFmtId="0" fontId="12" fillId="0" borderId="2" xfId="67" applyFont="1" applyBorder="1" applyAlignment="1">
      <alignment horizontal="left" indent="3"/>
    </xf>
    <xf numFmtId="0" fontId="30" fillId="10" borderId="2" xfId="67" applyFont="1" applyFill="1" applyBorder="1" applyAlignment="1">
      <alignment horizontal="left" indent="1"/>
    </xf>
    <xf numFmtId="3" fontId="30" fillId="10" borderId="2" xfId="67" applyNumberFormat="1" applyFont="1" applyFill="1" applyBorder="1" applyAlignment="1">
      <alignment horizontal="center"/>
    </xf>
    <xf numFmtId="3" fontId="30" fillId="15" borderId="2" xfId="67" applyNumberFormat="1" applyFont="1" applyFill="1" applyBorder="1" applyAlignment="1">
      <alignment horizontal="center"/>
    </xf>
    <xf numFmtId="0" fontId="12" fillId="0" borderId="2" xfId="67" applyFont="1" applyFill="1" applyBorder="1" applyAlignment="1">
      <alignment horizontal="left" indent="1"/>
    </xf>
    <xf numFmtId="3" fontId="12" fillId="0" borderId="16" xfId="9" applyNumberFormat="1" applyFont="1" applyFill="1" applyBorder="1" applyAlignment="1">
      <alignment horizontal="center" vertical="top"/>
    </xf>
    <xf numFmtId="3" fontId="69" fillId="13" borderId="2" xfId="3" applyNumberFormat="1" applyFont="1" applyFill="1" applyBorder="1" applyAlignment="1">
      <alignment horizontal="center" vertical="center"/>
    </xf>
    <xf numFmtId="0" fontId="126" fillId="14" borderId="54" xfId="91" applyFill="1" applyBorder="1"/>
    <xf numFmtId="3" fontId="24" fillId="0" borderId="2" xfId="9" applyNumberFormat="1" applyFont="1" applyFill="1" applyBorder="1" applyAlignment="1">
      <alignment horizontal="left" vertical="top" wrapText="1" indent="2"/>
    </xf>
    <xf numFmtId="3" fontId="185" fillId="0" borderId="9" xfId="0" applyNumberFormat="1" applyFont="1" applyFill="1" applyBorder="1" applyAlignment="1">
      <alignment horizontal="center" vertical="center" wrapText="1"/>
    </xf>
    <xf numFmtId="3" fontId="24" fillId="0" borderId="2" xfId="9" applyNumberFormat="1" applyFont="1" applyFill="1" applyBorder="1" applyAlignment="1">
      <alignment horizontal="center" vertical="top"/>
    </xf>
    <xf numFmtId="0" fontId="8" fillId="0" borderId="54" xfId="91" applyFont="1" applyFill="1" applyBorder="1" applyAlignment="1">
      <alignment vertical="top" wrapText="1"/>
    </xf>
    <xf numFmtId="3" fontId="24" fillId="0" borderId="2" xfId="9" applyNumberFormat="1" applyFont="1" applyFill="1" applyBorder="1" applyAlignment="1">
      <alignment horizontal="left" vertical="top" indent="2"/>
    </xf>
    <xf numFmtId="3" fontId="12" fillId="4" borderId="2" xfId="9" applyNumberFormat="1" applyFont="1" applyFill="1" applyBorder="1" applyAlignment="1">
      <alignment horizontal="center" vertical="top"/>
    </xf>
    <xf numFmtId="0" fontId="12" fillId="4" borderId="2" xfId="9" applyFont="1" applyFill="1" applyBorder="1" applyAlignment="1">
      <alignment horizontal="left" vertical="top"/>
    </xf>
    <xf numFmtId="3" fontId="12" fillId="4" borderId="16" xfId="9" applyNumberFormat="1" applyFont="1" applyFill="1" applyBorder="1" applyAlignment="1">
      <alignment horizontal="center" vertical="top"/>
    </xf>
    <xf numFmtId="0" fontId="12" fillId="4" borderId="2" xfId="9" applyFont="1" applyFill="1" applyBorder="1" applyAlignment="1">
      <alignment horizontal="left" vertical="top" wrapText="1"/>
    </xf>
    <xf numFmtId="0" fontId="6" fillId="2" borderId="2" xfId="9" applyFont="1" applyFill="1" applyBorder="1" applyAlignment="1">
      <alignment horizontal="left" vertical="top"/>
    </xf>
    <xf numFmtId="0" fontId="2" fillId="2" borderId="2" xfId="9" applyFont="1" applyFill="1" applyBorder="1" applyAlignment="1">
      <alignment horizontal="left" vertical="top" wrapText="1"/>
    </xf>
    <xf numFmtId="3" fontId="6" fillId="2" borderId="2" xfId="9" applyNumberFormat="1" applyFont="1" applyFill="1" applyBorder="1" applyAlignment="1">
      <alignment horizontal="center" vertical="top"/>
    </xf>
    <xf numFmtId="3" fontId="6" fillId="2" borderId="2" xfId="9" applyNumberFormat="1" applyFont="1" applyFill="1" applyBorder="1" applyAlignment="1">
      <alignment horizontal="right" vertical="top"/>
    </xf>
    <xf numFmtId="0" fontId="70" fillId="4" borderId="2" xfId="0" applyFont="1" applyFill="1" applyBorder="1" applyAlignment="1">
      <alignment vertical="center" wrapText="1"/>
    </xf>
    <xf numFmtId="184" fontId="69" fillId="4" borderId="2" xfId="0" applyNumberFormat="1" applyFont="1" applyFill="1" applyBorder="1" applyAlignment="1">
      <alignment horizontal="right"/>
    </xf>
    <xf numFmtId="171" fontId="69" fillId="4" borderId="2" xfId="0" applyNumberFormat="1" applyFont="1" applyFill="1" applyBorder="1" applyAlignment="1">
      <alignment horizontal="right"/>
    </xf>
    <xf numFmtId="0" fontId="70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right"/>
    </xf>
    <xf numFmtId="184" fontId="88" fillId="0" borderId="2" xfId="0" applyNumberFormat="1" applyFont="1" applyFill="1" applyBorder="1" applyAlignment="1">
      <alignment horizontal="right"/>
    </xf>
    <xf numFmtId="171" fontId="88" fillId="0" borderId="2" xfId="0" applyNumberFormat="1" applyFont="1" applyFill="1" applyBorder="1" applyAlignment="1">
      <alignment horizontal="right"/>
    </xf>
    <xf numFmtId="3" fontId="69" fillId="0" borderId="9" xfId="0" applyNumberFormat="1" applyFont="1" applyFill="1" applyBorder="1"/>
    <xf numFmtId="0" fontId="14" fillId="0" borderId="0" xfId="6" applyFont="1" applyFill="1" applyAlignment="1">
      <alignment horizontal="right"/>
    </xf>
    <xf numFmtId="0" fontId="24" fillId="4" borderId="4" xfId="0" applyFont="1" applyFill="1" applyBorder="1" applyAlignment="1">
      <alignment vertical="center"/>
    </xf>
    <xf numFmtId="184" fontId="70" fillId="13" borderId="9" xfId="0" applyNumberFormat="1" applyFont="1" applyFill="1" applyBorder="1" applyAlignment="1">
      <alignment horizontal="right"/>
    </xf>
    <xf numFmtId="0" fontId="12" fillId="0" borderId="2" xfId="9" applyFont="1" applyFill="1" applyBorder="1" applyAlignment="1">
      <alignment horizontal="center" vertical="top" wrapText="1"/>
    </xf>
    <xf numFmtId="3" fontId="126" fillId="0" borderId="0" xfId="91" applyNumberFormat="1"/>
    <xf numFmtId="0" fontId="226" fillId="68" borderId="54" xfId="0" applyFont="1" applyFill="1" applyBorder="1" applyAlignment="1">
      <alignment vertical="top" wrapText="1"/>
    </xf>
    <xf numFmtId="3" fontId="226" fillId="68" borderId="54" xfId="0" applyNumberFormat="1" applyFont="1" applyFill="1" applyBorder="1" applyAlignment="1">
      <alignment horizontal="center" vertical="center" wrapText="1"/>
    </xf>
    <xf numFmtId="3" fontId="8" fillId="58" borderId="54" xfId="91" applyNumberFormat="1" applyFont="1" applyFill="1" applyBorder="1" applyAlignment="1">
      <alignment horizontal="center" vertical="center" wrapText="1"/>
    </xf>
    <xf numFmtId="3" fontId="126" fillId="58" borderId="54" xfId="91" applyNumberFormat="1" applyFill="1" applyBorder="1" applyAlignment="1">
      <alignment vertical="center"/>
    </xf>
    <xf numFmtId="3" fontId="126" fillId="58" borderId="54" xfId="91" applyNumberFormat="1" applyFill="1" applyBorder="1" applyAlignment="1">
      <alignment horizontal="center" vertical="center"/>
    </xf>
    <xf numFmtId="0" fontId="126" fillId="58" borderId="54" xfId="91" applyFill="1" applyBorder="1" applyAlignment="1">
      <alignment horizontal="center"/>
    </xf>
    <xf numFmtId="3" fontId="126" fillId="58" borderId="54" xfId="91" applyNumberFormat="1" applyFill="1" applyBorder="1"/>
    <xf numFmtId="3" fontId="131" fillId="58" borderId="55" xfId="91" applyNumberFormat="1" applyFont="1" applyFill="1" applyBorder="1"/>
    <xf numFmtId="3" fontId="131" fillId="58" borderId="21" xfId="91" applyNumberFormat="1" applyFont="1" applyFill="1" applyBorder="1" applyAlignment="1">
      <alignment vertical="center"/>
    </xf>
    <xf numFmtId="3" fontId="126" fillId="58" borderId="0" xfId="91" applyNumberFormat="1" applyFill="1"/>
    <xf numFmtId="3" fontId="227" fillId="69" borderId="54" xfId="0" applyNumberFormat="1" applyFont="1" applyFill="1" applyBorder="1" applyAlignment="1">
      <alignment horizontal="center"/>
    </xf>
    <xf numFmtId="3" fontId="227" fillId="69" borderId="54" xfId="0" applyNumberFormat="1" applyFont="1" applyFill="1" applyBorder="1"/>
    <xf numFmtId="3" fontId="227" fillId="70" borderId="54" xfId="0" applyNumberFormat="1" applyFont="1" applyFill="1" applyBorder="1" applyAlignment="1">
      <alignment horizontal="center"/>
    </xf>
    <xf numFmtId="3" fontId="227" fillId="70" borderId="54" xfId="0" applyNumberFormat="1" applyFont="1" applyFill="1" applyBorder="1"/>
    <xf numFmtId="0" fontId="227" fillId="68" borderId="54" xfId="0" applyFont="1" applyFill="1" applyBorder="1"/>
    <xf numFmtId="195" fontId="69" fillId="67" borderId="9" xfId="10" applyNumberFormat="1" applyFont="1" applyFill="1" applyBorder="1" applyAlignment="1">
      <alignment horizontal="right" vertical="center" wrapText="1"/>
    </xf>
    <xf numFmtId="1" fontId="14" fillId="0" borderId="0" xfId="93" applyNumberFormat="1" applyFill="1"/>
    <xf numFmtId="166" fontId="107" fillId="0" borderId="0" xfId="93" applyNumberFormat="1" applyFont="1"/>
    <xf numFmtId="9" fontId="14" fillId="0" borderId="27" xfId="39" applyNumberFormat="1" applyFont="1" applyFill="1" applyBorder="1" applyAlignment="1">
      <alignment horizontal="center" vertical="center"/>
    </xf>
    <xf numFmtId="9" fontId="107" fillId="15" borderId="47" xfId="39" applyNumberFormat="1" applyFont="1" applyFill="1" applyBorder="1" applyAlignment="1">
      <alignment horizontal="center" vertical="center"/>
    </xf>
    <xf numFmtId="9" fontId="8" fillId="56" borderId="0" xfId="5" applyNumberFormat="1" applyFont="1" applyFill="1" applyAlignment="1">
      <alignment horizontal="center"/>
    </xf>
    <xf numFmtId="9" fontId="14" fillId="0" borderId="0" xfId="5" applyFont="1"/>
    <xf numFmtId="9" fontId="14" fillId="14" borderId="0" xfId="5" applyFont="1" applyFill="1"/>
    <xf numFmtId="9" fontId="14" fillId="0" borderId="0" xfId="5" applyNumberFormat="1" applyFont="1"/>
    <xf numFmtId="166" fontId="14" fillId="0" borderId="1" xfId="5" applyNumberFormat="1" applyFont="1" applyFill="1" applyBorder="1" applyAlignment="1">
      <alignment horizontal="center" vertical="center"/>
    </xf>
    <xf numFmtId="3" fontId="8" fillId="14" borderId="0" xfId="6" applyNumberFormat="1" applyFont="1" applyFill="1" applyAlignment="1">
      <alignment horizontal="right"/>
    </xf>
    <xf numFmtId="1" fontId="11" fillId="2" borderId="2" xfId="67" applyNumberFormat="1" applyFont="1" applyFill="1" applyBorder="1" applyAlignment="1">
      <alignment horizontal="center" vertical="center" wrapText="1"/>
    </xf>
    <xf numFmtId="166" fontId="14" fillId="0" borderId="0" xfId="93" applyNumberFormat="1" applyAlignment="1">
      <alignment vertical="center"/>
    </xf>
    <xf numFmtId="0" fontId="88" fillId="0" borderId="1" xfId="64" applyFont="1" applyBorder="1"/>
    <xf numFmtId="3" fontId="88" fillId="0" borderId="1" xfId="64" applyNumberFormat="1" applyFont="1" applyBorder="1" applyAlignment="1"/>
    <xf numFmtId="3" fontId="88" fillId="0" borderId="1" xfId="64" applyNumberFormat="1" applyFont="1" applyBorder="1" applyAlignment="1">
      <alignment horizontal="left"/>
    </xf>
    <xf numFmtId="169" fontId="69" fillId="13" borderId="1" xfId="83" applyNumberFormat="1" applyFont="1" applyFill="1" applyBorder="1" applyAlignment="1">
      <alignment horizontal="center"/>
    </xf>
    <xf numFmtId="0" fontId="96" fillId="0" borderId="0" xfId="2" applyFont="1"/>
    <xf numFmtId="3" fontId="12" fillId="0" borderId="1" xfId="52" applyNumberFormat="1" applyFont="1" applyFill="1" applyBorder="1" applyAlignment="1">
      <alignment horizontal="left" vertical="center"/>
    </xf>
    <xf numFmtId="0" fontId="12" fillId="0" borderId="0" xfId="52" applyFont="1" applyBorder="1" applyAlignment="1">
      <alignment horizontal="left" vertical="center"/>
    </xf>
    <xf numFmtId="0" fontId="228" fillId="0" borderId="0" xfId="52" applyFont="1" applyAlignment="1">
      <alignment horizontal="left" vertical="center"/>
    </xf>
    <xf numFmtId="0" fontId="40" fillId="0" borderId="0" xfId="2" applyFont="1"/>
    <xf numFmtId="1" fontId="11" fillId="2" borderId="2" xfId="67" applyNumberFormat="1" applyFont="1" applyFill="1" applyBorder="1" applyAlignment="1">
      <alignment horizontal="center" vertical="center" wrapText="1"/>
    </xf>
    <xf numFmtId="0" fontId="2" fillId="2" borderId="116" xfId="12" applyFont="1" applyFill="1" applyBorder="1" applyAlignment="1">
      <alignment horizontal="center" vertical="center" wrapText="1"/>
    </xf>
    <xf numFmtId="0" fontId="2" fillId="2" borderId="118" xfId="12" applyFont="1" applyFill="1" applyBorder="1" applyAlignment="1">
      <alignment horizontal="center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166" fontId="3" fillId="0" borderId="0" xfId="2" applyNumberFormat="1"/>
    <xf numFmtId="0" fontId="12" fillId="0" borderId="0" xfId="67" applyFont="1" applyBorder="1" applyAlignment="1">
      <alignment horizontal="left"/>
    </xf>
    <xf numFmtId="0" fontId="12" fillId="0" borderId="0" xfId="67" applyFont="1" applyBorder="1" applyAlignment="1">
      <alignment horizontal="left" indent="2"/>
    </xf>
    <xf numFmtId="166" fontId="69" fillId="0" borderId="0" xfId="3" applyNumberFormat="1" applyFont="1" applyFill="1" applyBorder="1" applyAlignment="1">
      <alignment horizontal="center"/>
    </xf>
    <xf numFmtId="3" fontId="12" fillId="0" borderId="0" xfId="52" applyNumberFormat="1" applyFont="1" applyBorder="1" applyAlignment="1">
      <alignment horizontal="left" vertical="center"/>
    </xf>
    <xf numFmtId="177" fontId="31" fillId="0" borderId="0" xfId="4" applyNumberFormat="1" applyFont="1" applyFill="1" applyBorder="1" applyAlignment="1">
      <alignment horizontal="center" vertical="center"/>
    </xf>
    <xf numFmtId="3" fontId="69" fillId="0" borderId="115" xfId="3" applyNumberFormat="1" applyFont="1" applyFill="1" applyBorder="1" applyAlignment="1">
      <alignment horizontal="center" vertical="center"/>
    </xf>
    <xf numFmtId="177" fontId="31" fillId="0" borderId="7" xfId="4" applyNumberFormat="1" applyFont="1" applyFill="1" applyBorder="1" applyAlignment="1">
      <alignment horizontal="center" vertical="center"/>
    </xf>
    <xf numFmtId="3" fontId="69" fillId="0" borderId="161" xfId="3" applyNumberFormat="1" applyFont="1" applyFill="1" applyBorder="1" applyAlignment="1">
      <alignment horizontal="center" vertical="center"/>
    </xf>
    <xf numFmtId="166" fontId="3" fillId="0" borderId="0" xfId="5" applyNumberFormat="1" applyFont="1"/>
    <xf numFmtId="1" fontId="33" fillId="0" borderId="2" xfId="84" applyNumberFormat="1" applyFont="1" applyFill="1" applyBorder="1" applyAlignment="1">
      <alignment horizontal="center" vertical="center" wrapText="1"/>
    </xf>
    <xf numFmtId="169" fontId="30" fillId="0" borderId="7" xfId="0" applyNumberFormat="1" applyFont="1" applyBorder="1" applyAlignment="1">
      <alignment horizontal="center" vertical="center"/>
    </xf>
    <xf numFmtId="0" fontId="34" fillId="0" borderId="2" xfId="67" applyFont="1" applyBorder="1" applyAlignment="1">
      <alignment horizontal="left" indent="2"/>
    </xf>
    <xf numFmtId="166" fontId="22" fillId="0" borderId="2" xfId="3" applyNumberFormat="1" applyFont="1" applyFill="1" applyBorder="1" applyAlignment="1">
      <alignment horizontal="center"/>
    </xf>
    <xf numFmtId="166" fontId="22" fillId="0" borderId="2" xfId="3" applyNumberFormat="1" applyFont="1" applyFill="1" applyBorder="1" applyAlignment="1">
      <alignment horizontal="left" indent="2"/>
    </xf>
    <xf numFmtId="3" fontId="216" fillId="0" borderId="0" xfId="100" applyNumberFormat="1" applyFont="1" applyFill="1" applyAlignment="1">
      <alignment horizontal="left"/>
    </xf>
    <xf numFmtId="3" fontId="216" fillId="0" borderId="0" xfId="100" applyNumberFormat="1" applyFont="1" applyFill="1" applyAlignment="1">
      <alignment horizontal="center" vertical="center"/>
    </xf>
    <xf numFmtId="3" fontId="2" fillId="2" borderId="0" xfId="100" applyNumberFormat="1" applyFont="1" applyFill="1" applyAlignment="1">
      <alignment horizontal="left" vertical="center"/>
    </xf>
    <xf numFmtId="1" fontId="3" fillId="0" borderId="0" xfId="2" applyNumberFormat="1"/>
    <xf numFmtId="3" fontId="22" fillId="0" borderId="2" xfId="2" applyNumberFormat="1" applyFont="1" applyBorder="1" applyAlignment="1">
      <alignment horizontal="center" vertical="center" wrapText="1"/>
    </xf>
    <xf numFmtId="9" fontId="88" fillId="0" borderId="161" xfId="5" applyNumberFormat="1" applyFont="1" applyBorder="1" applyAlignment="1">
      <alignment horizontal="center" vertical="center"/>
    </xf>
    <xf numFmtId="3" fontId="69" fillId="0" borderId="127" xfId="3" applyNumberFormat="1" applyFont="1" applyBorder="1" applyAlignment="1">
      <alignment horizontal="center" vertical="center"/>
    </xf>
    <xf numFmtId="3" fontId="69" fillId="0" borderId="162" xfId="3" applyNumberFormat="1" applyFont="1" applyBorder="1" applyAlignment="1">
      <alignment horizontal="center" vertical="center"/>
    </xf>
    <xf numFmtId="3" fontId="69" fillId="0" borderId="163" xfId="3" applyNumberFormat="1" applyFont="1" applyBorder="1" applyAlignment="1">
      <alignment horizontal="center" vertical="center"/>
    </xf>
    <xf numFmtId="3" fontId="31" fillId="0" borderId="2" xfId="100" applyNumberFormat="1" applyFont="1" applyBorder="1" applyAlignment="1">
      <alignment horizontal="left"/>
    </xf>
    <xf numFmtId="3" fontId="31" fillId="0" borderId="2" xfId="100" applyNumberFormat="1" applyFont="1" applyBorder="1" applyAlignment="1">
      <alignment horizontal="left" wrapText="1"/>
    </xf>
    <xf numFmtId="3" fontId="31" fillId="0" borderId="1" xfId="101" applyNumberFormat="1" applyFont="1" applyBorder="1" applyAlignment="1">
      <alignment horizontal="center" vertical="center" wrapText="1"/>
    </xf>
    <xf numFmtId="3" fontId="31" fillId="0" borderId="1" xfId="101" applyNumberFormat="1" applyFont="1" applyFill="1" applyBorder="1" applyAlignment="1">
      <alignment horizontal="center" vertical="center" wrapText="1"/>
    </xf>
    <xf numFmtId="3" fontId="30" fillId="0" borderId="7" xfId="100" applyNumberFormat="1" applyFont="1" applyBorder="1" applyAlignment="1">
      <alignment horizontal="left"/>
    </xf>
    <xf numFmtId="3" fontId="30" fillId="0" borderId="5" xfId="101" applyNumberFormat="1" applyFont="1" applyBorder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/>
    </xf>
    <xf numFmtId="166" fontId="69" fillId="0" borderId="2" xfId="3" applyNumberFormat="1" applyFont="1" applyFill="1" applyBorder="1" applyAlignment="1">
      <alignment horizontal="right" vertical="center"/>
    </xf>
    <xf numFmtId="0" fontId="216" fillId="5" borderId="0" xfId="0" applyFont="1" applyFill="1"/>
    <xf numFmtId="176" fontId="30" fillId="0" borderId="0" xfId="0" applyNumberFormat="1" applyFont="1" applyFill="1"/>
    <xf numFmtId="0" fontId="26" fillId="0" borderId="16" xfId="0" applyFont="1" applyBorder="1"/>
    <xf numFmtId="166" fontId="33" fillId="0" borderId="2" xfId="3" applyNumberFormat="1" applyFont="1" applyBorder="1" applyAlignment="1">
      <alignment horizontal="center" vertical="center" wrapText="1"/>
    </xf>
    <xf numFmtId="4" fontId="19" fillId="0" borderId="2" xfId="52" applyNumberFormat="1" applyFont="1" applyBorder="1" applyAlignment="1">
      <alignment horizontal="center" vertical="center" wrapText="1"/>
    </xf>
    <xf numFmtId="0" fontId="12" fillId="13" borderId="2" xfId="9" applyFont="1" applyFill="1" applyBorder="1" applyAlignment="1">
      <alignment horizontal="left" vertical="top"/>
    </xf>
    <xf numFmtId="3" fontId="88" fillId="0" borderId="1" xfId="3" applyNumberFormat="1" applyFont="1" applyFill="1" applyBorder="1" applyAlignment="1">
      <alignment horizontal="center"/>
    </xf>
    <xf numFmtId="0" fontId="67" fillId="0" borderId="1" xfId="52" applyFont="1" applyBorder="1" applyAlignment="1">
      <alignment horizontal="left" vertical="center" indent="2"/>
    </xf>
    <xf numFmtId="0" fontId="6" fillId="2" borderId="2" xfId="12" applyFont="1" applyFill="1" applyBorder="1" applyAlignment="1">
      <alignment horizontal="center" vertical="center" wrapText="1"/>
    </xf>
    <xf numFmtId="3" fontId="6" fillId="2" borderId="2" xfId="12" applyNumberFormat="1" applyFont="1" applyFill="1" applyBorder="1" applyAlignment="1">
      <alignment horizontal="center" vertical="center" wrapText="1"/>
    </xf>
    <xf numFmtId="3" fontId="8" fillId="0" borderId="0" xfId="0" applyNumberFormat="1" applyFont="1"/>
    <xf numFmtId="3" fontId="0" fillId="0" borderId="164" xfId="0" applyNumberFormat="1" applyBorder="1" applyAlignment="1">
      <alignment horizontal="center" vertical="center"/>
    </xf>
    <xf numFmtId="0" fontId="2" fillId="0" borderId="2" xfId="9" applyFont="1" applyFill="1" applyBorder="1" applyAlignment="1">
      <alignment horizontal="center" vertical="top" wrapText="1"/>
    </xf>
    <xf numFmtId="3" fontId="12" fillId="13" borderId="2" xfId="9" applyNumberFormat="1" applyFont="1" applyFill="1" applyBorder="1" applyAlignment="1">
      <alignment horizontal="center" vertical="top"/>
    </xf>
    <xf numFmtId="3" fontId="69" fillId="14" borderId="2" xfId="3" applyNumberFormat="1" applyFont="1" applyFill="1" applyBorder="1" applyAlignment="1">
      <alignment horizontal="center" vertical="center"/>
    </xf>
    <xf numFmtId="0" fontId="12" fillId="14" borderId="2" xfId="9" applyFont="1" applyFill="1" applyBorder="1" applyAlignment="1">
      <alignment horizontal="center" vertical="top" wrapText="1"/>
    </xf>
    <xf numFmtId="3" fontId="30" fillId="14" borderId="1" xfId="0" applyNumberFormat="1" applyFont="1" applyFill="1" applyBorder="1" applyAlignment="1">
      <alignment horizontal="center"/>
    </xf>
    <xf numFmtId="177" fontId="31" fillId="14" borderId="8" xfId="4" applyNumberFormat="1" applyFont="1" applyFill="1" applyBorder="1" applyAlignment="1">
      <alignment horizontal="center" vertical="center"/>
    </xf>
    <xf numFmtId="177" fontId="31" fillId="14" borderId="2" xfId="4" applyNumberFormat="1" applyFont="1" applyFill="1" applyBorder="1" applyAlignment="1">
      <alignment horizontal="center" vertical="center"/>
    </xf>
    <xf numFmtId="9" fontId="30" fillId="0" borderId="2" xfId="3" applyNumberFormat="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left" vertical="center" wrapText="1"/>
    </xf>
    <xf numFmtId="0" fontId="12" fillId="0" borderId="2" xfId="9" applyFont="1" applyFill="1" applyBorder="1" applyAlignment="1">
      <alignment horizontal="center" vertical="top" wrapText="1"/>
    </xf>
    <xf numFmtId="3" fontId="69" fillId="0" borderId="1" xfId="83" applyNumberFormat="1" applyFont="1" applyFill="1" applyBorder="1" applyAlignment="1">
      <alignment horizontal="center"/>
    </xf>
    <xf numFmtId="3" fontId="69" fillId="0" borderId="1" xfId="2" applyNumberFormat="1" applyFont="1" applyFill="1" applyBorder="1" applyAlignment="1">
      <alignment horizontal="center"/>
    </xf>
    <xf numFmtId="3" fontId="13" fillId="0" borderId="1" xfId="64" applyNumberFormat="1" applyFont="1" applyFill="1" applyBorder="1" applyAlignment="1">
      <alignment horizontal="center"/>
    </xf>
    <xf numFmtId="0" fontId="12" fillId="0" borderId="2" xfId="9" applyFont="1" applyFill="1" applyBorder="1" applyAlignment="1">
      <alignment horizontal="left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" fillId="2" borderId="116" xfId="12" applyFont="1" applyFill="1" applyBorder="1" applyAlignment="1">
      <alignment horizontal="center" vertical="center" wrapText="1"/>
    </xf>
    <xf numFmtId="0" fontId="2" fillId="2" borderId="117" xfId="12" applyFont="1" applyFill="1" applyBorder="1" applyAlignment="1">
      <alignment horizontal="center" vertical="center" wrapText="1"/>
    </xf>
    <xf numFmtId="0" fontId="2" fillId="2" borderId="118" xfId="12" applyFont="1" applyFill="1" applyBorder="1" applyAlignment="1">
      <alignment horizontal="center" vertical="center" wrapText="1"/>
    </xf>
    <xf numFmtId="3" fontId="69" fillId="0" borderId="7" xfId="3" applyNumberFormat="1" applyFont="1" applyBorder="1" applyAlignment="1">
      <alignment horizontal="center" vertical="center" wrapText="1"/>
    </xf>
    <xf numFmtId="3" fontId="69" fillId="0" borderId="8" xfId="3" applyNumberFormat="1" applyFont="1" applyBorder="1" applyAlignment="1">
      <alignment horizontal="center" vertical="center" wrapText="1"/>
    </xf>
    <xf numFmtId="0" fontId="12" fillId="0" borderId="2" xfId="9" applyFont="1" applyFill="1" applyBorder="1" applyAlignment="1">
      <alignment horizontal="center" vertical="top" wrapText="1"/>
    </xf>
    <xf numFmtId="0" fontId="127" fillId="41" borderId="26" xfId="91" applyFont="1" applyFill="1" applyBorder="1" applyAlignment="1">
      <alignment horizontal="right"/>
    </xf>
    <xf numFmtId="0" fontId="62" fillId="3" borderId="27" xfId="91" applyFont="1" applyFill="1" applyBorder="1"/>
    <xf numFmtId="0" fontId="62" fillId="3" borderId="18" xfId="91" applyFont="1" applyFill="1" applyBorder="1"/>
    <xf numFmtId="0" fontId="16" fillId="0" borderId="55" xfId="91" applyFont="1" applyBorder="1" applyAlignment="1">
      <alignment horizontal="center" vertical="top" wrapText="1"/>
    </xf>
    <xf numFmtId="0" fontId="62" fillId="0" borderId="56" xfId="91" applyFont="1" applyBorder="1"/>
    <xf numFmtId="3" fontId="126" fillId="0" borderId="57" xfId="91" applyNumberFormat="1" applyBorder="1" applyAlignment="1">
      <alignment horizontal="center" vertical="center"/>
    </xf>
    <xf numFmtId="0" fontId="62" fillId="0" borderId="58" xfId="91" applyFont="1" applyBorder="1"/>
    <xf numFmtId="0" fontId="136" fillId="37" borderId="55" xfId="91" applyFont="1" applyFill="1" applyBorder="1" applyAlignment="1">
      <alignment horizontal="right"/>
    </xf>
    <xf numFmtId="0" fontId="62" fillId="3" borderId="56" xfId="91" applyFont="1" applyFill="1" applyBorder="1"/>
    <xf numFmtId="0" fontId="136" fillId="36" borderId="55" xfId="91" applyFont="1" applyFill="1" applyBorder="1" applyAlignment="1">
      <alignment horizontal="right"/>
    </xf>
    <xf numFmtId="0" fontId="62" fillId="0" borderId="64" xfId="91" applyFont="1" applyBorder="1"/>
    <xf numFmtId="3" fontId="131" fillId="5" borderId="50" xfId="91" applyNumberFormat="1" applyFont="1" applyFill="1" applyBorder="1" applyAlignment="1">
      <alignment horizontal="center"/>
    </xf>
    <xf numFmtId="3" fontId="131" fillId="5" borderId="49" xfId="91" applyNumberFormat="1" applyFont="1" applyFill="1" applyBorder="1" applyAlignment="1">
      <alignment horizontal="center"/>
    </xf>
    <xf numFmtId="0" fontId="8" fillId="0" borderId="57" xfId="91" applyFont="1" applyBorder="1" applyAlignment="1">
      <alignment vertical="top" wrapText="1"/>
    </xf>
    <xf numFmtId="3" fontId="8" fillId="30" borderId="57" xfId="91" applyNumberFormat="1" applyFont="1" applyFill="1" applyBorder="1" applyAlignment="1">
      <alignment horizontal="center" vertical="center" wrapText="1"/>
    </xf>
    <xf numFmtId="0" fontId="62" fillId="0" borderId="59" xfId="91" applyFont="1" applyBorder="1"/>
    <xf numFmtId="3" fontId="126" fillId="0" borderId="57" xfId="91" applyNumberFormat="1" applyBorder="1" applyAlignment="1">
      <alignment horizontal="right" vertical="center"/>
    </xf>
    <xf numFmtId="0" fontId="8" fillId="0" borderId="57" xfId="91" applyFont="1" applyBorder="1" applyAlignment="1">
      <alignment vertical="center" wrapText="1"/>
    </xf>
    <xf numFmtId="3" fontId="8" fillId="30" borderId="57" xfId="91" applyNumberFormat="1" applyFont="1" applyFill="1" applyBorder="1" applyAlignment="1">
      <alignment horizontal="center" vertical="center"/>
    </xf>
    <xf numFmtId="3" fontId="126" fillId="0" borderId="57" xfId="91" applyNumberFormat="1" applyBorder="1"/>
    <xf numFmtId="3" fontId="126" fillId="0" borderId="57" xfId="91" applyNumberFormat="1" applyBorder="1" applyAlignment="1">
      <alignment vertical="center"/>
    </xf>
    <xf numFmtId="0" fontId="16" fillId="0" borderId="55" xfId="91" applyFont="1" applyBorder="1" applyAlignment="1">
      <alignment horizontal="center" vertical="center" wrapText="1"/>
    </xf>
    <xf numFmtId="0" fontId="16" fillId="0" borderId="55" xfId="91" applyFont="1" applyBorder="1" applyAlignment="1">
      <alignment horizontal="center" vertical="top"/>
    </xf>
    <xf numFmtId="0" fontId="8" fillId="0" borderId="57" xfId="91" applyFont="1" applyBorder="1" applyAlignment="1">
      <alignment horizontal="left" vertical="center" wrapText="1"/>
    </xf>
    <xf numFmtId="0" fontId="62" fillId="0" borderId="58" xfId="91" applyFont="1" applyFill="1" applyBorder="1"/>
    <xf numFmtId="3" fontId="8" fillId="0" borderId="57" xfId="91" applyNumberFormat="1" applyFont="1" applyBorder="1" applyAlignment="1">
      <alignment horizontal="center" vertical="center" wrapText="1"/>
    </xf>
    <xf numFmtId="3" fontId="132" fillId="0" borderId="57" xfId="91" applyNumberFormat="1" applyFont="1" applyBorder="1" applyAlignment="1">
      <alignment horizontal="center"/>
    </xf>
    <xf numFmtId="3" fontId="131" fillId="0" borderId="60" xfId="91" applyNumberFormat="1" applyFont="1" applyBorder="1"/>
    <xf numFmtId="0" fontId="62" fillId="0" borderId="61" xfId="91" applyFont="1" applyBorder="1"/>
    <xf numFmtId="0" fontId="137" fillId="37" borderId="55" xfId="91" applyFont="1" applyFill="1" applyBorder="1" applyAlignment="1">
      <alignment horizontal="right"/>
    </xf>
    <xf numFmtId="0" fontId="8" fillId="0" borderId="57" xfId="91" applyFont="1" applyBorder="1" applyAlignment="1">
      <alignment horizontal="left" vertical="center"/>
    </xf>
    <xf numFmtId="3" fontId="8" fillId="0" borderId="57" xfId="91" applyNumberFormat="1" applyFont="1" applyBorder="1" applyAlignment="1">
      <alignment horizontal="center" vertical="center"/>
    </xf>
    <xf numFmtId="0" fontId="16" fillId="0" borderId="56" xfId="91" applyFont="1" applyBorder="1" applyAlignment="1">
      <alignment horizontal="center" vertical="top" wrapText="1"/>
    </xf>
    <xf numFmtId="0" fontId="16" fillId="0" borderId="63" xfId="91" applyFont="1" applyBorder="1" applyAlignment="1">
      <alignment horizontal="center" vertical="top" wrapText="1"/>
    </xf>
    <xf numFmtId="0" fontId="8" fillId="0" borderId="58" xfId="91" applyFont="1" applyBorder="1" applyAlignment="1">
      <alignment vertical="top" wrapText="1"/>
    </xf>
    <xf numFmtId="3" fontId="8" fillId="30" borderId="58" xfId="91" applyNumberFormat="1" applyFont="1" applyFill="1" applyBorder="1" applyAlignment="1">
      <alignment horizontal="center" vertical="center" wrapText="1"/>
    </xf>
    <xf numFmtId="3" fontId="126" fillId="0" borderId="59" xfId="91" applyNumberFormat="1" applyBorder="1" applyAlignment="1">
      <alignment horizontal="center" vertical="center"/>
    </xf>
    <xf numFmtId="3" fontId="126" fillId="0" borderId="58" xfId="91" applyNumberFormat="1" applyBorder="1" applyAlignment="1">
      <alignment horizontal="center" vertical="center"/>
    </xf>
    <xf numFmtId="3" fontId="126" fillId="0" borderId="58" xfId="91" applyNumberFormat="1" applyBorder="1" applyAlignment="1">
      <alignment horizontal="right" vertical="center"/>
    </xf>
    <xf numFmtId="3" fontId="126" fillId="0" borderId="58" xfId="91" applyNumberFormat="1" applyBorder="1" applyAlignment="1">
      <alignment vertical="center"/>
    </xf>
    <xf numFmtId="0" fontId="137" fillId="39" borderId="55" xfId="91" applyFont="1" applyFill="1" applyBorder="1" applyAlignment="1">
      <alignment horizontal="right"/>
    </xf>
    <xf numFmtId="3" fontId="126" fillId="0" borderId="57" xfId="91" applyNumberFormat="1" applyBorder="1" applyAlignment="1">
      <alignment horizontal="center"/>
    </xf>
    <xf numFmtId="0" fontId="16" fillId="0" borderId="0" xfId="91" applyFont="1" applyAlignment="1">
      <alignment horizontal="center" vertical="top" wrapText="1"/>
    </xf>
    <xf numFmtId="0" fontId="126" fillId="0" borderId="0" xfId="91"/>
    <xf numFmtId="0" fontId="8" fillId="0" borderId="0" xfId="91" applyFont="1" applyAlignment="1">
      <alignment vertical="center" wrapText="1"/>
    </xf>
    <xf numFmtId="3" fontId="8" fillId="0" borderId="0" xfId="91" applyNumberFormat="1" applyFont="1" applyAlignment="1">
      <alignment horizontal="center" vertical="center"/>
    </xf>
    <xf numFmtId="0" fontId="8" fillId="0" borderId="0" xfId="91" applyFont="1" applyAlignment="1">
      <alignment vertical="top" wrapText="1"/>
    </xf>
    <xf numFmtId="3" fontId="8" fillId="0" borderId="0" xfId="91" applyNumberFormat="1" applyFont="1" applyAlignment="1">
      <alignment horizontal="center" vertical="center" wrapText="1"/>
    </xf>
    <xf numFmtId="0" fontId="16" fillId="0" borderId="0" xfId="91" applyFont="1" applyAlignment="1">
      <alignment horizontal="center" vertical="center" wrapText="1"/>
    </xf>
    <xf numFmtId="3" fontId="126" fillId="0" borderId="0" xfId="91" applyNumberFormat="1"/>
    <xf numFmtId="0" fontId="8" fillId="0" borderId="0" xfId="91" applyFont="1" applyAlignment="1">
      <alignment horizontal="left" vertical="center" wrapText="1"/>
    </xf>
    <xf numFmtId="0" fontId="62" fillId="0" borderId="0" xfId="91" applyFont="1"/>
    <xf numFmtId="0" fontId="126" fillId="0" borderId="0" xfId="91" applyAlignment="1">
      <alignment horizontal="center"/>
    </xf>
    <xf numFmtId="0" fontId="8" fillId="0" borderId="0" xfId="91" applyFont="1" applyAlignment="1">
      <alignment horizontal="left" vertical="center"/>
    </xf>
    <xf numFmtId="0" fontId="16" fillId="0" borderId="0" xfId="91" applyFont="1" applyAlignment="1">
      <alignment horizontal="center" vertical="top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30" xfId="0" applyFont="1" applyFill="1" applyBorder="1" applyAlignment="1">
      <alignment horizontal="center" vertical="center" wrapText="1"/>
    </xf>
    <xf numFmtId="0" fontId="58" fillId="2" borderId="32" xfId="0" applyFont="1" applyFill="1" applyBorder="1" applyAlignment="1">
      <alignment horizontal="center" vertical="center" wrapText="1"/>
    </xf>
    <xf numFmtId="0" fontId="58" fillId="2" borderId="130" xfId="0" applyFont="1" applyFill="1" applyBorder="1" applyAlignment="1">
      <alignment horizontal="center" vertical="center" wrapText="1"/>
    </xf>
    <xf numFmtId="0" fontId="70" fillId="17" borderId="2" xfId="0" applyFont="1" applyFill="1" applyBorder="1" applyAlignment="1">
      <alignment horizontal="left" vertical="center" wrapText="1"/>
    </xf>
    <xf numFmtId="3" fontId="69" fillId="0" borderId="7" xfId="3" applyNumberFormat="1" applyFont="1" applyBorder="1" applyAlignment="1">
      <alignment horizontal="center" vertical="center"/>
    </xf>
    <xf numFmtId="3" fontId="69" fillId="0" borderId="8" xfId="3" applyNumberFormat="1" applyFont="1" applyBorder="1" applyAlignment="1">
      <alignment horizontal="center" vertical="center"/>
    </xf>
    <xf numFmtId="168" fontId="69" fillId="0" borderId="7" xfId="3" applyNumberFormat="1" applyFont="1" applyFill="1" applyBorder="1" applyAlignment="1">
      <alignment horizontal="center" vertical="center"/>
    </xf>
    <xf numFmtId="168" fontId="69" fillId="0" borderId="8" xfId="3" applyNumberFormat="1" applyFont="1" applyFill="1" applyBorder="1" applyAlignment="1">
      <alignment horizontal="center" vertical="center"/>
    </xf>
    <xf numFmtId="0" fontId="146" fillId="0" borderId="3" xfId="52" applyFont="1" applyFill="1" applyBorder="1" applyAlignment="1">
      <alignment horizontal="center"/>
    </xf>
    <xf numFmtId="0" fontId="146" fillId="14" borderId="0" xfId="52" applyFont="1" applyFill="1" applyAlignment="1">
      <alignment horizontal="center"/>
    </xf>
    <xf numFmtId="3" fontId="12" fillId="0" borderId="1" xfId="52" applyNumberFormat="1" applyFont="1" applyFill="1" applyBorder="1" applyAlignment="1">
      <alignment horizontal="left" vertical="center" wrapText="1"/>
    </xf>
    <xf numFmtId="3" fontId="12" fillId="0" borderId="3" xfId="52" applyNumberFormat="1" applyFont="1" applyFill="1" applyBorder="1" applyAlignment="1">
      <alignment horizontal="left" vertical="center" wrapText="1"/>
    </xf>
    <xf numFmtId="1" fontId="11" fillId="2" borderId="2" xfId="67" applyNumberFormat="1" applyFont="1" applyFill="1" applyBorder="1" applyAlignment="1">
      <alignment horizontal="center" vertical="center" wrapText="1"/>
    </xf>
    <xf numFmtId="1" fontId="11" fillId="2" borderId="5" xfId="52" applyNumberFormat="1" applyFont="1" applyFill="1" applyBorder="1" applyAlignment="1">
      <alignment horizontal="center" vertical="center" wrapText="1"/>
    </xf>
    <xf numFmtId="1" fontId="11" fillId="2" borderId="3" xfId="52" applyNumberFormat="1" applyFont="1" applyFill="1" applyBorder="1" applyAlignment="1">
      <alignment horizontal="center" vertical="center" wrapText="1"/>
    </xf>
    <xf numFmtId="1" fontId="11" fillId="2" borderId="1" xfId="52" applyNumberFormat="1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horizontal="center" vertical="center" wrapText="1"/>
    </xf>
    <xf numFmtId="0" fontId="11" fillId="2" borderId="0" xfId="2" applyFont="1" applyFill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1" fontId="11" fillId="2" borderId="7" xfId="2" applyNumberFormat="1" applyFont="1" applyFill="1" applyBorder="1" applyAlignment="1">
      <alignment horizontal="center" vertical="center" wrapText="1"/>
    </xf>
    <xf numFmtId="1" fontId="11" fillId="2" borderId="0" xfId="2" applyNumberFormat="1" applyFont="1" applyFill="1" applyAlignment="1">
      <alignment horizontal="center" vertical="center" wrapText="1"/>
    </xf>
    <xf numFmtId="1" fontId="11" fillId="2" borderId="1" xfId="83" applyNumberFormat="1" applyFont="1" applyFill="1" applyBorder="1" applyAlignment="1">
      <alignment horizontal="center" vertical="center" wrapText="1"/>
    </xf>
    <xf numFmtId="0" fontId="188" fillId="0" borderId="22" xfId="0" applyFont="1" applyBorder="1" applyAlignment="1">
      <alignment horizontal="center" vertical="center"/>
    </xf>
    <xf numFmtId="0" fontId="188" fillId="0" borderId="19" xfId="0" applyFont="1" applyBorder="1" applyAlignment="1">
      <alignment horizontal="center" vertical="center"/>
    </xf>
    <xf numFmtId="0" fontId="188" fillId="0" borderId="23" xfId="0" applyFont="1" applyBorder="1" applyAlignment="1">
      <alignment horizontal="center" vertical="center" wrapText="1"/>
    </xf>
    <xf numFmtId="0" fontId="188" fillId="0" borderId="24" xfId="0" applyFont="1" applyBorder="1" applyAlignment="1">
      <alignment horizontal="center" vertical="center" wrapText="1"/>
    </xf>
  </cellXfs>
  <cellStyles count="105">
    <cellStyle name="Body_Emphasis" xfId="27"/>
    <cellStyle name="COLUMN_HEADER" xfId="12"/>
    <cellStyle name="Comma 2" xfId="4"/>
    <cellStyle name="Comma 2 18" xfId="80"/>
    <cellStyle name="Comma 2 2" xfId="48"/>
    <cellStyle name="Comma 3" xfId="41"/>
    <cellStyle name="Comma 3 2" xfId="77"/>
    <cellStyle name="Comma 3 3" xfId="90"/>
    <cellStyle name="Comma 4" xfId="42"/>
    <cellStyle name="Comma 5" xfId="50"/>
    <cellStyle name="Comma 6" xfId="55"/>
    <cellStyle name="Comma 7" xfId="104"/>
    <cellStyle name="Currency 2" xfId="98"/>
    <cellStyle name="DOC_TITLE" xfId="22"/>
    <cellStyle name="HEADING LEVEL 1" xfId="20"/>
    <cellStyle name="HEADING LEVEL 2" xfId="19"/>
    <cellStyle name="Heading Level 3" xfId="18"/>
    <cellStyle name="Heading Level 4" xfId="17"/>
    <cellStyle name="Heading Level 5" xfId="16"/>
    <cellStyle name="Hyperlink 2" xfId="14"/>
    <cellStyle name="Hyperlink 3" xfId="34"/>
    <cellStyle name="Hyperlink 4" xfId="38"/>
    <cellStyle name="Normal 10" xfId="60"/>
    <cellStyle name="Normal 10 2" xfId="62"/>
    <cellStyle name="Normal 10 2 2" xfId="100"/>
    <cellStyle name="Normal 11" xfId="64"/>
    <cellStyle name="Normal 11 2 2" xfId="83"/>
    <cellStyle name="Normal 11 4" xfId="85"/>
    <cellStyle name="Normal 12" xfId="81"/>
    <cellStyle name="Normal 12 2" xfId="30"/>
    <cellStyle name="Normal 13" xfId="91"/>
    <cellStyle name="Normal 19" xfId="92"/>
    <cellStyle name="Normal 2" xfId="6"/>
    <cellStyle name="Normal 21" xfId="102"/>
    <cellStyle name="Normal 3" xfId="13"/>
    <cellStyle name="Normal 3 2" xfId="32"/>
    <cellStyle name="Normal 3 2 2" xfId="31"/>
    <cellStyle name="Normal 3 2 3" xfId="74"/>
    <cellStyle name="Normal 3 3" xfId="51"/>
    <cellStyle name="Normal 4" xfId="1"/>
    <cellStyle name="Normal 4 2" xfId="43"/>
    <cellStyle name="Normal 4 2 2" xfId="52"/>
    <cellStyle name="Normal 4 2 3 2" xfId="84"/>
    <cellStyle name="Normal 4 2 4" xfId="87"/>
    <cellStyle name="Normal 4 2 5 2" xfId="79"/>
    <cellStyle name="Normal 4 2 7" xfId="88"/>
    <cellStyle name="Normal 4 3" xfId="68"/>
    <cellStyle name="Normal 4 3 2" xfId="101"/>
    <cellStyle name="Normal 4 4" xfId="65"/>
    <cellStyle name="Normal 4 4 2" xfId="82"/>
    <cellStyle name="Normal 4 5" xfId="70"/>
    <cellStyle name="Normal 4 6" xfId="97"/>
    <cellStyle name="Normal 5" xfId="2"/>
    <cellStyle name="Normal 5 2" xfId="75"/>
    <cellStyle name="Normal 5 4" xfId="89"/>
    <cellStyle name="Normal 6" xfId="15"/>
    <cellStyle name="Normal 6 2" xfId="37"/>
    <cellStyle name="Normal 6 3" xfId="45"/>
    <cellStyle name="Normal 6 4" xfId="47"/>
    <cellStyle name="Normal 7" xfId="35"/>
    <cellStyle name="Normal 8" xfId="53"/>
    <cellStyle name="Normal 9" xfId="56"/>
    <cellStyle name="Normal 9 2" xfId="61"/>
    <cellStyle name="Normal 9 3" xfId="67"/>
    <cellStyle name="Normal 92" xfId="29"/>
    <cellStyle name="Normal_Moscow datafile_new_TBD" xfId="93"/>
    <cellStyle name="Normal_The Bentley" xfId="95"/>
    <cellStyle name="Percent 10" xfId="94"/>
    <cellStyle name="Percent 2" xfId="33"/>
    <cellStyle name="Percent 2 2" xfId="49"/>
    <cellStyle name="Percent 3" xfId="3"/>
    <cellStyle name="Percent 3 2" xfId="96"/>
    <cellStyle name="Percent 3 3" xfId="103"/>
    <cellStyle name="Percent 4" xfId="28"/>
    <cellStyle name="Percent 4 2" xfId="40"/>
    <cellStyle name="Percent 4 2 2" xfId="76"/>
    <cellStyle name="Percent 4 3" xfId="46"/>
    <cellStyle name="Percent 5" xfId="36"/>
    <cellStyle name="Percent 5 2" xfId="63"/>
    <cellStyle name="Percent 5 3" xfId="86"/>
    <cellStyle name="Percent 6" xfId="39"/>
    <cellStyle name="Percent 6 2" xfId="78"/>
    <cellStyle name="Percent 7" xfId="59"/>
    <cellStyle name="Percent 7 2" xfId="66"/>
    <cellStyle name="Percent 9" xfId="69"/>
    <cellStyle name="Sub-Title" xfId="21"/>
    <cellStyle name="TABLE_TITLE" xfId="23"/>
    <cellStyle name="TableBody" xfId="10"/>
    <cellStyle name="TableNumber" xfId="24"/>
    <cellStyle name="TableRowHeader" xfId="9"/>
    <cellStyle name="TotalNumber" xfId="26"/>
    <cellStyle name="TOTALS" xfId="25"/>
    <cellStyle name="Гиперссылка" xfId="99" builtinId="8"/>
    <cellStyle name="Обычный" xfId="0" builtinId="0"/>
    <cellStyle name="Обычный 14 3" xfId="11"/>
    <cellStyle name="Обычный 15" xfId="58"/>
    <cellStyle name="Обычный 2" xfId="57"/>
    <cellStyle name="Обычный 2 2" xfId="54"/>
    <cellStyle name="Обычный 3" xfId="44"/>
    <cellStyle name="Обычный 7" xfId="71"/>
    <cellStyle name="Обычный 7 2" xfId="72"/>
    <cellStyle name="Процентный" xfId="5" builtinId="5"/>
    <cellStyle name="Процентный 6" xfId="73"/>
    <cellStyle name="Расчет - дата" xfId="8"/>
    <cellStyle name="Текст - норм" xfId="7"/>
  </cellStyles>
  <dxfs count="2314">
    <dxf>
      <font>
        <color rgb="FFF2F5F7"/>
      </font>
    </dxf>
    <dxf>
      <font>
        <color rgb="FFF2F5F7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 val="0"/>
        <color rgb="FFFF0000"/>
      </font>
    </dxf>
    <dxf>
      <fill>
        <patternFill>
          <bgColor rgb="FFFFFF99"/>
        </patternFill>
      </fill>
    </dxf>
    <dxf>
      <font>
        <b/>
        <i val="0"/>
        <color rgb="FFFF0000"/>
      </font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 val="0"/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ont>
        <color theme="0" tint="-0.14996795556505021"/>
      </font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 val="0"/>
        <color rgb="FFFF0000"/>
      </font>
    </dxf>
    <dxf>
      <fill>
        <patternFill>
          <bgColor rgb="FFFFFF9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 tint="-0.14996795556505021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rgb="FFF2F5F7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DCFDD7"/>
        </patternFill>
      </fill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F000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theme="0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F000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ont>
        <color theme="0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rgb="FFF2F5F7"/>
      </font>
    </dxf>
    <dxf>
      <font>
        <color theme="0"/>
      </font>
    </dxf>
    <dxf>
      <font>
        <color rgb="FFF2F5F7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2"/>
      </font>
    </dxf>
    <dxf>
      <font>
        <color theme="0"/>
      </font>
      <fill>
        <patternFill>
          <bgColor theme="4"/>
        </patternFill>
      </fill>
    </dxf>
    <dxf>
      <font>
        <strike val="0"/>
      </font>
      <fill>
        <patternFill>
          <bgColor rgb="FFF2F5F7"/>
        </patternFill>
      </fill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</dxfs>
  <tableStyles count="1" defaultTableStyle="TableStyleMedium2" defaultPivotStyle="PivotStyleLight16">
    <tableStyle name="CWTable" pivot="0" count="3">
      <tableStyleElement type="wholeTable" dxfId="2313"/>
      <tableStyleElement type="headerRow" dxfId="2312"/>
      <tableStyleElement type="totalRow" dxfId="2311"/>
    </tableStyle>
  </tableStyles>
  <colors>
    <mruColors>
      <color rgb="FF0093B2"/>
      <color rgb="FF003865"/>
      <color rgb="FFBFBFBF"/>
      <color rgb="FFB5BD00"/>
      <color rgb="FF69FFB4"/>
      <color rgb="FFCDFFE6"/>
      <color rgb="FFFF33CC"/>
      <color rgb="FFA8B8E6"/>
      <color rgb="FF66FFFF"/>
      <color rgb="FFECD3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3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Кредитная позиция (млн. руб.)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CF_mln!$D$171:$S$171</c:f>
              <c:numCache>
                <c:formatCode>General</c:formatCode>
                <c:ptCount val="1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</c:numCache>
            </c:numRef>
          </c:cat>
          <c:val>
            <c:numRef>
              <c:f>CF_mln!$D$188:$S$188</c:f>
              <c:numCache>
                <c:formatCode>#,##0</c:formatCode>
                <c:ptCount val="16"/>
                <c:pt idx="0">
                  <c:v>100.00000037920415</c:v>
                </c:pt>
                <c:pt idx="1">
                  <c:v>2246.1035776995727</c:v>
                </c:pt>
                <c:pt idx="2">
                  <c:v>5204.158872552538</c:v>
                </c:pt>
                <c:pt idx="3">
                  <c:v>7409.9720781075794</c:v>
                </c:pt>
                <c:pt idx="4">
                  <c:v>6541.6999997626826</c:v>
                </c:pt>
                <c:pt idx="5">
                  <c:v>6336.0999997626823</c:v>
                </c:pt>
                <c:pt idx="6">
                  <c:v>5989.6999997626826</c:v>
                </c:pt>
                <c:pt idx="7">
                  <c:v>5514.5999997626823</c:v>
                </c:pt>
                <c:pt idx="8">
                  <c:v>4947.3999997626825</c:v>
                </c:pt>
                <c:pt idx="9">
                  <c:v>4317.8999997626825</c:v>
                </c:pt>
                <c:pt idx="10">
                  <c:v>3619.2999997626825</c:v>
                </c:pt>
                <c:pt idx="11">
                  <c:v>2864.0999997626823</c:v>
                </c:pt>
                <c:pt idx="12">
                  <c:v>2082.5999997626823</c:v>
                </c:pt>
                <c:pt idx="13">
                  <c:v>1292.7999997626823</c:v>
                </c:pt>
                <c:pt idx="14">
                  <c:v>504.99999976268236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B37-8ECE-56664DDF0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850368"/>
        <c:axId val="811848072"/>
      </c:barChart>
      <c:catAx>
        <c:axId val="81185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1848072"/>
        <c:crosses val="autoZero"/>
        <c:auto val="1"/>
        <c:lblAlgn val="ctr"/>
        <c:lblOffset val="100"/>
        <c:noMultiLvlLbl val="0"/>
      </c:catAx>
      <c:valAx>
        <c:axId val="81184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185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 sz="1000"/>
              <a:t>График инвестиционнго бюджета, млн руб., с НДС, с учетом инфляции</a:t>
            </a:r>
            <a:endParaRPr lang="en-US" sz="1000"/>
          </a:p>
        </c:rich>
      </c:tx>
      <c:layout>
        <c:manualLayout>
          <c:xMode val="edge"/>
          <c:yMode val="edge"/>
          <c:x val="0.16235607995113752"/>
          <c:y val="2.2157248345478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Строительство!$J$57</c:f>
              <c:strCache>
                <c:ptCount val="1"/>
                <c:pt idx="0">
                  <c:v>Общий проект</c:v>
                </c:pt>
              </c:strCache>
            </c:strRef>
          </c:tx>
          <c:spPr>
            <a:solidFill>
              <a:srgbClr val="0093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Строительство!$K$56:$O$56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Строительство!$K$57:$O$57</c:f>
              <c:numCache>
                <c:formatCode>#,##0</c:formatCode>
                <c:ptCount val="5"/>
                <c:pt idx="0">
                  <c:v>160.31818482743449</c:v>
                </c:pt>
                <c:pt idx="1">
                  <c:v>3048.205290457669</c:v>
                </c:pt>
                <c:pt idx="2">
                  <c:v>4225.7932783613796</c:v>
                </c:pt>
                <c:pt idx="3">
                  <c:v>3151.1617222214882</c:v>
                </c:pt>
                <c:pt idx="4">
                  <c:v>886.72478236443374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C-4530-90BA-162633F38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8371024"/>
        <c:axId val="88836577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003865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Строительство!$K$58:$O$58</c:f>
              <c:numCache>
                <c:formatCode>0.0%</c:formatCode>
                <c:ptCount val="5"/>
                <c:pt idx="0">
                  <c:v>1.39744895743885E-2</c:v>
                </c:pt>
                <c:pt idx="1">
                  <c:v>0.26570356380935722</c:v>
                </c:pt>
                <c:pt idx="2">
                  <c:v>0.368350628317971</c:v>
                </c:pt>
                <c:pt idx="3">
                  <c:v>0.27467798916134339</c:v>
                </c:pt>
                <c:pt idx="4">
                  <c:v>7.7293329136940106E-2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2-4306-ADAB-D74EB43E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778784"/>
        <c:axId val="576795120"/>
      </c:lineChart>
      <c:catAx>
        <c:axId val="88837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888365776"/>
        <c:crosses val="autoZero"/>
        <c:auto val="1"/>
        <c:lblAlgn val="ctr"/>
        <c:lblOffset val="100"/>
        <c:noMultiLvlLbl val="0"/>
      </c:catAx>
      <c:valAx>
        <c:axId val="8883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888371024"/>
        <c:crosses val="autoZero"/>
        <c:crossBetween val="between"/>
      </c:valAx>
      <c:valAx>
        <c:axId val="576795120"/>
        <c:scaling>
          <c:orientation val="minMax"/>
          <c:max val="0.5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88778784"/>
        <c:crosses val="max"/>
        <c:crossBetween val="between"/>
      </c:valAx>
      <c:catAx>
        <c:axId val="688778784"/>
        <c:scaling>
          <c:orientation val="minMax"/>
        </c:scaling>
        <c:delete val="1"/>
        <c:axPos val="b"/>
        <c:majorTickMark val="out"/>
        <c:minorTickMark val="none"/>
        <c:tickLblPos val="nextTo"/>
        <c:crossAx val="57679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СОЧИ_РЫНОК!$A$11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СОЧИ_РЫНОК!$B$11:$O$11</c:f>
              <c:numCache>
                <c:formatCode>#,##0</c:formatCode>
                <c:ptCount val="14"/>
                <c:pt idx="0">
                  <c:v>5392.1693766975504</c:v>
                </c:pt>
                <c:pt idx="1">
                  <c:v>5239.688125817629</c:v>
                </c:pt>
                <c:pt idx="2">
                  <c:v>6790.5155473067889</c:v>
                </c:pt>
                <c:pt idx="3">
                  <c:v>6641.2236726710598</c:v>
                </c:pt>
                <c:pt idx="4">
                  <c:v>6927.2883226430286</c:v>
                </c:pt>
                <c:pt idx="5">
                  <c:v>6774.1085923795627</c:v>
                </c:pt>
                <c:pt idx="6">
                  <c:v>8954.8701619452822</c:v>
                </c:pt>
                <c:pt idx="7">
                  <c:v>11526.662384321578</c:v>
                </c:pt>
                <c:pt idx="8">
                  <c:v>8164.8306267921025</c:v>
                </c:pt>
                <c:pt idx="9">
                  <c:v>12102.995503537657</c:v>
                </c:pt>
                <c:pt idx="10">
                  <c:v>12708.145278714541</c:v>
                </c:pt>
                <c:pt idx="11">
                  <c:v>13216.471089863124</c:v>
                </c:pt>
                <c:pt idx="12">
                  <c:v>13745.129933457649</c:v>
                </c:pt>
                <c:pt idx="13">
                  <c:v>14294.935130795955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7-49A4-A9F7-64C5590D1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-2044155040"/>
        <c:axId val="-2044471824"/>
      </c:barChart>
      <c:lineChart>
        <c:grouping val="standard"/>
        <c:varyColors val="0"/>
        <c:ser>
          <c:idx val="0"/>
          <c:order val="0"/>
          <c:tx>
            <c:strRef>
              <c:f>СОЧИ_РЫНОК!$A$3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spPr>
                <a:solidFill>
                  <a:schemeClr val="bg1">
                    <a:alpha val="38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07F-46E5-8AFD-C5BD66563D36}"/>
                </c:ext>
              </c:extLst>
            </c:dLbl>
            <c:spPr>
              <a:solidFill>
                <a:srgbClr val="FFFFFF">
                  <a:alpha val="38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СОЧИ_РЫНОК!$B$3:$O$3</c:f>
              <c:numCache>
                <c:formatCode>0.0%</c:formatCode>
                <c:ptCount val="14"/>
                <c:pt idx="0">
                  <c:v>0.21450649598232627</c:v>
                </c:pt>
                <c:pt idx="1">
                  <c:v>0.369986092742837</c:v>
                </c:pt>
                <c:pt idx="2">
                  <c:v>0.48823965183774343</c:v>
                </c:pt>
                <c:pt idx="3">
                  <c:v>0.53868215316957524</c:v>
                </c:pt>
                <c:pt idx="4">
                  <c:v>0.58913862789450588</c:v>
                </c:pt>
                <c:pt idx="5">
                  <c:v>0.62977218996492601</c:v>
                </c:pt>
                <c:pt idx="6">
                  <c:v>0.50369081417712247</c:v>
                </c:pt>
                <c:pt idx="7">
                  <c:v>0.60830795132777227</c:v>
                </c:pt>
                <c:pt idx="8">
                  <c:v>0.57391834730678037</c:v>
                </c:pt>
                <c:pt idx="9">
                  <c:v>0.62830795132777228</c:v>
                </c:pt>
                <c:pt idx="10">
                  <c:v>0.62830795132777228</c:v>
                </c:pt>
                <c:pt idx="11">
                  <c:v>0.60830795132777227</c:v>
                </c:pt>
                <c:pt idx="12">
                  <c:v>0.59830795132777226</c:v>
                </c:pt>
                <c:pt idx="13">
                  <c:v>0.59830795132777226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7-49A4-A9F7-64C5590D1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30528"/>
        <c:axId val="2132098368"/>
      </c:lineChart>
      <c:catAx>
        <c:axId val="-20441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471824"/>
        <c:crosses val="autoZero"/>
        <c:auto val="1"/>
        <c:lblAlgn val="ctr"/>
        <c:lblOffset val="100"/>
        <c:noMultiLvlLbl val="0"/>
      </c:catAx>
      <c:valAx>
        <c:axId val="-2044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155040"/>
        <c:crosses val="autoZero"/>
        <c:crossBetween val="between"/>
      </c:valAx>
      <c:valAx>
        <c:axId val="2132098368"/>
        <c:scaling>
          <c:orientation val="minMax"/>
          <c:min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31930528"/>
        <c:crosses val="max"/>
        <c:crossBetween val="between"/>
      </c:valAx>
      <c:catAx>
        <c:axId val="213193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0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5.5555555555555552E-2"/>
          <c:w val="0.87232174103237092"/>
          <c:h val="0.7569683564772591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СОЧИ_РЫНОК!$A$388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93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СОЧИ_РЫНОК!$B$386:$O$386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СОЧИ_РЫНОК!$B$388:$O$388</c:f>
              <c:numCache>
                <c:formatCode>0</c:formatCode>
                <c:ptCount val="14"/>
                <c:pt idx="0">
                  <c:v>5392.1693766975504</c:v>
                </c:pt>
                <c:pt idx="1">
                  <c:v>5239.688125817629</c:v>
                </c:pt>
                <c:pt idx="2">
                  <c:v>6790.5155473067889</c:v>
                </c:pt>
                <c:pt idx="3">
                  <c:v>6641.2236726710598</c:v>
                </c:pt>
                <c:pt idx="4">
                  <c:v>6927.2883226430286</c:v>
                </c:pt>
                <c:pt idx="5">
                  <c:v>6774.1085923795627</c:v>
                </c:pt>
                <c:pt idx="6">
                  <c:v>8954.8701619452822</c:v>
                </c:pt>
                <c:pt idx="7">
                  <c:v>11526.662384321578</c:v>
                </c:pt>
                <c:pt idx="8">
                  <c:v>8164.8306267921025</c:v>
                </c:pt>
                <c:pt idx="9">
                  <c:v>12102.995503537657</c:v>
                </c:pt>
                <c:pt idx="10">
                  <c:v>12708.145278714541</c:v>
                </c:pt>
                <c:pt idx="11">
                  <c:v>13216.471089863124</c:v>
                </c:pt>
                <c:pt idx="12">
                  <c:v>13745.129933457649</c:v>
                </c:pt>
                <c:pt idx="13">
                  <c:v>14294.935130795955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5-4479-9534-B89D41AC7145}"/>
            </c:ext>
          </c:extLst>
        </c:ser>
        <c:ser>
          <c:idx val="2"/>
          <c:order val="2"/>
          <c:tx>
            <c:strRef>
              <c:f>СОЧИ_РЫНОК!$A$389</c:f>
              <c:strCache>
                <c:ptCount val="1"/>
                <c:pt idx="0">
                  <c:v>Доходность на номер (руб.)</c:v>
                </c:pt>
              </c:strCache>
            </c:strRef>
          </c:tx>
          <c:spPr>
            <a:solidFill>
              <a:srgbClr val="B5BD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СОЧИ_РЫНОК!$B$386:$O$386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СОЧИ_РЫНОК!$B$389:$O$389</c:f>
              <c:numCache>
                <c:formatCode>0</c:formatCode>
                <c:ptCount val="14"/>
                <c:pt idx="0">
                  <c:v>1156.6553587385959</c:v>
                </c:pt>
                <c:pt idx="1">
                  <c:v>1938.6117368623031</c:v>
                </c:pt>
                <c:pt idx="2">
                  <c:v>3315.3989466158505</c:v>
                </c:pt>
                <c:pt idx="3">
                  <c:v>3577.5086676752007</c:v>
                </c:pt>
                <c:pt idx="4">
                  <c:v>4081.1331374315469</c:v>
                </c:pt>
                <c:pt idx="5">
                  <c:v>4266.1452032830994</c:v>
                </c:pt>
                <c:pt idx="6">
                  <c:v>4510.48584272064</c:v>
                </c:pt>
                <c:pt idx="7">
                  <c:v>7011.7603806535544</c:v>
                </c:pt>
                <c:pt idx="8">
                  <c:v>4685.9460993683069</c:v>
                </c:pt>
                <c:pt idx="9">
                  <c:v>7604.4083097569846</c:v>
                </c:pt>
                <c:pt idx="10">
                  <c:v>7984.6287252448346</c:v>
                </c:pt>
                <c:pt idx="11">
                  <c:v>8039.6844524573662</c:v>
                </c:pt>
                <c:pt idx="12">
                  <c:v>8223.8205312210848</c:v>
                </c:pt>
                <c:pt idx="13">
                  <c:v>8552.7733524699288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5-4479-9534-B89D41AC7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21375"/>
        <c:axId val="25628031"/>
      </c:barChart>
      <c:lineChart>
        <c:grouping val="standard"/>
        <c:varyColors val="0"/>
        <c:ser>
          <c:idx val="0"/>
          <c:order val="0"/>
          <c:tx>
            <c:strRef>
              <c:f>СОЧИ_РЫНОК!$A$387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00386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00757259382997E-2"/>
                  <c:y val="-5.7460964558404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00-4C4B-B64D-044BCB650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СОЧИ_РЫНОК!$B$386:$O$386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СОЧИ_РЫНОК!$B$387:$O$387</c:f>
              <c:numCache>
                <c:formatCode>0.0%</c:formatCode>
                <c:ptCount val="14"/>
                <c:pt idx="0">
                  <c:v>0.21450649598232627</c:v>
                </c:pt>
                <c:pt idx="1">
                  <c:v>0.369986092742837</c:v>
                </c:pt>
                <c:pt idx="2">
                  <c:v>0.48823965183774343</c:v>
                </c:pt>
                <c:pt idx="3">
                  <c:v>0.53868215316957524</c:v>
                </c:pt>
                <c:pt idx="4">
                  <c:v>0.58913862789450588</c:v>
                </c:pt>
                <c:pt idx="5">
                  <c:v>0.62977218996492601</c:v>
                </c:pt>
                <c:pt idx="6">
                  <c:v>0.50369081417712247</c:v>
                </c:pt>
                <c:pt idx="7">
                  <c:v>0.60830795132777227</c:v>
                </c:pt>
                <c:pt idx="8">
                  <c:v>0.57391834730678037</c:v>
                </c:pt>
                <c:pt idx="9">
                  <c:v>0.62830795132777228</c:v>
                </c:pt>
                <c:pt idx="10">
                  <c:v>0.62830795132777228</c:v>
                </c:pt>
                <c:pt idx="11">
                  <c:v>0.60830795132777227</c:v>
                </c:pt>
                <c:pt idx="12">
                  <c:v>0.59830795132777226</c:v>
                </c:pt>
                <c:pt idx="13">
                  <c:v>0.59830795132777226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D5-4479-9534-B89D41AC7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53503"/>
        <c:axId val="422256831"/>
      </c:lineChart>
      <c:catAx>
        <c:axId val="25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8031"/>
        <c:crosses val="autoZero"/>
        <c:auto val="1"/>
        <c:lblAlgn val="ctr"/>
        <c:lblOffset val="100"/>
        <c:noMultiLvlLbl val="0"/>
      </c:catAx>
      <c:valAx>
        <c:axId val="256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1375"/>
        <c:crosses val="autoZero"/>
        <c:crossBetween val="between"/>
      </c:valAx>
      <c:valAx>
        <c:axId val="42225683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2253503"/>
        <c:crosses val="max"/>
        <c:crossBetween val="between"/>
      </c:valAx>
      <c:catAx>
        <c:axId val="42225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256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СОЧИ_РЫНОК!$A$66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СОЧИ_РЫНОК!$B$57:$O$57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СОЧИ_РЫНОК!$B$66:$O$66</c:f>
              <c:numCache>
                <c:formatCode>#,##0</c:formatCode>
                <c:ptCount val="14"/>
                <c:pt idx="0">
                  <c:v>3648.3910081738663</c:v>
                </c:pt>
                <c:pt idx="1">
                  <c:v>3264.5202183038045</c:v>
                </c:pt>
                <c:pt idx="2">
                  <c:v>4026.9869112665547</c:v>
                </c:pt>
                <c:pt idx="3">
                  <c:v>4101.8131691952667</c:v>
                </c:pt>
                <c:pt idx="4">
                  <c:v>4545.9427099844343</c:v>
                </c:pt>
                <c:pt idx="5">
                  <c:v>4330.64955989602</c:v>
                </c:pt>
                <c:pt idx="6">
                  <c:v>5613.3776629082186</c:v>
                </c:pt>
                <c:pt idx="7">
                  <c:v>6798.8287383194911</c:v>
                </c:pt>
                <c:pt idx="8">
                  <c:v>5078.1223680606872</c:v>
                </c:pt>
                <c:pt idx="9">
                  <c:v>7070.7818878522712</c:v>
                </c:pt>
                <c:pt idx="10">
                  <c:v>7353.6131633663626</c:v>
                </c:pt>
                <c:pt idx="11">
                  <c:v>7353.6131633663626</c:v>
                </c:pt>
                <c:pt idx="12">
                  <c:v>7574.2215582673534</c:v>
                </c:pt>
                <c:pt idx="13">
                  <c:v>7877.1904205980481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B-48D7-AA9C-CBA50D5B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-2044155040"/>
        <c:axId val="-2044471824"/>
      </c:barChart>
      <c:lineChart>
        <c:grouping val="standard"/>
        <c:varyColors val="0"/>
        <c:ser>
          <c:idx val="0"/>
          <c:order val="0"/>
          <c:tx>
            <c:strRef>
              <c:f>СОЧИ_РЫНОК!$A$58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20000"/>
                  <a:lumOff val="80000"/>
                  <a:alpha val="4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СОЧИ_РЫНОК!$B$57:$O$57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СОЧИ_РЫНОК!$B$58:$O$58</c:f>
              <c:numCache>
                <c:formatCode>0.0%</c:formatCode>
                <c:ptCount val="14"/>
                <c:pt idx="0">
                  <c:v>0.22120599479920311</c:v>
                </c:pt>
                <c:pt idx="1">
                  <c:v>0.33952308898615108</c:v>
                </c:pt>
                <c:pt idx="2">
                  <c:v>0.50102654922734535</c:v>
                </c:pt>
                <c:pt idx="3">
                  <c:v>0.52145392030764393</c:v>
                </c:pt>
                <c:pt idx="4">
                  <c:v>0.49911179679558543</c:v>
                </c:pt>
                <c:pt idx="5">
                  <c:v>0.5398717035551921</c:v>
                </c:pt>
                <c:pt idx="6">
                  <c:v>0.46436681886149739</c:v>
                </c:pt>
                <c:pt idx="7">
                  <c:v>0.58345248192576438</c:v>
                </c:pt>
                <c:pt idx="8">
                  <c:v>0.52165134428913673</c:v>
                </c:pt>
                <c:pt idx="9">
                  <c:v>0.6134524819257644</c:v>
                </c:pt>
                <c:pt idx="10">
                  <c:v>0.60345248192576439</c:v>
                </c:pt>
                <c:pt idx="11">
                  <c:v>0.60345248192576439</c:v>
                </c:pt>
                <c:pt idx="12">
                  <c:v>0.60345248192576439</c:v>
                </c:pt>
                <c:pt idx="13">
                  <c:v>0.60345248192576439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B-48D7-AA9C-CBA50D5B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30528"/>
        <c:axId val="2132098368"/>
      </c:lineChart>
      <c:catAx>
        <c:axId val="-20441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471824"/>
        <c:crosses val="autoZero"/>
        <c:auto val="1"/>
        <c:lblAlgn val="ctr"/>
        <c:lblOffset val="100"/>
        <c:noMultiLvlLbl val="0"/>
      </c:catAx>
      <c:valAx>
        <c:axId val="-2044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155040"/>
        <c:crosses val="autoZero"/>
        <c:crossBetween val="between"/>
      </c:valAx>
      <c:valAx>
        <c:axId val="2132098368"/>
        <c:scaling>
          <c:orientation val="minMax"/>
          <c:min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31930528"/>
        <c:crosses val="max"/>
        <c:crossBetween val="between"/>
      </c:valAx>
      <c:catAx>
        <c:axId val="213193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0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5.5555555555555552E-2"/>
          <c:w val="0.87232174103237092"/>
          <c:h val="0.7582205912042991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СОЧИ_РЫНОК!$A$416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93B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СОЧИ_РЫНОК!$B$416:$O$416</c:f>
              <c:numCache>
                <c:formatCode>0</c:formatCode>
                <c:ptCount val="14"/>
                <c:pt idx="0">
                  <c:v>3648.3910081738663</c:v>
                </c:pt>
                <c:pt idx="1">
                  <c:v>3264.5202183038045</c:v>
                </c:pt>
                <c:pt idx="2">
                  <c:v>4026.9869112665547</c:v>
                </c:pt>
                <c:pt idx="3">
                  <c:v>4101.8131691952667</c:v>
                </c:pt>
                <c:pt idx="4">
                  <c:v>4545.9427099844343</c:v>
                </c:pt>
                <c:pt idx="5">
                  <c:v>4330.64955989602</c:v>
                </c:pt>
                <c:pt idx="6">
                  <c:v>5613.3776629082186</c:v>
                </c:pt>
                <c:pt idx="7">
                  <c:v>6798.8287383194911</c:v>
                </c:pt>
                <c:pt idx="8">
                  <c:v>5078.1223680606872</c:v>
                </c:pt>
                <c:pt idx="9">
                  <c:v>7070.7818878522712</c:v>
                </c:pt>
                <c:pt idx="10">
                  <c:v>7353.6131633663626</c:v>
                </c:pt>
                <c:pt idx="11">
                  <c:v>7353.6131633663626</c:v>
                </c:pt>
                <c:pt idx="12">
                  <c:v>7574.2215582673534</c:v>
                </c:pt>
                <c:pt idx="13">
                  <c:v>7877.1904205980481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512-99B3-8D7C449B181C}"/>
            </c:ext>
          </c:extLst>
        </c:ser>
        <c:ser>
          <c:idx val="2"/>
          <c:order val="2"/>
          <c:tx>
            <c:strRef>
              <c:f>СОЧИ_РЫНОК!$A$417</c:f>
              <c:strCache>
                <c:ptCount val="1"/>
                <c:pt idx="0">
                  <c:v>Доходность на номер (руб.)</c:v>
                </c:pt>
              </c:strCache>
            </c:strRef>
          </c:tx>
          <c:spPr>
            <a:solidFill>
              <a:srgbClr val="B5BD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СОЧИ_РЫНОК!$B$417:$O$417</c:f>
              <c:numCache>
                <c:formatCode>0</c:formatCode>
                <c:ptCount val="14"/>
                <c:pt idx="0">
                  <c:v>807.04596237956764</c:v>
                </c:pt>
                <c:pt idx="1">
                  <c:v>1108.3799885762519</c:v>
                </c:pt>
                <c:pt idx="2">
                  <c:v>2017.6273559355679</c:v>
                </c:pt>
                <c:pt idx="3">
                  <c:v>2138.906557446393</c:v>
                </c:pt>
                <c:pt idx="4">
                  <c:v>2268.9336341101239</c:v>
                </c:pt>
                <c:pt idx="5">
                  <c:v>2337.9951554016075</c:v>
                </c:pt>
                <c:pt idx="6">
                  <c:v>2606.6663283928765</c:v>
                </c:pt>
                <c:pt idx="7">
                  <c:v>3966.7935015607204</c:v>
                </c:pt>
                <c:pt idx="8">
                  <c:v>3115.1867702095687</c:v>
                </c:pt>
                <c:pt idx="9">
                  <c:v>4266.8808793801945</c:v>
                </c:pt>
                <c:pt idx="10">
                  <c:v>4437.5561145554029</c:v>
                </c:pt>
                <c:pt idx="11">
                  <c:v>4437.5561145554029</c:v>
                </c:pt>
                <c:pt idx="12">
                  <c:v>4570.6827979920654</c:v>
                </c:pt>
                <c:pt idx="13">
                  <c:v>4769.2644907529448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9-4512-99B3-8D7C449B1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21375"/>
        <c:axId val="25628031"/>
      </c:barChart>
      <c:lineChart>
        <c:grouping val="standard"/>
        <c:varyColors val="0"/>
        <c:ser>
          <c:idx val="0"/>
          <c:order val="0"/>
          <c:tx>
            <c:strRef>
              <c:f>СОЧИ_РЫНОК!$A$415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>
              <a:solidFill>
                <a:srgbClr val="003865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1118457686842094E-2"/>
                  <c:y val="-0.11585870031236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99-4512-99B3-8D7C449B1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СОЧИ_РЫНОК!$B$415:$O$415</c:f>
              <c:numCache>
                <c:formatCode>0.0%</c:formatCode>
                <c:ptCount val="14"/>
                <c:pt idx="0">
                  <c:v>0.22120599479920311</c:v>
                </c:pt>
                <c:pt idx="1">
                  <c:v>0.33952308898615108</c:v>
                </c:pt>
                <c:pt idx="2">
                  <c:v>0.50102654922734535</c:v>
                </c:pt>
                <c:pt idx="3">
                  <c:v>0.52145392030764393</c:v>
                </c:pt>
                <c:pt idx="4">
                  <c:v>0.49911179679558543</c:v>
                </c:pt>
                <c:pt idx="5">
                  <c:v>0.5398717035551921</c:v>
                </c:pt>
                <c:pt idx="6">
                  <c:v>0.46436681886149739</c:v>
                </c:pt>
                <c:pt idx="7">
                  <c:v>0.58345248192576438</c:v>
                </c:pt>
                <c:pt idx="8">
                  <c:v>0.6134524819257644</c:v>
                </c:pt>
                <c:pt idx="9">
                  <c:v>0.60345248192576439</c:v>
                </c:pt>
                <c:pt idx="10">
                  <c:v>0.60345248192576439</c:v>
                </c:pt>
                <c:pt idx="11">
                  <c:v>0.60345248192576439</c:v>
                </c:pt>
                <c:pt idx="12">
                  <c:v>0.60345248192576439</c:v>
                </c:pt>
                <c:pt idx="13">
                  <c:v>0.60545248192576451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499-4512-99B3-8D7C449B1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53503"/>
        <c:axId val="422256831"/>
      </c:lineChart>
      <c:catAx>
        <c:axId val="25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8031"/>
        <c:crosses val="autoZero"/>
        <c:auto val="1"/>
        <c:lblAlgn val="ctr"/>
        <c:lblOffset val="100"/>
        <c:noMultiLvlLbl val="0"/>
      </c:catAx>
      <c:valAx>
        <c:axId val="256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1375"/>
        <c:crosses val="autoZero"/>
        <c:crossBetween val="between"/>
      </c:valAx>
      <c:valAx>
        <c:axId val="42225683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2253503"/>
        <c:crosses val="max"/>
        <c:crossBetween val="between"/>
      </c:valAx>
      <c:catAx>
        <c:axId val="42225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256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СОЧИ_РЫНОК!$A$119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СОЧИ_РЫНОК!$B$110:$O$110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СОЧИ_РЫНОК!$B$119:$O$119</c:f>
              <c:numCache>
                <c:formatCode>#,##0</c:formatCode>
                <c:ptCount val="14"/>
                <c:pt idx="0">
                  <c:v>3604.8937178571418</c:v>
                </c:pt>
                <c:pt idx="1">
                  <c:v>2962.4533906676274</c:v>
                </c:pt>
                <c:pt idx="2">
                  <c:v>3487.6666942022121</c:v>
                </c:pt>
                <c:pt idx="3">
                  <c:v>3206.6514770973945</c:v>
                </c:pt>
                <c:pt idx="4">
                  <c:v>3235.2906844340155</c:v>
                </c:pt>
                <c:pt idx="5">
                  <c:v>3151.0172928748848</c:v>
                </c:pt>
                <c:pt idx="6">
                  <c:v>4541.0397413837591</c:v>
                </c:pt>
                <c:pt idx="7">
                  <c:v>5439.4048244638961</c:v>
                </c:pt>
                <c:pt idx="8">
                  <c:v>3914.6808040507894</c:v>
                </c:pt>
                <c:pt idx="9">
                  <c:v>5711.3750656870916</c:v>
                </c:pt>
                <c:pt idx="10">
                  <c:v>5939.8300683145753</c:v>
                </c:pt>
                <c:pt idx="11">
                  <c:v>6177.4232710471588</c:v>
                </c:pt>
                <c:pt idx="12">
                  <c:v>6424.520201889045</c:v>
                </c:pt>
                <c:pt idx="13">
                  <c:v>6681.501009964607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0-40AF-896C-1A47E2AFD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-2044155040"/>
        <c:axId val="-2044471824"/>
      </c:barChart>
      <c:lineChart>
        <c:grouping val="standard"/>
        <c:varyColors val="0"/>
        <c:ser>
          <c:idx val="0"/>
          <c:order val="0"/>
          <c:tx>
            <c:strRef>
              <c:f>СОЧИ_РЫНОК!$A$111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solidFill>
                <a:schemeClr val="accent1">
                  <a:lumMod val="20000"/>
                  <a:lumOff val="80000"/>
                  <a:alpha val="4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СОЧИ_РЫНОК!$B$110:$O$110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AVG. / SUM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СОЧИ_РЫНОК!$B$111:$O$111</c:f>
              <c:numCache>
                <c:formatCode>0.0%</c:formatCode>
                <c:ptCount val="14"/>
                <c:pt idx="0">
                  <c:v>0.17877011702508946</c:v>
                </c:pt>
                <c:pt idx="1">
                  <c:v>0.31183170043868813</c:v>
                </c:pt>
                <c:pt idx="2">
                  <c:v>0.41936772444467979</c:v>
                </c:pt>
                <c:pt idx="3">
                  <c:v>0.60359340877506451</c:v>
                </c:pt>
                <c:pt idx="4">
                  <c:v>0.53676355941641607</c:v>
                </c:pt>
                <c:pt idx="5">
                  <c:v>0.7101165659831532</c:v>
                </c:pt>
                <c:pt idx="6">
                  <c:v>0.4860927264704884</c:v>
                </c:pt>
                <c:pt idx="7">
                  <c:v>0.60142942227516383</c:v>
                </c:pt>
                <c:pt idx="8">
                  <c:v>0.58759913658405716</c:v>
                </c:pt>
                <c:pt idx="9">
                  <c:v>0.65142942227516387</c:v>
                </c:pt>
                <c:pt idx="10">
                  <c:v>0.69142942227516391</c:v>
                </c:pt>
                <c:pt idx="11">
                  <c:v>0.69142942227516391</c:v>
                </c:pt>
                <c:pt idx="12">
                  <c:v>0.67142942227516389</c:v>
                </c:pt>
                <c:pt idx="13">
                  <c:v>0.67142942227516389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0-40AF-896C-1A47E2AFD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30528"/>
        <c:axId val="2132098368"/>
      </c:lineChart>
      <c:catAx>
        <c:axId val="-20441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471824"/>
        <c:crosses val="autoZero"/>
        <c:auto val="1"/>
        <c:lblAlgn val="ctr"/>
        <c:lblOffset val="100"/>
        <c:noMultiLvlLbl val="0"/>
      </c:catAx>
      <c:valAx>
        <c:axId val="-2044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155040"/>
        <c:crosses val="autoZero"/>
        <c:crossBetween val="between"/>
      </c:valAx>
      <c:valAx>
        <c:axId val="2132098368"/>
        <c:scaling>
          <c:orientation val="minMax"/>
          <c:min val="0.1500000000000000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31930528"/>
        <c:crosses val="max"/>
        <c:crossBetween val="between"/>
      </c:valAx>
      <c:catAx>
        <c:axId val="213193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0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/>
              <a:t>Динамика операционных показателей гостиниц категории</a:t>
            </a:r>
            <a:r>
              <a:rPr lang="ru-RU" baseline="0"/>
              <a:t> 2* горного кластера г. Сочи</a:t>
            </a:r>
            <a:endParaRPr lang="en-US"/>
          </a:p>
        </c:rich>
      </c:tx>
      <c:layout>
        <c:manualLayout>
          <c:xMode val="edge"/>
          <c:yMode val="edge"/>
          <c:x val="0.20192829787239144"/>
          <c:y val="1.765865677411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СОЧИ_РЫНОК!$A$172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СОЧИ_РЫНОК!$C$163:$O$163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AVG. / SUM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СОЧИ_РЫНОК!$C$172:$O$172</c:f>
              <c:numCache>
                <c:formatCode>#,##0</c:formatCode>
                <c:ptCount val="13"/>
                <c:pt idx="0">
                  <c:v>2042.332765976467</c:v>
                </c:pt>
                <c:pt idx="1">
                  <c:v>2440.8062218461978</c:v>
                </c:pt>
                <c:pt idx="2">
                  <c:v>2633.9511963256664</c:v>
                </c:pt>
                <c:pt idx="3">
                  <c:v>2822.6563863109636</c:v>
                </c:pt>
                <c:pt idx="4">
                  <c:v>3450.356878229245</c:v>
                </c:pt>
                <c:pt idx="5">
                  <c:v>4641.3072170515843</c:v>
                </c:pt>
                <c:pt idx="6">
                  <c:v>5397.5367994206044</c:v>
                </c:pt>
                <c:pt idx="7">
                  <c:v>3789.1616954676124</c:v>
                </c:pt>
                <c:pt idx="8">
                  <c:v>5451.5121674148104</c:v>
                </c:pt>
                <c:pt idx="9">
                  <c:v>5615.0575324372548</c:v>
                </c:pt>
                <c:pt idx="10">
                  <c:v>5839.659833734745</c:v>
                </c:pt>
                <c:pt idx="11">
                  <c:v>6073.2462270841352</c:v>
                </c:pt>
                <c:pt idx="12">
                  <c:v>6316.1760761675005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1-4B66-8848-BA9BA40B0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-2044155040"/>
        <c:axId val="-2044471824"/>
      </c:barChart>
      <c:lineChart>
        <c:grouping val="standard"/>
        <c:varyColors val="0"/>
        <c:ser>
          <c:idx val="0"/>
          <c:order val="0"/>
          <c:tx>
            <c:strRef>
              <c:f>СОЧИ_РЫНОК!$A$164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20000"/>
                  <a:lumOff val="80000"/>
                  <a:alpha val="4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СОЧИ_РЫНОК!$C$163:$O$163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AVG. / SUM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СОЧИ_РЫНОК!$C$164:$O$164</c:f>
              <c:numCache>
                <c:formatCode>0.0%</c:formatCode>
                <c:ptCount val="13"/>
                <c:pt idx="0">
                  <c:v>0.45160882882313935</c:v>
                </c:pt>
                <c:pt idx="1">
                  <c:v>0.3824506956040829</c:v>
                </c:pt>
                <c:pt idx="2">
                  <c:v>0.38198852870057864</c:v>
                </c:pt>
                <c:pt idx="3">
                  <c:v>0.47526631765380006</c:v>
                </c:pt>
                <c:pt idx="4">
                  <c:v>0.43192122068931899</c:v>
                </c:pt>
                <c:pt idx="5">
                  <c:v>0.29549933986282767</c:v>
                </c:pt>
                <c:pt idx="6">
                  <c:v>0.41571226723949778</c:v>
                </c:pt>
                <c:pt idx="7">
                  <c:v>0.40007753482920466</c:v>
                </c:pt>
                <c:pt idx="8">
                  <c:v>0.46571226723949777</c:v>
                </c:pt>
                <c:pt idx="9">
                  <c:v>0.48571226723949779</c:v>
                </c:pt>
                <c:pt idx="10">
                  <c:v>0.49571226723949779</c:v>
                </c:pt>
                <c:pt idx="11">
                  <c:v>0.51571226723949781</c:v>
                </c:pt>
                <c:pt idx="12">
                  <c:v>0.51571226723949781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1-4B66-8848-BA9BA40B0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30528"/>
        <c:axId val="2132098368"/>
      </c:lineChart>
      <c:catAx>
        <c:axId val="-20441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471824"/>
        <c:crosses val="autoZero"/>
        <c:auto val="1"/>
        <c:lblAlgn val="ctr"/>
        <c:lblOffset val="100"/>
        <c:noMultiLvlLbl val="0"/>
      </c:catAx>
      <c:valAx>
        <c:axId val="-2044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155040"/>
        <c:crosses val="autoZero"/>
        <c:crossBetween val="between"/>
      </c:valAx>
      <c:valAx>
        <c:axId val="2132098368"/>
        <c:scaling>
          <c:orientation val="minMax"/>
          <c:min val="0.2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31930528"/>
        <c:crosses val="max"/>
        <c:crossBetween val="between"/>
      </c:valAx>
      <c:catAx>
        <c:axId val="213193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0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СОЧИ_РЫНОК!$A$219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СОЧИ_РЫНОК!$C$216:$O$216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AVG. / SUM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СОЧИ_РЫНОК!$C$219:$O$219</c:f>
              <c:numCache>
                <c:formatCode>#,##0</c:formatCode>
                <c:ptCount val="13"/>
                <c:pt idx="0">
                  <c:v>40105.20980915799</c:v>
                </c:pt>
                <c:pt idx="1">
                  <c:v>59582.88527710519</c:v>
                </c:pt>
                <c:pt idx="2">
                  <c:v>38455.581062629433</c:v>
                </c:pt>
                <c:pt idx="3">
                  <c:v>45957.913060277606</c:v>
                </c:pt>
                <c:pt idx="4">
                  <c:v>51546.741872684041</c:v>
                </c:pt>
                <c:pt idx="5">
                  <c:v>80707.584607984609</c:v>
                </c:pt>
                <c:pt idx="6">
                  <c:v>92246.070764393808</c:v>
                </c:pt>
                <c:pt idx="7">
                  <c:v>61782.778273593904</c:v>
                </c:pt>
                <c:pt idx="8">
                  <c:v>96858.374302613505</c:v>
                </c:pt>
                <c:pt idx="9">
                  <c:v>101701.29301774419</c:v>
                </c:pt>
                <c:pt idx="10">
                  <c:v>105769.34473845396</c:v>
                </c:pt>
                <c:pt idx="11">
                  <c:v>110000.11852799212</c:v>
                </c:pt>
                <c:pt idx="12">
                  <c:v>114400.12326911181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8-4C8E-95D6-1F6C1F092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-2044155040"/>
        <c:axId val="-2044471824"/>
      </c:barChart>
      <c:lineChart>
        <c:grouping val="standard"/>
        <c:varyColors val="0"/>
        <c:ser>
          <c:idx val="0"/>
          <c:order val="0"/>
          <c:tx>
            <c:strRef>
              <c:f>СОЧИ_РЫНОК!$A$217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20000"/>
                  <a:lumOff val="80000"/>
                  <a:alpha val="4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СОЧИ_РЫНОК!$C$216:$O$216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AVG. / SUM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СОЧИ_РЫНОК!$C$217:$O$217</c:f>
              <c:numCache>
                <c:formatCode>0.0%</c:formatCode>
                <c:ptCount val="13"/>
                <c:pt idx="0">
                  <c:v>0.1146431411530815</c:v>
                </c:pt>
                <c:pt idx="1">
                  <c:v>0.12518628912071536</c:v>
                </c:pt>
                <c:pt idx="2">
                  <c:v>0.28869863013698632</c:v>
                </c:pt>
                <c:pt idx="3">
                  <c:v>0.29433374844333748</c:v>
                </c:pt>
                <c:pt idx="4">
                  <c:v>0.24768493150684931</c:v>
                </c:pt>
                <c:pt idx="5">
                  <c:v>0.13524590163934427</c:v>
                </c:pt>
                <c:pt idx="6">
                  <c:v>0.31687422166874224</c:v>
                </c:pt>
                <c:pt idx="7">
                  <c:v>0.25656748667905188</c:v>
                </c:pt>
                <c:pt idx="8">
                  <c:v>0.34687422166874227</c:v>
                </c:pt>
                <c:pt idx="9">
                  <c:v>0.37687422166874229</c:v>
                </c:pt>
                <c:pt idx="10">
                  <c:v>0.39687422166874231</c:v>
                </c:pt>
                <c:pt idx="11">
                  <c:v>0.40687422166874232</c:v>
                </c:pt>
                <c:pt idx="12">
                  <c:v>0.41687422166874233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08-4C8E-95D6-1F6C1F092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30528"/>
        <c:axId val="2132098368"/>
      </c:lineChart>
      <c:catAx>
        <c:axId val="-20441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471824"/>
        <c:crosses val="autoZero"/>
        <c:auto val="1"/>
        <c:lblAlgn val="ctr"/>
        <c:lblOffset val="100"/>
        <c:noMultiLvlLbl val="0"/>
      </c:catAx>
      <c:valAx>
        <c:axId val="-2044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2044155040"/>
        <c:crosses val="autoZero"/>
        <c:crossBetween val="between"/>
      </c:valAx>
      <c:valAx>
        <c:axId val="2132098368"/>
        <c:scaling>
          <c:orientation val="minMax"/>
          <c:min val="0.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31930528"/>
        <c:crosses val="max"/>
        <c:crossBetween val="between"/>
      </c:valAx>
      <c:catAx>
        <c:axId val="213193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0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5.5555555555555552E-2"/>
          <c:w val="0.87232174103237092"/>
          <c:h val="0.736613573517168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СОЧИ_РЫНОК!$A$446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93B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СОЧИ_РЫНОК!$B$446:$O$446</c:f>
              <c:numCache>
                <c:formatCode>0</c:formatCode>
                <c:ptCount val="14"/>
                <c:pt idx="0">
                  <c:v>3604.8937178571418</c:v>
                </c:pt>
                <c:pt idx="1">
                  <c:v>2962.4533906676274</c:v>
                </c:pt>
                <c:pt idx="2">
                  <c:v>3487.6666942022121</c:v>
                </c:pt>
                <c:pt idx="3">
                  <c:v>3206.6514770973945</c:v>
                </c:pt>
                <c:pt idx="4">
                  <c:v>3235.2906844340155</c:v>
                </c:pt>
                <c:pt idx="5">
                  <c:v>3151.0172928748848</c:v>
                </c:pt>
                <c:pt idx="6">
                  <c:v>4541.0397413837591</c:v>
                </c:pt>
                <c:pt idx="7">
                  <c:v>5439.4048244638961</c:v>
                </c:pt>
                <c:pt idx="8">
                  <c:v>3914.6808040507894</c:v>
                </c:pt>
                <c:pt idx="9">
                  <c:v>5711.3750656870916</c:v>
                </c:pt>
                <c:pt idx="10">
                  <c:v>5939.8300683145753</c:v>
                </c:pt>
                <c:pt idx="11">
                  <c:v>6177.4232710471588</c:v>
                </c:pt>
                <c:pt idx="12">
                  <c:v>6424.520201889045</c:v>
                </c:pt>
                <c:pt idx="13">
                  <c:v>6681.501009964607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7-4494-9561-2F4102724CDF}"/>
            </c:ext>
          </c:extLst>
        </c:ser>
        <c:ser>
          <c:idx val="2"/>
          <c:order val="2"/>
          <c:tx>
            <c:strRef>
              <c:f>СОЧИ_РЫНОК!$A$447</c:f>
              <c:strCache>
                <c:ptCount val="1"/>
                <c:pt idx="0">
                  <c:v>Доходность на номер (руб.)</c:v>
                </c:pt>
              </c:strCache>
            </c:strRef>
          </c:tx>
          <c:spPr>
            <a:solidFill>
              <a:srgbClr val="B5BD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СОЧИ_РЫНОК!$B$447:$O$447</c:f>
              <c:numCache>
                <c:formatCode>0</c:formatCode>
                <c:ptCount val="14"/>
                <c:pt idx="0">
                  <c:v>644.44727180433108</c:v>
                </c:pt>
                <c:pt idx="1">
                  <c:v>923.78687828224349</c:v>
                </c:pt>
                <c:pt idx="2">
                  <c:v>1462.6148451690806</c:v>
                </c:pt>
                <c:pt idx="3">
                  <c:v>1935.5136958148121</c:v>
                </c:pt>
                <c:pt idx="4">
                  <c:v>1736.5861435235752</c:v>
                </c:pt>
                <c:pt idx="5">
                  <c:v>2237.5895793698451</c:v>
                </c:pt>
                <c:pt idx="6">
                  <c:v>2207.3663889000732</c:v>
                </c:pt>
                <c:pt idx="7">
                  <c:v>3271.4181010980601</c:v>
                </c:pt>
                <c:pt idx="8">
                  <c:v>2300.2630604624264</c:v>
                </c:pt>
                <c:pt idx="9">
                  <c:v>3720.5577594373181</c:v>
                </c:pt>
                <c:pt idx="10">
                  <c:v>4106.9732725473941</c:v>
                </c:pt>
                <c:pt idx="11">
                  <c:v>4271.2522034492904</c:v>
                </c:pt>
                <c:pt idx="12">
                  <c:v>4313.6118875494803</c:v>
                </c:pt>
                <c:pt idx="13">
                  <c:v>4486.1563630514602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7-4494-9561-2F4102724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21375"/>
        <c:axId val="25628031"/>
      </c:barChart>
      <c:lineChart>
        <c:grouping val="standard"/>
        <c:varyColors val="0"/>
        <c:ser>
          <c:idx val="0"/>
          <c:order val="0"/>
          <c:tx>
            <c:strRef>
              <c:f>СОЧИ_РЫНОК!$A$445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>
              <a:solidFill>
                <a:srgbClr val="003865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90384134304173E-3"/>
                  <c:y val="6.58106658137282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84-4C75-841B-69A7881D5D69}"/>
                </c:ext>
              </c:extLst>
            </c:dLbl>
            <c:dLbl>
              <c:idx val="4"/>
              <c:layout>
                <c:manualLayout>
                  <c:x val="-3.9198028880101488E-2"/>
                  <c:y val="-6.1841156094540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84-4C75-841B-69A7881D5D69}"/>
                </c:ext>
              </c:extLst>
            </c:dLbl>
            <c:dLbl>
              <c:idx val="6"/>
              <c:layout>
                <c:manualLayout>
                  <c:x val="-3.2153560535002408E-2"/>
                  <c:y val="-5.8239986480018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84-4C75-841B-69A7881D5D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СОЧИ_РЫНОК!$B$414:$O$414</c:f>
              <c:numCache>
                <c:formatCode>General</c:formatCod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СОЧИ_РЫНОК!$B$445:$O$445</c:f>
              <c:numCache>
                <c:formatCode>0.0%</c:formatCode>
                <c:ptCount val="14"/>
                <c:pt idx="0">
                  <c:v>0.17877011702508946</c:v>
                </c:pt>
                <c:pt idx="1">
                  <c:v>0.31183170043868813</c:v>
                </c:pt>
                <c:pt idx="2">
                  <c:v>0.41936772444467979</c:v>
                </c:pt>
                <c:pt idx="3">
                  <c:v>0.60359340877506451</c:v>
                </c:pt>
                <c:pt idx="4">
                  <c:v>0.53676355941641607</c:v>
                </c:pt>
                <c:pt idx="5">
                  <c:v>0.7101165659831532</c:v>
                </c:pt>
                <c:pt idx="6">
                  <c:v>0.4860927264704884</c:v>
                </c:pt>
                <c:pt idx="7">
                  <c:v>0.60142942227516383</c:v>
                </c:pt>
                <c:pt idx="8">
                  <c:v>0.58759913658405716</c:v>
                </c:pt>
                <c:pt idx="9">
                  <c:v>0.65142942227516387</c:v>
                </c:pt>
                <c:pt idx="10">
                  <c:v>0.69142942227516391</c:v>
                </c:pt>
                <c:pt idx="11">
                  <c:v>0.69142942227516391</c:v>
                </c:pt>
                <c:pt idx="12">
                  <c:v>0.67142942227516389</c:v>
                </c:pt>
                <c:pt idx="13">
                  <c:v>0.67142942227516389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DD7-4494-9561-2F4102724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53503"/>
        <c:axId val="422256831"/>
      </c:lineChart>
      <c:catAx>
        <c:axId val="25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8031"/>
        <c:crosses val="autoZero"/>
        <c:auto val="1"/>
        <c:lblAlgn val="ctr"/>
        <c:lblOffset val="100"/>
        <c:noMultiLvlLbl val="0"/>
      </c:catAx>
      <c:valAx>
        <c:axId val="256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1375"/>
        <c:crosses val="autoZero"/>
        <c:crossBetween val="between"/>
      </c:valAx>
      <c:valAx>
        <c:axId val="42225683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2253503"/>
        <c:crosses val="max"/>
        <c:crossBetween val="between"/>
      </c:valAx>
      <c:catAx>
        <c:axId val="42225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256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5.5555555555555552E-2"/>
          <c:w val="0.87232174103237092"/>
          <c:h val="0.758136351364253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СОЧИ_РЫНОК!$A$475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93B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СОЧИ_РЫНОК!$B$475:$O$475</c15:sqref>
                  </c15:fullRef>
                </c:ext>
              </c:extLst>
              <c:f>СОЧИ_РЫНОК!$C$475:$O$475</c:f>
              <c:numCache>
                <c:formatCode>0</c:formatCode>
                <c:ptCount val="13"/>
                <c:pt idx="0">
                  <c:v>2042.332765976467</c:v>
                </c:pt>
                <c:pt idx="1">
                  <c:v>2440.8062218461978</c:v>
                </c:pt>
                <c:pt idx="2">
                  <c:v>2633.9511963256664</c:v>
                </c:pt>
                <c:pt idx="3">
                  <c:v>2822.6563863109636</c:v>
                </c:pt>
                <c:pt idx="4">
                  <c:v>3450.356878229245</c:v>
                </c:pt>
                <c:pt idx="5">
                  <c:v>4641.3072170515843</c:v>
                </c:pt>
                <c:pt idx="6">
                  <c:v>5397.5367994206044</c:v>
                </c:pt>
                <c:pt idx="7">
                  <c:v>3789.1616954676124</c:v>
                </c:pt>
                <c:pt idx="8">
                  <c:v>5451.5121674148104</c:v>
                </c:pt>
                <c:pt idx="9">
                  <c:v>5615.0575324372548</c:v>
                </c:pt>
                <c:pt idx="10">
                  <c:v>5839.659833734745</c:v>
                </c:pt>
                <c:pt idx="11">
                  <c:v>6073.2462270841352</c:v>
                </c:pt>
                <c:pt idx="12">
                  <c:v>6316.1760761675005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8-4562-8408-73D3CA01B480}"/>
            </c:ext>
          </c:extLst>
        </c:ser>
        <c:ser>
          <c:idx val="2"/>
          <c:order val="2"/>
          <c:tx>
            <c:strRef>
              <c:f>СОЧИ_РЫНОК!$A$476</c:f>
              <c:strCache>
                <c:ptCount val="1"/>
                <c:pt idx="0">
                  <c:v>Доходность на номер (руб.)</c:v>
                </c:pt>
              </c:strCache>
            </c:strRef>
          </c:tx>
          <c:spPr>
            <a:solidFill>
              <a:srgbClr val="B5BD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СОЧИ_РЫНОК!$B$476:$O$476</c15:sqref>
                  </c15:fullRef>
                </c:ext>
              </c:extLst>
              <c:f>СОЧИ_РЫНОК!$C$476:$O$476</c:f>
              <c:numCache>
                <c:formatCode>0</c:formatCode>
                <c:ptCount val="13"/>
                <c:pt idx="0">
                  <c:v>922.33550850975507</c:v>
                </c:pt>
                <c:pt idx="1">
                  <c:v>933.48803737985179</c:v>
                </c:pt>
                <c:pt idx="2">
                  <c:v>1006.1391421535702</c:v>
                </c:pt>
                <c:pt idx="3">
                  <c:v>1341.5135067239937</c:v>
                </c:pt>
                <c:pt idx="4">
                  <c:v>1490.2823546585635</c:v>
                </c:pt>
                <c:pt idx="5">
                  <c:v>1371.503218739321</c:v>
                </c:pt>
                <c:pt idx="6">
                  <c:v>2243.822260395762</c:v>
                </c:pt>
                <c:pt idx="7">
                  <c:v>1515.9584701919318</c:v>
                </c:pt>
                <c:pt idx="8">
                  <c:v>2538.8360913704601</c:v>
                </c:pt>
                <c:pt idx="9">
                  <c:v>2727.3023247603192</c:v>
                </c:pt>
                <c:pt idx="10">
                  <c:v>2894.7910160880792</c:v>
                </c:pt>
                <c:pt idx="11">
                  <c:v>3132.0475812732852</c:v>
                </c:pt>
                <c:pt idx="12">
                  <c:v>3257.3294845242167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8-4562-8408-73D3CA01B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21375"/>
        <c:axId val="25628031"/>
      </c:barChart>
      <c:lineChart>
        <c:grouping val="standard"/>
        <c:varyColors val="0"/>
        <c:ser>
          <c:idx val="0"/>
          <c:order val="0"/>
          <c:tx>
            <c:strRef>
              <c:f>СОЧИ_РЫНОК!$A$474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>
              <a:solidFill>
                <a:srgbClr val="003865"/>
              </a:solidFill>
            </a:ln>
          </c:spPr>
          <c:marker>
            <c:symbol val="none"/>
          </c:marker>
          <c:dLbls>
            <c:dLbl>
              <c:idx val="5"/>
              <c:layout>
                <c:manualLayout>
                  <c:x val="-1.4629438022839891E-2"/>
                  <c:y val="5.3348242552638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5F-4605-BB91-A54A8337D187}"/>
                </c:ext>
              </c:extLst>
            </c:dLbl>
            <c:dLbl>
              <c:idx val="6"/>
              <c:layout>
                <c:manualLayout>
                  <c:x val="-2.1716073395780421E-2"/>
                  <c:y val="-9.4166904876102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5F-4605-BB91-A54A8337D1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СОЧИ_РЫНОК!$B$474:$O$474</c15:sqref>
                  </c15:fullRef>
                </c:ext>
              </c:extLst>
              <c:f>СОЧИ_РЫНОК!$C$474:$O$474</c:f>
              <c:numCache>
                <c:formatCode>0.0%</c:formatCode>
                <c:ptCount val="13"/>
                <c:pt idx="0">
                  <c:v>0.45160882882313935</c:v>
                </c:pt>
                <c:pt idx="1">
                  <c:v>0.3824506956040829</c:v>
                </c:pt>
                <c:pt idx="2">
                  <c:v>0.38198852870057864</c:v>
                </c:pt>
                <c:pt idx="3">
                  <c:v>0.47526631765380006</c:v>
                </c:pt>
                <c:pt idx="4">
                  <c:v>0.43192122068931899</c:v>
                </c:pt>
                <c:pt idx="5">
                  <c:v>0.29549933986282767</c:v>
                </c:pt>
                <c:pt idx="6">
                  <c:v>0.41571226723949778</c:v>
                </c:pt>
                <c:pt idx="7">
                  <c:v>0.40007753482920466</c:v>
                </c:pt>
                <c:pt idx="8">
                  <c:v>0.46571226723949777</c:v>
                </c:pt>
                <c:pt idx="9">
                  <c:v>0.48571226723949779</c:v>
                </c:pt>
                <c:pt idx="10">
                  <c:v>0.49571226723949779</c:v>
                </c:pt>
                <c:pt idx="11">
                  <c:v>0.51571226723949781</c:v>
                </c:pt>
                <c:pt idx="12">
                  <c:v>0.51571226723949781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A08-4562-8408-73D3CA01B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53503"/>
        <c:axId val="422256831"/>
      </c:lineChart>
      <c:catAx>
        <c:axId val="25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8031"/>
        <c:crosses val="autoZero"/>
        <c:auto val="1"/>
        <c:lblAlgn val="ctr"/>
        <c:lblOffset val="100"/>
        <c:noMultiLvlLbl val="0"/>
      </c:catAx>
      <c:valAx>
        <c:axId val="256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1375"/>
        <c:crosses val="autoZero"/>
        <c:crossBetween val="between"/>
      </c:valAx>
      <c:valAx>
        <c:axId val="42225683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2253503"/>
        <c:crosses val="max"/>
        <c:crossBetween val="between"/>
      </c:valAx>
      <c:catAx>
        <c:axId val="42225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256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5.5555555555555552E-2"/>
          <c:w val="0.87232174103237092"/>
          <c:h val="0.7617718961831924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СОЧИ_РЫНОК!$A$505</c:f>
              <c:strCache>
                <c:ptCount val="1"/>
                <c:pt idx="0">
                  <c:v>Средняя цена на номер (руб.)</c:v>
                </c:pt>
              </c:strCache>
            </c:strRef>
          </c:tx>
          <c:spPr>
            <a:solidFill>
              <a:srgbClr val="0093B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СОЧИ_РЫНОК!$B$505:$O$505</c15:sqref>
                  </c15:fullRef>
                </c:ext>
              </c:extLst>
              <c:f>СОЧИ_РЫНОК!$C$505:$O$505</c:f>
              <c:numCache>
                <c:formatCode>0</c:formatCode>
                <c:ptCount val="13"/>
                <c:pt idx="0">
                  <c:v>40105.20980915799</c:v>
                </c:pt>
                <c:pt idx="1">
                  <c:v>59582.88527710519</c:v>
                </c:pt>
                <c:pt idx="2">
                  <c:v>38455.581062629433</c:v>
                </c:pt>
                <c:pt idx="3">
                  <c:v>45957.913060277606</c:v>
                </c:pt>
                <c:pt idx="4">
                  <c:v>51546.741872684041</c:v>
                </c:pt>
                <c:pt idx="5">
                  <c:v>80707.584607984609</c:v>
                </c:pt>
                <c:pt idx="6">
                  <c:v>92246.070764393808</c:v>
                </c:pt>
                <c:pt idx="7">
                  <c:v>61782.778273593904</c:v>
                </c:pt>
                <c:pt idx="8">
                  <c:v>96858.374302613505</c:v>
                </c:pt>
                <c:pt idx="9">
                  <c:v>101701.29301774419</c:v>
                </c:pt>
                <c:pt idx="10">
                  <c:v>105769.34473845396</c:v>
                </c:pt>
                <c:pt idx="11">
                  <c:v>110000.11852799212</c:v>
                </c:pt>
                <c:pt idx="12">
                  <c:v>114400.12326911181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C-46C1-9984-70ACD45C6B16}"/>
            </c:ext>
          </c:extLst>
        </c:ser>
        <c:ser>
          <c:idx val="2"/>
          <c:order val="2"/>
          <c:tx>
            <c:strRef>
              <c:f>СОЧИ_РЫНОК!$A$506</c:f>
              <c:strCache>
                <c:ptCount val="1"/>
                <c:pt idx="0">
                  <c:v>Доходность на номер (руб.)</c:v>
                </c:pt>
              </c:strCache>
            </c:strRef>
          </c:tx>
          <c:spPr>
            <a:solidFill>
              <a:srgbClr val="B5BD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wordArtVert"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СОЧИ_РЫНОК!$B$506:$O$506</c15:sqref>
                  </c15:fullRef>
                </c:ext>
              </c:extLst>
              <c:f>СОЧИ_РЫНОК!$C$506:$O$506</c:f>
              <c:numCache>
                <c:formatCode>0</c:formatCode>
                <c:ptCount val="13"/>
                <c:pt idx="0">
                  <c:v>4597.7872291252479</c:v>
                </c:pt>
                <c:pt idx="1">
                  <c:v>7458.960302946105</c:v>
                </c:pt>
                <c:pt idx="2">
                  <c:v>11102.07357390295</c:v>
                </c:pt>
                <c:pt idx="3">
                  <c:v>13526.964821664524</c:v>
                </c:pt>
                <c:pt idx="4">
                  <c:v>12767.351230136988</c:v>
                </c:pt>
                <c:pt idx="5">
                  <c:v>10915.370049440542</c:v>
                </c:pt>
                <c:pt idx="6">
                  <c:v>29230.401875467007</c:v>
                </c:pt>
                <c:pt idx="7">
                  <c:v>15851.45214170512</c:v>
                </c:pt>
                <c:pt idx="8">
                  <c:v>33597.673198318764</c:v>
                </c:pt>
                <c:pt idx="9">
                  <c:v>38328.595648767034</c:v>
                </c:pt>
                <c:pt idx="10">
                  <c:v>41977.126369486803</c:v>
                </c:pt>
                <c:pt idx="11">
                  <c:v>44756.212609546194</c:v>
                </c:pt>
                <c:pt idx="12">
                  <c:v>47690.462346619162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C-46C1-9984-70ACD45C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21375"/>
        <c:axId val="25628031"/>
      </c:barChart>
      <c:lineChart>
        <c:grouping val="standard"/>
        <c:varyColors val="0"/>
        <c:ser>
          <c:idx val="0"/>
          <c:order val="0"/>
          <c:tx>
            <c:strRef>
              <c:f>СОЧИ_РЫНОК!$A$504</c:f>
              <c:strCache>
                <c:ptCount val="1"/>
                <c:pt idx="0">
                  <c:v>Загрузка (%)</c:v>
                </c:pt>
              </c:strCache>
            </c:strRef>
          </c:tx>
          <c:spPr>
            <a:ln>
              <a:solidFill>
                <a:srgbClr val="003865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5862248352248514E-2"/>
                  <c:y val="-8.7004590689499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31-40EB-853E-826437736E45}"/>
                </c:ext>
              </c:extLst>
            </c:dLbl>
            <c:dLbl>
              <c:idx val="1"/>
              <c:layout>
                <c:manualLayout>
                  <c:x val="1.9017497815334464E-2"/>
                  <c:y val="-4.3812771968169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31-40EB-853E-826437736E45}"/>
                </c:ext>
              </c:extLst>
            </c:dLbl>
            <c:dLbl>
              <c:idx val="5"/>
              <c:layout>
                <c:manualLayout>
                  <c:x val="-9.30753246470843E-3"/>
                  <c:y val="-7.81958970039508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31-40EB-853E-826437736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СОЧИ_РЫНОК!$B$414:$O$414</c15:sqref>
                  </c15:fullRef>
                </c:ext>
              </c:extLst>
              <c:f>СОЧИ_РЫНОК!$C$414:$O$414</c:f>
              <c:numCache>
                <c:formatCode>General</c:formatCod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СОЧИ_РЫНОК!$B$504:$O$504</c15:sqref>
                  </c15:fullRef>
                </c:ext>
              </c:extLst>
              <c:f>СОЧИ_РЫНОК!$C$504:$O$504</c:f>
              <c:numCache>
                <c:formatCode>0.0%</c:formatCode>
                <c:ptCount val="13"/>
                <c:pt idx="0">
                  <c:v>0.1146431411530815</c:v>
                </c:pt>
                <c:pt idx="1">
                  <c:v>0.12518628912071536</c:v>
                </c:pt>
                <c:pt idx="2">
                  <c:v>0.28869863013698632</c:v>
                </c:pt>
                <c:pt idx="3">
                  <c:v>0.29433374844333748</c:v>
                </c:pt>
                <c:pt idx="4">
                  <c:v>0.24768493150684931</c:v>
                </c:pt>
                <c:pt idx="5">
                  <c:v>0.13524590163934427</c:v>
                </c:pt>
                <c:pt idx="6">
                  <c:v>0.31687422166874224</c:v>
                </c:pt>
                <c:pt idx="7">
                  <c:v>0.25656748667905188</c:v>
                </c:pt>
                <c:pt idx="8">
                  <c:v>0.34687422166874227</c:v>
                </c:pt>
                <c:pt idx="9">
                  <c:v>0.37687422166874229</c:v>
                </c:pt>
                <c:pt idx="10">
                  <c:v>0.39687422166874231</c:v>
                </c:pt>
                <c:pt idx="11">
                  <c:v>0.40687422166874232</c:v>
                </c:pt>
                <c:pt idx="12">
                  <c:v>0.41687422166874233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83C-46C1-9984-70ACD45C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253503"/>
        <c:axId val="422256831"/>
      </c:lineChart>
      <c:catAx>
        <c:axId val="25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8031"/>
        <c:crosses val="autoZero"/>
        <c:auto val="1"/>
        <c:lblAlgn val="ctr"/>
        <c:lblOffset val="100"/>
        <c:noMultiLvlLbl val="0"/>
      </c:catAx>
      <c:valAx>
        <c:axId val="256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5621375"/>
        <c:crosses val="autoZero"/>
        <c:crossBetween val="between"/>
      </c:valAx>
      <c:valAx>
        <c:axId val="42225683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22253503"/>
        <c:crosses val="max"/>
        <c:crossBetween val="between"/>
      </c:valAx>
      <c:catAx>
        <c:axId val="42225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256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СОЧИ_РЫНОК!$A$543</c:f>
              <c:strCache>
                <c:ptCount val="1"/>
                <c:pt idx="0">
                  <c:v>Гостиницы 5*</c:v>
                </c:pt>
              </c:strCache>
            </c:strRef>
          </c:tx>
          <c:spPr>
            <a:ln w="28575" cap="rnd">
              <a:solidFill>
                <a:srgbClr val="00386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09-4A47-AF78-771AAE815B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09-4A47-AF78-771AAE815BE1}"/>
                </c:ext>
              </c:extLst>
            </c:dLbl>
            <c:dLbl>
              <c:idx val="2"/>
              <c:layout>
                <c:manualLayout>
                  <c:x val="4.763467222019431E-2"/>
                  <c:y val="-4.22644021060888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09-4A47-AF78-771AAE815B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09-4A47-AF78-771AAE815B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09-4A47-AF78-771AAE815B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СОЧИ_РЫНОК!$E$543:$I$543</c:f>
              <c:numCache>
                <c:formatCode>0.0%</c:formatCode>
                <c:ptCount val="5"/>
                <c:pt idx="0">
                  <c:v>0.53868215316957524</c:v>
                </c:pt>
                <c:pt idx="1">
                  <c:v>0.58913862789450588</c:v>
                </c:pt>
                <c:pt idx="2">
                  <c:v>0.62977218996492601</c:v>
                </c:pt>
                <c:pt idx="3">
                  <c:v>0.50369081417712247</c:v>
                </c:pt>
                <c:pt idx="4">
                  <c:v>0.60830795132777227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9-4A47-AF78-771AAE815BE1}"/>
            </c:ext>
          </c:extLst>
        </c:ser>
        <c:ser>
          <c:idx val="1"/>
          <c:order val="1"/>
          <c:tx>
            <c:strRef>
              <c:f>СОЧИ_РЫНОК!$A$544</c:f>
              <c:strCache>
                <c:ptCount val="1"/>
                <c:pt idx="0">
                  <c:v>Гостиницы 4*</c:v>
                </c:pt>
              </c:strCache>
            </c:strRef>
          </c:tx>
          <c:spPr>
            <a:ln w="28575" cap="rnd">
              <a:solidFill>
                <a:srgbClr val="B5BD00"/>
              </a:solidFill>
              <a:round/>
            </a:ln>
            <a:effectLst/>
          </c:spPr>
          <c:marker>
            <c:symbol val="none"/>
          </c:marker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СОЧИ_РЫНОК!$E$544:$I$544</c:f>
              <c:numCache>
                <c:formatCode>0.0%</c:formatCode>
                <c:ptCount val="5"/>
                <c:pt idx="0">
                  <c:v>0.52145392030764393</c:v>
                </c:pt>
                <c:pt idx="1">
                  <c:v>0.49911179679558543</c:v>
                </c:pt>
                <c:pt idx="2">
                  <c:v>0.5398717035551921</c:v>
                </c:pt>
                <c:pt idx="3">
                  <c:v>0.46436681886149739</c:v>
                </c:pt>
                <c:pt idx="4">
                  <c:v>0.58345248192576438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9-4A47-AF78-771AAE815BE1}"/>
            </c:ext>
          </c:extLst>
        </c:ser>
        <c:ser>
          <c:idx val="2"/>
          <c:order val="2"/>
          <c:tx>
            <c:strRef>
              <c:f>СОЧИ_РЫНОК!$A$545</c:f>
              <c:strCache>
                <c:ptCount val="1"/>
                <c:pt idx="0">
                  <c:v>Гостиницы 3*</c:v>
                </c:pt>
              </c:strCache>
            </c:strRef>
          </c:tx>
          <c:spPr>
            <a:ln w="28575" cap="rnd">
              <a:solidFill>
                <a:srgbClr val="0093B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09-4A47-AF78-771AAE815B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09-4A47-AF78-771AAE815BE1}"/>
                </c:ext>
              </c:extLst>
            </c:dLbl>
            <c:dLbl>
              <c:idx val="2"/>
              <c:layout>
                <c:manualLayout>
                  <c:x val="-9.5269344440389314E-3"/>
                  <c:y val="-6.037771729441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09-4A47-AF78-771AAE815B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09-4A47-AF78-771AAE815BE1}"/>
                </c:ext>
              </c:extLst>
            </c:dLbl>
            <c:dLbl>
              <c:idx val="4"/>
              <c:layout>
                <c:manualLayout>
                  <c:x val="-1.143232133284663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09-4A47-AF78-771AAE815B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СОЧИ_РЫНОК!$E$545:$I$545</c:f>
              <c:numCache>
                <c:formatCode>0.0%</c:formatCode>
                <c:ptCount val="5"/>
                <c:pt idx="0">
                  <c:v>0.60359340877506451</c:v>
                </c:pt>
                <c:pt idx="1">
                  <c:v>0.53676355941641607</c:v>
                </c:pt>
                <c:pt idx="2">
                  <c:v>0.7101165659831532</c:v>
                </c:pt>
                <c:pt idx="3">
                  <c:v>0.4860927264704884</c:v>
                </c:pt>
                <c:pt idx="4">
                  <c:v>0.60142942227516383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9-4A47-AF78-771AAE815BE1}"/>
            </c:ext>
          </c:extLst>
        </c:ser>
        <c:ser>
          <c:idx val="4"/>
          <c:order val="4"/>
          <c:tx>
            <c:strRef>
              <c:f>СОЧИ_РЫНОК!$A$547</c:f>
              <c:strCache>
                <c:ptCount val="1"/>
                <c:pt idx="0">
                  <c:v>Шале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СОЧИ_РЫНОК!$E$547:$I$547</c:f>
              <c:numCache>
                <c:formatCode>0.0%</c:formatCode>
                <c:ptCount val="5"/>
                <c:pt idx="0">
                  <c:v>0.28869863013698632</c:v>
                </c:pt>
                <c:pt idx="1">
                  <c:v>0.29433374844333748</c:v>
                </c:pt>
                <c:pt idx="2">
                  <c:v>0.24768493150684931</c:v>
                </c:pt>
                <c:pt idx="3">
                  <c:v>0.13524590163934427</c:v>
                </c:pt>
                <c:pt idx="4">
                  <c:v>0.31687422166874224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09-4A47-AF78-771AAE81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915135"/>
        <c:axId val="165092470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СОЧИ_РЫНОК!$A$546</c15:sqref>
                        </c15:formulaRef>
                      </c:ext>
                    </c:extLst>
                    <c:strCache>
                      <c:ptCount val="1"/>
                      <c:pt idx="0">
                        <c:v>Гостиницы 2*</c:v>
                      </c:pt>
                    </c:strCache>
                  </c:strRef>
                </c:tx>
                <c:spPr>
                  <a:ln w="28575" cap="rnd">
                    <a:solidFill>
                      <a:schemeClr val="tx1">
                        <a:lumMod val="65000"/>
                        <a:lumOff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СОЧИ_РЫНОК!$E$542:$I$542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СОЧИ_РЫНОК!$E$546:$I$546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0.38198852870057864</c:v>
                      </c:pt>
                      <c:pt idx="1">
                        <c:v>0.47526631765380006</c:v>
                      </c:pt>
                      <c:pt idx="2">
                        <c:v>0.43192122068931899</c:v>
                      </c:pt>
                      <c:pt idx="3">
                        <c:v>0.29549933986282767</c:v>
                      </c:pt>
                      <c:pt idx="4">
                        <c:v>0.41571226723949778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409-4A47-AF78-771AAE815BE1}"/>
                  </c:ext>
                </c:extLst>
              </c15:ser>
            </c15:filteredLineSeries>
          </c:ext>
        </c:extLst>
      </c:lineChart>
      <c:catAx>
        <c:axId val="16509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24703"/>
        <c:crosses val="autoZero"/>
        <c:auto val="1"/>
        <c:lblAlgn val="ctr"/>
        <c:lblOffset val="100"/>
        <c:noMultiLvlLbl val="0"/>
      </c:catAx>
      <c:valAx>
        <c:axId val="1650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СОЧИ_РЫНОК!$A$554</c:f>
              <c:strCache>
                <c:ptCount val="1"/>
                <c:pt idx="0">
                  <c:v>Гостиницы 5*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СОЧИ_РЫНОК!$E$554:$I$554</c:f>
              <c:numCache>
                <c:formatCode>0</c:formatCode>
                <c:ptCount val="5"/>
                <c:pt idx="0">
                  <c:v>6641.2236726710598</c:v>
                </c:pt>
                <c:pt idx="1">
                  <c:v>6927.2883226430286</c:v>
                </c:pt>
                <c:pt idx="2">
                  <c:v>6774.1085923795627</c:v>
                </c:pt>
                <c:pt idx="3">
                  <c:v>8954.8701619452822</c:v>
                </c:pt>
                <c:pt idx="4">
                  <c:v>11526.662384321578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26-4038-9FAA-1A42734F02E5}"/>
            </c:ext>
          </c:extLst>
        </c:ser>
        <c:ser>
          <c:idx val="1"/>
          <c:order val="1"/>
          <c:tx>
            <c:strRef>
              <c:f>СОЧИ_РЫНОК!$A$555</c:f>
              <c:strCache>
                <c:ptCount val="1"/>
                <c:pt idx="0">
                  <c:v>Гостиницы 4*</c:v>
                </c:pt>
              </c:strCache>
            </c:strRef>
          </c:tx>
          <c:spPr>
            <a:solidFill>
              <a:srgbClr val="B5BD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СОЧИ_РЫНОК!$E$555:$I$555</c:f>
              <c:numCache>
                <c:formatCode>0</c:formatCode>
                <c:ptCount val="5"/>
                <c:pt idx="0">
                  <c:v>4101.8131691952667</c:v>
                </c:pt>
                <c:pt idx="1">
                  <c:v>4545.9427099844343</c:v>
                </c:pt>
                <c:pt idx="2">
                  <c:v>4330.64955989602</c:v>
                </c:pt>
                <c:pt idx="3">
                  <c:v>5613.3776629082186</c:v>
                </c:pt>
                <c:pt idx="4">
                  <c:v>6798.8287383194911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26-4038-9FAA-1A42734F02E5}"/>
            </c:ext>
          </c:extLst>
        </c:ser>
        <c:ser>
          <c:idx val="2"/>
          <c:order val="2"/>
          <c:tx>
            <c:strRef>
              <c:f>СОЧИ_РЫНОК!$A$556</c:f>
              <c:strCache>
                <c:ptCount val="1"/>
                <c:pt idx="0">
                  <c:v>Гостиницы 3*</c:v>
                </c:pt>
              </c:strCache>
            </c:strRef>
          </c:tx>
          <c:spPr>
            <a:solidFill>
              <a:srgbClr val="0093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СОЧИ_РЫНОК!$E$556:$I$556</c:f>
              <c:numCache>
                <c:formatCode>0</c:formatCode>
                <c:ptCount val="5"/>
                <c:pt idx="0">
                  <c:v>3206.6514770973945</c:v>
                </c:pt>
                <c:pt idx="1">
                  <c:v>3235.2906844340155</c:v>
                </c:pt>
                <c:pt idx="2">
                  <c:v>3151.0172928748848</c:v>
                </c:pt>
                <c:pt idx="3">
                  <c:v>4541.0397413837591</c:v>
                </c:pt>
                <c:pt idx="4">
                  <c:v>5439.4048244638961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26-4038-9FAA-1A42734F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915135"/>
        <c:axId val="165092470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СОЧИ_РЫНОК!$A$557</c15:sqref>
                        </c15:formulaRef>
                      </c:ext>
                    </c:extLst>
                    <c:strCache>
                      <c:ptCount val="1"/>
                      <c:pt idx="0">
                        <c:v>Гостиницы 2*</c:v>
                      </c:pt>
                    </c:strCache>
                  </c:strRef>
                </c:tx>
                <c:spPr>
                  <a:solidFill>
                    <a:schemeClr val="tx1">
                      <a:lumMod val="65000"/>
                      <a:lumOff val="35000"/>
                    </a:schemeClr>
                  </a:soli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spcFirstLastPara="1" vertOverflow="ellipsis" vert="wordArtVert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СОЧИ_РЫНОК!$E$542:$I$542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СОЧИ_РЫНОК!$E$557:$I$557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2633.9511963256664</c:v>
                      </c:pt>
                      <c:pt idx="1">
                        <c:v>2822.6563863109636</c:v>
                      </c:pt>
                      <c:pt idx="2">
                        <c:v>3450.356878229245</c:v>
                      </c:pt>
                      <c:pt idx="3">
                        <c:v>4641.3072170515843</c:v>
                      </c:pt>
                      <c:pt idx="4">
                        <c:v>5397.5367994206044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D526-4038-9FAA-1A42734F02E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СОЧИ_РЫНОК!$A$558</c:f>
              <c:strCache>
                <c:ptCount val="1"/>
                <c:pt idx="0">
                  <c:v>Шале (правая шкала)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СОЧИ_РЫНОК!$E$558:$I$558</c:f>
              <c:numCache>
                <c:formatCode>#,##0</c:formatCode>
                <c:ptCount val="5"/>
                <c:pt idx="0">
                  <c:v>38455.581062629433</c:v>
                </c:pt>
                <c:pt idx="1">
                  <c:v>45957.913060277606</c:v>
                </c:pt>
                <c:pt idx="2">
                  <c:v>51546.741872684041</c:v>
                </c:pt>
                <c:pt idx="3">
                  <c:v>80707.584607984609</c:v>
                </c:pt>
                <c:pt idx="4">
                  <c:v>92246.070764393808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26-4038-9FAA-1A42734F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902479"/>
        <c:axId val="1640910799"/>
      </c:lineChart>
      <c:catAx>
        <c:axId val="16509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24703"/>
        <c:crosses val="autoZero"/>
        <c:auto val="1"/>
        <c:lblAlgn val="ctr"/>
        <c:lblOffset val="100"/>
        <c:noMultiLvlLbl val="0"/>
      </c:catAx>
      <c:valAx>
        <c:axId val="1650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15135"/>
        <c:crosses val="autoZero"/>
        <c:crossBetween val="between"/>
      </c:valAx>
      <c:valAx>
        <c:axId val="164091079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0902479"/>
        <c:crosses val="max"/>
        <c:crossBetween val="between"/>
      </c:valAx>
      <c:catAx>
        <c:axId val="1640902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0910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СОЧИ_РЫНОК!$A$567</c:f>
              <c:strCache>
                <c:ptCount val="1"/>
                <c:pt idx="0">
                  <c:v>Гостиницы 5*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СОЧИ_РЫНОК!$E$567:$I$567</c:f>
              <c:numCache>
                <c:formatCode>0</c:formatCode>
                <c:ptCount val="5"/>
                <c:pt idx="0">
                  <c:v>3577.5086676752007</c:v>
                </c:pt>
                <c:pt idx="1">
                  <c:v>4081.1331374315469</c:v>
                </c:pt>
                <c:pt idx="2">
                  <c:v>4266.1452032830994</c:v>
                </c:pt>
                <c:pt idx="3">
                  <c:v>4510.48584272064</c:v>
                </c:pt>
                <c:pt idx="4">
                  <c:v>7011.7603806535544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5-445A-A614-9E11F35BF10E}"/>
            </c:ext>
          </c:extLst>
        </c:ser>
        <c:ser>
          <c:idx val="1"/>
          <c:order val="1"/>
          <c:tx>
            <c:strRef>
              <c:f>СОЧИ_РЫНОК!$A$568</c:f>
              <c:strCache>
                <c:ptCount val="1"/>
                <c:pt idx="0">
                  <c:v>Гостиницы 4*</c:v>
                </c:pt>
              </c:strCache>
            </c:strRef>
          </c:tx>
          <c:spPr>
            <a:solidFill>
              <a:srgbClr val="B5BD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СОЧИ_РЫНОК!$E$568:$I$568</c:f>
              <c:numCache>
                <c:formatCode>0</c:formatCode>
                <c:ptCount val="5"/>
                <c:pt idx="0">
                  <c:v>2138.906557446393</c:v>
                </c:pt>
                <c:pt idx="1">
                  <c:v>2268.9336341101239</c:v>
                </c:pt>
                <c:pt idx="2">
                  <c:v>2337.9951554016075</c:v>
                </c:pt>
                <c:pt idx="3">
                  <c:v>2606.6663283928765</c:v>
                </c:pt>
                <c:pt idx="4">
                  <c:v>3966.7935015607204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5-445A-A614-9E11F35BF10E}"/>
            </c:ext>
          </c:extLst>
        </c:ser>
        <c:ser>
          <c:idx val="2"/>
          <c:order val="2"/>
          <c:tx>
            <c:strRef>
              <c:f>СОЧИ_РЫНОК!$A$569</c:f>
              <c:strCache>
                <c:ptCount val="1"/>
                <c:pt idx="0">
                  <c:v>Гостиницы 3*</c:v>
                </c:pt>
              </c:strCache>
            </c:strRef>
          </c:tx>
          <c:spPr>
            <a:solidFill>
              <a:srgbClr val="0093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spcFirstLastPara="1" vertOverflow="ellipsis" vert="wordArtVert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СОЧИ_РЫНОК!$E$569:$I$569</c:f>
              <c:numCache>
                <c:formatCode>0</c:formatCode>
                <c:ptCount val="5"/>
                <c:pt idx="0">
                  <c:v>1935.5136958148121</c:v>
                </c:pt>
                <c:pt idx="1">
                  <c:v>1736.5861435235752</c:v>
                </c:pt>
                <c:pt idx="2">
                  <c:v>2237.5895793698451</c:v>
                </c:pt>
                <c:pt idx="3">
                  <c:v>2207.3663889000732</c:v>
                </c:pt>
                <c:pt idx="4">
                  <c:v>3271.4181010980601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5-445A-A614-9E11F35B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915135"/>
        <c:axId val="165092470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СОЧИ_РЫНОК!$A$570</c15:sqref>
                        </c15:formulaRef>
                      </c:ext>
                    </c:extLst>
                    <c:strCache>
                      <c:ptCount val="1"/>
                      <c:pt idx="0">
                        <c:v>Гостиницы 2*</c:v>
                      </c:pt>
                    </c:strCache>
                  </c:strRef>
                </c:tx>
                <c:spPr>
                  <a:solidFill>
                    <a:schemeClr val="tx1">
                      <a:lumMod val="65000"/>
                      <a:lumOff val="3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1">
                        <a:lumMod val="20000"/>
                        <a:lumOff val="80000"/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ru-RU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СОЧИ_РЫНОК!$E$542:$I$542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СОЧИ_РЫНОК!$E$570:$I$570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1006.1391421535702</c:v>
                      </c:pt>
                      <c:pt idx="1">
                        <c:v>1341.5135067239937</c:v>
                      </c:pt>
                      <c:pt idx="2">
                        <c:v>1490.2823546585635</c:v>
                      </c:pt>
                      <c:pt idx="3">
                        <c:v>1371.503218739321</c:v>
                      </c:pt>
                      <c:pt idx="4">
                        <c:v>2243.822260395762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335-445A-A614-9E11F35BF10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СОЧИ_РЫНОК!$A$571</c:f>
              <c:strCache>
                <c:ptCount val="1"/>
                <c:pt idx="0">
                  <c:v>Шале (правая шкала)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20000"/>
                  <a:lumOff val="8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СОЧИ_РЫНОК!$E$542:$I$542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СОЧИ_РЫНОК!$E$571:$I$571</c:f>
              <c:numCache>
                <c:formatCode>#,##0</c:formatCode>
                <c:ptCount val="5"/>
                <c:pt idx="0">
                  <c:v>11102.07357390295</c:v>
                </c:pt>
                <c:pt idx="1">
                  <c:v>13526.964821664524</c:v>
                </c:pt>
                <c:pt idx="2">
                  <c:v>12767.351230136988</c:v>
                </c:pt>
                <c:pt idx="3">
                  <c:v>10915.370049440542</c:v>
                </c:pt>
                <c:pt idx="4">
                  <c:v>29230.401875467007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35-445A-A614-9E11F35B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902479"/>
        <c:axId val="1640910799"/>
      </c:lineChart>
      <c:catAx>
        <c:axId val="16509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24703"/>
        <c:crosses val="autoZero"/>
        <c:auto val="1"/>
        <c:lblAlgn val="ctr"/>
        <c:lblOffset val="100"/>
        <c:noMultiLvlLbl val="0"/>
      </c:catAx>
      <c:valAx>
        <c:axId val="1650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50915135"/>
        <c:crosses val="autoZero"/>
        <c:crossBetween val="between"/>
      </c:valAx>
      <c:valAx>
        <c:axId val="164091079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0902479"/>
        <c:crosses val="max"/>
        <c:crossBetween val="between"/>
      </c:valAx>
      <c:catAx>
        <c:axId val="1640902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0910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 sz="1100">
                <a:latin typeface="Arial" panose="020B0604020202020204" pitchFamily="34" charset="0"/>
                <a:cs typeface="Arial" panose="020B0604020202020204" pitchFamily="34" charset="0"/>
              </a:rPr>
              <a:t>Динамика</a:t>
            </a:r>
            <a:r>
              <a:rPr lang="ru-RU" sz="1100" baseline="0">
                <a:latin typeface="Arial" panose="020B0604020202020204" pitchFamily="34" charset="0"/>
                <a:cs typeface="Arial" panose="020B0604020202020204" pitchFamily="34" charset="0"/>
              </a:rPr>
              <a:t> продаж туристских резиденций, ед.</a:t>
            </a:r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93B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ПРОДАЖА_lease_back!$CU$8:$CX$8</c15:sqref>
                  </c15:fullRef>
                </c:ext>
              </c:extLst>
              <c:f>ПРОДАЖА_lease_back!$CU$8:$CX$8</c:f>
              <c:numCache>
                <c:formatCode>0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ПРОДАЖА_lease_back!$CU$20:$DD$20</c15:sqref>
                  </c15:fullRef>
                </c:ext>
              </c:extLst>
              <c:f>ПРОДАЖА_lease_back!$CU$20:$CX$20</c:f>
              <c:numCache>
                <c:formatCode>_-* #\ ##0_р_._-;\-* #\ ##0_р_._-;_-* "-"??_р_._-;_-@_-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8ED-801E-497FDC361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24181384"/>
        <c:axId val="122417679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ПРОДАЖА_lease_back!$CU$8:$CX$8</c15:sqref>
                  </c15:fullRef>
                </c:ext>
              </c:extLst>
              <c:f>ПРОДАЖА_lease_back!$CU$8:$CX$8</c:f>
              <c:numCache>
                <c:formatCode>0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ПРОДАЖА_lease_back!$CU$23:$CX$23</c15:sqref>
                  </c15:fullRef>
                </c:ext>
              </c:extLst>
              <c:f>ПРОДАЖА_lease_back!$CU$23:$CX$23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0.24935064935064935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3-4EA1-914C-E437F982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579967"/>
        <c:axId val="2123579135"/>
      </c:lineChart>
      <c:catAx>
        <c:axId val="12241813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224176792"/>
        <c:crosses val="autoZero"/>
        <c:auto val="1"/>
        <c:lblAlgn val="ctr"/>
        <c:lblOffset val="100"/>
        <c:noMultiLvlLbl val="0"/>
      </c:catAx>
      <c:valAx>
        <c:axId val="122417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р_._-;\-* #\ ##0_р_._-;_-* &quot;-&quot;??_р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224181384"/>
        <c:crosses val="autoZero"/>
        <c:crossBetween val="between"/>
      </c:valAx>
      <c:valAx>
        <c:axId val="2123579135"/>
        <c:scaling>
          <c:orientation val="minMax"/>
          <c:max val="1.100000000000000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2123579967"/>
        <c:crosses val="max"/>
        <c:crossBetween val="between"/>
      </c:valAx>
      <c:catAx>
        <c:axId val="212357996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2123579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95736</xdr:colOff>
      <xdr:row>0</xdr:row>
      <xdr:rowOff>108885</xdr:rowOff>
    </xdr:from>
    <xdr:to>
      <xdr:col>18</xdr:col>
      <xdr:colOff>30354</xdr:colOff>
      <xdr:row>20</xdr:row>
      <xdr:rowOff>139703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DA8ED-ACF4-4843-A7BC-4EAFE367E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3765" y="108885"/>
          <a:ext cx="5484705" cy="337820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11</xdr:col>
      <xdr:colOff>123266</xdr:colOff>
      <xdr:row>22</xdr:row>
      <xdr:rowOff>64063</xdr:rowOff>
    </xdr:from>
    <xdr:to>
      <xdr:col>18</xdr:col>
      <xdr:colOff>0</xdr:colOff>
      <xdr:row>41</xdr:row>
      <xdr:rowOff>66422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0973E-BD11-49BC-A785-45C861F0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1295" y="3795622"/>
          <a:ext cx="5423646" cy="381553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165332</xdr:colOff>
      <xdr:row>5</xdr:row>
      <xdr:rowOff>175845</xdr:rowOff>
    </xdr:from>
    <xdr:to>
      <xdr:col>2</xdr:col>
      <xdr:colOff>3014988</xdr:colOff>
      <xdr:row>9</xdr:row>
      <xdr:rowOff>164584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26C968-ECD9-4186-9B59-A26FA7B70BE4}"/>
            </a:ext>
          </a:extLst>
        </xdr:cNvPr>
        <xdr:cNvSpPr txBox="1"/>
      </xdr:nvSpPr>
      <xdr:spPr>
        <a:xfrm>
          <a:off x="165332" y="1128345"/>
          <a:ext cx="4005794" cy="7507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 b="1"/>
            <a:t>ПРОГНОЗ ПО ИНФЛЯЦИИ</a:t>
          </a:r>
          <a:r>
            <a:rPr lang="ru-RU" sz="1100" b="1" baseline="0"/>
            <a:t> СКОРРЕКТИРОВАН</a:t>
          </a:r>
        </a:p>
        <a:p>
          <a:pPr algn="ctr"/>
          <a:endParaRPr lang="ru-RU" sz="1100" b="1" baseline="0"/>
        </a:p>
        <a:p>
          <a:pPr algn="ctr"/>
          <a:r>
            <a:rPr lang="ru-RU" sz="1100" b="1" baseline="0"/>
            <a:t>Круса доллара - фикс на 80 руб./</a:t>
          </a:r>
          <a:r>
            <a:rPr lang="en-US" sz="1100" b="1" baseline="0"/>
            <a:t>$</a:t>
          </a:r>
          <a:endParaRPr lang="ru-RU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97631</xdr:colOff>
      <xdr:row>1</xdr:row>
      <xdr:rowOff>137321</xdr:rowOff>
    </xdr:from>
    <xdr:to>
      <xdr:col>20</xdr:col>
      <xdr:colOff>365061</xdr:colOff>
      <xdr:row>13</xdr:row>
      <xdr:rowOff>163513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702B756-947A-4D44-8670-BAC5D5BA49B7}"/>
            </a:ext>
          </a:extLst>
        </xdr:cNvPr>
        <xdr:cNvGrpSpPr/>
      </xdr:nvGrpSpPr>
      <xdr:grpSpPr>
        <a:xfrm>
          <a:off x="15895524" y="330996"/>
          <a:ext cx="2988858" cy="2577985"/>
          <a:chOff x="1456149" y="1122363"/>
          <a:chExt cx="4934204" cy="372129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825CD1C-B7C5-4407-B80F-DCCE86755A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56149" y="1122363"/>
            <a:ext cx="4934204" cy="3721291"/>
          </a:xfrm>
          <a:prstGeom prst="rect">
            <a:avLst/>
          </a:prstGeom>
        </xdr:spPr>
      </xdr:pic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543C7279-845F-4F0F-BC5F-430657532224}"/>
              </a:ext>
            </a:extLst>
          </xdr:cNvPr>
          <xdr:cNvSpPr/>
        </xdr:nvSpPr>
        <xdr:spPr>
          <a:xfrm>
            <a:off x="1765300" y="3302000"/>
            <a:ext cx="1828800" cy="749300"/>
          </a:xfrm>
          <a:custGeom>
            <a:avLst/>
            <a:gdLst>
              <a:gd name="connsiteX0" fmla="*/ 44450 w 1828800"/>
              <a:gd name="connsiteY0" fmla="*/ 0 h 749300"/>
              <a:gd name="connsiteX1" fmla="*/ 0 w 1828800"/>
              <a:gd name="connsiteY1" fmla="*/ 387350 h 749300"/>
              <a:gd name="connsiteX2" fmla="*/ 1644650 w 1828800"/>
              <a:gd name="connsiteY2" fmla="*/ 749300 h 749300"/>
              <a:gd name="connsiteX3" fmla="*/ 1651000 w 1828800"/>
              <a:gd name="connsiteY3" fmla="*/ 622300 h 749300"/>
              <a:gd name="connsiteX4" fmla="*/ 1663700 w 1828800"/>
              <a:gd name="connsiteY4" fmla="*/ 571500 h 749300"/>
              <a:gd name="connsiteX5" fmla="*/ 1733550 w 1828800"/>
              <a:gd name="connsiteY5" fmla="*/ 431800 h 749300"/>
              <a:gd name="connsiteX6" fmla="*/ 1828800 w 1828800"/>
              <a:gd name="connsiteY6" fmla="*/ 342900 h 749300"/>
              <a:gd name="connsiteX7" fmla="*/ 723900 w 1828800"/>
              <a:gd name="connsiteY7" fmla="*/ 177800 h 749300"/>
              <a:gd name="connsiteX8" fmla="*/ 44450 w 1828800"/>
              <a:gd name="connsiteY8" fmla="*/ 0 h 7493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828800" h="749300">
                <a:moveTo>
                  <a:pt x="44450" y="0"/>
                </a:moveTo>
                <a:lnTo>
                  <a:pt x="0" y="387350"/>
                </a:lnTo>
                <a:lnTo>
                  <a:pt x="1644650" y="749300"/>
                </a:lnTo>
                <a:lnTo>
                  <a:pt x="1651000" y="622300"/>
                </a:lnTo>
                <a:lnTo>
                  <a:pt x="1663700" y="571500"/>
                </a:lnTo>
                <a:lnTo>
                  <a:pt x="1733550" y="431800"/>
                </a:lnTo>
                <a:lnTo>
                  <a:pt x="1828800" y="342900"/>
                </a:lnTo>
                <a:lnTo>
                  <a:pt x="723900" y="177800"/>
                </a:lnTo>
                <a:lnTo>
                  <a:pt x="44450" y="0"/>
                </a:lnTo>
                <a:close/>
              </a:path>
            </a:pathLst>
          </a:custGeom>
          <a:solidFill>
            <a:srgbClr val="3DFC82">
              <a:alpha val="72000"/>
            </a:srgbClr>
          </a:solidFill>
          <a:ln>
            <a:solidFill>
              <a:srgbClr val="3DFC82">
                <a:alpha val="74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ru-RU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ru-RU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360588</xdr:colOff>
      <xdr:row>199</xdr:row>
      <xdr:rowOff>91166</xdr:rowOff>
    </xdr:from>
    <xdr:to>
      <xdr:col>13</xdr:col>
      <xdr:colOff>571500</xdr:colOff>
      <xdr:row>220</xdr:row>
      <xdr:rowOff>122463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24</xdr:row>
      <xdr:rowOff>9525</xdr:rowOff>
    </xdr:from>
    <xdr:to>
      <xdr:col>4</xdr:col>
      <xdr:colOff>759553</xdr:colOff>
      <xdr:row>42</xdr:row>
      <xdr:rowOff>75742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ABC96-35C2-424C-BE9F-76AB203D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975" y="4787900"/>
          <a:ext cx="4869870" cy="3326942"/>
        </a:xfrm>
        <a:prstGeom prst="rect">
          <a:avLst/>
        </a:prstGeom>
      </xdr:spPr>
    </xdr:pic>
    <xdr:clientData/>
  </xdr:twoCellAnchor>
  <xdr:twoCellAnchor editAs="oneCell">
    <xdr:from>
      <xdr:col>4</xdr:col>
      <xdr:colOff>164913</xdr:colOff>
      <xdr:row>24</xdr:row>
      <xdr:rowOff>8031</xdr:rowOff>
    </xdr:from>
    <xdr:to>
      <xdr:col>10</xdr:col>
      <xdr:colOff>273797</xdr:colOff>
      <xdr:row>45</xdr:row>
      <xdr:rowOff>140435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940630-B7C1-4A34-9ACC-F226F3E6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3884" y="4759325"/>
          <a:ext cx="9629028" cy="3908786"/>
        </a:xfrm>
        <a:prstGeom prst="rect">
          <a:avLst/>
        </a:prstGeom>
      </xdr:spPr>
    </xdr:pic>
    <xdr:clientData/>
  </xdr:twoCellAnchor>
  <xdr:twoCellAnchor editAs="oneCell">
    <xdr:from>
      <xdr:col>4</xdr:col>
      <xdr:colOff>104028</xdr:colOff>
      <xdr:row>47</xdr:row>
      <xdr:rowOff>8031</xdr:rowOff>
    </xdr:from>
    <xdr:to>
      <xdr:col>11</xdr:col>
      <xdr:colOff>8689</xdr:colOff>
      <xdr:row>62</xdr:row>
      <xdr:rowOff>56030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7DCE62-1F4F-444C-AB94-7F558D20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2999" y="8916707"/>
          <a:ext cx="10054016" cy="29054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6776</xdr:colOff>
      <xdr:row>59</xdr:row>
      <xdr:rowOff>153734</xdr:rowOff>
    </xdr:from>
    <xdr:to>
      <xdr:col>16</xdr:col>
      <xdr:colOff>19050</xdr:colOff>
      <xdr:row>75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D239C-7711-4774-82CD-C0BFE49A4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215073</xdr:colOff>
      <xdr:row>26</xdr:row>
      <xdr:rowOff>132360</xdr:rowOff>
    </xdr:from>
    <xdr:to>
      <xdr:col>14</xdr:col>
      <xdr:colOff>562454</xdr:colOff>
      <xdr:row>52</xdr:row>
      <xdr:rowOff>146155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285F2-69BA-4849-B1D2-443E2C829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342479</xdr:colOff>
      <xdr:row>390</xdr:row>
      <xdr:rowOff>11438</xdr:rowOff>
    </xdr:from>
    <xdr:to>
      <xdr:col>10</xdr:col>
      <xdr:colOff>134471</xdr:colOff>
      <xdr:row>411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DE6A2-A8E2-41B5-9C34-80F220188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765456</xdr:colOff>
      <xdr:row>82</xdr:row>
      <xdr:rowOff>133161</xdr:rowOff>
    </xdr:from>
    <xdr:to>
      <xdr:col>15</xdr:col>
      <xdr:colOff>142081</xdr:colOff>
      <xdr:row>105</xdr:row>
      <xdr:rowOff>127188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1D433-C547-4067-A406-306B3D8B1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342479</xdr:colOff>
      <xdr:row>418</xdr:row>
      <xdr:rowOff>11438</xdr:rowOff>
    </xdr:from>
    <xdr:to>
      <xdr:col>10</xdr:col>
      <xdr:colOff>134471</xdr:colOff>
      <xdr:row>439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E5E513-F18F-4618-9982-A7DCD211E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765456</xdr:colOff>
      <xdr:row>135</xdr:row>
      <xdr:rowOff>133161</xdr:rowOff>
    </xdr:from>
    <xdr:to>
      <xdr:col>15</xdr:col>
      <xdr:colOff>142081</xdr:colOff>
      <xdr:row>158</xdr:row>
      <xdr:rowOff>127188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2ECBD8-3065-4388-9A28-BEB9FDE4F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765456</xdr:colOff>
      <xdr:row>188</xdr:row>
      <xdr:rowOff>133161</xdr:rowOff>
    </xdr:from>
    <xdr:to>
      <xdr:col>15</xdr:col>
      <xdr:colOff>142081</xdr:colOff>
      <xdr:row>211</xdr:row>
      <xdr:rowOff>127188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87287D-E160-4A82-944C-2EFDEE043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108884</xdr:colOff>
      <xdr:row>222</xdr:row>
      <xdr:rowOff>134471</xdr:rowOff>
    </xdr:from>
    <xdr:to>
      <xdr:col>15</xdr:col>
      <xdr:colOff>413916</xdr:colOff>
      <xdr:row>246</xdr:row>
      <xdr:rowOff>92821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716857-ED33-46AE-AF4E-1784D8035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176893</xdr:colOff>
      <xdr:row>448</xdr:row>
      <xdr:rowOff>1</xdr:rowOff>
    </xdr:from>
    <xdr:to>
      <xdr:col>9</xdr:col>
      <xdr:colOff>931817</xdr:colOff>
      <xdr:row>469</xdr:row>
      <xdr:rowOff>123033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0CF577-0285-48A7-8C93-EAEF3C4F3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2884714</xdr:colOff>
      <xdr:row>477</xdr:row>
      <xdr:rowOff>13606</xdr:rowOff>
    </xdr:from>
    <xdr:to>
      <xdr:col>8</xdr:col>
      <xdr:colOff>683712</xdr:colOff>
      <xdr:row>498</xdr:row>
      <xdr:rowOff>136638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A638AB-8E4A-454F-9307-1512850F5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248103</xdr:colOff>
      <xdr:row>509</xdr:row>
      <xdr:rowOff>149679</xdr:rowOff>
    </xdr:from>
    <xdr:to>
      <xdr:col>10</xdr:col>
      <xdr:colOff>33745</xdr:colOff>
      <xdr:row>531</xdr:row>
      <xdr:rowOff>115775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B31BFCC-72B5-4CDD-9C03-81FE95F37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661761</xdr:colOff>
      <xdr:row>529</xdr:row>
      <xdr:rowOff>62593</xdr:rowOff>
    </xdr:from>
    <xdr:to>
      <xdr:col>17</xdr:col>
      <xdr:colOff>581132</xdr:colOff>
      <xdr:row>542</xdr:row>
      <xdr:rowOff>126546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6EFB7F-7B16-4F70-9057-61BB2144B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641136</xdr:colOff>
      <xdr:row>542</xdr:row>
      <xdr:rowOff>158535</xdr:rowOff>
    </xdr:from>
    <xdr:to>
      <xdr:col>17</xdr:col>
      <xdr:colOff>563682</xdr:colOff>
      <xdr:row>572</xdr:row>
      <xdr:rowOff>27214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4FAC74-275A-48EB-AF64-B7DB3F981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601116</xdr:colOff>
      <xdr:row>574</xdr:row>
      <xdr:rowOff>122517</xdr:rowOff>
    </xdr:from>
    <xdr:to>
      <xdr:col>17</xdr:col>
      <xdr:colOff>734785</xdr:colOff>
      <xdr:row>601</xdr:row>
      <xdr:rowOff>64861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D94781-C6C3-46D3-8B51-373ADE31D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0.14706</cdr:x>
      <cdr:y>0.66667</cdr:y>
    </cdr:from>
    <cdr:to>
      <cdr:x>0.34706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353" y="20383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0.14706</cdr:x>
      <cdr:y>0.66667</cdr:y>
    </cdr:from>
    <cdr:to>
      <cdr:x>0.34706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353" y="20383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0.14706</cdr:x>
      <cdr:y>0.66667</cdr:y>
    </cdr:from>
    <cdr:to>
      <cdr:x>0.34706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353" y="20383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0.14706</cdr:x>
      <cdr:y>0.66667</cdr:y>
    </cdr:from>
    <cdr:to>
      <cdr:x>0.34706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353" y="20383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0.14706</cdr:x>
      <cdr:y>0.66667</cdr:y>
    </cdr:from>
    <cdr:to>
      <cdr:x>0.34706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353" y="20383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582279</xdr:colOff>
      <xdr:row>43</xdr:row>
      <xdr:rowOff>44929</xdr:rowOff>
    </xdr:from>
    <xdr:to>
      <xdr:col>14</xdr:col>
      <xdr:colOff>369794</xdr:colOff>
      <xdr:row>57</xdr:row>
      <xdr:rowOff>142500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07B4B-D1B6-4014-A7BB-D46BA5F6A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cushwake1-my.sharepoint.com/MOS/Shared/02.%20Departments/HOSPITALITY/Advisory/Projects/Kislovodsk%20resort%20project/2021/05.Working%20files+Reports%20+%20Financials/4.Draft%20financials/&#1050;&#1080;c&#1083;&#1086;&#1074;&#1086;&#1076;&#1089;&#1082;_&#1052;&#1045;&#1044;_2021_14_for_Client.xlsx?2F01F863" TargetMode="External"/><Relationship Id="rId1" Type="http://schemas.openxmlformats.org/officeDocument/2006/relationships/externalLinkPath" Target="file:///\\2F01F863\&#1050;&#1080;c&#1083;&#1086;&#1074;&#1086;&#1076;&#1089;&#1082;_&#1052;&#1045;&#1044;_2021_14_for_Cli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ushwake1-my.sharepoint.com/MOS/Shared/02.%20Departments/HOSPITALITY/Advisory/Projects/Kislovodsk%20resort%20project/2021/05.Working%20files+Reports%20+%20Financials/4.Draft%20financials/&#1050;&#1080;c&#1083;&#1086;&#1074;&#1086;&#1076;&#1089;&#1082;_&#1052;&#1045;&#1044;_2022_17_for_Client.xlsx?2F01F863" TargetMode="External"/><Relationship Id="rId1" Type="http://schemas.openxmlformats.org/officeDocument/2006/relationships/externalLinkPath" Target="file:///\\2F01F863\&#1050;&#1080;c&#1083;&#1086;&#1074;&#1086;&#1076;&#1089;&#1082;_&#1052;&#1045;&#1044;_2022_17_for_Cli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.cushwake.gbl\nasu\MOS\Shared\02.%20Departments\HOSPITALITY\Advisory\Projects\Kislovodsk%20resort%20project\2021\05.Working%20files+Reports%20+%20Financials\4.Draft%20financials\&#1050;&#1080;c&#1083;&#1086;&#1074;&#1086;&#1076;&#1089;&#1082;_&#1052;&#1045;&#1044;_2021_14_for_Cli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055;&#1088;&#1086;&#1077;&#1082;&#1090;&#1099;%20&#1076;&#1077;&#1081;&#1089;&#1090;&#1074;&#1091;&#1102;&#1097;&#1080;&#1077;\&#1040;&#1088;&#1093;&#1099;&#1079;\Model%20GLK_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ОЩАДИ -----&gt;&gt;"/>
      <sheetName val="Номера"/>
      <sheetName val="Rest"/>
      <sheetName val="F&amp;B"/>
      <sheetName val="СПА"/>
      <sheetName val="Озд. центр"/>
      <sheetName val="Конф.центр"/>
      <sheetName val="Лобби и общ. зоны"/>
      <sheetName val="Админ."/>
      <sheetName val="Персонал"/>
      <sheetName val="Эксплуат."/>
      <sheetName val="Техн."/>
      <sheetName val="S Гостиницы"/>
      <sheetName val="S Апартаменты в аренду"/>
      <sheetName val="S Виллы"/>
      <sheetName val="S Таунхаусы"/>
      <sheetName val="S Паркинг"/>
      <sheetName val="S Гостевые домики"/>
      <sheetName val="S Глэмпинг"/>
      <sheetName val="S Каток"/>
      <sheetName val="S Визит-центр"/>
      <sheetName val="S Фермы"/>
      <sheetName val="S Школа фермеров"/>
      <sheetName val="Благ-во"/>
      <sheetName val="Вводные"/>
      <sheetName val="CPI"/>
      <sheetName val="Предложение_CW_2021"/>
      <sheetName val="Концепция_Клиента_2021"/>
      <sheetName val="Земля"/>
      <sheetName val="Участки_2021"/>
      <sheetName val="Концепция_CW"/>
      <sheetName val="Объекты_2021"/>
      <sheetName val="Амортизация"/>
      <sheetName val="Строительство"/>
      <sheetName val="CAPM"/>
      <sheetName val="CF_2043"/>
      <sheetName val="KPI"/>
      <sheetName val="Бюджетный эффект"/>
      <sheetName val="Потоки"/>
      <sheetName val="К дв.загр"/>
      <sheetName val="ADR_OCC"/>
      <sheetName val="Загрузка"/>
      <sheetName val="Прогноз Номера"/>
      <sheetName val="Прогноз F&amp;B"/>
      <sheetName val="Прогноз Прочие"/>
      <sheetName val="Свод"/>
      <sheetName val="КСР Курорта"/>
      <sheetName val="Гостиница 5 и термальный отель"/>
      <sheetName val="Гостиница 4 В долине"/>
      <sheetName val="Гостиница 4"/>
      <sheetName val="Гостиница 3 На холме "/>
      <sheetName val="Гостиница 3 "/>
      <sheetName val="Гостиница Контейнерная"/>
      <sheetName val="Апартаменты Курорта"/>
      <sheetName val="Туристские домики"/>
      <sheetName val="Продажа таунхаусов"/>
      <sheetName val="Продажа вилл"/>
      <sheetName val="Средние чеки"/>
      <sheetName val="Парк развлечений"/>
      <sheetName val="Школа фермеров"/>
      <sheetName val="ФЕРМЫ"/>
      <sheetName val="Инфраструктура для отдыха"/>
      <sheetName val="Инфраструктура Склон"/>
      <sheetName val="Прокат_Техника"/>
      <sheetName val="Коммерция"/>
      <sheetName val="Курорт-расходы"/>
      <sheetName val="ФОТ_УК"/>
      <sheetName val="От Клиента -----&gt;&gt;"/>
      <sheetName val="Техника"/>
      <sheetName val="СР ГАРАЖИ"/>
      <sheetName val="В отчет ---&gt;&gt;"/>
      <sheetName val="1"/>
      <sheetName val="ШР"/>
      <sheetName val="ФО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0">
          <cell r="D10">
            <v>0.2</v>
          </cell>
        </row>
      </sheetData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9">
          <cell r="C29" t="str">
            <v>Прокат техники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D3">
            <v>2026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">
          <cell r="F4">
            <v>44561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ОЩАДИ -----&gt;&gt;"/>
      <sheetName val="Номера"/>
      <sheetName val="Rest"/>
      <sheetName val="F&amp;B"/>
      <sheetName val="СПА"/>
      <sheetName val="Озд. центр"/>
      <sheetName val="Конф.центр"/>
      <sheetName val="Лобби и общ. зоны"/>
      <sheetName val="Админ."/>
      <sheetName val="Персонал"/>
      <sheetName val="Эксплуат."/>
      <sheetName val="Техн."/>
      <sheetName val="S Гостиницы"/>
      <sheetName val="S Апартаменты в аренду"/>
      <sheetName val="S Виллы"/>
      <sheetName val="S Таунхаусы"/>
      <sheetName val="S Паркинг"/>
      <sheetName val="S Гостевые домики"/>
      <sheetName val="S Глэмпинг"/>
      <sheetName val="S Каток"/>
      <sheetName val="S Визит-центр"/>
      <sheetName val="S Фермы"/>
      <sheetName val="S Школа фермеров"/>
      <sheetName val="Благ-во"/>
      <sheetName val="Вводные"/>
      <sheetName val="CPI"/>
      <sheetName val="Предложение_CW_2021"/>
      <sheetName val="Концепция_Клиента_2021"/>
      <sheetName val="Земля"/>
      <sheetName val="Участки_2021"/>
      <sheetName val="Концепция_CW"/>
      <sheetName val="Объекты_2021"/>
      <sheetName val="Территория 6"/>
      <sheetName val="Территория 7"/>
      <sheetName val="15га"/>
      <sheetName val="Амортизация"/>
      <sheetName val="Строительство"/>
      <sheetName val="CAPM"/>
      <sheetName val="CF_2043"/>
      <sheetName val="KPI"/>
      <sheetName val="Бюджетный эффект"/>
      <sheetName val="Потоки"/>
      <sheetName val="К дв.загр"/>
      <sheetName val="ADR_OCC"/>
      <sheetName val="Загрузка"/>
      <sheetName val="Прогноз Номера"/>
      <sheetName val="Прогноз F&amp;B"/>
      <sheetName val="Прогноз Прочие"/>
      <sheetName val="Свод"/>
      <sheetName val="КСР Курорта"/>
      <sheetName val="Гостиница 5 и термальный отель"/>
      <sheetName val="Гостиница 4 В долине"/>
      <sheetName val="Гостиница 4"/>
      <sheetName val="Гостиница 3 На холме "/>
      <sheetName val="Гостиница 3 "/>
      <sheetName val="Гостиница Контейнерная"/>
      <sheetName val="Апартаменты Курорта"/>
      <sheetName val="Туристские домики"/>
      <sheetName val="Продажа таунхаусов"/>
      <sheetName val="Продажа вилл"/>
      <sheetName val="Средние чеки"/>
      <sheetName val="Парк развлечений"/>
      <sheetName val="Школа фермеров"/>
      <sheetName val="ФЕРМЫ"/>
      <sheetName val="Инфраструктура для отдыха"/>
      <sheetName val="Инфраструктура Склон"/>
      <sheetName val="Прокат_Техника"/>
      <sheetName val="Коммерция"/>
      <sheetName val="Курорт-расходы"/>
      <sheetName val="ФОТ_УК"/>
      <sheetName val="От Клиента -----&gt;&gt;"/>
      <sheetName val="Техника"/>
      <sheetName val="СР ГАРАЖИ"/>
      <sheetName val="В отчет ---&gt;&gt;"/>
      <sheetName val="1"/>
      <sheetName val="ШР"/>
      <sheetName val="ФО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9">
          <cell r="D9">
            <v>0.2</v>
          </cell>
        </row>
      </sheetData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ОЩАДИ -----&gt;&gt;"/>
      <sheetName val="Номера"/>
      <sheetName val="Rest"/>
      <sheetName val="F&amp;B"/>
      <sheetName val="СПА"/>
      <sheetName val="Озд. центр"/>
      <sheetName val="Конф.центр"/>
      <sheetName val="Лобби и общ. зоны"/>
      <sheetName val="Админ."/>
      <sheetName val="Персонал"/>
      <sheetName val="Эксплуат."/>
      <sheetName val="Техн."/>
      <sheetName val="S Гостиницы"/>
      <sheetName val="S Апартаменты в аренду"/>
      <sheetName val="S Виллы"/>
      <sheetName val="S Таунхаусы"/>
      <sheetName val="S Паркинг"/>
      <sheetName val="S Гостевые домики"/>
      <sheetName val="S Глэмпинг"/>
      <sheetName val="S Каток"/>
      <sheetName val="S Визит-центр"/>
      <sheetName val="S Фермы"/>
      <sheetName val="S Школа фермеров"/>
      <sheetName val="Благ-во"/>
      <sheetName val="Вводные"/>
      <sheetName val="CPI"/>
      <sheetName val="Предложение_CW_2021"/>
      <sheetName val="Концепция_Клиента_2021"/>
      <sheetName val="Земля"/>
      <sheetName val="Участки_2021"/>
      <sheetName val="Концепция_CW"/>
      <sheetName val="Объекты_2021"/>
      <sheetName val="Амортизация"/>
      <sheetName val="Строительство"/>
      <sheetName val="CAPM"/>
      <sheetName val="CF_2043"/>
      <sheetName val="KPI"/>
      <sheetName val="Бюджетный эффект"/>
      <sheetName val="Потоки"/>
      <sheetName val="К дв.загр"/>
      <sheetName val="ADR_OCC"/>
      <sheetName val="Загрузка"/>
      <sheetName val="Прогноз Номера"/>
      <sheetName val="Прогноз F&amp;B"/>
      <sheetName val="Прогноз Прочие"/>
      <sheetName val="Свод"/>
      <sheetName val="КСР Курорта"/>
      <sheetName val="Гостиница 5 и термальный отель"/>
      <sheetName val="Гостиница 4 В долине"/>
      <sheetName val="Гостиница 4"/>
      <sheetName val="Гостиница 3 На холме "/>
      <sheetName val="Гостиница 3 "/>
      <sheetName val="Гостиница Контейнерная"/>
      <sheetName val="Апартаменты Курорта"/>
      <sheetName val="Туристские домики"/>
      <sheetName val="Продажа таунхаусов"/>
      <sheetName val="Продажа вилл"/>
      <sheetName val="Средние чеки"/>
      <sheetName val="Парк развлечений"/>
      <sheetName val="Школа фермеров"/>
      <sheetName val="ФЕРМЫ"/>
      <sheetName val="Инфраструктура для отдыха"/>
      <sheetName val="Инфраструктура Склон"/>
      <sheetName val="Прокат_Техника"/>
      <sheetName val="Коммерция"/>
      <sheetName val="Курорт-расходы"/>
      <sheetName val="ФОТ_УК"/>
      <sheetName val="От Клиента -----&gt;&gt;"/>
      <sheetName val="Техника"/>
      <sheetName val="СР ГАРАЖИ"/>
      <sheetName val="В отчет ---&gt;&gt;"/>
      <sheetName val="1"/>
      <sheetName val="ШР"/>
      <sheetName val="ФО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0">
          <cell r="D10">
            <v>0.2</v>
          </cell>
        </row>
      </sheetData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9">
          <cell r="C29" t="str">
            <v>Прокат техники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D3">
            <v>2026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">
          <cell r="F4">
            <v>44561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AK'ING"/>
      <sheetName val="ПЛОЩАДИ_CW-----&gt;&gt;"/>
      <sheetName val="Гостиницы"/>
      <sheetName val="Rest"/>
      <sheetName val="F&amp;B"/>
      <sheetName val="Конф.центр"/>
      <sheetName val="Озд.центр"/>
      <sheetName val="СПА"/>
      <sheetName val="Апартаменты"/>
      <sheetName val="Доп.инфраструктура"/>
      <sheetName val="Паркинг"/>
      <sheetName val="СВОД"/>
      <sheetName val="Macro"/>
      <sheetName val="Вводные"/>
      <sheetName val="Участки"/>
      <sheetName val="Земля"/>
      <sheetName val="Инвестиции"/>
      <sheetName val="Инвестиции 2"/>
      <sheetName val="Инвестиции_КСР"/>
      <sheetName val="График_стр-ва"/>
      <sheetName val="Амортизация и налог"/>
      <sheetName val="Календарь"/>
      <sheetName val="Прогноз"/>
      <sheetName val="ЛУИ"/>
      <sheetName val="Потоки_ГЛК"/>
      <sheetName val="СМЕТА_ГЛК"/>
      <sheetName val="ГЛК"/>
      <sheetName val="Рынок"/>
      <sheetName val="К дв.загр"/>
      <sheetName val="Потоки_КСР"/>
      <sheetName val="Средний чек"/>
      <sheetName val="ПРОДАЖА"/>
      <sheetName val="ПРОДАЖА_lease_back"/>
      <sheetName val="ГОСТИНИЦА_5"/>
      <sheetName val="Рестораны_5"/>
      <sheetName val="Конференц_5"/>
      <sheetName val="Оздоров.центр_5"/>
      <sheetName val="СПА_5"/>
      <sheetName val="Гостиница_4"/>
      <sheetName val="Рестораны_4"/>
      <sheetName val="Конференц_4"/>
      <sheetName val="СПА_4"/>
      <sheetName val="Гостиница_3"/>
      <sheetName val="Рестораны_3"/>
      <sheetName val="Конференц_3"/>
      <sheetName val="Апартаменты 4"/>
      <sheetName val="PL_ПРОЧЕЕ"/>
      <sheetName val="PL_Паркинг"/>
      <sheetName val="КУРОРТ"/>
      <sheetName val="Презентация"/>
      <sheetName val="KPI"/>
      <sheetName val="CF_ГЛК"/>
      <sheetName val="CF_Девелопмент"/>
      <sheetName val="CF_СВОД"/>
      <sheetName val="Кредит"/>
      <sheetName val="WACC"/>
      <sheetName val="CAPM"/>
      <sheetName val="ФОТ"/>
      <sheetName val="ШР"/>
      <sheetName val="В_от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H9">
            <v>1808467973.197072</v>
          </cell>
        </row>
        <row r="15">
          <cell r="H15">
            <v>2813924599.2270608</v>
          </cell>
        </row>
        <row r="21">
          <cell r="H21">
            <v>3888911031.4487777</v>
          </cell>
        </row>
        <row r="27">
          <cell r="H27">
            <v>8231119981.7002354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hyperlink" Target="http://pages.stern.nyu.edu/~adamodar/New_Home_Page/datafile/ctryprem.html" TargetMode="External"/><Relationship Id="rId7" Type="http://schemas.openxmlformats.org/officeDocument/2006/relationships/hyperlink" Target="https://rusbonds.ru/bonds/153478/" TargetMode="External"/><Relationship Id="rId2" Type="http://schemas.openxmlformats.org/officeDocument/2006/relationships/hyperlink" Target="https://www.moex.com/ru/issue.aspx?code=XS0088543193" TargetMode="External"/><Relationship Id="rId1" Type="http://schemas.openxmlformats.org/officeDocument/2006/relationships/hyperlink" Target="http://www.stern.nyu.edu/~adamodar/New_Home_Page/data.html" TargetMode="External"/><Relationship Id="rId6" Type="http://schemas.openxmlformats.org/officeDocument/2006/relationships/hyperlink" Target="http://www.stern.nyu.edu/~adamodar/pc/datasets/histretSP.xls" TargetMode="External"/><Relationship Id="rId5" Type="http://schemas.openxmlformats.org/officeDocument/2006/relationships/hyperlink" Target="http://www.stern.nyu.edu/~adamodar/pc/datasets/betaemerg.xls" TargetMode="External"/><Relationship Id="rId4" Type="http://schemas.openxmlformats.org/officeDocument/2006/relationships/hyperlink" Target="https://edisciplinas.usp.br/pluginfile.php/3787205/mod_resource/content/1/SIZE%20PREMIUM%20IBOTTSON.pdf" TargetMode="External"/><Relationship Id="rId9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1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hyperlink" Target="http://static.consultant.ru/obj/file/calendar/calendar_2021.pdf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</sheetPr>
  <dimension ref="A46"/>
  <sheetViews>
    <sheetView showGridLines="0" zoomScale="80" zoomScaleNormal="80" workbookViewId="0">
      <selection activeCell="C52" sqref="C52"/>
    </sheetView>
  </sheetViews>
  <sheetFormatPr defaultColWidth="8.7109375" defaultRowHeight="15"/>
  <cols>
    <col min="1" max="1" width="4.28515625" style="19" customWidth="1"/>
    <col min="2" max="2" width="22.7109375" style="19" customWidth="1"/>
    <col min="3" max="3" width="20.140625" style="19" customWidth="1"/>
    <col min="4" max="4" width="13.28515625" style="19" customWidth="1"/>
    <col min="5" max="5" width="20.140625" style="19" customWidth="1"/>
    <col min="6" max="6" width="15.28515625" style="19" bestFit="1" customWidth="1"/>
    <col min="7" max="7" width="11.42578125" style="19" customWidth="1"/>
    <col min="8" max="8" width="4" style="19" customWidth="1"/>
    <col min="9" max="9" width="22.7109375" style="19" customWidth="1"/>
    <col min="10" max="10" width="20.140625" style="19" customWidth="1"/>
    <col min="11" max="11" width="13.28515625" style="19" customWidth="1"/>
    <col min="12" max="12" width="20.140625" style="19" customWidth="1"/>
    <col min="13" max="13" width="15.28515625" style="19" bestFit="1" customWidth="1"/>
    <col min="14" max="14" width="11.42578125" style="19" customWidth="1"/>
    <col min="15" max="16384" width="8.7109375" style="19"/>
  </cols>
  <sheetData>
    <row r="46" ht="1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T27"/>
  <sheetViews>
    <sheetView showGridLines="0" zoomScaleNormal="100" workbookViewId="0">
      <selection activeCell="D20" sqref="D20"/>
    </sheetView>
  </sheetViews>
  <sheetFormatPr defaultRowHeight="15"/>
  <cols>
    <col min="1" max="1" width="4.140625" customWidth="1"/>
    <col min="2" max="2" width="2.28515625" style="19" customWidth="1"/>
    <col min="3" max="3" width="4.85546875" customWidth="1"/>
    <col min="4" max="4" width="60" customWidth="1"/>
    <col min="5" max="5" width="21.85546875" customWidth="1"/>
    <col min="6" max="6" width="19.5703125" style="122" customWidth="1"/>
    <col min="7" max="7" width="8.7109375" customWidth="1"/>
    <col min="8" max="9" width="11.42578125" customWidth="1"/>
    <col min="10" max="10" width="15.42578125" customWidth="1"/>
    <col min="11" max="11" width="8.7109375" customWidth="1"/>
    <col min="12" max="12" width="13.5703125" customWidth="1"/>
    <col min="14" max="14" width="31.42578125" customWidth="1"/>
  </cols>
  <sheetData>
    <row r="1" spans="1:15" ht="15.75" thickBot="1">
      <c r="A1" s="14">
        <v>1</v>
      </c>
    </row>
    <row r="2" spans="1:15" s="19" customFormat="1">
      <c r="C2" s="12" t="s">
        <v>329</v>
      </c>
      <c r="E2" s="264" t="s">
        <v>63</v>
      </c>
      <c r="F2" s="264" t="str">
        <f>F14</f>
        <v xml:space="preserve">Mövenpick </v>
      </c>
    </row>
    <row r="3" spans="1:15" s="19" customFormat="1" ht="17.45" customHeight="1">
      <c r="C3" s="15"/>
      <c r="D3" s="15"/>
      <c r="E3" s="15" t="s">
        <v>208</v>
      </c>
      <c r="F3" s="15" t="s">
        <v>110</v>
      </c>
      <c r="G3" s="15"/>
      <c r="H3" s="15"/>
      <c r="I3" s="15"/>
      <c r="J3" s="1903" t="s">
        <v>968</v>
      </c>
      <c r="K3" s="1904"/>
      <c r="L3" s="1905"/>
      <c r="N3" s="1382" t="s">
        <v>967</v>
      </c>
    </row>
    <row r="4" spans="1:15">
      <c r="C4" s="135">
        <v>1</v>
      </c>
      <c r="D4" s="17" t="s">
        <v>321</v>
      </c>
      <c r="E4" s="142" t="s">
        <v>216</v>
      </c>
      <c r="F4" s="233">
        <f>Бюджет_Синара!B41</f>
        <v>11947.618878048779</v>
      </c>
      <c r="G4" s="19"/>
      <c r="H4" s="19"/>
      <c r="I4" s="19"/>
      <c r="J4" s="1373"/>
      <c r="K4" s="121"/>
      <c r="L4" s="1374"/>
      <c r="M4" s="19"/>
      <c r="N4" s="1900" t="s">
        <v>971</v>
      </c>
      <c r="O4" s="19"/>
    </row>
    <row r="5" spans="1:15">
      <c r="C5" s="135">
        <f>C4+1</f>
        <v>2</v>
      </c>
      <c r="D5" s="17" t="s">
        <v>299</v>
      </c>
      <c r="E5" s="142"/>
      <c r="F5" s="142" t="s">
        <v>338</v>
      </c>
      <c r="J5" s="1375">
        <f>F4/F6</f>
        <v>95.580951024390231</v>
      </c>
      <c r="K5" s="1376" t="s">
        <v>970</v>
      </c>
      <c r="L5" s="1374"/>
      <c r="N5" s="1901"/>
      <c r="O5" s="19"/>
    </row>
    <row r="6" spans="1:15" ht="14.1" customHeight="1">
      <c r="C6" s="135">
        <f>C5+1</f>
        <v>3</v>
      </c>
      <c r="D6" s="17" t="s">
        <v>300</v>
      </c>
      <c r="E6" s="142" t="s">
        <v>318</v>
      </c>
      <c r="F6" s="801">
        <v>125</v>
      </c>
      <c r="H6" s="1839" t="s">
        <v>405</v>
      </c>
      <c r="I6" s="1840" t="s">
        <v>406</v>
      </c>
      <c r="J6" s="1383" t="s">
        <v>648</v>
      </c>
      <c r="K6" s="1384" t="s">
        <v>216</v>
      </c>
      <c r="L6" s="1374"/>
      <c r="N6" s="1901"/>
      <c r="O6" s="19"/>
    </row>
    <row r="7" spans="1:15">
      <c r="C7" s="135"/>
      <c r="D7" s="288" t="s">
        <v>316</v>
      </c>
      <c r="E7" s="142" t="s">
        <v>318</v>
      </c>
      <c r="F7" s="131">
        <f>ROUND($F$6*G7,0)</f>
        <v>13</v>
      </c>
      <c r="G7" s="190">
        <v>0.1</v>
      </c>
      <c r="H7" s="1377">
        <v>4</v>
      </c>
      <c r="I7" s="1863">
        <f>H7*F7</f>
        <v>52</v>
      </c>
      <c r="J7" s="1377">
        <f>J8*1.5</f>
        <v>54</v>
      </c>
      <c r="K7" s="131">
        <f>F7*J7</f>
        <v>702</v>
      </c>
      <c r="L7" s="1374"/>
      <c r="N7" s="1901"/>
      <c r="O7" s="19"/>
    </row>
    <row r="8" spans="1:15">
      <c r="C8" s="135"/>
      <c r="D8" s="288" t="s">
        <v>317</v>
      </c>
      <c r="E8" s="142" t="s">
        <v>318</v>
      </c>
      <c r="F8" s="131">
        <f>ROUND($F$6*G8,0)</f>
        <v>106</v>
      </c>
      <c r="G8" s="190">
        <v>0.85</v>
      </c>
      <c r="H8" s="1377">
        <v>2</v>
      </c>
      <c r="I8" s="1863">
        <f>H8*F8</f>
        <v>212</v>
      </c>
      <c r="J8" s="1377">
        <v>36</v>
      </c>
      <c r="K8" s="131">
        <f>F8*J8</f>
        <v>3816</v>
      </c>
      <c r="L8" s="1374"/>
      <c r="N8" s="1901"/>
      <c r="O8" s="19"/>
    </row>
    <row r="9" spans="1:15" s="19" customFormat="1">
      <c r="C9" s="135"/>
      <c r="D9" s="288" t="s">
        <v>330</v>
      </c>
      <c r="E9" s="142" t="s">
        <v>318</v>
      </c>
      <c r="F9" s="131">
        <f>F6-F8-F7</f>
        <v>6</v>
      </c>
      <c r="G9" s="291">
        <v>0.05</v>
      </c>
      <c r="H9" s="1864">
        <v>2</v>
      </c>
      <c r="I9" s="1865">
        <f>H9*F9</f>
        <v>12</v>
      </c>
      <c r="J9" s="1377">
        <f>J8</f>
        <v>36</v>
      </c>
      <c r="K9" s="131">
        <f>F9*J9</f>
        <v>216</v>
      </c>
      <c r="L9" s="1374"/>
      <c r="N9" s="1901"/>
    </row>
    <row r="10" spans="1:15">
      <c r="C10" s="135">
        <f>C6+1</f>
        <v>4</v>
      </c>
      <c r="D10" s="17" t="s">
        <v>301</v>
      </c>
      <c r="E10" s="142" t="s">
        <v>209</v>
      </c>
      <c r="F10" s="801">
        <f>SUM(I7:I9)</f>
        <v>276</v>
      </c>
      <c r="G10" s="137">
        <f>F10/F6</f>
        <v>2.2080000000000002</v>
      </c>
      <c r="J10" s="1378" t="s">
        <v>969</v>
      </c>
      <c r="K10" s="132">
        <f>SUM(K7:K9)</f>
        <v>4734</v>
      </c>
      <c r="L10" s="1374"/>
      <c r="N10" s="1901"/>
    </row>
    <row r="11" spans="1:15" s="19" customFormat="1">
      <c r="C11" s="135">
        <f>C10+1</f>
        <v>5</v>
      </c>
      <c r="D11" s="17" t="s">
        <v>647</v>
      </c>
      <c r="E11" s="142" t="s">
        <v>216</v>
      </c>
      <c r="F11" s="233">
        <f>Бюджет_Синара!B7</f>
        <v>4750</v>
      </c>
      <c r="G11" s="136">
        <f>F11/F6</f>
        <v>38</v>
      </c>
      <c r="H11" s="292" t="s">
        <v>648</v>
      </c>
      <c r="J11" s="1379"/>
      <c r="K11" s="1380">
        <f>K10/F6</f>
        <v>37.872</v>
      </c>
      <c r="L11" s="1381" t="s">
        <v>648</v>
      </c>
      <c r="N11" s="1902"/>
    </row>
    <row r="12" spans="1:15">
      <c r="C12" s="135">
        <f t="shared" ref="C12:C22" si="0">C11+1</f>
        <v>6</v>
      </c>
      <c r="D12" s="17" t="s">
        <v>302</v>
      </c>
      <c r="E12" s="142"/>
      <c r="F12" s="827">
        <f>Объекты!E66</f>
        <v>37.037037037037038</v>
      </c>
    </row>
    <row r="13" spans="1:15" ht="25.5">
      <c r="C13" s="135">
        <f t="shared" si="0"/>
        <v>7</v>
      </c>
      <c r="D13" s="17" t="s">
        <v>322</v>
      </c>
      <c r="E13" s="142" t="s">
        <v>315</v>
      </c>
      <c r="F13" s="233">
        <f>Бюджет_Синара!B19</f>
        <v>1943</v>
      </c>
    </row>
    <row r="14" spans="1:15">
      <c r="C14" s="135">
        <f t="shared" si="0"/>
        <v>8</v>
      </c>
      <c r="D14" s="17" t="s">
        <v>303</v>
      </c>
      <c r="E14" s="142"/>
      <c r="F14" s="131" t="s">
        <v>319</v>
      </c>
    </row>
    <row r="15" spans="1:15">
      <c r="C15" s="135">
        <f t="shared" si="0"/>
        <v>9</v>
      </c>
      <c r="D15" s="17" t="s">
        <v>652</v>
      </c>
      <c r="E15" s="142" t="s">
        <v>320</v>
      </c>
      <c r="F15" s="279">
        <v>100</v>
      </c>
    </row>
    <row r="16" spans="1:15" s="19" customFormat="1">
      <c r="C16" s="135">
        <f t="shared" si="0"/>
        <v>10</v>
      </c>
      <c r="D16" s="17" t="s">
        <v>653</v>
      </c>
      <c r="E16" s="142" t="s">
        <v>216</v>
      </c>
      <c r="F16" s="233">
        <f>Бюджет_Синара!B13</f>
        <v>327</v>
      </c>
      <c r="G16" s="136">
        <f>F16/F15</f>
        <v>3.27</v>
      </c>
      <c r="H16" s="292" t="s">
        <v>649</v>
      </c>
    </row>
    <row r="17" spans="3:20" s="19" customFormat="1">
      <c r="C17" s="135">
        <f t="shared" si="0"/>
        <v>11</v>
      </c>
      <c r="D17" s="17" t="s">
        <v>650</v>
      </c>
      <c r="E17" s="142" t="s">
        <v>216</v>
      </c>
      <c r="F17" s="233">
        <f>Бюджет_Синара!B21</f>
        <v>175</v>
      </c>
      <c r="G17" s="829"/>
      <c r="H17" s="292"/>
    </row>
    <row r="18" spans="3:20" s="19" customFormat="1">
      <c r="C18" s="135">
        <f t="shared" si="0"/>
        <v>12</v>
      </c>
      <c r="D18" s="17" t="s">
        <v>651</v>
      </c>
      <c r="E18" s="142" t="s">
        <v>216</v>
      </c>
      <c r="F18" s="233">
        <f>Бюджет_Синара!B23</f>
        <v>135</v>
      </c>
      <c r="G18" s="829"/>
      <c r="H18" s="292"/>
    </row>
    <row r="19" spans="3:20" ht="20.100000000000001" customHeight="1">
      <c r="C19" s="135">
        <f t="shared" si="0"/>
        <v>13</v>
      </c>
      <c r="D19" s="17" t="s">
        <v>304</v>
      </c>
      <c r="E19" s="142"/>
      <c r="F19" s="1906" t="s">
        <v>305</v>
      </c>
      <c r="M19" s="19"/>
      <c r="N19" s="19"/>
      <c r="O19" s="19"/>
      <c r="P19" s="19"/>
      <c r="Q19" s="19"/>
      <c r="R19" s="19"/>
      <c r="S19" s="19"/>
      <c r="T19" s="19"/>
    </row>
    <row r="20" spans="3:20" ht="20.100000000000001" customHeight="1">
      <c r="C20" s="135">
        <f t="shared" si="0"/>
        <v>14</v>
      </c>
      <c r="D20" s="17" t="s">
        <v>306</v>
      </c>
      <c r="E20" s="142"/>
      <c r="F20" s="1907"/>
      <c r="M20" s="19"/>
      <c r="N20" s="19"/>
      <c r="O20" s="19"/>
      <c r="P20" s="19"/>
      <c r="Q20" s="19"/>
      <c r="R20" s="19"/>
      <c r="S20" s="19"/>
      <c r="T20" s="19"/>
    </row>
    <row r="21" spans="3:20">
      <c r="C21" s="135">
        <f t="shared" si="0"/>
        <v>15</v>
      </c>
      <c r="D21" s="17" t="s">
        <v>307</v>
      </c>
      <c r="E21" s="142" t="s">
        <v>324</v>
      </c>
      <c r="F21" s="131" t="s">
        <v>308</v>
      </c>
      <c r="M21" s="19"/>
      <c r="N21" s="19"/>
      <c r="O21" s="19"/>
      <c r="P21" s="19"/>
      <c r="Q21" s="19"/>
      <c r="R21" s="19"/>
      <c r="S21" s="19"/>
      <c r="T21" s="19"/>
    </row>
    <row r="22" spans="3:20">
      <c r="C22" s="135">
        <f t="shared" si="0"/>
        <v>16</v>
      </c>
      <c r="D22" s="17" t="s">
        <v>309</v>
      </c>
      <c r="E22" s="142"/>
      <c r="F22" s="1899" t="s">
        <v>325</v>
      </c>
      <c r="G22" s="1899"/>
      <c r="H22" s="1899"/>
      <c r="I22" s="1899"/>
      <c r="J22" s="1899"/>
      <c r="K22" s="1899"/>
      <c r="L22" s="1899"/>
      <c r="M22" s="19"/>
      <c r="N22" s="19"/>
      <c r="O22" s="19"/>
      <c r="P22" s="19"/>
      <c r="Q22" s="19"/>
      <c r="R22" s="19"/>
      <c r="S22" s="19"/>
      <c r="T22" s="19"/>
    </row>
    <row r="23" spans="3:20" ht="47.1" customHeight="1">
      <c r="C23" s="135"/>
      <c r="D23" s="17"/>
      <c r="E23" s="142"/>
      <c r="F23" s="1899" t="s">
        <v>326</v>
      </c>
      <c r="G23" s="1899"/>
      <c r="H23" s="1899"/>
      <c r="I23" s="1899"/>
      <c r="J23" s="1899"/>
      <c r="K23" s="1899"/>
      <c r="L23" s="1899"/>
      <c r="M23" s="19"/>
      <c r="N23" s="19"/>
      <c r="O23" s="19"/>
      <c r="P23" s="19"/>
      <c r="Q23" s="19"/>
      <c r="R23" s="19"/>
      <c r="S23" s="19"/>
      <c r="T23" s="19"/>
    </row>
    <row r="24" spans="3:20" ht="35.450000000000003" customHeight="1">
      <c r="C24" s="135"/>
      <c r="D24" s="17"/>
      <c r="E24" s="142"/>
      <c r="F24" s="1899" t="s">
        <v>327</v>
      </c>
      <c r="G24" s="1899"/>
      <c r="H24" s="1899"/>
      <c r="I24" s="1899"/>
      <c r="J24" s="1899"/>
      <c r="K24" s="1899"/>
      <c r="L24" s="1899"/>
      <c r="M24" s="19"/>
      <c r="N24" s="19"/>
      <c r="O24" s="19"/>
      <c r="P24" s="19"/>
      <c r="Q24" s="19"/>
      <c r="R24" s="19"/>
      <c r="S24" s="19"/>
      <c r="T24" s="19"/>
    </row>
    <row r="25" spans="3:20" ht="25.5">
      <c r="C25" s="135">
        <f>C22+1</f>
        <v>17</v>
      </c>
      <c r="D25" s="17" t="s">
        <v>311</v>
      </c>
      <c r="E25" s="142"/>
      <c r="F25" s="131" t="s">
        <v>312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3:20" ht="44.1" customHeight="1">
      <c r="C26" s="135">
        <f>C25+1</f>
        <v>18</v>
      </c>
      <c r="D26" s="17" t="s">
        <v>313</v>
      </c>
      <c r="E26" s="142"/>
      <c r="F26" s="1899" t="s">
        <v>331</v>
      </c>
      <c r="G26" s="1899"/>
      <c r="H26" s="1899"/>
      <c r="I26" s="1899"/>
      <c r="J26" s="1899"/>
      <c r="K26" s="1899"/>
      <c r="L26" s="1899"/>
      <c r="M26" s="19"/>
      <c r="N26" s="19"/>
      <c r="O26" s="19"/>
      <c r="P26" s="19"/>
      <c r="Q26" s="19"/>
      <c r="R26" s="19"/>
      <c r="S26" s="19"/>
      <c r="T26" s="19"/>
    </row>
    <row r="27" spans="3:20">
      <c r="C27" s="19"/>
      <c r="D27" s="19"/>
      <c r="E27" s="19"/>
      <c r="N27" s="19"/>
      <c r="O27" s="19"/>
      <c r="P27" s="19"/>
      <c r="Q27" s="19"/>
      <c r="R27" s="19"/>
      <c r="S27" s="19"/>
      <c r="T27" s="19"/>
    </row>
  </sheetData>
  <mergeCells count="7">
    <mergeCell ref="F26:L26"/>
    <mergeCell ref="F24:L24"/>
    <mergeCell ref="N4:N11"/>
    <mergeCell ref="J3:L3"/>
    <mergeCell ref="F23:L23"/>
    <mergeCell ref="F22:L22"/>
    <mergeCell ref="F19:F20"/>
  </mergeCells>
  <conditionalFormatting sqref="F6">
    <cfRule type="expression" dxfId="2310" priority="35">
      <formula>$A$1=1</formula>
    </cfRule>
  </conditionalFormatting>
  <conditionalFormatting sqref="F21">
    <cfRule type="expression" dxfId="2309" priority="21">
      <formula>$A$1=1</formula>
    </cfRule>
  </conditionalFormatting>
  <conditionalFormatting sqref="G7">
    <cfRule type="expression" dxfId="2308" priority="34">
      <formula>$A$1=1</formula>
    </cfRule>
  </conditionalFormatting>
  <conditionalFormatting sqref="G8:G9">
    <cfRule type="expression" dxfId="2307" priority="33">
      <formula>$A$1=1</formula>
    </cfRule>
  </conditionalFormatting>
  <conditionalFormatting sqref="F12">
    <cfRule type="expression" dxfId="2306" priority="31">
      <formula>$A$1=1</formula>
    </cfRule>
  </conditionalFormatting>
  <conditionalFormatting sqref="C3:D3 C4:C26">
    <cfRule type="cellIs" dxfId="2305" priority="26" operator="equal">
      <formula>0</formula>
    </cfRule>
  </conditionalFormatting>
  <conditionalFormatting sqref="F3">
    <cfRule type="cellIs" dxfId="2304" priority="28" operator="equal">
      <formula>0</formula>
    </cfRule>
  </conditionalFormatting>
  <conditionalFormatting sqref="F19">
    <cfRule type="expression" dxfId="2303" priority="22">
      <formula>$A$1=1</formula>
    </cfRule>
  </conditionalFormatting>
  <conditionalFormatting sqref="E3">
    <cfRule type="cellIs" dxfId="2302" priority="23" operator="equal">
      <formula>0</formula>
    </cfRule>
  </conditionalFormatting>
  <conditionalFormatting sqref="G3:I3">
    <cfRule type="cellIs" dxfId="2301" priority="17" operator="equal">
      <formula>0</formula>
    </cfRule>
  </conditionalFormatting>
  <conditionalFormatting sqref="F15">
    <cfRule type="expression" dxfId="2300" priority="16">
      <formula>$A$1=1</formula>
    </cfRule>
  </conditionalFormatting>
  <conditionalFormatting sqref="F14">
    <cfRule type="expression" dxfId="2299" priority="15">
      <formula>$A$1=1</formula>
    </cfRule>
  </conditionalFormatting>
  <conditionalFormatting sqref="F25">
    <cfRule type="expression" dxfId="2298" priority="14">
      <formula>$A$1=1</formula>
    </cfRule>
  </conditionalFormatting>
  <conditionalFormatting sqref="J3">
    <cfRule type="cellIs" dxfId="2297" priority="9" operator="equal">
      <formula>0</formula>
    </cfRule>
  </conditionalFormatting>
  <conditionalFormatting sqref="N3">
    <cfRule type="cellIs" dxfId="2296" priority="6" operator="equal">
      <formula>0</formula>
    </cfRule>
  </conditionalFormatting>
  <conditionalFormatting sqref="H6">
    <cfRule type="cellIs" dxfId="2295" priority="5" operator="equal">
      <formula>0</formula>
    </cfRule>
  </conditionalFormatting>
  <conditionalFormatting sqref="I6">
    <cfRule type="cellIs" dxfId="2294" priority="4" operator="equal">
      <formula>0</formula>
    </cfRule>
  </conditionalFormatting>
  <conditionalFormatting sqref="H7">
    <cfRule type="expression" dxfId="2293" priority="3">
      <formula>$A$1=1</formula>
    </cfRule>
  </conditionalFormatting>
  <conditionalFormatting sqref="H8">
    <cfRule type="expression" dxfId="2292" priority="2">
      <formula>$A$1=1</formula>
    </cfRule>
  </conditionalFormatting>
  <conditionalFormatting sqref="H9">
    <cfRule type="expression" dxfId="2291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27"/>
  <sheetViews>
    <sheetView showGridLines="0" zoomScale="80" zoomScaleNormal="80" workbookViewId="0">
      <selection activeCell="F9" sqref="F9"/>
    </sheetView>
  </sheetViews>
  <sheetFormatPr defaultColWidth="8.7109375" defaultRowHeight="15"/>
  <cols>
    <col min="1" max="1" width="4.140625" style="19" customWidth="1"/>
    <col min="2" max="2" width="2.28515625" style="19" customWidth="1"/>
    <col min="3" max="3" width="4.85546875" style="19" customWidth="1"/>
    <col min="4" max="4" width="55.28515625" style="19" customWidth="1"/>
    <col min="5" max="5" width="21.85546875" style="19" customWidth="1"/>
    <col min="6" max="6" width="20.85546875" style="122" customWidth="1"/>
    <col min="7" max="7" width="8.7109375" style="19" customWidth="1"/>
    <col min="8" max="8" width="8" style="19" customWidth="1"/>
    <col min="9" max="10" width="12.85546875" style="19" customWidth="1"/>
    <col min="11" max="13" width="13.5703125" style="19" customWidth="1"/>
    <col min="14" max="14" width="8.7109375" style="19"/>
    <col min="15" max="15" width="29.140625" style="19" customWidth="1"/>
    <col min="16" max="16384" width="8.7109375" style="19"/>
  </cols>
  <sheetData>
    <row r="1" spans="1:15" ht="15.75" thickBot="1">
      <c r="A1" s="14">
        <v>1</v>
      </c>
    </row>
    <row r="2" spans="1:15">
      <c r="C2" s="12" t="s">
        <v>329</v>
      </c>
      <c r="E2" s="264" t="s">
        <v>62</v>
      </c>
      <c r="F2" s="264" t="str">
        <f>F13</f>
        <v>Mercure</v>
      </c>
    </row>
    <row r="3" spans="1:15" ht="17.45" customHeight="1">
      <c r="C3" s="15"/>
      <c r="D3" s="15"/>
      <c r="E3" s="15" t="s">
        <v>208</v>
      </c>
      <c r="F3" s="15" t="s">
        <v>110</v>
      </c>
      <c r="G3" s="191"/>
      <c r="H3" s="191" t="s">
        <v>111</v>
      </c>
      <c r="I3" s="15"/>
      <c r="J3" s="15"/>
      <c r="K3" s="1903" t="s">
        <v>968</v>
      </c>
      <c r="L3" s="1904"/>
      <c r="M3" s="1905"/>
      <c r="O3" s="1382" t="s">
        <v>967</v>
      </c>
    </row>
    <row r="4" spans="1:15" ht="14.45" customHeight="1">
      <c r="C4" s="135">
        <v>1</v>
      </c>
      <c r="D4" s="17" t="s">
        <v>321</v>
      </c>
      <c r="E4" s="142" t="s">
        <v>216</v>
      </c>
      <c r="F4" s="233">
        <f>Бюджет_Синара!B84</f>
        <v>12475</v>
      </c>
      <c r="K4" s="1373"/>
      <c r="L4" s="121"/>
      <c r="M4" s="1374"/>
      <c r="O4" s="1900" t="s">
        <v>971</v>
      </c>
    </row>
    <row r="5" spans="1:15">
      <c r="C5" s="135">
        <f>C4+1</f>
        <v>2</v>
      </c>
      <c r="D5" s="17" t="s">
        <v>299</v>
      </c>
      <c r="E5" s="142"/>
      <c r="F5" s="142" t="s">
        <v>339</v>
      </c>
      <c r="K5" s="1375">
        <f>F4/F6</f>
        <v>77.96875</v>
      </c>
      <c r="L5" s="1376" t="s">
        <v>970</v>
      </c>
      <c r="M5" s="1374"/>
      <c r="O5" s="1901"/>
    </row>
    <row r="6" spans="1:15">
      <c r="C6" s="135">
        <f>C5+1</f>
        <v>3</v>
      </c>
      <c r="D6" s="17" t="s">
        <v>300</v>
      </c>
      <c r="E6" s="142" t="s">
        <v>318</v>
      </c>
      <c r="F6" s="801">
        <v>160</v>
      </c>
      <c r="I6" s="1839" t="s">
        <v>405</v>
      </c>
      <c r="J6" s="1840" t="s">
        <v>406</v>
      </c>
      <c r="K6" s="1383" t="s">
        <v>648</v>
      </c>
      <c r="L6" s="1384" t="s">
        <v>216</v>
      </c>
      <c r="M6" s="1374"/>
      <c r="O6" s="1901"/>
    </row>
    <row r="7" spans="1:15">
      <c r="C7" s="135"/>
      <c r="D7" s="288" t="s">
        <v>316</v>
      </c>
      <c r="E7" s="142" t="s">
        <v>318</v>
      </c>
      <c r="F7" s="131">
        <f>ROUND($F$6*G7,0)</f>
        <v>13</v>
      </c>
      <c r="G7" s="190">
        <v>0.08</v>
      </c>
      <c r="I7" s="1377">
        <v>4</v>
      </c>
      <c r="J7" s="1863">
        <f>I7*F7</f>
        <v>52</v>
      </c>
      <c r="K7" s="1377">
        <f>K8*1.25</f>
        <v>30</v>
      </c>
      <c r="L7" s="131">
        <f>F7*K7</f>
        <v>390</v>
      </c>
      <c r="M7" s="1374"/>
      <c r="O7" s="1901"/>
    </row>
    <row r="8" spans="1:15">
      <c r="C8" s="135"/>
      <c r="D8" s="288" t="s">
        <v>317</v>
      </c>
      <c r="E8" s="142" t="s">
        <v>318</v>
      </c>
      <c r="F8" s="131">
        <f>ROUND($F$6*G8,0)</f>
        <v>147</v>
      </c>
      <c r="G8" s="190">
        <v>0.92</v>
      </c>
      <c r="I8" s="1864">
        <v>2</v>
      </c>
      <c r="J8" s="1865">
        <f>I8*F8</f>
        <v>294</v>
      </c>
      <c r="K8" s="1377">
        <v>24</v>
      </c>
      <c r="L8" s="131">
        <f>F8*K8</f>
        <v>3528</v>
      </c>
      <c r="M8" s="1374"/>
      <c r="O8" s="1901"/>
    </row>
    <row r="9" spans="1:15">
      <c r="C9" s="135">
        <f>C6+1</f>
        <v>4</v>
      </c>
      <c r="D9" s="17" t="s">
        <v>301</v>
      </c>
      <c r="E9" s="142" t="s">
        <v>209</v>
      </c>
      <c r="F9" s="801">
        <f>SUM(J7:J8)</f>
        <v>346</v>
      </c>
      <c r="G9" s="137">
        <f>F9/F6</f>
        <v>2.1625000000000001</v>
      </c>
      <c r="K9" s="1377"/>
      <c r="L9" s="131"/>
      <c r="M9" s="1374"/>
      <c r="O9" s="1901"/>
    </row>
    <row r="10" spans="1:15">
      <c r="C10" s="135">
        <f>C9+1</f>
        <v>5</v>
      </c>
      <c r="D10" s="17" t="s">
        <v>647</v>
      </c>
      <c r="E10" s="142" t="s">
        <v>216</v>
      </c>
      <c r="F10" s="827">
        <f>Бюджет_Синара!B50</f>
        <v>3925</v>
      </c>
      <c r="G10" s="136">
        <f>F10/F6</f>
        <v>24.53125</v>
      </c>
      <c r="H10" s="292" t="s">
        <v>648</v>
      </c>
      <c r="K10" s="1378" t="s">
        <v>969</v>
      </c>
      <c r="L10" s="132">
        <f>SUM(L7:L9)</f>
        <v>3918</v>
      </c>
      <c r="M10" s="1374"/>
      <c r="O10" s="1901"/>
    </row>
    <row r="11" spans="1:15">
      <c r="C11" s="135">
        <f>C10+1</f>
        <v>6</v>
      </c>
      <c r="D11" s="17" t="s">
        <v>302</v>
      </c>
      <c r="E11" s="142"/>
      <c r="F11" s="131" t="s">
        <v>332</v>
      </c>
      <c r="K11" s="1379"/>
      <c r="L11" s="1380">
        <f>L10/F6</f>
        <v>24.487500000000001</v>
      </c>
      <c r="M11" s="1381" t="s">
        <v>648</v>
      </c>
      <c r="O11" s="1902"/>
    </row>
    <row r="12" spans="1:15" ht="42.6" customHeight="1">
      <c r="C12" s="135">
        <f t="shared" ref="C12:C23" si="0">C11+1</f>
        <v>7</v>
      </c>
      <c r="D12" s="17" t="s">
        <v>334</v>
      </c>
      <c r="E12" s="142" t="s">
        <v>315</v>
      </c>
      <c r="F12" s="131">
        <v>300</v>
      </c>
      <c r="G12" s="1908" t="s">
        <v>333</v>
      </c>
      <c r="H12" s="1908"/>
      <c r="I12" s="1908"/>
      <c r="J12" s="1908"/>
    </row>
    <row r="13" spans="1:15">
      <c r="C13" s="135">
        <f t="shared" si="0"/>
        <v>8</v>
      </c>
      <c r="D13" s="17" t="s">
        <v>303</v>
      </c>
      <c r="E13" s="142"/>
      <c r="F13" s="131" t="s">
        <v>335</v>
      </c>
    </row>
    <row r="14" spans="1:15">
      <c r="C14" s="135">
        <f t="shared" si="0"/>
        <v>9</v>
      </c>
      <c r="D14" s="17" t="s">
        <v>972</v>
      </c>
      <c r="E14" s="142" t="s">
        <v>216</v>
      </c>
      <c r="F14" s="233">
        <f>Бюджет_Синара!B62</f>
        <v>3561</v>
      </c>
    </row>
    <row r="15" spans="1:15">
      <c r="C15" s="135">
        <f t="shared" si="0"/>
        <v>10</v>
      </c>
      <c r="D15" s="17" t="s">
        <v>652</v>
      </c>
      <c r="E15" s="142" t="s">
        <v>320</v>
      </c>
      <c r="F15" s="279">
        <v>150</v>
      </c>
    </row>
    <row r="16" spans="1:15">
      <c r="C16" s="135">
        <f t="shared" si="0"/>
        <v>11</v>
      </c>
      <c r="D16" s="17" t="s">
        <v>653</v>
      </c>
      <c r="E16" s="142" t="s">
        <v>216</v>
      </c>
      <c r="F16" s="233">
        <f>Бюджет_Синара!B56</f>
        <v>313</v>
      </c>
      <c r="G16" s="136">
        <f>F16/F15</f>
        <v>2.0866666666666664</v>
      </c>
      <c r="H16" s="292" t="s">
        <v>649</v>
      </c>
    </row>
    <row r="17" spans="3:13">
      <c r="C17" s="135">
        <f t="shared" si="0"/>
        <v>12</v>
      </c>
      <c r="D17" s="17" t="s">
        <v>650</v>
      </c>
      <c r="E17" s="142" t="s">
        <v>216</v>
      </c>
      <c r="F17" s="828">
        <f>Бюджет_Синара!B64</f>
        <v>520</v>
      </c>
      <c r="G17" s="829"/>
      <c r="H17" s="292"/>
    </row>
    <row r="18" spans="3:13">
      <c r="C18" s="135">
        <f t="shared" si="0"/>
        <v>13</v>
      </c>
      <c r="D18" s="17" t="s">
        <v>651</v>
      </c>
      <c r="E18" s="142" t="s">
        <v>216</v>
      </c>
      <c r="F18" s="828">
        <f>Бюджет_Синара!B66</f>
        <v>135</v>
      </c>
      <c r="G18" s="829"/>
      <c r="H18" s="292"/>
    </row>
    <row r="19" spans="3:13">
      <c r="C19" s="135">
        <f t="shared" si="0"/>
        <v>14</v>
      </c>
      <c r="D19" s="17" t="s">
        <v>304</v>
      </c>
      <c r="E19" s="142"/>
      <c r="F19" s="1906" t="s">
        <v>305</v>
      </c>
    </row>
    <row r="20" spans="3:13">
      <c r="C20" s="135">
        <f t="shared" si="0"/>
        <v>15</v>
      </c>
      <c r="D20" s="17" t="s">
        <v>306</v>
      </c>
      <c r="E20" s="142"/>
      <c r="F20" s="1907"/>
    </row>
    <row r="21" spans="3:13">
      <c r="C21" s="135">
        <f t="shared" si="0"/>
        <v>16</v>
      </c>
      <c r="D21" s="17" t="s">
        <v>307</v>
      </c>
      <c r="E21" s="142" t="s">
        <v>324</v>
      </c>
      <c r="F21" s="131" t="s">
        <v>308</v>
      </c>
    </row>
    <row r="22" spans="3:13">
      <c r="C22" s="135">
        <f t="shared" si="0"/>
        <v>17</v>
      </c>
      <c r="D22" s="818" t="s">
        <v>659</v>
      </c>
      <c r="E22" s="142"/>
      <c r="F22" s="828">
        <f>Бюджет_Синара!B83</f>
        <v>1000</v>
      </c>
    </row>
    <row r="23" spans="3:13">
      <c r="C23" s="135">
        <f t="shared" si="0"/>
        <v>18</v>
      </c>
      <c r="D23" s="17" t="s">
        <v>309</v>
      </c>
      <c r="E23" s="142"/>
      <c r="F23" s="1899" t="s">
        <v>325</v>
      </c>
      <c r="G23" s="1899"/>
      <c r="H23" s="1899"/>
      <c r="I23" s="1899"/>
      <c r="J23" s="1899"/>
      <c r="K23" s="1899"/>
      <c r="L23" s="1899"/>
      <c r="M23" s="1899"/>
    </row>
    <row r="24" spans="3:13" ht="47.1" customHeight="1">
      <c r="C24" s="135"/>
      <c r="D24" s="17"/>
      <c r="E24" s="142"/>
      <c r="F24" s="1899" t="s">
        <v>326</v>
      </c>
      <c r="G24" s="1899"/>
      <c r="H24" s="1899"/>
      <c r="I24" s="1899"/>
      <c r="J24" s="1899"/>
      <c r="K24" s="1899"/>
      <c r="L24" s="1899"/>
      <c r="M24" s="1899"/>
    </row>
    <row r="25" spans="3:13" ht="35.450000000000003" customHeight="1">
      <c r="C25" s="135"/>
      <c r="D25" s="17"/>
      <c r="E25" s="142"/>
      <c r="F25" s="1899" t="s">
        <v>336</v>
      </c>
      <c r="G25" s="1899"/>
      <c r="H25" s="1899"/>
      <c r="I25" s="1899"/>
      <c r="J25" s="1899"/>
      <c r="K25" s="1899"/>
      <c r="L25" s="1899"/>
      <c r="M25" s="1899"/>
    </row>
    <row r="26" spans="3:13" ht="38.25">
      <c r="C26" s="135">
        <f>C23+1</f>
        <v>19</v>
      </c>
      <c r="D26" s="17" t="s">
        <v>311</v>
      </c>
      <c r="E26" s="142"/>
      <c r="F26" s="131" t="s">
        <v>312</v>
      </c>
    </row>
    <row r="27" spans="3:13" ht="33.6" customHeight="1">
      <c r="C27" s="135">
        <f>C26+1</f>
        <v>20</v>
      </c>
      <c r="D27" s="17" t="s">
        <v>313</v>
      </c>
      <c r="E27" s="142"/>
      <c r="F27" s="1899" t="s">
        <v>337</v>
      </c>
      <c r="G27" s="1899"/>
      <c r="H27" s="1899"/>
      <c r="I27" s="1899"/>
      <c r="J27" s="1899"/>
      <c r="K27" s="1899"/>
      <c r="L27" s="1899"/>
      <c r="M27" s="1899"/>
    </row>
  </sheetData>
  <mergeCells count="8">
    <mergeCell ref="K3:M3"/>
    <mergeCell ref="O4:O11"/>
    <mergeCell ref="G12:J12"/>
    <mergeCell ref="F27:M27"/>
    <mergeCell ref="F19:F20"/>
    <mergeCell ref="F23:M23"/>
    <mergeCell ref="F24:M24"/>
    <mergeCell ref="F25:M25"/>
  </mergeCells>
  <conditionalFormatting sqref="F6">
    <cfRule type="expression" dxfId="2290" priority="31">
      <formula>$A$1=1</formula>
    </cfRule>
  </conditionalFormatting>
  <conditionalFormatting sqref="F12">
    <cfRule type="expression" dxfId="2289" priority="26">
      <formula>$A$1=1</formula>
    </cfRule>
  </conditionalFormatting>
  <conditionalFormatting sqref="F21">
    <cfRule type="expression" dxfId="2288" priority="19">
      <formula>$A$1=1</formula>
    </cfRule>
  </conditionalFormatting>
  <conditionalFormatting sqref="G7">
    <cfRule type="expression" dxfId="2287" priority="30">
      <formula>$A$1=1</formula>
    </cfRule>
  </conditionalFormatting>
  <conditionalFormatting sqref="G8">
    <cfRule type="expression" dxfId="2286" priority="29">
      <formula>$A$1=1</formula>
    </cfRule>
  </conditionalFormatting>
  <conditionalFormatting sqref="F11">
    <cfRule type="expression" dxfId="2285" priority="27">
      <formula>$A$1=1</formula>
    </cfRule>
  </conditionalFormatting>
  <conditionalFormatting sqref="C3:D3 C4:C27">
    <cfRule type="cellIs" dxfId="2284" priority="24" operator="equal">
      <formula>0</formula>
    </cfRule>
  </conditionalFormatting>
  <conditionalFormatting sqref="F3">
    <cfRule type="cellIs" dxfId="2283" priority="25" operator="equal">
      <formula>0</formula>
    </cfRule>
  </conditionalFormatting>
  <conditionalFormatting sqref="F15">
    <cfRule type="expression" dxfId="2282" priority="22">
      <formula>$A$1=1</formula>
    </cfRule>
  </conditionalFormatting>
  <conditionalFormatting sqref="E3">
    <cfRule type="cellIs" dxfId="2281" priority="21" operator="equal">
      <formula>0</formula>
    </cfRule>
  </conditionalFormatting>
  <conditionalFormatting sqref="G3:J3">
    <cfRule type="cellIs" dxfId="2280" priority="18" operator="equal">
      <formula>0</formula>
    </cfRule>
  </conditionalFormatting>
  <conditionalFormatting sqref="F19">
    <cfRule type="expression" dxfId="2279" priority="17">
      <formula>$A$1=1</formula>
    </cfRule>
  </conditionalFormatting>
  <conditionalFormatting sqref="F13">
    <cfRule type="expression" dxfId="2278" priority="16">
      <formula>$A$1=1</formula>
    </cfRule>
  </conditionalFormatting>
  <conditionalFormatting sqref="F26">
    <cfRule type="expression" dxfId="2277" priority="15">
      <formula>$A$1=1</formula>
    </cfRule>
  </conditionalFormatting>
  <conditionalFormatting sqref="K3">
    <cfRule type="cellIs" dxfId="2276" priority="7" operator="equal">
      <formula>0</formula>
    </cfRule>
  </conditionalFormatting>
  <conditionalFormatting sqref="O3">
    <cfRule type="cellIs" dxfId="2275" priority="6" operator="equal">
      <formula>0</formula>
    </cfRule>
  </conditionalFormatting>
  <conditionalFormatting sqref="I7">
    <cfRule type="expression" dxfId="2274" priority="4">
      <formula>$A$1=1</formula>
    </cfRule>
  </conditionalFormatting>
  <conditionalFormatting sqref="I8">
    <cfRule type="expression" dxfId="2273" priority="3">
      <formula>$A$1=1</formula>
    </cfRule>
  </conditionalFormatting>
  <conditionalFormatting sqref="I6">
    <cfRule type="cellIs" dxfId="2272" priority="2" operator="equal">
      <formula>0</formula>
    </cfRule>
  </conditionalFormatting>
  <conditionalFormatting sqref="J6">
    <cfRule type="cellIs" dxfId="227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22"/>
  <sheetViews>
    <sheetView showGridLines="0" zoomScale="85" zoomScaleNormal="85" workbookViewId="0">
      <selection activeCell="F9" sqref="F9"/>
    </sheetView>
  </sheetViews>
  <sheetFormatPr defaultColWidth="8.7109375" defaultRowHeight="15"/>
  <cols>
    <col min="1" max="1" width="4.140625" style="19" customWidth="1"/>
    <col min="2" max="2" width="2.28515625" style="19" customWidth="1"/>
    <col min="3" max="3" width="4.85546875" style="19" customWidth="1"/>
    <col min="4" max="4" width="58.42578125" style="19" customWidth="1"/>
    <col min="5" max="5" width="21.85546875" style="19" customWidth="1"/>
    <col min="6" max="6" width="21.7109375" style="122" customWidth="1"/>
    <col min="7" max="8" width="7.5703125" style="19" customWidth="1"/>
    <col min="9" max="10" width="11.42578125" style="19" customWidth="1"/>
    <col min="11" max="13" width="11.7109375" style="19" customWidth="1"/>
    <col min="14" max="14" width="8.7109375" style="19"/>
    <col min="15" max="15" width="26.42578125" style="19" customWidth="1"/>
    <col min="16" max="16384" width="8.7109375" style="19"/>
  </cols>
  <sheetData>
    <row r="1" spans="1:15">
      <c r="A1" s="14">
        <v>1</v>
      </c>
    </row>
    <row r="2" spans="1:15">
      <c r="C2" s="12" t="s">
        <v>329</v>
      </c>
      <c r="E2" s="264" t="s">
        <v>15</v>
      </c>
      <c r="F2" s="264" t="str">
        <f>F11</f>
        <v>Ibis Styles</v>
      </c>
    </row>
    <row r="3" spans="1:15" ht="17.45" customHeight="1">
      <c r="C3" s="15"/>
      <c r="D3" s="15"/>
      <c r="E3" s="15" t="s">
        <v>208</v>
      </c>
      <c r="F3" s="15" t="s">
        <v>110</v>
      </c>
      <c r="G3" s="191" t="s">
        <v>111</v>
      </c>
      <c r="H3" s="191"/>
      <c r="I3" s="1386"/>
      <c r="J3" s="1386"/>
      <c r="K3" s="1903" t="s">
        <v>968</v>
      </c>
      <c r="L3" s="1904"/>
      <c r="M3" s="1905"/>
      <c r="O3" s="1382" t="s">
        <v>967</v>
      </c>
    </row>
    <row r="4" spans="1:15">
      <c r="C4" s="135">
        <v>1</v>
      </c>
      <c r="D4" s="17" t="s">
        <v>321</v>
      </c>
      <c r="E4" s="142" t="s">
        <v>216</v>
      </c>
      <c r="F4" s="233">
        <f>Бюджет_Синара!B124</f>
        <v>6929</v>
      </c>
      <c r="K4" s="1373"/>
      <c r="L4" s="121"/>
      <c r="M4" s="1374"/>
      <c r="O4" s="1900" t="s">
        <v>971</v>
      </c>
    </row>
    <row r="5" spans="1:15">
      <c r="C5" s="135">
        <v>2</v>
      </c>
      <c r="D5" s="17" t="s">
        <v>299</v>
      </c>
      <c r="E5" s="142"/>
      <c r="F5" s="142" t="s">
        <v>340</v>
      </c>
      <c r="K5" s="1385">
        <f>F4/F6</f>
        <v>43.306249999999999</v>
      </c>
      <c r="L5" s="1376" t="s">
        <v>970</v>
      </c>
      <c r="M5" s="1374"/>
      <c r="O5" s="1901"/>
    </row>
    <row r="6" spans="1:15">
      <c r="C6" s="135">
        <v>3</v>
      </c>
      <c r="D6" s="17" t="s">
        <v>300</v>
      </c>
      <c r="E6" s="142" t="s">
        <v>318</v>
      </c>
      <c r="F6" s="801">
        <v>160</v>
      </c>
      <c r="I6" s="1839" t="s">
        <v>405</v>
      </c>
      <c r="J6" s="1840" t="s">
        <v>406</v>
      </c>
      <c r="K6" s="1383" t="s">
        <v>648</v>
      </c>
      <c r="L6" s="1384" t="s">
        <v>216</v>
      </c>
      <c r="M6" s="1374"/>
      <c r="O6" s="1901"/>
    </row>
    <row r="7" spans="1:15">
      <c r="C7" s="135"/>
      <c r="D7" s="288" t="s">
        <v>343</v>
      </c>
      <c r="E7" s="142" t="s">
        <v>318</v>
      </c>
      <c r="F7" s="131">
        <v>30</v>
      </c>
      <c r="G7" s="190">
        <v>0.15</v>
      </c>
      <c r="I7" s="1377">
        <v>4</v>
      </c>
      <c r="J7" s="1863">
        <f>I7*F7</f>
        <v>120</v>
      </c>
      <c r="K7" s="1377">
        <f>K8*1.35</f>
        <v>29.700000000000003</v>
      </c>
      <c r="L7" s="131">
        <f>F7*K7</f>
        <v>891.00000000000011</v>
      </c>
      <c r="M7" s="1374"/>
      <c r="O7" s="1901"/>
    </row>
    <row r="8" spans="1:15">
      <c r="C8" s="135"/>
      <c r="D8" s="288" t="s">
        <v>317</v>
      </c>
      <c r="E8" s="142" t="s">
        <v>318</v>
      </c>
      <c r="F8" s="131">
        <v>130</v>
      </c>
      <c r="G8" s="190">
        <v>0.85</v>
      </c>
      <c r="I8" s="1864">
        <v>2</v>
      </c>
      <c r="J8" s="1865">
        <f>I8*F8</f>
        <v>260</v>
      </c>
      <c r="K8" s="1377">
        <v>22</v>
      </c>
      <c r="L8" s="131">
        <f>F8*K8</f>
        <v>2860</v>
      </c>
      <c r="M8" s="1374"/>
      <c r="O8" s="1901"/>
    </row>
    <row r="9" spans="1:15">
      <c r="C9" s="135">
        <f>C6+1</f>
        <v>4</v>
      </c>
      <c r="D9" s="17" t="s">
        <v>301</v>
      </c>
      <c r="E9" s="142" t="s">
        <v>209</v>
      </c>
      <c r="F9" s="801">
        <f>SUM(J7:J8)</f>
        <v>380</v>
      </c>
      <c r="G9" s="137">
        <f>F9/F6</f>
        <v>2.375</v>
      </c>
      <c r="K9" s="1377"/>
      <c r="L9" s="131"/>
      <c r="M9" s="1374"/>
      <c r="O9" s="1901"/>
    </row>
    <row r="10" spans="1:15">
      <c r="C10" s="135">
        <f>C9+1</f>
        <v>5</v>
      </c>
      <c r="D10" s="17" t="s">
        <v>647</v>
      </c>
      <c r="E10" s="142" t="s">
        <v>216</v>
      </c>
      <c r="F10" s="233">
        <f>Бюджет_Синара!B93</f>
        <v>3780</v>
      </c>
      <c r="G10" s="136">
        <f>F10/F6</f>
        <v>23.625</v>
      </c>
      <c r="H10" s="292" t="s">
        <v>648</v>
      </c>
      <c r="I10" s="292"/>
      <c r="J10" s="292"/>
      <c r="K10" s="1378" t="s">
        <v>969</v>
      </c>
      <c r="L10" s="132">
        <f>SUM(L7:L9)</f>
        <v>3751</v>
      </c>
      <c r="M10" s="1374"/>
      <c r="O10" s="1901"/>
    </row>
    <row r="11" spans="1:15">
      <c r="C11" s="135">
        <f t="shared" ref="C11:C22" si="0">C10+1</f>
        <v>6</v>
      </c>
      <c r="D11" s="17" t="s">
        <v>303</v>
      </c>
      <c r="E11" s="142"/>
      <c r="F11" s="131" t="s">
        <v>341</v>
      </c>
      <c r="K11" s="1379"/>
      <c r="L11" s="1380">
        <f>L10/F6</f>
        <v>23.443750000000001</v>
      </c>
      <c r="M11" s="1381" t="s">
        <v>648</v>
      </c>
      <c r="O11" s="1902"/>
    </row>
    <row r="12" spans="1:15" ht="39.950000000000003" customHeight="1">
      <c r="C12" s="135">
        <f t="shared" si="0"/>
        <v>7</v>
      </c>
      <c r="D12" s="17" t="s">
        <v>972</v>
      </c>
      <c r="E12" s="142" t="s">
        <v>216</v>
      </c>
      <c r="F12" s="233">
        <f>Бюджет_Синара!B233</f>
        <v>1900</v>
      </c>
      <c r="G12" s="1908" t="s">
        <v>973</v>
      </c>
      <c r="H12" s="1908"/>
      <c r="I12" s="1908"/>
      <c r="J12" s="1908"/>
    </row>
    <row r="13" spans="1:15">
      <c r="C13" s="135">
        <f t="shared" si="0"/>
        <v>8</v>
      </c>
      <c r="D13" s="17" t="s">
        <v>652</v>
      </c>
      <c r="E13" s="142" t="s">
        <v>320</v>
      </c>
      <c r="F13" s="279">
        <v>160</v>
      </c>
    </row>
    <row r="14" spans="1:15">
      <c r="C14" s="135">
        <f t="shared" si="0"/>
        <v>9</v>
      </c>
      <c r="D14" s="17" t="s">
        <v>653</v>
      </c>
      <c r="E14" s="142" t="s">
        <v>216</v>
      </c>
      <c r="F14" s="233">
        <f>Бюджет_Синара!B99</f>
        <v>300</v>
      </c>
      <c r="G14" s="136">
        <f>F14/F13</f>
        <v>1.875</v>
      </c>
      <c r="H14" s="292" t="s">
        <v>649</v>
      </c>
      <c r="I14" s="292"/>
      <c r="J14" s="292"/>
    </row>
    <row r="15" spans="1:15">
      <c r="C15" s="135">
        <f t="shared" si="0"/>
        <v>10</v>
      </c>
      <c r="D15" s="17" t="s">
        <v>650</v>
      </c>
      <c r="E15" s="142" t="s">
        <v>216</v>
      </c>
      <c r="F15" s="828">
        <f>Бюджет_Синара!B105</f>
        <v>100</v>
      </c>
      <c r="G15" s="829"/>
      <c r="H15" s="292"/>
      <c r="I15" s="292"/>
      <c r="J15" s="292"/>
    </row>
    <row r="16" spans="1:15">
      <c r="C16" s="135">
        <f t="shared" si="0"/>
        <v>11</v>
      </c>
      <c r="D16" s="17" t="s">
        <v>651</v>
      </c>
      <c r="E16" s="142" t="s">
        <v>216</v>
      </c>
      <c r="F16" s="828">
        <f>Бюджет_Синара!B107</f>
        <v>35</v>
      </c>
      <c r="G16" s="829"/>
      <c r="H16" s="292"/>
      <c r="I16" s="292"/>
      <c r="J16" s="292"/>
    </row>
    <row r="17" spans="3:6">
      <c r="C17" s="135">
        <f t="shared" si="0"/>
        <v>12</v>
      </c>
      <c r="D17" s="17" t="s">
        <v>348</v>
      </c>
      <c r="E17" s="142"/>
      <c r="F17" s="1906" t="s">
        <v>305</v>
      </c>
    </row>
    <row r="18" spans="3:6">
      <c r="C18" s="135">
        <f t="shared" si="0"/>
        <v>13</v>
      </c>
      <c r="D18" s="17" t="s">
        <v>306</v>
      </c>
      <c r="E18" s="142"/>
      <c r="F18" s="1907"/>
    </row>
    <row r="19" spans="3:6">
      <c r="C19" s="135">
        <f t="shared" si="0"/>
        <v>14</v>
      </c>
      <c r="D19" s="17" t="s">
        <v>307</v>
      </c>
      <c r="E19" s="142" t="s">
        <v>324</v>
      </c>
      <c r="F19" s="131" t="s">
        <v>308</v>
      </c>
    </row>
    <row r="20" spans="3:6">
      <c r="C20" s="135">
        <f t="shared" si="0"/>
        <v>15</v>
      </c>
      <c r="D20" s="17" t="s">
        <v>309</v>
      </c>
      <c r="E20" s="142"/>
      <c r="F20" s="131" t="s">
        <v>342</v>
      </c>
    </row>
    <row r="21" spans="3:6" ht="25.5">
      <c r="C21" s="135">
        <f t="shared" si="0"/>
        <v>16</v>
      </c>
      <c r="D21" s="17" t="s">
        <v>311</v>
      </c>
      <c r="E21" s="142"/>
      <c r="F21" s="131" t="s">
        <v>344</v>
      </c>
    </row>
    <row r="22" spans="3:6" ht="33.6" customHeight="1">
      <c r="C22" s="135">
        <f t="shared" si="0"/>
        <v>17</v>
      </c>
      <c r="D22" s="17" t="s">
        <v>313</v>
      </c>
      <c r="E22" s="142"/>
      <c r="F22" s="131" t="s">
        <v>345</v>
      </c>
    </row>
  </sheetData>
  <mergeCells count="4">
    <mergeCell ref="F17:F18"/>
    <mergeCell ref="K3:M3"/>
    <mergeCell ref="G12:J12"/>
    <mergeCell ref="O4:O11"/>
  </mergeCells>
  <conditionalFormatting sqref="F6">
    <cfRule type="expression" dxfId="2270" priority="34">
      <formula>$A$1=1</formula>
    </cfRule>
  </conditionalFormatting>
  <conditionalFormatting sqref="F19">
    <cfRule type="expression" dxfId="2269" priority="22">
      <formula>$A$1=1</formula>
    </cfRule>
  </conditionalFormatting>
  <conditionalFormatting sqref="G7">
    <cfRule type="expression" dxfId="2268" priority="33">
      <formula>$A$1=1</formula>
    </cfRule>
  </conditionalFormatting>
  <conditionalFormatting sqref="G8">
    <cfRule type="expression" dxfId="2267" priority="32">
      <formula>$A$1=1</formula>
    </cfRule>
  </conditionalFormatting>
  <conditionalFormatting sqref="C3:D3 C4:C22">
    <cfRule type="cellIs" dxfId="2266" priority="27" operator="equal">
      <formula>0</formula>
    </cfRule>
  </conditionalFormatting>
  <conditionalFormatting sqref="F3">
    <cfRule type="cellIs" dxfId="2265" priority="28" operator="equal">
      <formula>0</formula>
    </cfRule>
  </conditionalFormatting>
  <conditionalFormatting sqref="E3">
    <cfRule type="cellIs" dxfId="2264" priority="24" operator="equal">
      <formula>0</formula>
    </cfRule>
  </conditionalFormatting>
  <conditionalFormatting sqref="F11">
    <cfRule type="expression" dxfId="2263" priority="19">
      <formula>$A$1=1</formula>
    </cfRule>
  </conditionalFormatting>
  <conditionalFormatting sqref="F17">
    <cfRule type="expression" dxfId="2262" priority="18">
      <formula>$A$1=1</formula>
    </cfRule>
  </conditionalFormatting>
  <conditionalFormatting sqref="F20">
    <cfRule type="expression" dxfId="2261" priority="17">
      <formula>$A$1=1</formula>
    </cfRule>
  </conditionalFormatting>
  <conditionalFormatting sqref="F21">
    <cfRule type="expression" dxfId="2260" priority="16">
      <formula>$A$1=1</formula>
    </cfRule>
  </conditionalFormatting>
  <conditionalFormatting sqref="F22">
    <cfRule type="expression" dxfId="2259" priority="15">
      <formula>$A$1=1</formula>
    </cfRule>
  </conditionalFormatting>
  <conditionalFormatting sqref="F13">
    <cfRule type="expression" dxfId="2258" priority="13">
      <formula>$A$1=1</formula>
    </cfRule>
  </conditionalFormatting>
  <conditionalFormatting sqref="K3">
    <cfRule type="cellIs" dxfId="2257" priority="7" operator="equal">
      <formula>0</formula>
    </cfRule>
  </conditionalFormatting>
  <conditionalFormatting sqref="G3">
    <cfRule type="cellIs" dxfId="2256" priority="10" operator="equal">
      <formula>0</formula>
    </cfRule>
  </conditionalFormatting>
  <conditionalFormatting sqref="H3:J3">
    <cfRule type="cellIs" dxfId="2255" priority="9" operator="equal">
      <formula>0</formula>
    </cfRule>
  </conditionalFormatting>
  <conditionalFormatting sqref="O3">
    <cfRule type="cellIs" dxfId="2254" priority="6" operator="equal">
      <formula>0</formula>
    </cfRule>
  </conditionalFormatting>
  <conditionalFormatting sqref="I6">
    <cfRule type="cellIs" dxfId="2253" priority="4" operator="equal">
      <formula>0</formula>
    </cfRule>
  </conditionalFormatting>
  <conditionalFormatting sqref="J6">
    <cfRule type="cellIs" dxfId="2252" priority="3" operator="equal">
      <formula>0</formula>
    </cfRule>
  </conditionalFormatting>
  <conditionalFormatting sqref="I7">
    <cfRule type="expression" dxfId="2251" priority="2">
      <formula>$A$1=1</formula>
    </cfRule>
  </conditionalFormatting>
  <conditionalFormatting sqref="I8">
    <cfRule type="expression" dxfId="2250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N20"/>
  <sheetViews>
    <sheetView showGridLines="0" zoomScale="85" zoomScaleNormal="85" workbookViewId="0">
      <selection activeCell="F4" sqref="F4"/>
    </sheetView>
  </sheetViews>
  <sheetFormatPr defaultColWidth="8.7109375" defaultRowHeight="15" outlineLevelRow="1"/>
  <cols>
    <col min="1" max="1" width="4.140625" style="19" customWidth="1"/>
    <col min="2" max="2" width="2.28515625" style="19" customWidth="1"/>
    <col min="3" max="3" width="4.85546875" style="19" customWidth="1"/>
    <col min="4" max="4" width="58.42578125" style="19" customWidth="1"/>
    <col min="5" max="5" width="21.85546875" style="19" customWidth="1"/>
    <col min="6" max="6" width="21.7109375" style="122" customWidth="1"/>
    <col min="7" max="7" width="8.7109375" style="19" customWidth="1"/>
    <col min="8" max="9" width="11.85546875" style="19" customWidth="1"/>
    <col min="10" max="10" width="12.5703125" style="19" customWidth="1"/>
    <col min="11" max="12" width="11.5703125" style="19" customWidth="1"/>
    <col min="13" max="13" width="9.140625"/>
    <col min="14" max="14" width="25.42578125" style="19" customWidth="1"/>
    <col min="15" max="16384" width="8.7109375" style="19"/>
  </cols>
  <sheetData>
    <row r="1" spans="1:14" ht="15.75" thickBot="1">
      <c r="A1" s="14">
        <v>1</v>
      </c>
    </row>
    <row r="2" spans="1:14">
      <c r="C2" s="12" t="s">
        <v>329</v>
      </c>
      <c r="E2" s="264" t="s">
        <v>402</v>
      </c>
      <c r="F2" s="264" t="str">
        <f>F12</f>
        <v>Ibis Budget</v>
      </c>
    </row>
    <row r="3" spans="1:14" ht="17.45" customHeight="1">
      <c r="C3" s="15"/>
      <c r="D3" s="15"/>
      <c r="E3" s="15" t="s">
        <v>208</v>
      </c>
      <c r="F3" s="15" t="s">
        <v>110</v>
      </c>
      <c r="G3" s="191" t="s">
        <v>111</v>
      </c>
      <c r="H3" s="191"/>
      <c r="I3" s="1386"/>
      <c r="J3" s="1903" t="s">
        <v>968</v>
      </c>
      <c r="K3" s="1904"/>
      <c r="L3" s="1905"/>
      <c r="M3" s="19"/>
      <c r="N3" s="1382" t="s">
        <v>967</v>
      </c>
    </row>
    <row r="4" spans="1:14">
      <c r="C4" s="135">
        <v>1</v>
      </c>
      <c r="D4" s="17" t="s">
        <v>321</v>
      </c>
      <c r="E4" s="142" t="s">
        <v>216</v>
      </c>
      <c r="F4" s="233">
        <f>Бюджет_Синара!B164</f>
        <v>3346.5</v>
      </c>
      <c r="J4" s="1373"/>
      <c r="K4" s="121"/>
      <c r="L4" s="1374"/>
      <c r="N4" s="1900" t="s">
        <v>971</v>
      </c>
    </row>
    <row r="5" spans="1:14">
      <c r="C5" s="135">
        <f>C4+1</f>
        <v>2</v>
      </c>
      <c r="D5" s="17" t="s">
        <v>299</v>
      </c>
      <c r="E5" s="142"/>
      <c r="F5" s="142" t="s">
        <v>347</v>
      </c>
      <c r="J5" s="1375">
        <f>F4/F6</f>
        <v>40.810975609756099</v>
      </c>
      <c r="K5" s="1376" t="s">
        <v>970</v>
      </c>
      <c r="L5" s="1374"/>
      <c r="N5" s="1901"/>
    </row>
    <row r="6" spans="1:14">
      <c r="C6" s="135">
        <f>C5+1</f>
        <v>3</v>
      </c>
      <c r="D6" s="17" t="s">
        <v>300</v>
      </c>
      <c r="E6" s="142" t="s">
        <v>318</v>
      </c>
      <c r="F6" s="801">
        <v>82</v>
      </c>
      <c r="H6" s="1839" t="s">
        <v>405</v>
      </c>
      <c r="I6" s="1840" t="s">
        <v>406</v>
      </c>
      <c r="J6" s="1383" t="s">
        <v>648</v>
      </c>
      <c r="K6" s="1384" t="s">
        <v>216</v>
      </c>
      <c r="L6" s="1374"/>
      <c r="N6" s="1901"/>
    </row>
    <row r="7" spans="1:14">
      <c r="C7" s="135"/>
      <c r="D7" s="288" t="s">
        <v>343</v>
      </c>
      <c r="E7" s="142" t="s">
        <v>318</v>
      </c>
      <c r="F7" s="131">
        <f>ROUND($F$6*G7,0)</f>
        <v>29</v>
      </c>
      <c r="G7" s="295">
        <v>0.35</v>
      </c>
      <c r="H7" s="1377">
        <v>4</v>
      </c>
      <c r="I7" s="1863">
        <f>H7*F7</f>
        <v>116</v>
      </c>
      <c r="J7" s="1377">
        <f>J8*1.5</f>
        <v>27</v>
      </c>
      <c r="K7" s="131">
        <f>F7*J7</f>
        <v>783</v>
      </c>
      <c r="L7" s="1374"/>
      <c r="N7" s="1901"/>
    </row>
    <row r="8" spans="1:14">
      <c r="C8" s="135"/>
      <c r="D8" s="288" t="s">
        <v>317</v>
      </c>
      <c r="E8" s="142" t="s">
        <v>318</v>
      </c>
      <c r="F8" s="131">
        <f>ROUND($F$6*G8,0)</f>
        <v>49</v>
      </c>
      <c r="G8" s="295">
        <v>0.6</v>
      </c>
      <c r="H8" s="1377">
        <v>2</v>
      </c>
      <c r="I8" s="1863">
        <f t="shared" ref="I8" si="0">H8*F8</f>
        <v>98</v>
      </c>
      <c r="J8" s="1377">
        <v>18</v>
      </c>
      <c r="K8" s="131">
        <f>F8*J8</f>
        <v>882</v>
      </c>
      <c r="L8" s="1374"/>
      <c r="N8" s="1901"/>
    </row>
    <row r="9" spans="1:14">
      <c r="C9" s="135"/>
      <c r="D9" s="288" t="s">
        <v>330</v>
      </c>
      <c r="E9" s="142" t="s">
        <v>318</v>
      </c>
      <c r="F9" s="131">
        <f>F6-F8-F7</f>
        <v>4</v>
      </c>
      <c r="G9" s="295">
        <v>0.05</v>
      </c>
      <c r="H9" s="1864">
        <v>2</v>
      </c>
      <c r="I9" s="1865">
        <f>H9*F9</f>
        <v>8</v>
      </c>
      <c r="J9" s="1377">
        <f>J8</f>
        <v>18</v>
      </c>
      <c r="K9" s="131">
        <f>F9*J9</f>
        <v>72</v>
      </c>
      <c r="L9" s="1374"/>
      <c r="M9" s="19"/>
      <c r="N9" s="1901"/>
    </row>
    <row r="10" spans="1:14">
      <c r="C10" s="135">
        <f>C6+1</f>
        <v>4</v>
      </c>
      <c r="D10" s="17" t="s">
        <v>301</v>
      </c>
      <c r="E10" s="142" t="s">
        <v>209</v>
      </c>
      <c r="F10" s="801">
        <f>SUM(I7:I9)</f>
        <v>222</v>
      </c>
      <c r="G10" s="137">
        <f>F10/F6</f>
        <v>2.7073170731707319</v>
      </c>
      <c r="J10" s="1378" t="s">
        <v>969</v>
      </c>
      <c r="K10" s="132">
        <f>SUM(K7:K9)</f>
        <v>1737</v>
      </c>
      <c r="L10" s="1374"/>
      <c r="N10" s="1901"/>
    </row>
    <row r="11" spans="1:14">
      <c r="C11" s="135">
        <f>C10+1</f>
        <v>5</v>
      </c>
      <c r="D11" s="17" t="s">
        <v>647</v>
      </c>
      <c r="E11" s="142" t="s">
        <v>216</v>
      </c>
      <c r="F11" s="827">
        <f>Бюджет_Синара!B133</f>
        <v>1750</v>
      </c>
      <c r="G11" s="136">
        <f>F11/F6</f>
        <v>21.341463414634145</v>
      </c>
      <c r="H11" s="292" t="s">
        <v>648</v>
      </c>
      <c r="J11" s="1379"/>
      <c r="K11" s="1380">
        <f>K10/F6</f>
        <v>21.182926829268293</v>
      </c>
      <c r="L11" s="1381" t="s">
        <v>648</v>
      </c>
      <c r="M11" s="19"/>
      <c r="N11" s="1902"/>
    </row>
    <row r="12" spans="1:14">
      <c r="C12" s="135">
        <f t="shared" ref="C12:C20" si="1">C11+1</f>
        <v>6</v>
      </c>
      <c r="D12" s="17" t="s">
        <v>303</v>
      </c>
      <c r="E12" s="142"/>
      <c r="F12" s="131" t="s">
        <v>346</v>
      </c>
    </row>
    <row r="13" spans="1:14">
      <c r="C13" s="135">
        <f t="shared" si="1"/>
        <v>7</v>
      </c>
      <c r="D13" s="17" t="s">
        <v>652</v>
      </c>
      <c r="E13" s="142" t="s">
        <v>320</v>
      </c>
      <c r="F13" s="279">
        <f>ROUND(F14/G14,0)</f>
        <v>20</v>
      </c>
      <c r="G13" s="833" t="s">
        <v>654</v>
      </c>
    </row>
    <row r="14" spans="1:14">
      <c r="C14" s="135">
        <f t="shared" si="1"/>
        <v>8</v>
      </c>
      <c r="D14" s="17" t="s">
        <v>653</v>
      </c>
      <c r="E14" s="142" t="s">
        <v>216</v>
      </c>
      <c r="F14" s="233">
        <f>Бюджет_Синара!B139</f>
        <v>38</v>
      </c>
      <c r="G14" s="832">
        <f>Отель3!G14</f>
        <v>1.875</v>
      </c>
      <c r="H14" s="292" t="s">
        <v>649</v>
      </c>
      <c r="M14" s="19"/>
    </row>
    <row r="15" spans="1:14">
      <c r="C15" s="135">
        <f t="shared" si="1"/>
        <v>9</v>
      </c>
      <c r="D15" s="17" t="s">
        <v>348</v>
      </c>
      <c r="E15" s="142"/>
      <c r="F15" s="1906" t="s">
        <v>305</v>
      </c>
    </row>
    <row r="16" spans="1:14">
      <c r="C16" s="135">
        <f t="shared" si="1"/>
        <v>10</v>
      </c>
      <c r="D16" s="17" t="s">
        <v>306</v>
      </c>
      <c r="E16" s="142"/>
      <c r="F16" s="1907"/>
    </row>
    <row r="17" spans="3:6">
      <c r="C17" s="135">
        <f t="shared" si="1"/>
        <v>11</v>
      </c>
      <c r="D17" s="17" t="s">
        <v>307</v>
      </c>
      <c r="E17" s="142" t="s">
        <v>324</v>
      </c>
      <c r="F17" s="131" t="s">
        <v>308</v>
      </c>
    </row>
    <row r="18" spans="3:6" ht="25.5" outlineLevel="1">
      <c r="C18" s="135">
        <f t="shared" si="1"/>
        <v>12</v>
      </c>
      <c r="D18" s="17" t="s">
        <v>309</v>
      </c>
      <c r="E18" s="142"/>
      <c r="F18" s="294" t="s">
        <v>349</v>
      </c>
    </row>
    <row r="19" spans="3:6" ht="25.5" outlineLevel="1">
      <c r="C19" s="135">
        <f t="shared" si="1"/>
        <v>13</v>
      </c>
      <c r="D19" s="17" t="s">
        <v>311</v>
      </c>
      <c r="E19" s="142"/>
      <c r="F19" s="131" t="s">
        <v>344</v>
      </c>
    </row>
    <row r="20" spans="3:6" ht="33.6" customHeight="1" outlineLevel="1">
      <c r="C20" s="135">
        <f t="shared" si="1"/>
        <v>14</v>
      </c>
      <c r="D20" s="17" t="s">
        <v>313</v>
      </c>
      <c r="E20" s="142"/>
      <c r="F20" s="131" t="s">
        <v>328</v>
      </c>
    </row>
  </sheetData>
  <mergeCells count="3">
    <mergeCell ref="F15:F16"/>
    <mergeCell ref="J3:L3"/>
    <mergeCell ref="N4:N11"/>
  </mergeCells>
  <conditionalFormatting sqref="F6">
    <cfRule type="expression" dxfId="2249" priority="23">
      <formula>$A$1=1</formula>
    </cfRule>
  </conditionalFormatting>
  <conditionalFormatting sqref="F17">
    <cfRule type="expression" dxfId="2248" priority="16">
      <formula>$A$1=1</formula>
    </cfRule>
  </conditionalFormatting>
  <conditionalFormatting sqref="G7">
    <cfRule type="expression" dxfId="2247" priority="22">
      <formula>$A$1=1</formula>
    </cfRule>
  </conditionalFormatting>
  <conditionalFormatting sqref="G8:G9">
    <cfRule type="expression" dxfId="2246" priority="21">
      <formula>$A$1=1</formula>
    </cfRule>
  </conditionalFormatting>
  <conditionalFormatting sqref="C3:D3 C4:C20">
    <cfRule type="cellIs" dxfId="2245" priority="18" operator="equal">
      <formula>0</formula>
    </cfRule>
  </conditionalFormatting>
  <conditionalFormatting sqref="F3">
    <cfRule type="cellIs" dxfId="2244" priority="19" operator="equal">
      <formula>0</formula>
    </cfRule>
  </conditionalFormatting>
  <conditionalFormatting sqref="E3">
    <cfRule type="cellIs" dxfId="2243" priority="17" operator="equal">
      <formula>0</formula>
    </cfRule>
  </conditionalFormatting>
  <conditionalFormatting sqref="F12">
    <cfRule type="expression" dxfId="2242" priority="14">
      <formula>$A$1=1</formula>
    </cfRule>
  </conditionalFormatting>
  <conditionalFormatting sqref="F15">
    <cfRule type="expression" dxfId="2241" priority="13">
      <formula>$A$1=1</formula>
    </cfRule>
  </conditionalFormatting>
  <conditionalFormatting sqref="F18">
    <cfRule type="expression" dxfId="2240" priority="12">
      <formula>$A$1=1</formula>
    </cfRule>
  </conditionalFormatting>
  <conditionalFormatting sqref="F19">
    <cfRule type="expression" dxfId="2239" priority="11">
      <formula>$A$1=1</formula>
    </cfRule>
  </conditionalFormatting>
  <conditionalFormatting sqref="F20">
    <cfRule type="expression" dxfId="2238" priority="10">
      <formula>$A$1=1</formula>
    </cfRule>
  </conditionalFormatting>
  <conditionalFormatting sqref="J3">
    <cfRule type="cellIs" dxfId="2237" priority="7" operator="equal">
      <formula>0</formula>
    </cfRule>
  </conditionalFormatting>
  <conditionalFormatting sqref="G3">
    <cfRule type="cellIs" dxfId="2236" priority="9" operator="equal">
      <formula>0</formula>
    </cfRule>
  </conditionalFormatting>
  <conditionalFormatting sqref="H3:I3">
    <cfRule type="cellIs" dxfId="2235" priority="8" operator="equal">
      <formula>0</formula>
    </cfRule>
  </conditionalFormatting>
  <conditionalFormatting sqref="N3">
    <cfRule type="cellIs" dxfId="2234" priority="5" operator="equal">
      <formula>0</formula>
    </cfRule>
  </conditionalFormatting>
  <conditionalFormatting sqref="H6">
    <cfRule type="cellIs" dxfId="2233" priority="4" operator="equal">
      <formula>0</formula>
    </cfRule>
  </conditionalFormatting>
  <conditionalFormatting sqref="I6">
    <cfRule type="cellIs" dxfId="2232" priority="3" operator="equal">
      <formula>0</formula>
    </cfRule>
  </conditionalFormatting>
  <conditionalFormatting sqref="H7:H8">
    <cfRule type="expression" dxfId="2231" priority="2">
      <formula>$A$1=1</formula>
    </cfRule>
  </conditionalFormatting>
  <conditionalFormatting sqref="H9">
    <cfRule type="expression" dxfId="2230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29"/>
  <sheetViews>
    <sheetView showGridLines="0" zoomScale="85" zoomScaleNormal="85" workbookViewId="0">
      <selection activeCell="F19" sqref="F19"/>
    </sheetView>
  </sheetViews>
  <sheetFormatPr defaultColWidth="8.7109375" defaultRowHeight="15"/>
  <cols>
    <col min="1" max="1" width="4.140625" style="19" customWidth="1"/>
    <col min="2" max="2" width="2.28515625" style="19" customWidth="1"/>
    <col min="3" max="3" width="4.85546875" style="19" customWidth="1"/>
    <col min="4" max="4" width="58.42578125" style="19" customWidth="1"/>
    <col min="5" max="5" width="21.85546875" style="19" customWidth="1"/>
    <col min="6" max="6" width="30.42578125" style="122" customWidth="1"/>
    <col min="7" max="7" width="8.7109375" style="19" customWidth="1"/>
    <col min="8" max="8" width="12.140625" style="19" customWidth="1"/>
    <col min="9" max="9" width="13.85546875" style="19" customWidth="1"/>
    <col min="10" max="10" width="14.42578125" style="19" customWidth="1"/>
    <col min="11" max="11" width="8.7109375" style="19" customWidth="1"/>
    <col min="12" max="12" width="10.28515625" style="19" customWidth="1"/>
    <col min="13" max="13" width="8.7109375" style="19"/>
    <col min="14" max="14" width="23.85546875" style="19" customWidth="1"/>
    <col min="15" max="16384" width="8.7109375" style="19"/>
  </cols>
  <sheetData>
    <row r="1" spans="1:14" ht="15.75" thickBot="1">
      <c r="A1" s="14">
        <v>1</v>
      </c>
    </row>
    <row r="2" spans="1:14">
      <c r="C2" s="12" t="s">
        <v>329</v>
      </c>
      <c r="E2" s="264" t="s">
        <v>966</v>
      </c>
      <c r="F2" s="149" t="str">
        <f>F17</f>
        <v>Не брендируется</v>
      </c>
    </row>
    <row r="3" spans="1:14" ht="17.45" customHeight="1">
      <c r="C3" s="15"/>
      <c r="D3" s="15"/>
      <c r="E3" s="15" t="s">
        <v>208</v>
      </c>
      <c r="F3" s="15" t="s">
        <v>110</v>
      </c>
      <c r="J3" s="1903" t="s">
        <v>968</v>
      </c>
      <c r="K3" s="1904"/>
      <c r="L3" s="1905"/>
      <c r="N3" s="1382" t="s">
        <v>967</v>
      </c>
    </row>
    <row r="4" spans="1:14">
      <c r="C4" s="135">
        <v>1</v>
      </c>
      <c r="D4" s="17" t="s">
        <v>321</v>
      </c>
      <c r="E4" s="142" t="s">
        <v>216</v>
      </c>
      <c r="F4" s="233">
        <f>Бюджет_Синара!B206</f>
        <v>21950</v>
      </c>
      <c r="G4" s="137">
        <f>F4/F6</f>
        <v>57.012987012987011</v>
      </c>
      <c r="J4" s="1373"/>
      <c r="K4" s="121"/>
      <c r="L4" s="1374"/>
      <c r="N4" s="1900" t="s">
        <v>974</v>
      </c>
    </row>
    <row r="5" spans="1:14">
      <c r="C5" s="135">
        <f>C4+1</f>
        <v>2</v>
      </c>
      <c r="D5" s="17" t="s">
        <v>299</v>
      </c>
      <c r="E5" s="142"/>
      <c r="F5" s="142" t="s">
        <v>340</v>
      </c>
      <c r="J5" s="1373"/>
      <c r="K5" s="121"/>
      <c r="L5" s="1374"/>
      <c r="N5" s="1901"/>
    </row>
    <row r="6" spans="1:14">
      <c r="C6" s="135">
        <f>C5+1</f>
        <v>3</v>
      </c>
      <c r="D6" s="17" t="s">
        <v>300</v>
      </c>
      <c r="E6" s="142" t="s">
        <v>318</v>
      </c>
      <c r="F6" s="801">
        <f>SUM(F7:F9)</f>
        <v>385</v>
      </c>
      <c r="H6" s="1839" t="s">
        <v>405</v>
      </c>
      <c r="I6" s="1840" t="s">
        <v>406</v>
      </c>
      <c r="J6" s="1387" t="s">
        <v>648</v>
      </c>
      <c r="K6" s="1384" t="s">
        <v>216</v>
      </c>
      <c r="L6" s="1374"/>
      <c r="N6" s="1901"/>
    </row>
    <row r="7" spans="1:14">
      <c r="C7" s="135"/>
      <c r="D7" s="288" t="s">
        <v>391</v>
      </c>
      <c r="E7" s="142" t="s">
        <v>318</v>
      </c>
      <c r="F7" s="131">
        <v>220</v>
      </c>
      <c r="G7" s="301">
        <f>F7/$F$6</f>
        <v>0.5714285714285714</v>
      </c>
      <c r="H7" s="1377">
        <v>2</v>
      </c>
      <c r="I7" s="1863">
        <f>H7*F7</f>
        <v>440</v>
      </c>
      <c r="J7" s="1377">
        <v>26</v>
      </c>
      <c r="K7" s="131">
        <f>J7*F7</f>
        <v>5720</v>
      </c>
      <c r="L7" s="1374"/>
      <c r="N7" s="1901"/>
    </row>
    <row r="8" spans="1:14">
      <c r="C8" s="135"/>
      <c r="D8" s="288" t="s">
        <v>389</v>
      </c>
      <c r="E8" s="142" t="s">
        <v>318</v>
      </c>
      <c r="F8" s="131">
        <v>120</v>
      </c>
      <c r="G8" s="301">
        <f>F8/$F$6</f>
        <v>0.31168831168831168</v>
      </c>
      <c r="H8" s="1377">
        <v>3</v>
      </c>
      <c r="I8" s="1863">
        <f t="shared" ref="I8:I9" si="0">H8*F8</f>
        <v>360</v>
      </c>
      <c r="J8" s="1377">
        <v>40</v>
      </c>
      <c r="K8" s="131">
        <f>J8*F8</f>
        <v>4800</v>
      </c>
      <c r="L8" s="1374"/>
      <c r="N8" s="1901"/>
    </row>
    <row r="9" spans="1:14">
      <c r="C9" s="135"/>
      <c r="D9" s="288" t="s">
        <v>390</v>
      </c>
      <c r="E9" s="142" t="s">
        <v>318</v>
      </c>
      <c r="F9" s="131">
        <v>45</v>
      </c>
      <c r="G9" s="301">
        <f>F9/$F$6</f>
        <v>0.11688311688311688</v>
      </c>
      <c r="H9" s="1864">
        <v>4</v>
      </c>
      <c r="I9" s="1865">
        <f t="shared" si="0"/>
        <v>180</v>
      </c>
      <c r="J9" s="1377">
        <f>J8*1.25</f>
        <v>50</v>
      </c>
      <c r="K9" s="131">
        <f>J9*F9</f>
        <v>2250</v>
      </c>
      <c r="L9" s="1374"/>
      <c r="N9" s="1901"/>
    </row>
    <row r="10" spans="1:14">
      <c r="C10" s="135"/>
      <c r="D10" s="305" t="s">
        <v>330</v>
      </c>
      <c r="E10" s="302" t="s">
        <v>318</v>
      </c>
      <c r="F10" s="303">
        <v>29</v>
      </c>
      <c r="G10" s="304"/>
      <c r="H10" s="1862"/>
      <c r="J10" s="1388"/>
      <c r="L10" s="1374"/>
      <c r="N10" s="1901"/>
    </row>
    <row r="11" spans="1:14">
      <c r="C11" s="135">
        <f>C6+1</f>
        <v>4</v>
      </c>
      <c r="D11" s="17" t="s">
        <v>301</v>
      </c>
      <c r="E11" s="142" t="s">
        <v>209</v>
      </c>
      <c r="F11" s="801">
        <f>SUM(I7:I9)</f>
        <v>980</v>
      </c>
      <c r="G11" s="137">
        <f>F11/F6</f>
        <v>2.5454545454545454</v>
      </c>
      <c r="J11" s="1389"/>
      <c r="L11" s="1374"/>
      <c r="N11" s="1902"/>
    </row>
    <row r="12" spans="1:14">
      <c r="C12" s="135">
        <f>C11+1</f>
        <v>5</v>
      </c>
      <c r="D12" s="17" t="s">
        <v>647</v>
      </c>
      <c r="E12" s="142" t="s">
        <v>216</v>
      </c>
      <c r="F12" s="233">
        <f>Бюджет_Синара!B174</f>
        <v>14000</v>
      </c>
      <c r="G12" s="136">
        <f>F12/F6</f>
        <v>36.363636363636367</v>
      </c>
      <c r="H12" s="292" t="s">
        <v>648</v>
      </c>
      <c r="J12" s="1373"/>
      <c r="K12" s="131">
        <f>SUM(K7:K11)</f>
        <v>12770</v>
      </c>
      <c r="L12" s="1374"/>
    </row>
    <row r="13" spans="1:14">
      <c r="C13" s="135">
        <f>C12+1</f>
        <v>6</v>
      </c>
      <c r="D13" s="17" t="s">
        <v>387</v>
      </c>
      <c r="E13" s="142"/>
      <c r="F13" s="304"/>
      <c r="G13" s="306"/>
      <c r="J13" s="1378" t="s">
        <v>969</v>
      </c>
      <c r="K13" s="132">
        <f>K12*1.1</f>
        <v>14047.000000000002</v>
      </c>
      <c r="L13" s="1374"/>
    </row>
    <row r="14" spans="1:14">
      <c r="C14" s="135"/>
      <c r="D14" s="288" t="s">
        <v>392</v>
      </c>
      <c r="E14" s="142" t="s">
        <v>388</v>
      </c>
      <c r="F14" s="131">
        <f>J7</f>
        <v>26</v>
      </c>
      <c r="G14" s="306"/>
      <c r="J14" s="1379"/>
      <c r="K14" s="1380">
        <f>K13/F6</f>
        <v>36.485714285714288</v>
      </c>
      <c r="L14" s="1381" t="s">
        <v>648</v>
      </c>
    </row>
    <row r="15" spans="1:14">
      <c r="C15" s="135"/>
      <c r="D15" s="288" t="s">
        <v>393</v>
      </c>
      <c r="E15" s="142"/>
      <c r="F15" s="131">
        <f>J8</f>
        <v>40</v>
      </c>
      <c r="G15" s="306"/>
    </row>
    <row r="16" spans="1:14">
      <c r="C16" s="135"/>
      <c r="D16" s="288" t="s">
        <v>394</v>
      </c>
      <c r="E16" s="142"/>
      <c r="F16" s="131">
        <f>J9</f>
        <v>50</v>
      </c>
      <c r="G16" s="306"/>
    </row>
    <row r="17" spans="3:8">
      <c r="C17" s="135">
        <f>C13+1</f>
        <v>7</v>
      </c>
      <c r="D17" s="17" t="s">
        <v>303</v>
      </c>
      <c r="E17" s="142"/>
      <c r="F17" s="131" t="s">
        <v>351</v>
      </c>
    </row>
    <row r="18" spans="3:8">
      <c r="C18" s="135">
        <f t="shared" ref="C18:C25" si="1">C17+1</f>
        <v>8</v>
      </c>
      <c r="D18" s="17" t="s">
        <v>652</v>
      </c>
      <c r="E18" s="142" t="s">
        <v>320</v>
      </c>
      <c r="F18" s="131">
        <v>200</v>
      </c>
    </row>
    <row r="19" spans="3:8">
      <c r="C19" s="135">
        <f t="shared" si="1"/>
        <v>9</v>
      </c>
      <c r="D19" s="17" t="s">
        <v>653</v>
      </c>
      <c r="E19" s="142" t="s">
        <v>216</v>
      </c>
      <c r="F19" s="233">
        <f>Бюджет_Синара!B180</f>
        <v>400</v>
      </c>
      <c r="G19" s="136">
        <f>F19/F18</f>
        <v>2</v>
      </c>
      <c r="H19" s="292" t="s">
        <v>649</v>
      </c>
    </row>
    <row r="20" spans="3:8">
      <c r="C20" s="135">
        <f t="shared" si="1"/>
        <v>10</v>
      </c>
      <c r="D20" s="17" t="s">
        <v>658</v>
      </c>
      <c r="E20" s="142" t="s">
        <v>216</v>
      </c>
      <c r="F20" s="131">
        <v>3400</v>
      </c>
      <c r="G20" s="829"/>
      <c r="H20" s="292"/>
    </row>
    <row r="21" spans="3:8">
      <c r="C21" s="135">
        <f t="shared" si="1"/>
        <v>11</v>
      </c>
      <c r="D21" s="17" t="s">
        <v>415</v>
      </c>
      <c r="E21" s="142" t="s">
        <v>216</v>
      </c>
      <c r="F21" s="131">
        <v>200</v>
      </c>
      <c r="G21" s="829"/>
      <c r="H21" s="292"/>
    </row>
    <row r="22" spans="3:8">
      <c r="C22" s="135">
        <f t="shared" si="1"/>
        <v>12</v>
      </c>
      <c r="D22" s="17" t="s">
        <v>307</v>
      </c>
      <c r="E22" s="142" t="s">
        <v>324</v>
      </c>
      <c r="F22" s="131" t="s">
        <v>308</v>
      </c>
      <c r="G22" s="303">
        <v>5</v>
      </c>
    </row>
    <row r="23" spans="3:8" ht="45" customHeight="1">
      <c r="C23" s="135">
        <f t="shared" si="1"/>
        <v>13</v>
      </c>
      <c r="D23" s="17" t="s">
        <v>309</v>
      </c>
      <c r="E23" s="142"/>
      <c r="F23" s="294" t="s">
        <v>395</v>
      </c>
    </row>
    <row r="24" spans="3:8" ht="25.5">
      <c r="C24" s="135">
        <f t="shared" si="1"/>
        <v>14</v>
      </c>
      <c r="D24" s="17" t="s">
        <v>311</v>
      </c>
      <c r="E24" s="142"/>
      <c r="F24" s="131" t="s">
        <v>396</v>
      </c>
    </row>
    <row r="25" spans="3:8" ht="25.5">
      <c r="C25" s="135">
        <f t="shared" si="1"/>
        <v>15</v>
      </c>
      <c r="D25" s="17" t="s">
        <v>313</v>
      </c>
      <c r="E25" s="142"/>
      <c r="F25" s="294" t="s">
        <v>397</v>
      </c>
    </row>
    <row r="26" spans="3:8">
      <c r="D26" s="143"/>
      <c r="E26" s="122"/>
    </row>
    <row r="27" spans="3:8">
      <c r="D27" s="143"/>
      <c r="E27" s="122"/>
    </row>
    <row r="28" spans="3:8">
      <c r="D28" s="17" t="s">
        <v>958</v>
      </c>
      <c r="E28" s="142" t="s">
        <v>216</v>
      </c>
      <c r="F28" s="136">
        <f>F4/G22</f>
        <v>4390</v>
      </c>
    </row>
    <row r="29" spans="3:8">
      <c r="D29" s="17" t="s">
        <v>959</v>
      </c>
      <c r="E29" s="142" t="s">
        <v>216</v>
      </c>
      <c r="F29" s="136">
        <f>F12/F4*F28</f>
        <v>2800</v>
      </c>
    </row>
  </sheetData>
  <mergeCells count="2">
    <mergeCell ref="J3:L3"/>
    <mergeCell ref="N4:N11"/>
  </mergeCells>
  <conditionalFormatting sqref="F22:F23">
    <cfRule type="expression" dxfId="2229" priority="27">
      <formula>$A$1=1</formula>
    </cfRule>
  </conditionalFormatting>
  <conditionalFormatting sqref="F14:F16">
    <cfRule type="expression" dxfId="2228" priority="31">
      <formula>$A$1=1</formula>
    </cfRule>
  </conditionalFormatting>
  <conditionalFormatting sqref="C3:D3 C4:C6 C11:C25">
    <cfRule type="cellIs" dxfId="2227" priority="29" operator="equal">
      <formula>0</formula>
    </cfRule>
  </conditionalFormatting>
  <conditionalFormatting sqref="F3">
    <cfRule type="cellIs" dxfId="2226" priority="30" operator="equal">
      <formula>0</formula>
    </cfRule>
  </conditionalFormatting>
  <conditionalFormatting sqref="E3">
    <cfRule type="cellIs" dxfId="2225" priority="28" operator="equal">
      <formula>0</formula>
    </cfRule>
  </conditionalFormatting>
  <conditionalFormatting sqref="F17">
    <cfRule type="expression" dxfId="2224" priority="26">
      <formula>$A$1=1</formula>
    </cfRule>
  </conditionalFormatting>
  <conditionalFormatting sqref="C7:C10">
    <cfRule type="cellIs" dxfId="2223" priority="17" operator="equal">
      <formula>0</formula>
    </cfRule>
  </conditionalFormatting>
  <conditionalFormatting sqref="F10">
    <cfRule type="expression" dxfId="2222" priority="13">
      <formula>$A$1=1</formula>
    </cfRule>
  </conditionalFormatting>
  <conditionalFormatting sqref="F7">
    <cfRule type="expression" dxfId="2221" priority="16">
      <formula>$A$1=1</formula>
    </cfRule>
  </conditionalFormatting>
  <conditionalFormatting sqref="F8">
    <cfRule type="expression" dxfId="2220" priority="15">
      <formula>$A$1=1</formula>
    </cfRule>
  </conditionalFormatting>
  <conditionalFormatting sqref="F9">
    <cfRule type="expression" dxfId="2219" priority="14">
      <formula>$A$1=1</formula>
    </cfRule>
  </conditionalFormatting>
  <conditionalFormatting sqref="F18">
    <cfRule type="expression" dxfId="2218" priority="12">
      <formula>$A$1=1</formula>
    </cfRule>
  </conditionalFormatting>
  <conditionalFormatting sqref="F24">
    <cfRule type="expression" dxfId="2217" priority="11">
      <formula>$A$1=1</formula>
    </cfRule>
  </conditionalFormatting>
  <conditionalFormatting sqref="F25">
    <cfRule type="expression" dxfId="2216" priority="10">
      <formula>$A$1=1</formula>
    </cfRule>
  </conditionalFormatting>
  <conditionalFormatting sqref="F20:F21">
    <cfRule type="expression" dxfId="2215" priority="7">
      <formula>$A$1=1</formula>
    </cfRule>
  </conditionalFormatting>
  <conditionalFormatting sqref="G22">
    <cfRule type="expression" dxfId="2214" priority="6">
      <formula>$A$1=1</formula>
    </cfRule>
  </conditionalFormatting>
  <conditionalFormatting sqref="J3">
    <cfRule type="cellIs" dxfId="2213" priority="5" operator="equal">
      <formula>0</formula>
    </cfRule>
  </conditionalFormatting>
  <conditionalFormatting sqref="N3">
    <cfRule type="cellIs" dxfId="2212" priority="4" operator="equal">
      <formula>0</formula>
    </cfRule>
  </conditionalFormatting>
  <conditionalFormatting sqref="H6">
    <cfRule type="cellIs" dxfId="2211" priority="3" operator="equal">
      <formula>0</formula>
    </cfRule>
  </conditionalFormatting>
  <conditionalFormatting sqref="I6">
    <cfRule type="cellIs" dxfId="2210" priority="2" operator="equal">
      <formula>0</formula>
    </cfRule>
  </conditionalFormatting>
  <conditionalFormatting sqref="H7:H9">
    <cfRule type="expression" dxfId="2209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24"/>
  <sheetViews>
    <sheetView showGridLines="0" zoomScale="85" zoomScaleNormal="85" workbookViewId="0">
      <selection activeCell="J12" sqref="J12"/>
    </sheetView>
  </sheetViews>
  <sheetFormatPr defaultColWidth="8.7109375" defaultRowHeight="15" outlineLevelCol="1"/>
  <cols>
    <col min="1" max="1" width="4.140625" style="19" customWidth="1"/>
    <col min="2" max="2" width="2.28515625" style="19" customWidth="1"/>
    <col min="3" max="3" width="4.85546875" style="19" customWidth="1"/>
    <col min="4" max="4" width="40.140625" style="19" customWidth="1"/>
    <col min="5" max="5" width="25.140625" style="19" customWidth="1" outlineLevel="1"/>
    <col min="6" max="6" width="21.7109375" style="122" customWidth="1"/>
    <col min="7" max="7" width="8.7109375" style="19" customWidth="1"/>
    <col min="8" max="8" width="4.140625" style="19" customWidth="1"/>
    <col min="9" max="9" width="13.85546875" style="19" customWidth="1"/>
    <col min="10" max="10" width="14.5703125" style="19" customWidth="1"/>
    <col min="11" max="13" width="8.7109375" style="19" customWidth="1"/>
    <col min="14" max="14" width="25.85546875" style="19" customWidth="1"/>
    <col min="15" max="16384" width="8.7109375" style="19"/>
  </cols>
  <sheetData>
    <row r="1" spans="1:14" ht="15.75" thickBot="1">
      <c r="A1" s="14">
        <v>1</v>
      </c>
    </row>
    <row r="2" spans="1:14">
      <c r="C2" s="12" t="s">
        <v>329</v>
      </c>
      <c r="E2" s="264" t="s">
        <v>369</v>
      </c>
      <c r="F2" s="149" t="str">
        <f>F12</f>
        <v>Jo&amp;JOE</v>
      </c>
    </row>
    <row r="3" spans="1:14" ht="17.45" customHeight="1">
      <c r="C3" s="15"/>
      <c r="D3" s="15"/>
      <c r="E3" s="15" t="s">
        <v>208</v>
      </c>
      <c r="F3" s="15" t="s">
        <v>110</v>
      </c>
      <c r="I3" s="1903" t="s">
        <v>968</v>
      </c>
      <c r="J3" s="1904"/>
      <c r="K3" s="1905"/>
      <c r="N3" s="1382" t="s">
        <v>967</v>
      </c>
    </row>
    <row r="4" spans="1:14" ht="14.45" customHeight="1">
      <c r="C4" s="135">
        <v>1</v>
      </c>
      <c r="D4" s="17" t="s">
        <v>321</v>
      </c>
      <c r="E4" s="142" t="s">
        <v>216</v>
      </c>
      <c r="F4" s="233">
        <f>Бюджет_Синара!B221</f>
        <v>10800</v>
      </c>
      <c r="I4" s="1373"/>
      <c r="J4" s="121"/>
      <c r="K4" s="1374"/>
      <c r="N4" s="1900" t="s">
        <v>971</v>
      </c>
    </row>
    <row r="5" spans="1:14" ht="51">
      <c r="C5" s="135">
        <f>C4+1</f>
        <v>2</v>
      </c>
      <c r="D5" s="17" t="s">
        <v>299</v>
      </c>
      <c r="E5" s="142"/>
      <c r="F5" s="142" t="s">
        <v>371</v>
      </c>
      <c r="G5" s="142" t="s">
        <v>965</v>
      </c>
      <c r="I5" s="1373"/>
      <c r="J5" s="121"/>
      <c r="K5" s="1374"/>
      <c r="N5" s="1901"/>
    </row>
    <row r="6" spans="1:14">
      <c r="C6" s="135">
        <f>C5+1</f>
        <v>3</v>
      </c>
      <c r="D6" s="17" t="s">
        <v>372</v>
      </c>
      <c r="E6" s="142" t="s">
        <v>216</v>
      </c>
      <c r="F6" s="131">
        <v>2500</v>
      </c>
      <c r="G6" s="136">
        <f>F6/J12</f>
        <v>6.0679611650485441</v>
      </c>
      <c r="I6" s="1373"/>
      <c r="J6" s="121"/>
      <c r="K6" s="1374"/>
      <c r="N6" s="1901"/>
    </row>
    <row r="7" spans="1:14">
      <c r="C7" s="135">
        <f>C6+1</f>
        <v>4</v>
      </c>
      <c r="D7" s="17" t="s">
        <v>314</v>
      </c>
      <c r="E7" s="142" t="s">
        <v>318</v>
      </c>
      <c r="F7" s="801">
        <f>SUM(F8:F11)</f>
        <v>101</v>
      </c>
      <c r="I7" s="1390" t="s">
        <v>405</v>
      </c>
      <c r="J7" s="15" t="s">
        <v>406</v>
      </c>
      <c r="K7" s="1391" t="s">
        <v>216</v>
      </c>
      <c r="N7" s="1901"/>
    </row>
    <row r="8" spans="1:14">
      <c r="C8" s="135"/>
      <c r="D8" s="288" t="s">
        <v>374</v>
      </c>
      <c r="E8" s="142" t="s">
        <v>318</v>
      </c>
      <c r="F8" s="131">
        <v>35</v>
      </c>
      <c r="G8" s="301">
        <f>F8/$F$7</f>
        <v>0.34653465346534651</v>
      </c>
      <c r="I8" s="1377">
        <v>6</v>
      </c>
      <c r="J8" s="279">
        <f>I8*F8</f>
        <v>210</v>
      </c>
      <c r="K8" s="1392">
        <f>J8*4</f>
        <v>840</v>
      </c>
      <c r="N8" s="1901"/>
    </row>
    <row r="9" spans="1:14">
      <c r="C9" s="135"/>
      <c r="D9" s="288" t="s">
        <v>373</v>
      </c>
      <c r="E9" s="142" t="s">
        <v>318</v>
      </c>
      <c r="F9" s="131">
        <v>35</v>
      </c>
      <c r="G9" s="301">
        <f>F9/$F$7</f>
        <v>0.34653465346534651</v>
      </c>
      <c r="I9" s="1377">
        <v>4</v>
      </c>
      <c r="J9" s="279">
        <f>I9*F9</f>
        <v>140</v>
      </c>
      <c r="K9" s="1392">
        <f>J9*4</f>
        <v>560</v>
      </c>
      <c r="N9" s="1901"/>
    </row>
    <row r="10" spans="1:14">
      <c r="C10" s="135"/>
      <c r="D10" s="288" t="s">
        <v>375</v>
      </c>
      <c r="E10" s="142" t="s">
        <v>318</v>
      </c>
      <c r="F10" s="131">
        <v>25</v>
      </c>
      <c r="G10" s="301">
        <f>F10/$F$7</f>
        <v>0.24752475247524752</v>
      </c>
      <c r="I10" s="1377">
        <v>2</v>
      </c>
      <c r="J10" s="279">
        <f>I10*F10</f>
        <v>50</v>
      </c>
      <c r="K10" s="1392">
        <f>J10*4</f>
        <v>200</v>
      </c>
      <c r="N10" s="1901"/>
    </row>
    <row r="11" spans="1:14">
      <c r="C11" s="135"/>
      <c r="D11" s="288" t="s">
        <v>330</v>
      </c>
      <c r="E11" s="142" t="s">
        <v>318</v>
      </c>
      <c r="F11" s="131">
        <v>6</v>
      </c>
      <c r="G11" s="301">
        <f>F11/$F$7</f>
        <v>5.9405940594059403E-2</v>
      </c>
      <c r="I11" s="1377">
        <v>2</v>
      </c>
      <c r="J11" s="279">
        <f>I11*F11</f>
        <v>12</v>
      </c>
      <c r="K11" s="1392">
        <f>J11*4</f>
        <v>48</v>
      </c>
      <c r="N11" s="1902"/>
    </row>
    <row r="12" spans="1:14">
      <c r="C12" s="135">
        <f>C7+1</f>
        <v>5</v>
      </c>
      <c r="D12" s="17" t="s">
        <v>303</v>
      </c>
      <c r="E12" s="142"/>
      <c r="F12" s="131" t="s">
        <v>370</v>
      </c>
      <c r="I12" s="1373"/>
      <c r="J12" s="801">
        <f>SUM(J8:J11)</f>
        <v>412</v>
      </c>
      <c r="K12" s="1393">
        <f>SUM(K8:K11)</f>
        <v>1648</v>
      </c>
    </row>
    <row r="13" spans="1:14">
      <c r="C13" s="135">
        <f>C12+1</f>
        <v>6</v>
      </c>
      <c r="D13" s="17" t="s">
        <v>652</v>
      </c>
      <c r="E13" s="142" t="s">
        <v>320</v>
      </c>
      <c r="F13" s="131">
        <v>70</v>
      </c>
      <c r="I13" s="1379"/>
      <c r="J13" s="1394"/>
      <c r="K13" s="1395">
        <f>K12*1.5</f>
        <v>2472</v>
      </c>
    </row>
    <row r="14" spans="1:14">
      <c r="C14" s="135">
        <f t="shared" ref="C14:C24" si="0">C13+1</f>
        <v>7</v>
      </c>
      <c r="D14" s="17" t="s">
        <v>653</v>
      </c>
      <c r="E14" s="142" t="s">
        <v>216</v>
      </c>
      <c r="F14" s="233">
        <f>Бюджет_Синара!B215</f>
        <v>150</v>
      </c>
      <c r="G14" s="136">
        <f>F14/F13</f>
        <v>2.1428571428571428</v>
      </c>
    </row>
    <row r="15" spans="1:14">
      <c r="C15" s="135">
        <f t="shared" si="0"/>
        <v>8</v>
      </c>
      <c r="D15" s="17" t="s">
        <v>377</v>
      </c>
      <c r="E15" s="142" t="s">
        <v>216</v>
      </c>
      <c r="F15" s="233">
        <f>Бюджет_Синара!B217</f>
        <v>1800</v>
      </c>
    </row>
    <row r="16" spans="1:14">
      <c r="C16" s="135">
        <f t="shared" si="0"/>
        <v>9</v>
      </c>
      <c r="D16" s="17" t="s">
        <v>377</v>
      </c>
      <c r="E16" s="142" t="s">
        <v>378</v>
      </c>
      <c r="F16" s="131">
        <v>300</v>
      </c>
      <c r="J16" s="1371">
        <f>F16*4*1.3</f>
        <v>1560</v>
      </c>
    </row>
    <row r="17" spans="3:10">
      <c r="C17" s="135">
        <f t="shared" si="0"/>
        <v>10</v>
      </c>
      <c r="D17" s="17" t="s">
        <v>379</v>
      </c>
      <c r="E17" s="142" t="s">
        <v>381</v>
      </c>
      <c r="F17" s="131" t="s">
        <v>380</v>
      </c>
    </row>
    <row r="18" spans="3:10">
      <c r="C18" s="135">
        <f t="shared" si="0"/>
        <v>11</v>
      </c>
      <c r="D18" s="17" t="s">
        <v>656</v>
      </c>
      <c r="E18" s="142" t="s">
        <v>216</v>
      </c>
      <c r="F18" s="233">
        <f>Бюджет_Синара!B218</f>
        <v>4000</v>
      </c>
    </row>
    <row r="19" spans="3:10">
      <c r="C19" s="135">
        <f t="shared" si="0"/>
        <v>12</v>
      </c>
      <c r="D19" s="17" t="s">
        <v>382</v>
      </c>
      <c r="E19" s="142" t="s">
        <v>216</v>
      </c>
      <c r="F19" s="233">
        <f>Бюджет_Синара!B219</f>
        <v>900</v>
      </c>
    </row>
    <row r="20" spans="3:10">
      <c r="C20" s="135">
        <f t="shared" si="0"/>
        <v>13</v>
      </c>
      <c r="D20" s="17" t="s">
        <v>383</v>
      </c>
      <c r="E20" s="142"/>
      <c r="F20" s="131" t="s">
        <v>384</v>
      </c>
    </row>
    <row r="21" spans="3:10">
      <c r="C21" s="135">
        <f t="shared" si="0"/>
        <v>14</v>
      </c>
      <c r="D21" s="17" t="s">
        <v>385</v>
      </c>
      <c r="E21" s="142" t="s">
        <v>216</v>
      </c>
      <c r="F21" s="233">
        <f>Бюджет_Синара!B220</f>
        <v>1200</v>
      </c>
    </row>
    <row r="22" spans="3:10">
      <c r="C22" s="135">
        <f t="shared" si="0"/>
        <v>15</v>
      </c>
      <c r="D22" s="17" t="s">
        <v>307</v>
      </c>
      <c r="E22" s="142" t="s">
        <v>324</v>
      </c>
      <c r="F22" s="131" t="s">
        <v>354</v>
      </c>
    </row>
    <row r="23" spans="3:10">
      <c r="C23" s="135">
        <f t="shared" si="0"/>
        <v>16</v>
      </c>
      <c r="D23" s="17" t="s">
        <v>302</v>
      </c>
      <c r="E23" s="142" t="s">
        <v>378</v>
      </c>
      <c r="F23" s="131">
        <v>400</v>
      </c>
      <c r="I23" s="136">
        <f>F21/F23</f>
        <v>3</v>
      </c>
      <c r="J23" s="802" t="s">
        <v>637</v>
      </c>
    </row>
    <row r="24" spans="3:10" ht="25.5">
      <c r="C24" s="135">
        <f t="shared" si="0"/>
        <v>17</v>
      </c>
      <c r="D24" s="17" t="s">
        <v>309</v>
      </c>
      <c r="E24" s="142"/>
      <c r="F24" s="294" t="s">
        <v>386</v>
      </c>
    </row>
  </sheetData>
  <mergeCells count="2">
    <mergeCell ref="N4:N11"/>
    <mergeCell ref="I3:K3"/>
  </mergeCells>
  <conditionalFormatting sqref="F6">
    <cfRule type="expression" dxfId="2208" priority="32">
      <formula>$A$1=1</formula>
    </cfRule>
  </conditionalFormatting>
  <conditionalFormatting sqref="F22">
    <cfRule type="expression" dxfId="2207" priority="27">
      <formula>$A$1=1</formula>
    </cfRule>
  </conditionalFormatting>
  <conditionalFormatting sqref="C3:D3 C4:C24">
    <cfRule type="cellIs" dxfId="2206" priority="29" operator="equal">
      <formula>0</formula>
    </cfRule>
  </conditionalFormatting>
  <conditionalFormatting sqref="F3">
    <cfRule type="cellIs" dxfId="2205" priority="30" operator="equal">
      <formula>0</formula>
    </cfRule>
  </conditionalFormatting>
  <conditionalFormatting sqref="E3">
    <cfRule type="cellIs" dxfId="2204" priority="28" operator="equal">
      <formula>0</formula>
    </cfRule>
  </conditionalFormatting>
  <conditionalFormatting sqref="F12:F13 F20 F16:F17">
    <cfRule type="expression" dxfId="2203" priority="26">
      <formula>$A$1=1</formula>
    </cfRule>
  </conditionalFormatting>
  <conditionalFormatting sqref="F11">
    <cfRule type="expression" dxfId="2202" priority="11">
      <formula>$A$1=1</formula>
    </cfRule>
  </conditionalFormatting>
  <conditionalFormatting sqref="F8">
    <cfRule type="expression" dxfId="2201" priority="14">
      <formula>$A$1=1</formula>
    </cfRule>
  </conditionalFormatting>
  <conditionalFormatting sqref="F9">
    <cfRule type="expression" dxfId="2200" priority="13">
      <formula>$A$1=1</formula>
    </cfRule>
  </conditionalFormatting>
  <conditionalFormatting sqref="F10">
    <cfRule type="expression" dxfId="2199" priority="12">
      <formula>$A$1=1</formula>
    </cfRule>
  </conditionalFormatting>
  <conditionalFormatting sqref="F23">
    <cfRule type="expression" dxfId="2198" priority="10">
      <formula>$A$1=1</formula>
    </cfRule>
  </conditionalFormatting>
  <conditionalFormatting sqref="F24">
    <cfRule type="expression" dxfId="2197" priority="9">
      <formula>$A$1=1</formula>
    </cfRule>
  </conditionalFormatting>
  <conditionalFormatting sqref="I8:I11">
    <cfRule type="expression" dxfId="2196" priority="8">
      <formula>$A$1=1</formula>
    </cfRule>
  </conditionalFormatting>
  <conditionalFormatting sqref="I7">
    <cfRule type="cellIs" dxfId="2195" priority="7" operator="equal">
      <formula>0</formula>
    </cfRule>
  </conditionalFormatting>
  <conditionalFormatting sqref="J7">
    <cfRule type="cellIs" dxfId="2194" priority="6" operator="equal">
      <formula>0</formula>
    </cfRule>
  </conditionalFormatting>
  <conditionalFormatting sqref="I3">
    <cfRule type="cellIs" dxfId="2193" priority="1" operator="equal">
      <formula>0</formula>
    </cfRule>
  </conditionalFormatting>
  <conditionalFormatting sqref="N3">
    <cfRule type="cellIs" dxfId="2192" priority="3" operator="equal">
      <formula>0</formula>
    </cfRule>
  </conditionalFormatting>
  <conditionalFormatting sqref="K7">
    <cfRule type="cellIs" dxfId="219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J24"/>
  <sheetViews>
    <sheetView showGridLines="0" zoomScale="85" zoomScaleNormal="85" workbookViewId="0">
      <selection activeCell="F7" sqref="F7"/>
    </sheetView>
  </sheetViews>
  <sheetFormatPr defaultColWidth="8.7109375" defaultRowHeight="15"/>
  <cols>
    <col min="1" max="1" width="4.140625" style="19" customWidth="1"/>
    <col min="2" max="2" width="2.28515625" style="19" customWidth="1"/>
    <col min="3" max="3" width="4.85546875" style="19" customWidth="1"/>
    <col min="4" max="4" width="58.42578125" style="19" customWidth="1"/>
    <col min="5" max="5" width="21.85546875" style="19" customWidth="1"/>
    <col min="6" max="6" width="26" style="122" customWidth="1"/>
    <col min="7" max="8" width="10.42578125" style="19" customWidth="1"/>
    <col min="9" max="9" width="13.85546875" style="19" customWidth="1"/>
    <col min="10" max="13" width="8.7109375" style="19" customWidth="1"/>
    <col min="14" max="16384" width="8.7109375" style="19"/>
  </cols>
  <sheetData>
    <row r="1" spans="1:9" ht="15.75" thickBot="1">
      <c r="A1" s="14">
        <v>1</v>
      </c>
    </row>
    <row r="2" spans="1:9">
      <c r="C2" s="12" t="s">
        <v>329</v>
      </c>
      <c r="E2" s="264" t="s">
        <v>407</v>
      </c>
      <c r="F2" s="835" t="str">
        <f>F8</f>
        <v>Не брендируется
(номерной фонд отеля 5*)</v>
      </c>
    </row>
    <row r="3" spans="1:9" ht="17.45" customHeight="1">
      <c r="C3" s="15"/>
      <c r="D3" s="15"/>
      <c r="E3" s="15" t="s">
        <v>208</v>
      </c>
      <c r="F3" s="15" t="s">
        <v>110</v>
      </c>
    </row>
    <row r="4" spans="1:9">
      <c r="C4" s="135">
        <v>1</v>
      </c>
      <c r="D4" s="17" t="s">
        <v>321</v>
      </c>
      <c r="E4" s="142" t="s">
        <v>216</v>
      </c>
      <c r="F4" s="279">
        <f>G4*F6*1.2</f>
        <v>2340</v>
      </c>
      <c r="G4" s="137">
        <f>I24</f>
        <v>150</v>
      </c>
    </row>
    <row r="5" spans="1:9" ht="38.25">
      <c r="C5" s="135">
        <f t="shared" ref="C5:C10" si="0">C4+1</f>
        <v>2</v>
      </c>
      <c r="D5" s="17" t="s">
        <v>299</v>
      </c>
      <c r="E5" s="142"/>
      <c r="F5" s="142" t="s">
        <v>352</v>
      </c>
    </row>
    <row r="6" spans="1:9">
      <c r="C6" s="135">
        <f t="shared" si="0"/>
        <v>3</v>
      </c>
      <c r="D6" s="17" t="s">
        <v>353</v>
      </c>
      <c r="E6" s="142" t="s">
        <v>376</v>
      </c>
      <c r="F6" s="279">
        <v>13</v>
      </c>
    </row>
    <row r="7" spans="1:9">
      <c r="C7" s="135">
        <f t="shared" si="0"/>
        <v>4</v>
      </c>
      <c r="D7" s="17" t="s">
        <v>301</v>
      </c>
      <c r="E7" s="142" t="s">
        <v>209</v>
      </c>
      <c r="F7" s="279">
        <v>78</v>
      </c>
      <c r="G7" s="137">
        <f>F7/F6</f>
        <v>6</v>
      </c>
    </row>
    <row r="8" spans="1:9" ht="25.5">
      <c r="C8" s="135">
        <f t="shared" si="0"/>
        <v>5</v>
      </c>
      <c r="D8" s="17" t="s">
        <v>303</v>
      </c>
      <c r="E8" s="142"/>
      <c r="F8" s="294" t="s">
        <v>660</v>
      </c>
    </row>
    <row r="9" spans="1:9">
      <c r="C9" s="135">
        <f t="shared" si="0"/>
        <v>6</v>
      </c>
      <c r="D9" s="17" t="s">
        <v>307</v>
      </c>
      <c r="E9" s="142" t="s">
        <v>324</v>
      </c>
      <c r="F9" s="131" t="s">
        <v>354</v>
      </c>
    </row>
    <row r="10" spans="1:9">
      <c r="C10" s="135">
        <f t="shared" si="0"/>
        <v>7</v>
      </c>
      <c r="D10" s="17" t="s">
        <v>310</v>
      </c>
      <c r="E10" s="142"/>
      <c r="F10" s="293" t="str">
        <f>_Toc95402285</f>
        <v>Детализация объекта</v>
      </c>
    </row>
    <row r="12" spans="1:9" ht="18" customHeight="1">
      <c r="C12" s="277" t="s">
        <v>350</v>
      </c>
      <c r="E12" s="122"/>
    </row>
    <row r="13" spans="1:9" ht="25.5">
      <c r="C13" s="15"/>
      <c r="D13" s="15" t="s">
        <v>364</v>
      </c>
      <c r="E13" s="15" t="s">
        <v>289</v>
      </c>
      <c r="F13" s="15" t="s">
        <v>365</v>
      </c>
      <c r="I13" s="15" t="s">
        <v>366</v>
      </c>
    </row>
    <row r="14" spans="1:9">
      <c r="C14" s="135">
        <v>1</v>
      </c>
      <c r="D14" s="17" t="s">
        <v>355</v>
      </c>
      <c r="E14" s="142">
        <v>1</v>
      </c>
      <c r="F14" s="137">
        <v>40</v>
      </c>
      <c r="G14" s="1396" t="s">
        <v>975</v>
      </c>
      <c r="I14" s="137">
        <f>F14*E14</f>
        <v>40</v>
      </c>
    </row>
    <row r="15" spans="1:9">
      <c r="C15" s="135">
        <f>C14+1</f>
        <v>2</v>
      </c>
      <c r="D15" s="17" t="s">
        <v>356</v>
      </c>
      <c r="E15" s="142">
        <v>1</v>
      </c>
      <c r="F15" s="137">
        <v>6</v>
      </c>
      <c r="G15" s="1396"/>
      <c r="I15" s="137">
        <f t="shared" ref="I15:I23" si="1">F15*E15</f>
        <v>6</v>
      </c>
    </row>
    <row r="16" spans="1:9">
      <c r="C16" s="135">
        <f>C15+1</f>
        <v>3</v>
      </c>
      <c r="D16" s="17" t="s">
        <v>357</v>
      </c>
      <c r="E16" s="142">
        <v>1</v>
      </c>
      <c r="F16" s="137">
        <v>5</v>
      </c>
      <c r="G16" s="1396" t="s">
        <v>975</v>
      </c>
      <c r="I16" s="137">
        <f t="shared" si="1"/>
        <v>5</v>
      </c>
    </row>
    <row r="17" spans="3:10">
      <c r="C17" s="135">
        <f>C16+1</f>
        <v>4</v>
      </c>
      <c r="D17" s="17" t="s">
        <v>358</v>
      </c>
      <c r="E17" s="142">
        <v>1</v>
      </c>
      <c r="F17" s="137">
        <v>16</v>
      </c>
      <c r="G17" s="1396" t="s">
        <v>975</v>
      </c>
      <c r="I17" s="137">
        <f t="shared" si="1"/>
        <v>16</v>
      </c>
    </row>
    <row r="18" spans="3:10">
      <c r="C18" s="135">
        <f t="shared" ref="C18:C23" si="2">C17+1</f>
        <v>5</v>
      </c>
      <c r="D18" s="17" t="s">
        <v>359</v>
      </c>
      <c r="E18" s="142">
        <v>2</v>
      </c>
      <c r="F18" s="137">
        <v>16</v>
      </c>
      <c r="G18" s="1396" t="s">
        <v>975</v>
      </c>
      <c r="I18" s="137">
        <f t="shared" si="1"/>
        <v>32</v>
      </c>
    </row>
    <row r="19" spans="3:10">
      <c r="C19" s="135">
        <f t="shared" si="2"/>
        <v>6</v>
      </c>
      <c r="D19" s="17" t="s">
        <v>360</v>
      </c>
      <c r="E19" s="142">
        <v>1</v>
      </c>
      <c r="F19" s="137">
        <v>15</v>
      </c>
      <c r="G19" s="1396"/>
      <c r="I19" s="137">
        <f t="shared" si="1"/>
        <v>15</v>
      </c>
    </row>
    <row r="20" spans="3:10">
      <c r="C20" s="135">
        <f t="shared" si="2"/>
        <v>7</v>
      </c>
      <c r="D20" s="17" t="s">
        <v>367</v>
      </c>
      <c r="E20" s="142">
        <v>2</v>
      </c>
      <c r="F20" s="137">
        <v>6</v>
      </c>
      <c r="G20" s="1396" t="s">
        <v>975</v>
      </c>
      <c r="I20" s="137">
        <f t="shared" si="1"/>
        <v>12</v>
      </c>
    </row>
    <row r="21" spans="3:10">
      <c r="C21" s="135">
        <f t="shared" si="2"/>
        <v>8</v>
      </c>
      <c r="D21" s="17" t="s">
        <v>361</v>
      </c>
      <c r="E21" s="142">
        <v>1</v>
      </c>
      <c r="F21" s="137">
        <v>6</v>
      </c>
      <c r="G21" s="1396" t="s">
        <v>975</v>
      </c>
      <c r="I21" s="137">
        <f t="shared" si="1"/>
        <v>6</v>
      </c>
    </row>
    <row r="22" spans="3:10">
      <c r="C22" s="135">
        <f t="shared" si="2"/>
        <v>9</v>
      </c>
      <c r="D22" s="17" t="s">
        <v>362</v>
      </c>
      <c r="E22" s="142">
        <v>1</v>
      </c>
      <c r="F22" s="137">
        <v>8</v>
      </c>
      <c r="G22" s="1396"/>
      <c r="I22" s="137">
        <f t="shared" si="1"/>
        <v>8</v>
      </c>
    </row>
    <row r="23" spans="3:10">
      <c r="C23" s="135">
        <f t="shared" si="2"/>
        <v>10</v>
      </c>
      <c r="D23" s="17" t="s">
        <v>363</v>
      </c>
      <c r="E23" s="142">
        <v>1</v>
      </c>
      <c r="F23" s="137">
        <v>10</v>
      </c>
      <c r="G23" s="1396" t="s">
        <v>975</v>
      </c>
      <c r="I23" s="137">
        <f t="shared" si="1"/>
        <v>10</v>
      </c>
    </row>
    <row r="24" spans="3:10">
      <c r="D24" s="296" t="s">
        <v>0</v>
      </c>
      <c r="E24" s="297"/>
      <c r="F24" s="298"/>
      <c r="I24" s="300">
        <f>SUM(I14:I23)</f>
        <v>150</v>
      </c>
      <c r="J24" s="1396" t="s">
        <v>976</v>
      </c>
    </row>
  </sheetData>
  <conditionalFormatting sqref="F4">
    <cfRule type="expression" dxfId="2190" priority="25">
      <formula>$A$1=1</formula>
    </cfRule>
  </conditionalFormatting>
  <conditionalFormatting sqref="F6">
    <cfRule type="expression" dxfId="2189" priority="24">
      <formula>$A$1=1</formula>
    </cfRule>
  </conditionalFormatting>
  <conditionalFormatting sqref="F9">
    <cfRule type="expression" dxfId="2188" priority="17">
      <formula>$A$1=1</formula>
    </cfRule>
  </conditionalFormatting>
  <conditionalFormatting sqref="F7">
    <cfRule type="expression" dxfId="2187" priority="21">
      <formula>$A$1=1</formula>
    </cfRule>
  </conditionalFormatting>
  <conditionalFormatting sqref="C3:D3 C4:C10">
    <cfRule type="cellIs" dxfId="2186" priority="19" operator="equal">
      <formula>0</formula>
    </cfRule>
  </conditionalFormatting>
  <conditionalFormatting sqref="F3">
    <cfRule type="cellIs" dxfId="2185" priority="20" operator="equal">
      <formula>0</formula>
    </cfRule>
  </conditionalFormatting>
  <conditionalFormatting sqref="E3">
    <cfRule type="cellIs" dxfId="2184" priority="18" operator="equal">
      <formula>0</formula>
    </cfRule>
  </conditionalFormatting>
  <conditionalFormatting sqref="F8">
    <cfRule type="expression" dxfId="2183" priority="15">
      <formula>$A$1=1</formula>
    </cfRule>
  </conditionalFormatting>
  <conditionalFormatting sqref="D13">
    <cfRule type="cellIs" dxfId="2182" priority="10" operator="equal">
      <formula>0</formula>
    </cfRule>
  </conditionalFormatting>
  <conditionalFormatting sqref="C13">
    <cfRule type="cellIs" dxfId="2181" priority="8" operator="equal">
      <formula>0</formula>
    </cfRule>
  </conditionalFormatting>
  <conditionalFormatting sqref="C14:C23">
    <cfRule type="cellIs" dxfId="2180" priority="7" operator="equal">
      <formula>0</formula>
    </cfRule>
  </conditionalFormatting>
  <conditionalFormatting sqref="E13">
    <cfRule type="cellIs" dxfId="2179" priority="6" operator="equal">
      <formula>0</formula>
    </cfRule>
  </conditionalFormatting>
  <conditionalFormatting sqref="F13">
    <cfRule type="cellIs" dxfId="2178" priority="5" operator="equal">
      <formula>0</formula>
    </cfRule>
  </conditionalFormatting>
  <conditionalFormatting sqref="F15:F23">
    <cfRule type="expression" dxfId="2177" priority="4">
      <formula>$A$1=1</formula>
    </cfRule>
  </conditionalFormatting>
  <conditionalFormatting sqref="I13">
    <cfRule type="cellIs" dxfId="2176" priority="2" operator="equal">
      <formula>0</formula>
    </cfRule>
  </conditionalFormatting>
  <conditionalFormatting sqref="F14">
    <cfRule type="expression" dxfId="2175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T250"/>
  <sheetViews>
    <sheetView showGridLines="0" topLeftCell="A215" zoomScale="70" zoomScaleNormal="70" workbookViewId="0">
      <selection activeCell="D243" sqref="D243"/>
    </sheetView>
  </sheetViews>
  <sheetFormatPr defaultColWidth="14.42578125" defaultRowHeight="15" outlineLevelRow="1"/>
  <cols>
    <col min="1" max="1" width="34.42578125" style="580" customWidth="1"/>
    <col min="2" max="2" width="10.42578125" style="580" customWidth="1"/>
    <col min="3" max="3" width="11.5703125" style="580" customWidth="1"/>
    <col min="4" max="4" width="13.140625" style="580" customWidth="1"/>
    <col min="5" max="5" width="13.42578125" style="580" customWidth="1"/>
    <col min="6" max="6" width="14.42578125" style="580" customWidth="1"/>
    <col min="7" max="7" width="11.7109375" style="580" customWidth="1"/>
    <col min="8" max="8" width="13.5703125" style="580" customWidth="1"/>
    <col min="9" max="9" width="13" style="580" customWidth="1"/>
    <col min="10" max="10" width="11.5703125" style="580" customWidth="1"/>
    <col min="11" max="12" width="13" style="580" customWidth="1"/>
    <col min="13" max="13" width="16.42578125" style="580" customWidth="1"/>
    <col min="14" max="14" width="15" style="580" customWidth="1"/>
    <col min="15" max="15" width="16.85546875" style="580" customWidth="1"/>
    <col min="16" max="16" width="8.7109375" style="580" customWidth="1"/>
    <col min="17" max="17" width="45.28515625" style="580" customWidth="1"/>
    <col min="18" max="18" width="13.28515625" style="580" customWidth="1"/>
    <col min="19" max="19" width="15.28515625" style="580" customWidth="1"/>
    <col min="20" max="20" width="15.42578125" style="580" customWidth="1"/>
    <col min="21" max="25" width="8.7109375" style="580" customWidth="1"/>
    <col min="26" max="16384" width="14.42578125" style="580"/>
  </cols>
  <sheetData>
    <row r="1" spans="1:20" s="819" customFormat="1">
      <c r="A1" s="825" t="s">
        <v>645</v>
      </c>
      <c r="B1" s="826" t="s">
        <v>646</v>
      </c>
    </row>
    <row r="2" spans="1:20" ht="28.5">
      <c r="A2" s="578"/>
      <c r="B2" s="579" t="s">
        <v>63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R2" s="581"/>
    </row>
    <row r="3" spans="1:20" ht="28.5" outlineLevel="1">
      <c r="A3" s="582"/>
      <c r="B3" s="582"/>
      <c r="C3" s="582"/>
      <c r="D3" s="578"/>
      <c r="E3" s="578"/>
      <c r="F3" s="578"/>
      <c r="G3" s="578"/>
      <c r="H3" s="578"/>
      <c r="I3" s="578"/>
      <c r="J3" s="578"/>
      <c r="K3" s="578"/>
      <c r="L3" s="578"/>
      <c r="N3" s="583"/>
      <c r="Q3" s="583"/>
      <c r="R3" s="583"/>
      <c r="S3" s="583"/>
    </row>
    <row r="4" spans="1:20" ht="75" outlineLevel="1">
      <c r="A4" s="584" t="s">
        <v>204</v>
      </c>
      <c r="B4" s="584" t="s">
        <v>205</v>
      </c>
      <c r="C4" s="585" t="s">
        <v>557</v>
      </c>
      <c r="D4" s="586" t="s">
        <v>558</v>
      </c>
      <c r="E4" s="585" t="s">
        <v>559</v>
      </c>
      <c r="F4" s="586" t="s">
        <v>560</v>
      </c>
      <c r="G4" s="585" t="s">
        <v>561</v>
      </c>
      <c r="H4" s="586" t="s">
        <v>562</v>
      </c>
      <c r="I4" s="585" t="s">
        <v>563</v>
      </c>
      <c r="J4" s="586" t="s">
        <v>564</v>
      </c>
      <c r="K4" s="587" t="s">
        <v>565</v>
      </c>
      <c r="L4" s="588" t="s">
        <v>566</v>
      </c>
      <c r="N4" s="589"/>
      <c r="O4" s="590"/>
      <c r="Q4" s="589"/>
      <c r="R4" s="589"/>
      <c r="S4" s="591"/>
      <c r="T4" s="590"/>
    </row>
    <row r="5" spans="1:20" outlineLevel="1">
      <c r="A5" s="584" t="s">
        <v>567</v>
      </c>
      <c r="B5" s="584" t="s">
        <v>323</v>
      </c>
      <c r="C5" s="585" t="s">
        <v>568</v>
      </c>
      <c r="D5" s="586" t="s">
        <v>569</v>
      </c>
      <c r="E5" s="586" t="s">
        <v>570</v>
      </c>
      <c r="F5" s="586" t="s">
        <v>571</v>
      </c>
      <c r="G5" s="592" t="s">
        <v>572</v>
      </c>
      <c r="H5" s="592" t="s">
        <v>573</v>
      </c>
      <c r="I5" s="592" t="s">
        <v>574</v>
      </c>
      <c r="J5" s="592" t="s">
        <v>575</v>
      </c>
      <c r="K5" s="593" t="s">
        <v>576</v>
      </c>
      <c r="L5" s="594"/>
      <c r="N5" s="1957"/>
      <c r="O5" s="1952"/>
      <c r="Q5" s="1957"/>
      <c r="R5" s="1952"/>
      <c r="S5" s="1952"/>
      <c r="T5" s="1952"/>
    </row>
    <row r="6" spans="1:20" outlineLevel="1">
      <c r="A6" s="1930" t="s">
        <v>206</v>
      </c>
      <c r="B6" s="1913"/>
      <c r="C6" s="1913"/>
      <c r="D6" s="1913"/>
      <c r="E6" s="1913"/>
      <c r="F6" s="1913"/>
      <c r="G6" s="1913"/>
      <c r="H6" s="1913"/>
      <c r="I6" s="1913"/>
      <c r="J6" s="1913"/>
      <c r="K6" s="1913"/>
      <c r="L6" s="595"/>
      <c r="N6" s="1962"/>
      <c r="O6" s="596"/>
      <c r="Q6" s="1962"/>
      <c r="R6" s="1954"/>
      <c r="S6" s="597"/>
      <c r="T6" s="596"/>
    </row>
    <row r="7" spans="1:20" outlineLevel="1">
      <c r="A7" s="1939" t="s">
        <v>577</v>
      </c>
      <c r="B7" s="1927">
        <v>4750</v>
      </c>
      <c r="C7" s="598">
        <v>37000</v>
      </c>
      <c r="D7" s="599">
        <f>B7*C7</f>
        <v>175750000</v>
      </c>
      <c r="E7" s="600">
        <v>65000</v>
      </c>
      <c r="F7" s="599">
        <f>B7*E7</f>
        <v>308750000</v>
      </c>
      <c r="G7" s="1940">
        <v>52500</v>
      </c>
      <c r="H7" s="1929">
        <f>B7*G7</f>
        <v>249375000</v>
      </c>
      <c r="I7" s="1914">
        <v>25000</v>
      </c>
      <c r="J7" s="1925">
        <f>B7*I7</f>
        <v>118750000</v>
      </c>
      <c r="K7" s="601">
        <f>D7+H7+J7+F7</f>
        <v>852625000</v>
      </c>
      <c r="L7" s="602">
        <f>K7/B7</f>
        <v>179500</v>
      </c>
      <c r="M7" s="596">
        <f>K7</f>
        <v>852625000</v>
      </c>
      <c r="N7" s="1952"/>
      <c r="O7" s="596"/>
      <c r="Q7" s="1952"/>
      <c r="R7" s="1952"/>
      <c r="S7" s="597"/>
      <c r="T7" s="596"/>
    </row>
    <row r="8" spans="1:20" outlineLevel="1">
      <c r="A8" s="1915"/>
      <c r="B8" s="1915"/>
      <c r="C8" s="603">
        <v>50000</v>
      </c>
      <c r="D8" s="604">
        <f>B7*C8</f>
        <v>237500000</v>
      </c>
      <c r="E8" s="605">
        <v>70000</v>
      </c>
      <c r="F8" s="606">
        <f>B7*E8</f>
        <v>332500000</v>
      </c>
      <c r="G8" s="1924"/>
      <c r="H8" s="1915"/>
      <c r="I8" s="1924"/>
      <c r="J8" s="1915"/>
      <c r="K8" s="607">
        <f>D8+H7+J7+F8</f>
        <v>938125000</v>
      </c>
      <c r="L8" s="608">
        <v>197500</v>
      </c>
      <c r="M8" s="596" t="s">
        <v>578</v>
      </c>
      <c r="N8" s="609"/>
      <c r="O8" s="596"/>
      <c r="Q8" s="610"/>
      <c r="R8" s="611"/>
      <c r="S8" s="597"/>
      <c r="T8" s="596"/>
    </row>
    <row r="9" spans="1:20" ht="25.5" outlineLevel="1">
      <c r="A9" s="612" t="s">
        <v>196</v>
      </c>
      <c r="B9" s="613">
        <v>990</v>
      </c>
      <c r="C9" s="614">
        <v>35000</v>
      </c>
      <c r="D9" s="615">
        <f>B9*C9</f>
        <v>34650000</v>
      </c>
      <c r="E9" s="616">
        <v>0</v>
      </c>
      <c r="F9" s="615">
        <f>B9*E9</f>
        <v>0</v>
      </c>
      <c r="G9" s="1924"/>
      <c r="H9" s="615">
        <f>B9*G7</f>
        <v>51975000</v>
      </c>
      <c r="I9" s="1924"/>
      <c r="J9" s="615">
        <f>B9*I7</f>
        <v>24750000</v>
      </c>
      <c r="K9" s="617">
        <f>D9+H9+J9+F9</f>
        <v>111375000</v>
      </c>
      <c r="L9" s="618">
        <f>K9/B9</f>
        <v>112500</v>
      </c>
      <c r="M9" s="596">
        <f>K9</f>
        <v>111375000</v>
      </c>
      <c r="N9" s="619"/>
      <c r="O9" s="596"/>
      <c r="Q9" s="610"/>
      <c r="R9" s="611"/>
      <c r="S9" s="597"/>
      <c r="T9" s="596"/>
    </row>
    <row r="10" spans="1:20" outlineLevel="1">
      <c r="A10" s="620" t="s">
        <v>207</v>
      </c>
      <c r="B10" s="613">
        <v>56</v>
      </c>
      <c r="C10" s="614">
        <v>11000</v>
      </c>
      <c r="D10" s="615">
        <f>B10*C10</f>
        <v>616000</v>
      </c>
      <c r="E10" s="616">
        <v>2000</v>
      </c>
      <c r="F10" s="615">
        <f>B10*E10</f>
        <v>112000</v>
      </c>
      <c r="G10" s="1924"/>
      <c r="H10" s="615">
        <f>B10*G7</f>
        <v>2940000</v>
      </c>
      <c r="I10" s="1924"/>
      <c r="J10" s="615">
        <f>B10*I7</f>
        <v>1400000</v>
      </c>
      <c r="K10" s="617">
        <f>D10+H10+J10+F10</f>
        <v>5068000</v>
      </c>
      <c r="L10" s="618">
        <f>K10/B10</f>
        <v>90500</v>
      </c>
      <c r="M10" s="596">
        <f>K10</f>
        <v>5068000</v>
      </c>
      <c r="N10" s="609"/>
      <c r="O10" s="596"/>
      <c r="Q10" s="610"/>
      <c r="R10" s="621"/>
      <c r="S10" s="597"/>
      <c r="T10" s="596"/>
    </row>
    <row r="11" spans="1:20" outlineLevel="1">
      <c r="A11" s="620" t="s">
        <v>195</v>
      </c>
      <c r="B11" s="622">
        <v>49</v>
      </c>
      <c r="C11" s="614">
        <v>11000</v>
      </c>
      <c r="D11" s="615">
        <f>B11*C11</f>
        <v>539000</v>
      </c>
      <c r="E11" s="616">
        <v>2000</v>
      </c>
      <c r="F11" s="615">
        <f>B11*E11</f>
        <v>98000</v>
      </c>
      <c r="G11" s="1915"/>
      <c r="H11" s="623">
        <f>B11*G7</f>
        <v>2572500</v>
      </c>
      <c r="I11" s="1915"/>
      <c r="J11" s="623">
        <f>B11*I7</f>
        <v>1225000</v>
      </c>
      <c r="K11" s="624">
        <f>D11+H11+J11+F11</f>
        <v>4434500</v>
      </c>
      <c r="L11" s="618">
        <f>K11/B11</f>
        <v>90500</v>
      </c>
      <c r="M11" s="596">
        <f>K11</f>
        <v>4434500</v>
      </c>
      <c r="N11" s="625"/>
      <c r="Q11" s="1963"/>
      <c r="R11" s="1952"/>
      <c r="S11" s="1952"/>
      <c r="T11" s="1952"/>
    </row>
    <row r="12" spans="1:20" outlineLevel="1">
      <c r="A12" s="1931" t="s">
        <v>45</v>
      </c>
      <c r="B12" s="1913"/>
      <c r="C12" s="1913"/>
      <c r="D12" s="1913"/>
      <c r="E12" s="1913"/>
      <c r="F12" s="1913"/>
      <c r="G12" s="1913"/>
      <c r="H12" s="1913"/>
      <c r="I12" s="1913"/>
      <c r="J12" s="1913"/>
      <c r="K12" s="1913"/>
      <c r="L12" s="595"/>
      <c r="N12" s="626"/>
      <c r="O12" s="1958"/>
      <c r="Q12" s="1959"/>
      <c r="R12" s="1956"/>
      <c r="S12" s="1956"/>
      <c r="T12" s="1958"/>
    </row>
    <row r="13" spans="1:20" outlineLevel="1">
      <c r="A13" s="1932" t="s">
        <v>45</v>
      </c>
      <c r="B13" s="1923">
        <v>327</v>
      </c>
      <c r="C13" s="1934">
        <v>40000</v>
      </c>
      <c r="D13" s="1928">
        <f>B13*C13</f>
        <v>13080000</v>
      </c>
      <c r="E13" s="1935">
        <v>45000</v>
      </c>
      <c r="F13" s="1928">
        <f>B13*E13</f>
        <v>14715000</v>
      </c>
      <c r="G13" s="1940">
        <v>52500</v>
      </c>
      <c r="H13" s="1928">
        <f>B13*G13</f>
        <v>17167500</v>
      </c>
      <c r="I13" s="1914">
        <v>30000</v>
      </c>
      <c r="J13" s="1928">
        <f>B13*I13</f>
        <v>9810000</v>
      </c>
      <c r="K13" s="1936">
        <f>D13+H13+J13+F13</f>
        <v>54772500</v>
      </c>
      <c r="L13" s="627">
        <f>K13/B13</f>
        <v>167500</v>
      </c>
      <c r="M13" s="1958">
        <f>K13</f>
        <v>54772500</v>
      </c>
      <c r="N13" s="1961"/>
      <c r="O13" s="1952"/>
      <c r="Q13" s="1952"/>
      <c r="R13" s="1952"/>
      <c r="S13" s="1952"/>
      <c r="T13" s="1952"/>
    </row>
    <row r="14" spans="1:20" outlineLevel="1">
      <c r="A14" s="1915"/>
      <c r="B14" s="1915"/>
      <c r="C14" s="1915"/>
      <c r="D14" s="1915"/>
      <c r="E14" s="1915"/>
      <c r="F14" s="1915"/>
      <c r="G14" s="1924"/>
      <c r="H14" s="1915"/>
      <c r="I14" s="1924"/>
      <c r="J14" s="1915"/>
      <c r="K14" s="1937"/>
      <c r="L14" s="628"/>
      <c r="M14" s="1960"/>
      <c r="N14" s="1961"/>
      <c r="O14" s="629"/>
      <c r="Q14" s="630"/>
      <c r="R14" s="591"/>
      <c r="S14" s="591"/>
      <c r="T14" s="629"/>
    </row>
    <row r="15" spans="1:20" ht="25.5" outlineLevel="1">
      <c r="A15" s="631" t="s">
        <v>212</v>
      </c>
      <c r="B15" s="632">
        <v>330</v>
      </c>
      <c r="C15" s="633">
        <v>25000</v>
      </c>
      <c r="D15" s="634">
        <f>B15*C15</f>
        <v>8250000</v>
      </c>
      <c r="E15" s="635">
        <v>12000</v>
      </c>
      <c r="F15" s="634">
        <f>B15*E15</f>
        <v>3960000</v>
      </c>
      <c r="G15" s="1924"/>
      <c r="H15" s="634">
        <f>B15*G13</f>
        <v>17325000</v>
      </c>
      <c r="I15" s="1924"/>
      <c r="J15" s="634">
        <f>B15*I13</f>
        <v>9900000</v>
      </c>
      <c r="K15" s="636">
        <f>D15+H15+J15+F15</f>
        <v>39435000</v>
      </c>
      <c r="L15" s="637">
        <f>K15/B15</f>
        <v>119500</v>
      </c>
      <c r="M15" s="596">
        <f>K15</f>
        <v>39435000</v>
      </c>
      <c r="N15" s="630"/>
      <c r="O15" s="629"/>
      <c r="Q15" s="630"/>
      <c r="R15" s="591"/>
      <c r="S15" s="591"/>
      <c r="T15" s="629"/>
    </row>
    <row r="16" spans="1:20" ht="25.5" outlineLevel="1">
      <c r="A16" s="631" t="s">
        <v>210</v>
      </c>
      <c r="B16" s="632">
        <v>111.16887804878047</v>
      </c>
      <c r="C16" s="633">
        <v>15000</v>
      </c>
      <c r="D16" s="634">
        <f>B16*C16</f>
        <v>1667533.170731707</v>
      </c>
      <c r="E16" s="635">
        <v>2000</v>
      </c>
      <c r="F16" s="634">
        <f>B16*E16</f>
        <v>222337.75609756095</v>
      </c>
      <c r="G16" s="1924"/>
      <c r="H16" s="634">
        <f>B16*G13</f>
        <v>5836366.0975609748</v>
      </c>
      <c r="I16" s="1924"/>
      <c r="J16" s="634">
        <f>B16*I13</f>
        <v>3335066.341463414</v>
      </c>
      <c r="K16" s="636">
        <f>D16+H16+J16+F16</f>
        <v>11061303.365853658</v>
      </c>
      <c r="L16" s="637">
        <f>K16/B16</f>
        <v>99500.000000000015</v>
      </c>
      <c r="M16" s="596">
        <f>K16</f>
        <v>11061303.365853658</v>
      </c>
      <c r="N16" s="630"/>
      <c r="O16" s="629"/>
      <c r="Q16" s="630"/>
      <c r="R16" s="591"/>
      <c r="S16" s="591"/>
      <c r="T16" s="629"/>
    </row>
    <row r="17" spans="1:20" outlineLevel="1">
      <c r="A17" s="631" t="s">
        <v>197</v>
      </c>
      <c r="B17" s="632">
        <v>105.14999999999998</v>
      </c>
      <c r="C17" s="633">
        <v>11000</v>
      </c>
      <c r="D17" s="634">
        <f>B17*C17</f>
        <v>1156649.9999999998</v>
      </c>
      <c r="E17" s="635">
        <v>2000</v>
      </c>
      <c r="F17" s="634">
        <f>B17*E17</f>
        <v>210299.99999999994</v>
      </c>
      <c r="G17" s="1915"/>
      <c r="H17" s="638">
        <f>B17*G13</f>
        <v>5520374.9999999991</v>
      </c>
      <c r="I17" s="1915"/>
      <c r="J17" s="638">
        <f>B17*I13</f>
        <v>3154499.9999999995</v>
      </c>
      <c r="K17" s="639">
        <f>D17+H17+J17+F17</f>
        <v>10041824.999999998</v>
      </c>
      <c r="L17" s="637">
        <f>K17/B17</f>
        <v>95500</v>
      </c>
      <c r="M17" s="596">
        <f>K17</f>
        <v>10041824.999999998</v>
      </c>
      <c r="N17" s="1957"/>
      <c r="O17" s="1952"/>
      <c r="Q17" s="1957"/>
      <c r="R17" s="1952"/>
      <c r="S17" s="1952"/>
      <c r="T17" s="1952"/>
    </row>
    <row r="18" spans="1:20" outlineLevel="1">
      <c r="A18" s="1930" t="s">
        <v>579</v>
      </c>
      <c r="B18" s="1913"/>
      <c r="C18" s="1913"/>
      <c r="D18" s="1913"/>
      <c r="E18" s="1913"/>
      <c r="F18" s="1913"/>
      <c r="G18" s="1913"/>
      <c r="H18" s="1913"/>
      <c r="I18" s="1913"/>
      <c r="J18" s="1913"/>
      <c r="K18" s="1913"/>
      <c r="L18" s="595"/>
      <c r="N18" s="640"/>
      <c r="O18" s="596"/>
      <c r="Q18" s="640"/>
      <c r="R18" s="621"/>
      <c r="S18" s="591"/>
      <c r="T18" s="596"/>
    </row>
    <row r="19" spans="1:20" outlineLevel="1">
      <c r="A19" s="641" t="s">
        <v>252</v>
      </c>
      <c r="B19" s="622">
        <v>1943</v>
      </c>
      <c r="C19" s="633">
        <v>55000</v>
      </c>
      <c r="D19" s="615">
        <f>B19*C19</f>
        <v>106865000</v>
      </c>
      <c r="E19" s="642">
        <v>30000</v>
      </c>
      <c r="F19" s="615">
        <f>B19*E19</f>
        <v>58290000</v>
      </c>
      <c r="G19" s="643">
        <v>52500</v>
      </c>
      <c r="H19" s="638">
        <f>B19*G19</f>
        <v>102007500</v>
      </c>
      <c r="I19" s="643">
        <v>75000</v>
      </c>
      <c r="J19" s="615">
        <f>B19*I19</f>
        <v>145725000</v>
      </c>
      <c r="K19" s="617">
        <f>D19+H19+J19+F19</f>
        <v>412887500</v>
      </c>
      <c r="L19" s="618">
        <f>K19/B19</f>
        <v>212500</v>
      </c>
      <c r="M19" s="596">
        <f>K19</f>
        <v>412887500</v>
      </c>
      <c r="N19" s="630"/>
      <c r="O19" s="596"/>
      <c r="Q19" s="630"/>
      <c r="R19" s="621"/>
      <c r="S19" s="591"/>
      <c r="T19" s="596"/>
    </row>
    <row r="20" spans="1:20" outlineLevel="1">
      <c r="A20" s="1912" t="s">
        <v>19</v>
      </c>
      <c r="B20" s="1913"/>
      <c r="C20" s="1913"/>
      <c r="D20" s="1913"/>
      <c r="E20" s="1913"/>
      <c r="F20" s="1913"/>
      <c r="G20" s="1913"/>
      <c r="H20" s="1913"/>
      <c r="I20" s="1913"/>
      <c r="J20" s="1913"/>
      <c r="K20" s="1913"/>
      <c r="L20" s="595"/>
      <c r="N20" s="1955"/>
      <c r="O20" s="596"/>
      <c r="Q20" s="1955"/>
      <c r="R20" s="1956"/>
      <c r="S20" s="591"/>
      <c r="T20" s="596"/>
    </row>
    <row r="21" spans="1:20" outlineLevel="1">
      <c r="A21" s="1922" t="s">
        <v>580</v>
      </c>
      <c r="B21" s="1923">
        <v>175</v>
      </c>
      <c r="C21" s="644">
        <v>37000</v>
      </c>
      <c r="D21" s="599">
        <f>B21*C21</f>
        <v>6475000</v>
      </c>
      <c r="E21" s="600">
        <v>15000</v>
      </c>
      <c r="F21" s="599">
        <f>B21*E21</f>
        <v>2625000</v>
      </c>
      <c r="G21" s="1940">
        <v>52500</v>
      </c>
      <c r="H21" s="1925">
        <f>B21*G21</f>
        <v>9187500</v>
      </c>
      <c r="I21" s="1914">
        <v>25000</v>
      </c>
      <c r="J21" s="1925">
        <f>B21*I21</f>
        <v>4375000</v>
      </c>
      <c r="K21" s="601">
        <f>D21+H21+J21+F21</f>
        <v>22662500</v>
      </c>
      <c r="L21" s="602">
        <f>K21/B21</f>
        <v>129500</v>
      </c>
      <c r="M21" s="596">
        <f>K21</f>
        <v>22662500</v>
      </c>
      <c r="N21" s="1952"/>
      <c r="O21" s="596"/>
      <c r="Q21" s="1952"/>
      <c r="R21" s="1952"/>
      <c r="S21" s="591"/>
      <c r="T21" s="596"/>
    </row>
    <row r="22" spans="1:20" outlineLevel="1">
      <c r="A22" s="1915"/>
      <c r="B22" s="1915"/>
      <c r="C22" s="645">
        <v>80000</v>
      </c>
      <c r="D22" s="606">
        <f>B21*C22</f>
        <v>14000000</v>
      </c>
      <c r="E22" s="646">
        <v>30000</v>
      </c>
      <c r="F22" s="606">
        <f>B21*E22</f>
        <v>5250000</v>
      </c>
      <c r="G22" s="1924"/>
      <c r="H22" s="1915"/>
      <c r="I22" s="1924"/>
      <c r="J22" s="1915"/>
      <c r="K22" s="607">
        <f>D22+H21+J21+F22</f>
        <v>32812500</v>
      </c>
      <c r="L22" s="608">
        <f>K22/B21</f>
        <v>187500</v>
      </c>
      <c r="M22" s="596" t="s">
        <v>578</v>
      </c>
      <c r="N22" s="1955"/>
      <c r="O22" s="596"/>
      <c r="Q22" s="1955"/>
      <c r="R22" s="1956"/>
      <c r="S22" s="591"/>
      <c r="T22" s="596"/>
    </row>
    <row r="23" spans="1:20" outlineLevel="1">
      <c r="A23" s="1922" t="s">
        <v>581</v>
      </c>
      <c r="B23" s="1923">
        <v>135</v>
      </c>
      <c r="C23" s="644">
        <v>65000</v>
      </c>
      <c r="D23" s="599">
        <f>B23*C23</f>
        <v>8775000</v>
      </c>
      <c r="E23" s="600">
        <v>5000</v>
      </c>
      <c r="F23" s="599">
        <f>B23*E23</f>
        <v>675000</v>
      </c>
      <c r="G23" s="1924"/>
      <c r="H23" s="1929">
        <f>B23*G21</f>
        <v>7087500</v>
      </c>
      <c r="I23" s="1924"/>
      <c r="J23" s="1925">
        <f>B23*I21</f>
        <v>3375000</v>
      </c>
      <c r="K23" s="601">
        <f>D23+H23+J23+F23</f>
        <v>19912500</v>
      </c>
      <c r="L23" s="602">
        <f>K23/B23</f>
        <v>147500</v>
      </c>
      <c r="M23" s="596">
        <f>K23</f>
        <v>19912500</v>
      </c>
      <c r="N23" s="1952"/>
      <c r="O23" s="596"/>
      <c r="Q23" s="1952"/>
      <c r="R23" s="1952"/>
      <c r="S23" s="591"/>
      <c r="T23" s="596"/>
    </row>
    <row r="24" spans="1:20" outlineLevel="1">
      <c r="A24" s="1915"/>
      <c r="B24" s="1915"/>
      <c r="C24" s="645">
        <v>70000</v>
      </c>
      <c r="D24" s="606">
        <f>B23*C24</f>
        <v>9450000</v>
      </c>
      <c r="E24" s="646">
        <v>10000</v>
      </c>
      <c r="F24" s="606">
        <f>B23*E24</f>
        <v>1350000</v>
      </c>
      <c r="G24" s="1924"/>
      <c r="H24" s="1915"/>
      <c r="I24" s="1924"/>
      <c r="J24" s="1915"/>
      <c r="K24" s="647">
        <f>D24+H23+J23+F24</f>
        <v>21262500</v>
      </c>
      <c r="L24" s="648">
        <f>K24/B23</f>
        <v>157500</v>
      </c>
      <c r="M24" s="596" t="s">
        <v>578</v>
      </c>
      <c r="N24" s="630"/>
      <c r="O24" s="596"/>
      <c r="Q24" s="630"/>
      <c r="R24" s="621"/>
      <c r="S24" s="591"/>
      <c r="T24" s="596"/>
    </row>
    <row r="25" spans="1:20" outlineLevel="1">
      <c r="A25" s="631" t="s">
        <v>582</v>
      </c>
      <c r="B25" s="622">
        <v>138</v>
      </c>
      <c r="C25" s="633">
        <v>11000</v>
      </c>
      <c r="D25" s="638">
        <f>B25*C25</f>
        <v>1518000</v>
      </c>
      <c r="E25" s="649">
        <v>1000</v>
      </c>
      <c r="F25" s="638">
        <f>B25*E25</f>
        <v>138000</v>
      </c>
      <c r="G25" s="1915"/>
      <c r="H25" s="638">
        <f>B25*G21</f>
        <v>7245000</v>
      </c>
      <c r="I25" s="1915"/>
      <c r="J25" s="638">
        <f>B25*I21</f>
        <v>3450000</v>
      </c>
      <c r="K25" s="639">
        <f>D25+H25+J25+F25</f>
        <v>12351000</v>
      </c>
      <c r="L25" s="650">
        <f>K25/B25</f>
        <v>89500</v>
      </c>
      <c r="M25" s="596">
        <f>K25</f>
        <v>12351000</v>
      </c>
      <c r="N25" s="1957"/>
      <c r="O25" s="1952"/>
      <c r="Q25" s="1957"/>
      <c r="R25" s="1952"/>
      <c r="S25" s="1952"/>
      <c r="T25" s="1952"/>
    </row>
    <row r="26" spans="1:20" outlineLevel="1">
      <c r="A26" s="1930" t="s">
        <v>583</v>
      </c>
      <c r="B26" s="1913"/>
      <c r="C26" s="1913"/>
      <c r="D26" s="1913"/>
      <c r="E26" s="1913"/>
      <c r="F26" s="1913"/>
      <c r="G26" s="1913"/>
      <c r="H26" s="1913"/>
      <c r="I26" s="1913"/>
      <c r="J26" s="1913"/>
      <c r="K26" s="1913"/>
      <c r="L26" s="595"/>
      <c r="M26" s="596"/>
      <c r="N26" s="1953"/>
      <c r="O26" s="596"/>
      <c r="Q26" s="1953"/>
      <c r="R26" s="1954"/>
      <c r="S26" s="591"/>
      <c r="T26" s="596"/>
    </row>
    <row r="27" spans="1:20" outlineLevel="1">
      <c r="A27" s="1926" t="s">
        <v>584</v>
      </c>
      <c r="B27" s="1927">
        <v>385</v>
      </c>
      <c r="C27" s="644">
        <v>42000</v>
      </c>
      <c r="D27" s="599">
        <f>B27*C27</f>
        <v>16170000</v>
      </c>
      <c r="E27" s="600">
        <v>65000</v>
      </c>
      <c r="F27" s="599">
        <f>B27*E27</f>
        <v>25025000</v>
      </c>
      <c r="G27" s="1914">
        <v>52500</v>
      </c>
      <c r="H27" s="1928">
        <f>B27*G27</f>
        <v>20212500</v>
      </c>
      <c r="I27" s="1914">
        <v>25000</v>
      </c>
      <c r="J27" s="1928">
        <f>B27*I27</f>
        <v>9625000</v>
      </c>
      <c r="K27" s="601">
        <f>D27+H27+J27+F27</f>
        <v>71032500</v>
      </c>
      <c r="L27" s="602">
        <f>K27/B27</f>
        <v>184500</v>
      </c>
      <c r="M27" s="596">
        <f>K27</f>
        <v>71032500</v>
      </c>
      <c r="N27" s="1952"/>
      <c r="O27" s="596"/>
      <c r="Q27" s="1952"/>
      <c r="R27" s="1952"/>
      <c r="S27" s="591"/>
      <c r="T27" s="596"/>
    </row>
    <row r="28" spans="1:20" outlineLevel="1">
      <c r="A28" s="1915"/>
      <c r="B28" s="1915"/>
      <c r="C28" s="651">
        <v>80000</v>
      </c>
      <c r="D28" s="604">
        <f>B27*C28</f>
        <v>30800000</v>
      </c>
      <c r="E28" s="605">
        <v>70000</v>
      </c>
      <c r="F28" s="604">
        <f>B27*E28</f>
        <v>26950000</v>
      </c>
      <c r="G28" s="1924"/>
      <c r="H28" s="1915"/>
      <c r="I28" s="1924"/>
      <c r="J28" s="1915"/>
      <c r="K28" s="647">
        <f>D28+H27+J27+F28</f>
        <v>87587500</v>
      </c>
      <c r="L28" s="648">
        <f>K28/B27</f>
        <v>227500</v>
      </c>
      <c r="M28" s="596" t="s">
        <v>578</v>
      </c>
      <c r="N28" s="630"/>
      <c r="O28" s="652"/>
      <c r="Q28" s="630"/>
      <c r="R28" s="591"/>
      <c r="S28" s="591"/>
      <c r="T28" s="652"/>
    </row>
    <row r="29" spans="1:20" ht="25.5" outlineLevel="1">
      <c r="A29" s="631" t="s">
        <v>199</v>
      </c>
      <c r="B29" s="632">
        <v>42</v>
      </c>
      <c r="C29" s="633">
        <v>35000</v>
      </c>
      <c r="D29" s="638">
        <f>B29*C29</f>
        <v>1470000</v>
      </c>
      <c r="E29" s="649">
        <v>2000</v>
      </c>
      <c r="F29" s="638">
        <f>B29*E29</f>
        <v>84000</v>
      </c>
      <c r="G29" s="1915"/>
      <c r="H29" s="623">
        <f>B29*G27</f>
        <v>2205000</v>
      </c>
      <c r="I29" s="1915"/>
      <c r="J29" s="623">
        <f>B29*I27</f>
        <v>1050000</v>
      </c>
      <c r="K29" s="624">
        <f>D29+H29+J29+F29</f>
        <v>4809000</v>
      </c>
      <c r="L29" s="648">
        <f>K29/B29</f>
        <v>114500</v>
      </c>
      <c r="M29" s="596">
        <f>K29</f>
        <v>4809000</v>
      </c>
      <c r="N29" s="1951"/>
      <c r="O29" s="1952"/>
      <c r="Q29" s="1951"/>
      <c r="R29" s="1952"/>
      <c r="S29" s="1952"/>
      <c r="T29" s="1952"/>
    </row>
    <row r="30" spans="1:20" outlineLevel="1">
      <c r="A30" s="1912" t="s">
        <v>200</v>
      </c>
      <c r="B30" s="1913"/>
      <c r="C30" s="1913"/>
      <c r="D30" s="1913"/>
      <c r="E30" s="1913"/>
      <c r="F30" s="1913"/>
      <c r="G30" s="1913"/>
      <c r="H30" s="1913"/>
      <c r="I30" s="1913"/>
      <c r="J30" s="1913"/>
      <c r="K30" s="1913"/>
      <c r="L30" s="653"/>
      <c r="N30" s="630"/>
      <c r="O30" s="596"/>
      <c r="Q30" s="630"/>
      <c r="R30" s="654"/>
      <c r="S30" s="591"/>
      <c r="T30" s="596"/>
    </row>
    <row r="31" spans="1:20" outlineLevel="1">
      <c r="A31" s="631" t="s">
        <v>200</v>
      </c>
      <c r="B31" s="655">
        <v>7</v>
      </c>
      <c r="C31" s="633">
        <v>11000</v>
      </c>
      <c r="D31" s="615">
        <f>B31*C31</f>
        <v>77000</v>
      </c>
      <c r="E31" s="642">
        <v>2000</v>
      </c>
      <c r="F31" s="615">
        <f>B31*E31</f>
        <v>14000</v>
      </c>
      <c r="G31" s="1914">
        <v>52500</v>
      </c>
      <c r="H31" s="634">
        <f>B31*G31</f>
        <v>367500</v>
      </c>
      <c r="I31" s="1914">
        <v>25000</v>
      </c>
      <c r="J31" s="634">
        <f>B31*I31</f>
        <v>175000</v>
      </c>
      <c r="K31" s="636">
        <f>D31+H31+J31+F31</f>
        <v>633500</v>
      </c>
      <c r="L31" s="656">
        <f>K31/B31</f>
        <v>90500</v>
      </c>
      <c r="M31" s="596">
        <f>K31</f>
        <v>633500</v>
      </c>
      <c r="N31" s="630"/>
      <c r="O31" s="629"/>
      <c r="Q31" s="630"/>
      <c r="R31" s="591"/>
      <c r="S31" s="591"/>
      <c r="T31" s="629"/>
    </row>
    <row r="32" spans="1:20" ht="25.5" outlineLevel="1">
      <c r="A32" s="631" t="s">
        <v>199</v>
      </c>
      <c r="B32" s="632">
        <v>20</v>
      </c>
      <c r="C32" s="633">
        <v>15000</v>
      </c>
      <c r="D32" s="634">
        <f>B32*C32</f>
        <v>300000</v>
      </c>
      <c r="E32" s="649">
        <v>1000</v>
      </c>
      <c r="F32" s="634">
        <f>B32*E32</f>
        <v>20000</v>
      </c>
      <c r="G32" s="1915"/>
      <c r="H32" s="623">
        <f>B32*G31</f>
        <v>1050000</v>
      </c>
      <c r="I32" s="1915"/>
      <c r="J32" s="623">
        <f>B32*I31</f>
        <v>500000</v>
      </c>
      <c r="K32" s="624">
        <f>D32+H32+J32+F32</f>
        <v>1870000</v>
      </c>
      <c r="L32" s="656">
        <f>K32/B32</f>
        <v>93500</v>
      </c>
      <c r="M32" s="596">
        <f>K32</f>
        <v>1870000</v>
      </c>
      <c r="N32" s="1951"/>
      <c r="O32" s="1952"/>
      <c r="Q32" s="1951"/>
      <c r="R32" s="1952"/>
      <c r="S32" s="1952"/>
      <c r="T32" s="1952"/>
    </row>
    <row r="33" spans="1:20" outlineLevel="1">
      <c r="A33" s="1912" t="s">
        <v>201</v>
      </c>
      <c r="B33" s="1913"/>
      <c r="C33" s="1913"/>
      <c r="D33" s="1913"/>
      <c r="E33" s="1913"/>
      <c r="F33" s="1913"/>
      <c r="G33" s="1913"/>
      <c r="H33" s="1913"/>
      <c r="I33" s="1913"/>
      <c r="J33" s="1913"/>
      <c r="K33" s="1913"/>
      <c r="L33" s="653"/>
      <c r="N33" s="630"/>
      <c r="O33" s="596"/>
      <c r="Q33" s="630"/>
      <c r="R33" s="597"/>
      <c r="S33" s="591"/>
      <c r="T33" s="596"/>
    </row>
    <row r="34" spans="1:20" outlineLevel="1">
      <c r="A34" s="631" t="s">
        <v>201</v>
      </c>
      <c r="B34" s="657">
        <v>183</v>
      </c>
      <c r="C34" s="633">
        <v>11000</v>
      </c>
      <c r="D34" s="615">
        <f>B34*C34</f>
        <v>2013000</v>
      </c>
      <c r="E34" s="642">
        <v>1000</v>
      </c>
      <c r="F34" s="615">
        <f>B34*E34</f>
        <v>183000</v>
      </c>
      <c r="G34" s="1914">
        <v>52500</v>
      </c>
      <c r="H34" s="634">
        <f>B34*G34</f>
        <v>9607500</v>
      </c>
      <c r="I34" s="1914">
        <v>25000</v>
      </c>
      <c r="J34" s="634">
        <f>B34*I34</f>
        <v>4575000</v>
      </c>
      <c r="K34" s="636">
        <f>D34+H34+J34+F34</f>
        <v>16378500</v>
      </c>
      <c r="L34" s="656">
        <f>K34/B34</f>
        <v>89500</v>
      </c>
      <c r="M34" s="596">
        <f>K34</f>
        <v>16378500</v>
      </c>
      <c r="N34" s="630"/>
      <c r="O34" s="629"/>
      <c r="Q34" s="630"/>
      <c r="R34" s="591"/>
      <c r="S34" s="591"/>
      <c r="T34" s="629"/>
    </row>
    <row r="35" spans="1:20" ht="25.5" outlineLevel="1">
      <c r="A35" s="631" t="s">
        <v>202</v>
      </c>
      <c r="B35" s="632">
        <v>56.82</v>
      </c>
      <c r="C35" s="633">
        <v>15000</v>
      </c>
      <c r="D35" s="634">
        <f>B35*C35</f>
        <v>852300</v>
      </c>
      <c r="E35" s="649">
        <v>0</v>
      </c>
      <c r="F35" s="634">
        <f>B35*E35</f>
        <v>0</v>
      </c>
      <c r="G35" s="1915"/>
      <c r="H35" s="623">
        <f>B35*G34</f>
        <v>2983050</v>
      </c>
      <c r="I35" s="1915"/>
      <c r="J35" s="623">
        <f>B35*I34</f>
        <v>1420500</v>
      </c>
      <c r="K35" s="624">
        <f>D35+H35+J35+F35</f>
        <v>5255850</v>
      </c>
      <c r="L35" s="656">
        <f>K35/B35</f>
        <v>92500</v>
      </c>
      <c r="M35" s="596">
        <f>K35</f>
        <v>5255850</v>
      </c>
      <c r="N35" s="1951"/>
      <c r="O35" s="1952"/>
      <c r="Q35" s="1951"/>
      <c r="R35" s="1952"/>
      <c r="S35" s="1952"/>
      <c r="T35" s="1952"/>
    </row>
    <row r="36" spans="1:20" outlineLevel="1">
      <c r="A36" s="1912" t="s">
        <v>203</v>
      </c>
      <c r="B36" s="1913"/>
      <c r="C36" s="1913"/>
      <c r="D36" s="1913"/>
      <c r="E36" s="1913"/>
      <c r="F36" s="1913"/>
      <c r="G36" s="1913"/>
      <c r="H36" s="1913"/>
      <c r="I36" s="1913"/>
      <c r="J36" s="1913"/>
      <c r="K36" s="1913"/>
      <c r="L36" s="653"/>
      <c r="N36" s="630"/>
      <c r="O36" s="596"/>
      <c r="Q36" s="630"/>
      <c r="R36" s="597"/>
      <c r="S36" s="591"/>
      <c r="T36" s="596"/>
    </row>
    <row r="37" spans="1:20" outlineLevel="1">
      <c r="A37" s="631" t="s">
        <v>203</v>
      </c>
      <c r="B37" s="657">
        <v>168</v>
      </c>
      <c r="C37" s="633">
        <v>11000</v>
      </c>
      <c r="D37" s="615">
        <f>B37*C37</f>
        <v>1848000</v>
      </c>
      <c r="E37" s="642">
        <v>1000</v>
      </c>
      <c r="F37" s="615">
        <f>B37*E37</f>
        <v>168000</v>
      </c>
      <c r="G37" s="1914">
        <v>52500</v>
      </c>
      <c r="H37" s="634">
        <f>B37*G37</f>
        <v>8820000</v>
      </c>
      <c r="I37" s="1914">
        <v>25000</v>
      </c>
      <c r="J37" s="634">
        <f>B37*I37</f>
        <v>4200000</v>
      </c>
      <c r="K37" s="636">
        <f>D37+H37+J37+F37</f>
        <v>15036000</v>
      </c>
      <c r="L37" s="656">
        <f>K37/B37</f>
        <v>89500</v>
      </c>
      <c r="M37" s="596">
        <f>K37</f>
        <v>15036000</v>
      </c>
      <c r="N37" s="630"/>
      <c r="O37" s="629"/>
      <c r="Q37" s="630"/>
      <c r="R37" s="591"/>
      <c r="S37" s="591"/>
      <c r="T37" s="629"/>
    </row>
    <row r="38" spans="1:20" ht="25.5" outlineLevel="1">
      <c r="A38" s="631" t="s">
        <v>199</v>
      </c>
      <c r="B38" s="632">
        <v>33.299999999999997</v>
      </c>
      <c r="C38" s="633">
        <v>15000</v>
      </c>
      <c r="D38" s="634">
        <f>B38*C38</f>
        <v>499499.99999999994</v>
      </c>
      <c r="E38" s="649">
        <v>0</v>
      </c>
      <c r="F38" s="634">
        <f>B38*E38</f>
        <v>0</v>
      </c>
      <c r="G38" s="1915"/>
      <c r="H38" s="615">
        <f>B38*G37</f>
        <v>1748249.9999999998</v>
      </c>
      <c r="I38" s="1915"/>
      <c r="J38" s="615">
        <f>B38*I37</f>
        <v>832499.99999999988</v>
      </c>
      <c r="K38" s="617">
        <f>D38+H38+J38+F38</f>
        <v>3080249.9999999995</v>
      </c>
      <c r="L38" s="656">
        <f>K38/B38</f>
        <v>92500</v>
      </c>
      <c r="M38" s="596">
        <f>K38</f>
        <v>3080249.9999999995</v>
      </c>
      <c r="N38" s="658"/>
      <c r="O38" s="659"/>
      <c r="Q38" s="660"/>
      <c r="R38" s="661"/>
      <c r="S38" s="591"/>
      <c r="T38" s="596"/>
    </row>
    <row r="39" spans="1:20" outlineLevel="1">
      <c r="A39" s="631" t="s">
        <v>585</v>
      </c>
      <c r="B39" s="632">
        <v>800</v>
      </c>
      <c r="C39" s="633">
        <v>8000</v>
      </c>
      <c r="D39" s="634">
        <f>B39*C39</f>
        <v>6400000</v>
      </c>
      <c r="E39" s="649">
        <v>0</v>
      </c>
      <c r="F39" s="634">
        <f>B39*E39</f>
        <v>0</v>
      </c>
      <c r="G39" s="662">
        <v>52500</v>
      </c>
      <c r="H39" s="615">
        <f>B39*G39</f>
        <v>42000000</v>
      </c>
      <c r="I39" s="662">
        <v>0</v>
      </c>
      <c r="J39" s="615">
        <f>B39*I39</f>
        <v>0</v>
      </c>
      <c r="K39" s="617">
        <f>D39+F39+H39+J39</f>
        <v>48400000</v>
      </c>
      <c r="L39" s="656">
        <f>K39/B39</f>
        <v>60500</v>
      </c>
      <c r="M39" s="596">
        <v>49948000</v>
      </c>
      <c r="N39" s="658"/>
      <c r="O39" s="659"/>
      <c r="Q39" s="660"/>
      <c r="R39" s="661"/>
      <c r="S39" s="591"/>
      <c r="T39" s="596"/>
    </row>
    <row r="40" spans="1:20" outlineLevel="1">
      <c r="A40" s="1801" t="s">
        <v>385</v>
      </c>
      <c r="B40" s="1802">
        <v>1200</v>
      </c>
      <c r="C40" s="1803">
        <v>3000</v>
      </c>
      <c r="D40" s="1804">
        <f>B40*C40</f>
        <v>3600000</v>
      </c>
      <c r="E40" s="1805">
        <v>0</v>
      </c>
      <c r="F40" s="1804">
        <f>B40*E40</f>
        <v>0</v>
      </c>
      <c r="G40" s="1806">
        <v>33000</v>
      </c>
      <c r="H40" s="1807">
        <f>G40*B40</f>
        <v>39600000</v>
      </c>
      <c r="I40" s="1806">
        <v>15000</v>
      </c>
      <c r="J40" s="1807">
        <f>I40*B40</f>
        <v>18000000</v>
      </c>
      <c r="K40" s="1808">
        <f>J40+H40+F40+D40</f>
        <v>61200000</v>
      </c>
      <c r="L40" s="1809">
        <f>K40/B40</f>
        <v>51000</v>
      </c>
      <c r="M40" s="1810">
        <f>K40</f>
        <v>61200000</v>
      </c>
      <c r="N40" s="658"/>
      <c r="O40" s="659"/>
      <c r="Q40" s="660"/>
      <c r="R40" s="661"/>
      <c r="S40" s="591"/>
      <c r="T40" s="596"/>
    </row>
    <row r="41" spans="1:20" ht="18">
      <c r="A41" s="631" t="s">
        <v>586</v>
      </c>
      <c r="B41" s="744">
        <f>B7+B9+B10+B11+B13+B15+B16+B17+B19+B21+B23+B25+B27+B29+B31+B32+B34+B37+B38+B39+B40</f>
        <v>11947.618878048779</v>
      </c>
      <c r="C41" s="591"/>
      <c r="D41" s="629"/>
      <c r="E41" s="663"/>
      <c r="F41" s="629"/>
      <c r="G41" s="661"/>
      <c r="H41" s="596"/>
      <c r="I41" s="661"/>
      <c r="J41" s="596"/>
      <c r="K41" s="664"/>
      <c r="L41" s="793"/>
      <c r="M41" s="596"/>
      <c r="N41" s="658"/>
      <c r="O41" s="659"/>
      <c r="Q41" s="660"/>
      <c r="R41" s="661"/>
      <c r="S41" s="591"/>
      <c r="T41" s="596"/>
    </row>
    <row r="42" spans="1:20">
      <c r="A42" s="666" t="s">
        <v>587</v>
      </c>
      <c r="B42" s="667" t="s">
        <v>588</v>
      </c>
      <c r="C42" s="591"/>
      <c r="D42" s="629"/>
      <c r="E42" s="663"/>
      <c r="F42" s="629">
        <f>F7+F9+F10+F11+F13+F15+F16+F17+F19+F21+F23+F25+F27+F29+F31+F34+F37</f>
        <v>415269637.75609756</v>
      </c>
      <c r="G42" s="661"/>
      <c r="H42" s="596"/>
      <c r="I42" s="661"/>
      <c r="J42" s="596"/>
      <c r="K42" s="664"/>
      <c r="L42" s="793"/>
      <c r="M42" s="596"/>
      <c r="N42" s="658" t="s">
        <v>589</v>
      </c>
      <c r="O42" s="659"/>
      <c r="Q42" s="660"/>
      <c r="R42" s="661"/>
      <c r="S42" s="591"/>
      <c r="T42" s="596"/>
    </row>
    <row r="43" spans="1:20" ht="26.25">
      <c r="A43" s="668" t="s">
        <v>590</v>
      </c>
      <c r="B43" s="669"/>
      <c r="C43" s="591"/>
      <c r="D43" s="629"/>
      <c r="E43" s="663"/>
      <c r="F43" s="629"/>
      <c r="G43" s="661"/>
      <c r="H43" s="596"/>
      <c r="I43" s="661"/>
      <c r="J43" s="596"/>
      <c r="K43" s="664"/>
      <c r="L43" s="670">
        <f>M44/B41*1.2</f>
        <v>179369.98961160492</v>
      </c>
      <c r="M43" s="671">
        <v>150951</v>
      </c>
      <c r="N43" s="658"/>
      <c r="O43" s="659"/>
      <c r="Q43" s="660"/>
      <c r="R43" s="661"/>
      <c r="S43" s="591"/>
      <c r="T43" s="596"/>
    </row>
    <row r="44" spans="1:20" ht="23.25">
      <c r="A44" s="1938" t="s">
        <v>591</v>
      </c>
      <c r="B44" s="1917"/>
      <c r="C44" s="1917"/>
      <c r="D44" s="1917"/>
      <c r="E44" s="1917"/>
      <c r="F44" s="1917"/>
      <c r="G44" s="1917"/>
      <c r="H44" s="1917"/>
      <c r="I44" s="1917"/>
      <c r="J44" s="1917"/>
      <c r="K44" s="1917"/>
      <c r="L44" s="672" t="s">
        <v>592</v>
      </c>
      <c r="M44" s="673">
        <f>SUM(M7:M42)</f>
        <v>1785870228.3658535</v>
      </c>
      <c r="N44" s="674">
        <f>M44-F42</f>
        <v>1370600590.609756</v>
      </c>
    </row>
    <row r="45" spans="1:20" ht="31.5">
      <c r="A45" s="675"/>
      <c r="B45" s="676"/>
      <c r="C45" s="677"/>
      <c r="D45" s="678"/>
      <c r="E45" s="678"/>
      <c r="F45" s="678"/>
      <c r="G45" s="679"/>
      <c r="H45" s="679"/>
      <c r="I45" s="679"/>
      <c r="J45" s="679"/>
      <c r="K45" s="679"/>
      <c r="L45" s="680" t="s">
        <v>229</v>
      </c>
      <c r="M45" s="742">
        <f>SUM(K8,K9:K11,K13:K17,K19,K22,K24,K25,K28:K29,K31:K32,K34:K35,K37:K40)</f>
        <v>1897877228.3658535</v>
      </c>
      <c r="N45" s="743">
        <f>M45/B41</f>
        <v>158849.83005716739</v>
      </c>
    </row>
    <row r="46" spans="1:20" ht="31.5">
      <c r="A46" s="675"/>
      <c r="B46" s="676" t="s">
        <v>62</v>
      </c>
      <c r="C46" s="677"/>
      <c r="D46" s="678"/>
      <c r="E46" s="678"/>
      <c r="F46" s="678"/>
      <c r="G46" s="679"/>
      <c r="H46" s="679"/>
      <c r="I46" s="679"/>
      <c r="J46" s="679"/>
      <c r="K46" s="679"/>
      <c r="L46" s="793"/>
      <c r="M46" s="682"/>
    </row>
    <row r="47" spans="1:20" ht="75" outlineLevel="1">
      <c r="A47" s="584" t="s">
        <v>204</v>
      </c>
      <c r="B47" s="584" t="s">
        <v>205</v>
      </c>
      <c r="C47" s="585" t="s">
        <v>557</v>
      </c>
      <c r="D47" s="586" t="s">
        <v>558</v>
      </c>
      <c r="E47" s="585" t="s">
        <v>559</v>
      </c>
      <c r="F47" s="586" t="s">
        <v>560</v>
      </c>
      <c r="G47" s="585" t="s">
        <v>561</v>
      </c>
      <c r="H47" s="586" t="s">
        <v>562</v>
      </c>
      <c r="I47" s="585" t="s">
        <v>563</v>
      </c>
      <c r="J47" s="586" t="s">
        <v>564</v>
      </c>
      <c r="K47" s="587" t="s">
        <v>565</v>
      </c>
      <c r="L47" s="683" t="s">
        <v>566</v>
      </c>
    </row>
    <row r="48" spans="1:20" outlineLevel="1">
      <c r="A48" s="584" t="s">
        <v>567</v>
      </c>
      <c r="B48" s="584" t="s">
        <v>323</v>
      </c>
      <c r="C48" s="585" t="s">
        <v>568</v>
      </c>
      <c r="D48" s="586" t="s">
        <v>569</v>
      </c>
      <c r="E48" s="586" t="s">
        <v>570</v>
      </c>
      <c r="F48" s="586" t="s">
        <v>571</v>
      </c>
      <c r="G48" s="592" t="s">
        <v>572</v>
      </c>
      <c r="H48" s="592" t="s">
        <v>573</v>
      </c>
      <c r="I48" s="592" t="s">
        <v>574</v>
      </c>
      <c r="J48" s="592" t="s">
        <v>575</v>
      </c>
      <c r="K48" s="593" t="s">
        <v>576</v>
      </c>
      <c r="L48" s="594"/>
    </row>
    <row r="49" spans="1:13" outlineLevel="1">
      <c r="A49" s="1930" t="s">
        <v>206</v>
      </c>
      <c r="B49" s="1913"/>
      <c r="C49" s="1913"/>
      <c r="D49" s="1913"/>
      <c r="E49" s="1913"/>
      <c r="F49" s="1913"/>
      <c r="G49" s="1913"/>
      <c r="H49" s="1913"/>
      <c r="I49" s="1913"/>
      <c r="J49" s="1913"/>
      <c r="K49" s="1913"/>
      <c r="L49" s="595"/>
    </row>
    <row r="50" spans="1:13" outlineLevel="1">
      <c r="A50" s="1939" t="s">
        <v>577</v>
      </c>
      <c r="B50" s="1927">
        <v>3925</v>
      </c>
      <c r="C50" s="598">
        <v>30000</v>
      </c>
      <c r="D50" s="599">
        <f>B50*C50</f>
        <v>117750000</v>
      </c>
      <c r="E50" s="600">
        <v>45000</v>
      </c>
      <c r="F50" s="599">
        <f>B50*E50</f>
        <v>176625000</v>
      </c>
      <c r="G50" s="1940">
        <v>37000</v>
      </c>
      <c r="H50" s="1929">
        <f>B50*G50</f>
        <v>145225000</v>
      </c>
      <c r="I50" s="1914">
        <v>25000</v>
      </c>
      <c r="J50" s="1925">
        <f>B50*I50</f>
        <v>98125000</v>
      </c>
      <c r="K50" s="601">
        <f>D50+H50+J50+F50</f>
        <v>537725000</v>
      </c>
      <c r="L50" s="602">
        <f>K50/B50</f>
        <v>137000</v>
      </c>
      <c r="M50" s="596">
        <f>K50</f>
        <v>537725000</v>
      </c>
    </row>
    <row r="51" spans="1:13" outlineLevel="1">
      <c r="A51" s="1915"/>
      <c r="B51" s="1915"/>
      <c r="C51" s="684">
        <v>30000</v>
      </c>
      <c r="D51" s="606">
        <f>B50*C51</f>
        <v>117750000</v>
      </c>
      <c r="E51" s="646">
        <v>55000</v>
      </c>
      <c r="F51" s="606">
        <f>B50*E51</f>
        <v>215875000</v>
      </c>
      <c r="G51" s="1924"/>
      <c r="H51" s="1915"/>
      <c r="I51" s="1924"/>
      <c r="J51" s="1915"/>
      <c r="K51" s="607">
        <f>D51+H50+J50+F51</f>
        <v>576975000</v>
      </c>
      <c r="L51" s="608">
        <f>K51/B50</f>
        <v>147000</v>
      </c>
      <c r="M51" s="596"/>
    </row>
    <row r="52" spans="1:13" outlineLevel="1">
      <c r="A52" s="620" t="s">
        <v>196</v>
      </c>
      <c r="B52" s="613">
        <v>702</v>
      </c>
      <c r="C52" s="614">
        <v>15000</v>
      </c>
      <c r="D52" s="615">
        <f>B52*C52</f>
        <v>10530000</v>
      </c>
      <c r="E52" s="642">
        <v>0</v>
      </c>
      <c r="F52" s="615">
        <f>B52*E52</f>
        <v>0</v>
      </c>
      <c r="G52" s="1924"/>
      <c r="H52" s="615">
        <f>B52*G50</f>
        <v>25974000</v>
      </c>
      <c r="I52" s="1924"/>
      <c r="J52" s="615">
        <f>B52*I50</f>
        <v>17550000</v>
      </c>
      <c r="K52" s="617">
        <f>D52+H52+J52+F52</f>
        <v>54054000</v>
      </c>
      <c r="L52" s="608">
        <f>K52/B52</f>
        <v>77000</v>
      </c>
      <c r="M52" s="596">
        <f>K52</f>
        <v>54054000</v>
      </c>
    </row>
    <row r="53" spans="1:13" outlineLevel="1">
      <c r="A53" s="620" t="s">
        <v>207</v>
      </c>
      <c r="B53" s="613">
        <v>56</v>
      </c>
      <c r="C53" s="614">
        <v>11000</v>
      </c>
      <c r="D53" s="615">
        <f>B53*C53</f>
        <v>616000</v>
      </c>
      <c r="E53" s="642">
        <v>1000</v>
      </c>
      <c r="F53" s="615">
        <f>B53*E53</f>
        <v>56000</v>
      </c>
      <c r="G53" s="1924"/>
      <c r="H53" s="615">
        <f>B53*G50</f>
        <v>2072000</v>
      </c>
      <c r="I53" s="1924"/>
      <c r="J53" s="615">
        <f>B53*I50</f>
        <v>1400000</v>
      </c>
      <c r="K53" s="617">
        <f>D53+H53+J53+F53</f>
        <v>4144000</v>
      </c>
      <c r="L53" s="608">
        <f>K53/B53</f>
        <v>74000</v>
      </c>
      <c r="M53" s="596">
        <f>K53</f>
        <v>4144000</v>
      </c>
    </row>
    <row r="54" spans="1:13" outlineLevel="1">
      <c r="A54" s="620" t="s">
        <v>195</v>
      </c>
      <c r="B54" s="622">
        <v>49</v>
      </c>
      <c r="C54" s="614">
        <v>11000</v>
      </c>
      <c r="D54" s="615">
        <f>B54*C54</f>
        <v>539000</v>
      </c>
      <c r="E54" s="642">
        <v>1000</v>
      </c>
      <c r="F54" s="615">
        <f>B54*E54</f>
        <v>49000</v>
      </c>
      <c r="G54" s="1915"/>
      <c r="H54" s="623">
        <f>B54*G50</f>
        <v>1813000</v>
      </c>
      <c r="I54" s="1915"/>
      <c r="J54" s="623">
        <f>B54*I50</f>
        <v>1225000</v>
      </c>
      <c r="K54" s="624">
        <f>D54+H54+J54+F54</f>
        <v>3626000</v>
      </c>
      <c r="L54" s="608">
        <f>K54/B54</f>
        <v>74000</v>
      </c>
      <c r="M54" s="596">
        <f>K54</f>
        <v>3626000</v>
      </c>
    </row>
    <row r="55" spans="1:13" outlineLevel="1">
      <c r="A55" s="1931" t="s">
        <v>45</v>
      </c>
      <c r="B55" s="1913"/>
      <c r="C55" s="1913"/>
      <c r="D55" s="1913"/>
      <c r="E55" s="1913"/>
      <c r="F55" s="1913"/>
      <c r="G55" s="1913"/>
      <c r="H55" s="1913"/>
      <c r="I55" s="1913"/>
      <c r="J55" s="1913"/>
      <c r="K55" s="1913"/>
      <c r="L55" s="595"/>
      <c r="M55" s="596"/>
    </row>
    <row r="56" spans="1:13" outlineLevel="1">
      <c r="A56" s="1932" t="s">
        <v>211</v>
      </c>
      <c r="B56" s="1923">
        <v>313</v>
      </c>
      <c r="C56" s="1934">
        <v>40000</v>
      </c>
      <c r="D56" s="1928">
        <f>B56*C56</f>
        <v>12520000</v>
      </c>
      <c r="E56" s="1950">
        <v>35000</v>
      </c>
      <c r="F56" s="1928">
        <f>B56*E56</f>
        <v>10955000</v>
      </c>
      <c r="G56" s="1940">
        <v>37000</v>
      </c>
      <c r="H56" s="1928">
        <f>B56*G56</f>
        <v>11581000</v>
      </c>
      <c r="I56" s="1914">
        <v>25000</v>
      </c>
      <c r="J56" s="1928">
        <f>B56*I56</f>
        <v>7825000</v>
      </c>
      <c r="K56" s="1936">
        <f>D56+H56+J56+F56</f>
        <v>42881000</v>
      </c>
      <c r="L56" s="1920">
        <f>K56/B56</f>
        <v>137000</v>
      </c>
      <c r="M56" s="596">
        <f>K56</f>
        <v>42881000</v>
      </c>
    </row>
    <row r="57" spans="1:13" outlineLevel="1">
      <c r="A57" s="1915"/>
      <c r="B57" s="1915"/>
      <c r="C57" s="1915"/>
      <c r="D57" s="1915"/>
      <c r="E57" s="1915"/>
      <c r="F57" s="1915"/>
      <c r="G57" s="1924"/>
      <c r="H57" s="1915"/>
      <c r="I57" s="1924"/>
      <c r="J57" s="1915"/>
      <c r="K57" s="1937"/>
      <c r="L57" s="1921"/>
      <c r="M57" s="596"/>
    </row>
    <row r="58" spans="1:13" ht="25.5" outlineLevel="1">
      <c r="A58" s="631" t="s">
        <v>212</v>
      </c>
      <c r="B58" s="632">
        <v>300</v>
      </c>
      <c r="C58" s="633">
        <v>25000</v>
      </c>
      <c r="D58" s="634">
        <f>B58*C58</f>
        <v>7500000</v>
      </c>
      <c r="E58" s="649">
        <v>12000</v>
      </c>
      <c r="F58" s="634">
        <f>B58*E58</f>
        <v>3600000</v>
      </c>
      <c r="G58" s="1924"/>
      <c r="H58" s="634">
        <f>B58*G56</f>
        <v>11100000</v>
      </c>
      <c r="I58" s="1924"/>
      <c r="J58" s="634">
        <f>B58*I56</f>
        <v>7500000</v>
      </c>
      <c r="K58" s="636">
        <f>D58+H58+J58+F58</f>
        <v>29700000</v>
      </c>
      <c r="L58" s="637">
        <f>K58/B58</f>
        <v>99000</v>
      </c>
      <c r="M58" s="596">
        <f>K58</f>
        <v>29700000</v>
      </c>
    </row>
    <row r="59" spans="1:13" ht="25.5" outlineLevel="1">
      <c r="A59" s="631" t="s">
        <v>210</v>
      </c>
      <c r="B59" s="632">
        <v>74</v>
      </c>
      <c r="C59" s="633">
        <v>15000</v>
      </c>
      <c r="D59" s="634">
        <f>B59*C59</f>
        <v>1110000</v>
      </c>
      <c r="E59" s="649">
        <v>2000</v>
      </c>
      <c r="F59" s="634">
        <f>B59*E59</f>
        <v>148000</v>
      </c>
      <c r="G59" s="1924"/>
      <c r="H59" s="634">
        <f>B59*G56</f>
        <v>2738000</v>
      </c>
      <c r="I59" s="1924"/>
      <c r="J59" s="634">
        <f>B59*I56</f>
        <v>1850000</v>
      </c>
      <c r="K59" s="636">
        <f>D59+H59+J59+F59</f>
        <v>5846000</v>
      </c>
      <c r="L59" s="637">
        <f>K59/B59</f>
        <v>79000</v>
      </c>
      <c r="M59" s="596">
        <f>K59</f>
        <v>5846000</v>
      </c>
    </row>
    <row r="60" spans="1:13" outlineLevel="1">
      <c r="A60" s="631" t="s">
        <v>197</v>
      </c>
      <c r="B60" s="632">
        <v>59</v>
      </c>
      <c r="C60" s="633">
        <v>11000</v>
      </c>
      <c r="D60" s="634">
        <f>B60*C60</f>
        <v>649000</v>
      </c>
      <c r="E60" s="649">
        <v>2000</v>
      </c>
      <c r="F60" s="634">
        <f>B60*E60</f>
        <v>118000</v>
      </c>
      <c r="G60" s="1915"/>
      <c r="H60" s="638">
        <f>B60*G56</f>
        <v>2183000</v>
      </c>
      <c r="I60" s="1915"/>
      <c r="J60" s="638">
        <f>B60*I56</f>
        <v>1475000</v>
      </c>
      <c r="K60" s="639">
        <f>D60+H60+J60+F60</f>
        <v>4425000</v>
      </c>
      <c r="L60" s="637">
        <f>K60/B60</f>
        <v>75000</v>
      </c>
      <c r="M60" s="596">
        <f>K60</f>
        <v>4425000</v>
      </c>
    </row>
    <row r="61" spans="1:13" outlineLevel="1">
      <c r="A61" s="1930" t="s">
        <v>579</v>
      </c>
      <c r="B61" s="1913"/>
      <c r="C61" s="1913"/>
      <c r="D61" s="1913"/>
      <c r="E61" s="1913"/>
      <c r="F61" s="1913"/>
      <c r="G61" s="1913"/>
      <c r="H61" s="1913"/>
      <c r="I61" s="1913"/>
      <c r="J61" s="1913"/>
      <c r="K61" s="1913"/>
      <c r="L61" s="595"/>
      <c r="M61" s="596"/>
    </row>
    <row r="62" spans="1:13" outlineLevel="1">
      <c r="A62" s="631" t="s">
        <v>252</v>
      </c>
      <c r="B62" s="622">
        <v>3561</v>
      </c>
      <c r="C62" s="633">
        <v>55000</v>
      </c>
      <c r="D62" s="615">
        <f>B62*C62</f>
        <v>195855000</v>
      </c>
      <c r="E62" s="642">
        <v>30000</v>
      </c>
      <c r="F62" s="615">
        <f>B62*E62</f>
        <v>106830000</v>
      </c>
      <c r="G62" s="643">
        <v>52500</v>
      </c>
      <c r="H62" s="638">
        <f>B62*G62</f>
        <v>186952500</v>
      </c>
      <c r="I62" s="643">
        <v>75000</v>
      </c>
      <c r="J62" s="623">
        <f>B62*I62</f>
        <v>267075000</v>
      </c>
      <c r="K62" s="624">
        <f>D62+H62+J62+F62</f>
        <v>756712500</v>
      </c>
      <c r="L62" s="685">
        <f>K62/B62</f>
        <v>212500</v>
      </c>
      <c r="M62" s="596">
        <f>K62</f>
        <v>756712500</v>
      </c>
    </row>
    <row r="63" spans="1:13" outlineLevel="1">
      <c r="A63" s="1912" t="s">
        <v>19</v>
      </c>
      <c r="B63" s="1913"/>
      <c r="C63" s="1913"/>
      <c r="D63" s="1913"/>
      <c r="E63" s="1913"/>
      <c r="F63" s="1913"/>
      <c r="G63" s="1913"/>
      <c r="H63" s="1913"/>
      <c r="I63" s="1913"/>
      <c r="J63" s="1913"/>
      <c r="K63" s="1913"/>
      <c r="L63" s="595"/>
    </row>
    <row r="64" spans="1:13" outlineLevel="1">
      <c r="A64" s="1922" t="s">
        <v>580</v>
      </c>
      <c r="B64" s="1923">
        <v>520</v>
      </c>
      <c r="C64" s="644">
        <v>30000</v>
      </c>
      <c r="D64" s="599">
        <f>B64*C64</f>
        <v>15600000</v>
      </c>
      <c r="E64" s="600">
        <v>45000</v>
      </c>
      <c r="F64" s="599">
        <f>B64*E64</f>
        <v>23400000</v>
      </c>
      <c r="G64" s="1940">
        <v>37000</v>
      </c>
      <c r="H64" s="1925">
        <f>B64*G64</f>
        <v>19240000</v>
      </c>
      <c r="I64" s="1914">
        <v>25000</v>
      </c>
      <c r="J64" s="1925">
        <f>B64*I64</f>
        <v>13000000</v>
      </c>
      <c r="K64" s="601">
        <f>D64+H64+J64+F64</f>
        <v>71240000</v>
      </c>
      <c r="L64" s="602">
        <f>K64/B64</f>
        <v>137000</v>
      </c>
      <c r="M64" s="596">
        <f>K64</f>
        <v>71240000</v>
      </c>
    </row>
    <row r="65" spans="1:13" outlineLevel="1">
      <c r="A65" s="1915"/>
      <c r="B65" s="1915"/>
      <c r="C65" s="645">
        <v>40000</v>
      </c>
      <c r="D65" s="606">
        <f>B64*C65</f>
        <v>20800000</v>
      </c>
      <c r="E65" s="646">
        <v>55000</v>
      </c>
      <c r="F65" s="606">
        <f>B64*E65</f>
        <v>28600000</v>
      </c>
      <c r="G65" s="1924"/>
      <c r="H65" s="1915"/>
      <c r="I65" s="1924"/>
      <c r="J65" s="1915"/>
      <c r="K65" s="607">
        <f>D65+H64+J64+F65</f>
        <v>81640000</v>
      </c>
      <c r="L65" s="608">
        <f>K65/B64</f>
        <v>157000</v>
      </c>
      <c r="M65" s="596"/>
    </row>
    <row r="66" spans="1:13" outlineLevel="1">
      <c r="A66" s="1922" t="s">
        <v>581</v>
      </c>
      <c r="B66" s="1923">
        <v>135</v>
      </c>
      <c r="C66" s="644">
        <v>30000</v>
      </c>
      <c r="D66" s="599">
        <f>B66*C66</f>
        <v>4050000</v>
      </c>
      <c r="E66" s="600">
        <v>45000</v>
      </c>
      <c r="F66" s="599">
        <f>B66*E66</f>
        <v>6075000</v>
      </c>
      <c r="G66" s="1924"/>
      <c r="H66" s="1929">
        <f>B66*G64</f>
        <v>4995000</v>
      </c>
      <c r="I66" s="1924"/>
      <c r="J66" s="1925">
        <f>B66*I64</f>
        <v>3375000</v>
      </c>
      <c r="K66" s="601">
        <f>D66+H66+J66+F66</f>
        <v>18495000</v>
      </c>
      <c r="L66" s="602">
        <f>K66/B66</f>
        <v>137000</v>
      </c>
      <c r="M66" s="596">
        <f>K66</f>
        <v>18495000</v>
      </c>
    </row>
    <row r="67" spans="1:13" outlineLevel="1">
      <c r="A67" s="1915"/>
      <c r="B67" s="1915"/>
      <c r="C67" s="645">
        <v>50000</v>
      </c>
      <c r="D67" s="606">
        <f>B66*C67</f>
        <v>6750000</v>
      </c>
      <c r="E67" s="646">
        <v>55000</v>
      </c>
      <c r="F67" s="606">
        <f>B66*E67</f>
        <v>7425000</v>
      </c>
      <c r="G67" s="1924"/>
      <c r="H67" s="1915"/>
      <c r="I67" s="1924"/>
      <c r="J67" s="1915"/>
      <c r="K67" s="647">
        <f>D67+H66+J66+F67</f>
        <v>22545000</v>
      </c>
      <c r="L67" s="648">
        <f>K67/B66</f>
        <v>167000</v>
      </c>
      <c r="M67" s="596"/>
    </row>
    <row r="68" spans="1:13" outlineLevel="1">
      <c r="A68" s="631" t="s">
        <v>198</v>
      </c>
      <c r="B68" s="622">
        <v>138</v>
      </c>
      <c r="C68" s="633">
        <v>11000</v>
      </c>
      <c r="D68" s="638">
        <f>B68*C68</f>
        <v>1518000</v>
      </c>
      <c r="E68" s="649"/>
      <c r="F68" s="638">
        <f>B68*E68</f>
        <v>0</v>
      </c>
      <c r="G68" s="1915"/>
      <c r="H68" s="638">
        <f>B68*G64</f>
        <v>5106000</v>
      </c>
      <c r="I68" s="1915"/>
      <c r="J68" s="638">
        <f>B68*I64</f>
        <v>3450000</v>
      </c>
      <c r="K68" s="639">
        <f>D68+H68+J68+F68</f>
        <v>10074000</v>
      </c>
      <c r="L68" s="650">
        <f>K68/B68</f>
        <v>73000</v>
      </c>
      <c r="M68" s="596">
        <f>K68</f>
        <v>10074000</v>
      </c>
    </row>
    <row r="69" spans="1:13" outlineLevel="1">
      <c r="A69" s="1930" t="s">
        <v>583</v>
      </c>
      <c r="B69" s="1913"/>
      <c r="C69" s="1913"/>
      <c r="D69" s="1913"/>
      <c r="E69" s="1913"/>
      <c r="F69" s="1913"/>
      <c r="G69" s="1913"/>
      <c r="H69" s="1913"/>
      <c r="I69" s="1913"/>
      <c r="J69" s="1913"/>
      <c r="K69" s="1913"/>
      <c r="L69" s="595"/>
    </row>
    <row r="70" spans="1:13" outlineLevel="1">
      <c r="A70" s="1926" t="s">
        <v>584</v>
      </c>
      <c r="B70" s="1927">
        <v>385</v>
      </c>
      <c r="C70" s="644">
        <v>30000</v>
      </c>
      <c r="D70" s="599">
        <f>B70*C70</f>
        <v>11550000</v>
      </c>
      <c r="E70" s="600">
        <v>45000</v>
      </c>
      <c r="F70" s="599">
        <f>B70*E70</f>
        <v>17325000</v>
      </c>
      <c r="G70" s="1914">
        <v>37000</v>
      </c>
      <c r="H70" s="1928">
        <f>B70*G70</f>
        <v>14245000</v>
      </c>
      <c r="I70" s="1914">
        <v>25000</v>
      </c>
      <c r="J70" s="1928">
        <f>B70*I70</f>
        <v>9625000</v>
      </c>
      <c r="K70" s="601">
        <f>D70+H70+J70+F70</f>
        <v>52745000</v>
      </c>
      <c r="L70" s="602">
        <f>K70/$B$70</f>
        <v>137000</v>
      </c>
      <c r="M70" s="596">
        <f>K70</f>
        <v>52745000</v>
      </c>
    </row>
    <row r="71" spans="1:13" outlineLevel="1">
      <c r="A71" s="1915"/>
      <c r="B71" s="1915"/>
      <c r="C71" s="645">
        <v>50000</v>
      </c>
      <c r="D71" s="606">
        <f>B70*C71</f>
        <v>19250000</v>
      </c>
      <c r="E71" s="646">
        <v>55000</v>
      </c>
      <c r="F71" s="606">
        <f>B70*E71</f>
        <v>21175000</v>
      </c>
      <c r="G71" s="1924"/>
      <c r="H71" s="1915"/>
      <c r="I71" s="1924"/>
      <c r="J71" s="1915"/>
      <c r="K71" s="647">
        <f>D71+H70+J70+F71</f>
        <v>64295000</v>
      </c>
      <c r="L71" s="602">
        <f>K71/$B$70</f>
        <v>167000</v>
      </c>
      <c r="M71" s="596"/>
    </row>
    <row r="72" spans="1:13" ht="25.5" outlineLevel="1">
      <c r="A72" s="631" t="s">
        <v>199</v>
      </c>
      <c r="B72" s="632">
        <v>33</v>
      </c>
      <c r="C72" s="633">
        <v>15000</v>
      </c>
      <c r="D72" s="638">
        <f>B72*C72</f>
        <v>495000</v>
      </c>
      <c r="E72" s="649">
        <v>0</v>
      </c>
      <c r="F72" s="638">
        <f>B72*E72</f>
        <v>0</v>
      </c>
      <c r="G72" s="1915"/>
      <c r="H72" s="623">
        <f>B72*G70</f>
        <v>1221000</v>
      </c>
      <c r="I72" s="1915"/>
      <c r="J72" s="623">
        <f>B72*I70</f>
        <v>825000</v>
      </c>
      <c r="K72" s="624">
        <f>D72+H72+J72+F72</f>
        <v>2541000</v>
      </c>
      <c r="L72" s="685">
        <f>K72/B72</f>
        <v>77000</v>
      </c>
      <c r="M72" s="596">
        <f>K72</f>
        <v>2541000</v>
      </c>
    </row>
    <row r="73" spans="1:13" outlineLevel="1">
      <c r="A73" s="1912" t="s">
        <v>200</v>
      </c>
      <c r="B73" s="1913"/>
      <c r="C73" s="1913"/>
      <c r="D73" s="1913"/>
      <c r="E73" s="1913"/>
      <c r="F73" s="1913"/>
      <c r="G73" s="1913"/>
      <c r="H73" s="1913"/>
      <c r="I73" s="1913"/>
      <c r="J73" s="1913"/>
      <c r="K73" s="1913"/>
      <c r="L73" s="595"/>
    </row>
    <row r="74" spans="1:13" outlineLevel="1">
      <c r="A74" s="631" t="s">
        <v>200</v>
      </c>
      <c r="B74" s="655">
        <v>7</v>
      </c>
      <c r="C74" s="633">
        <v>11000</v>
      </c>
      <c r="D74" s="615">
        <f>B74*C74</f>
        <v>77000</v>
      </c>
      <c r="E74" s="642">
        <v>1000</v>
      </c>
      <c r="F74" s="615">
        <f>B74*E74</f>
        <v>7000</v>
      </c>
      <c r="G74" s="1914">
        <v>37000</v>
      </c>
      <c r="H74" s="634">
        <f>B74*G74</f>
        <v>259000</v>
      </c>
      <c r="I74" s="1914">
        <v>25000</v>
      </c>
      <c r="J74" s="634">
        <f>B74*I74</f>
        <v>175000</v>
      </c>
      <c r="K74" s="636">
        <f>D74+H74+J74+F74</f>
        <v>518000</v>
      </c>
      <c r="L74" s="637">
        <f>K74/B74</f>
        <v>74000</v>
      </c>
      <c r="M74" s="596">
        <f>K74</f>
        <v>518000</v>
      </c>
    </row>
    <row r="75" spans="1:13" ht="25.5" outlineLevel="1">
      <c r="A75" s="631" t="s">
        <v>199</v>
      </c>
      <c r="B75" s="632">
        <v>22</v>
      </c>
      <c r="C75" s="633">
        <v>15000</v>
      </c>
      <c r="D75" s="634">
        <f>B75*C75</f>
        <v>330000</v>
      </c>
      <c r="E75" s="649">
        <v>0</v>
      </c>
      <c r="F75" s="634">
        <f>B75*E75</f>
        <v>0</v>
      </c>
      <c r="G75" s="1915"/>
      <c r="H75" s="623">
        <f>B75*G74</f>
        <v>814000</v>
      </c>
      <c r="I75" s="1915"/>
      <c r="J75" s="623">
        <f>B75*I74</f>
        <v>550000</v>
      </c>
      <c r="K75" s="624">
        <f>D75+H75+J75+F75</f>
        <v>1694000</v>
      </c>
      <c r="L75" s="637">
        <f>K75/B75</f>
        <v>77000</v>
      </c>
      <c r="M75" s="596">
        <f>K75</f>
        <v>1694000</v>
      </c>
    </row>
    <row r="76" spans="1:13" outlineLevel="1">
      <c r="A76" s="1912" t="s">
        <v>201</v>
      </c>
      <c r="B76" s="1913"/>
      <c r="C76" s="1913"/>
      <c r="D76" s="1913"/>
      <c r="E76" s="1913"/>
      <c r="F76" s="1913"/>
      <c r="G76" s="1913"/>
      <c r="H76" s="1913"/>
      <c r="I76" s="1913"/>
      <c r="J76" s="1913"/>
      <c r="K76" s="1913"/>
      <c r="L76" s="595"/>
      <c r="M76" s="596"/>
    </row>
    <row r="77" spans="1:13" outlineLevel="1">
      <c r="A77" s="631" t="s">
        <v>201</v>
      </c>
      <c r="B77" s="657">
        <v>183</v>
      </c>
      <c r="C77" s="633">
        <v>11000</v>
      </c>
      <c r="D77" s="615">
        <v>2083400</v>
      </c>
      <c r="E77" s="642">
        <v>1000</v>
      </c>
      <c r="F77" s="615">
        <f>B77*E77</f>
        <v>183000</v>
      </c>
      <c r="G77" s="1914">
        <v>37000</v>
      </c>
      <c r="H77" s="634">
        <f>B77*G77</f>
        <v>6771000</v>
      </c>
      <c r="I77" s="1914">
        <v>25000</v>
      </c>
      <c r="J77" s="634">
        <f>B77*I77</f>
        <v>4575000</v>
      </c>
      <c r="K77" s="636">
        <f>D77+H77+J77+F77</f>
        <v>13612400</v>
      </c>
      <c r="L77" s="637">
        <f>K77/B77</f>
        <v>74384.699453551919</v>
      </c>
      <c r="M77" s="596">
        <f>K77</f>
        <v>13612400</v>
      </c>
    </row>
    <row r="78" spans="1:13" ht="25.5" outlineLevel="1">
      <c r="A78" s="631" t="s">
        <v>202</v>
      </c>
      <c r="B78" s="632">
        <v>28</v>
      </c>
      <c r="C78" s="633">
        <v>15000</v>
      </c>
      <c r="D78" s="634">
        <v>852300</v>
      </c>
      <c r="E78" s="649">
        <v>0</v>
      </c>
      <c r="F78" s="634">
        <f>B78*E78</f>
        <v>0</v>
      </c>
      <c r="G78" s="1915"/>
      <c r="H78" s="623">
        <f>B78*G77</f>
        <v>1036000</v>
      </c>
      <c r="I78" s="1915"/>
      <c r="J78" s="623">
        <f>B78*I77</f>
        <v>700000</v>
      </c>
      <c r="K78" s="624">
        <f>D78+H78+J78+F78</f>
        <v>2588300</v>
      </c>
      <c r="L78" s="637">
        <f>K78/B78</f>
        <v>92439.28571428571</v>
      </c>
      <c r="M78" s="596">
        <f>K78</f>
        <v>2588300</v>
      </c>
    </row>
    <row r="79" spans="1:13" outlineLevel="1">
      <c r="A79" s="1912" t="s">
        <v>203</v>
      </c>
      <c r="B79" s="1913"/>
      <c r="C79" s="1913"/>
      <c r="D79" s="1913"/>
      <c r="E79" s="1913"/>
      <c r="F79" s="1913"/>
      <c r="G79" s="1913"/>
      <c r="H79" s="1913"/>
      <c r="I79" s="1913"/>
      <c r="J79" s="1913"/>
      <c r="K79" s="1913"/>
      <c r="L79" s="595"/>
      <c r="M79" s="596"/>
    </row>
    <row r="80" spans="1:13" outlineLevel="1">
      <c r="A80" s="631" t="s">
        <v>203</v>
      </c>
      <c r="B80" s="657">
        <v>168</v>
      </c>
      <c r="C80" s="633">
        <v>11000</v>
      </c>
      <c r="D80" s="615">
        <v>1221000</v>
      </c>
      <c r="E80" s="642">
        <v>1000</v>
      </c>
      <c r="F80" s="615">
        <f>B80*E80</f>
        <v>168000</v>
      </c>
      <c r="G80" s="1914">
        <v>37000</v>
      </c>
      <c r="H80" s="634">
        <f>B80*G80</f>
        <v>6216000</v>
      </c>
      <c r="I80" s="1914">
        <v>25000</v>
      </c>
      <c r="J80" s="634">
        <f>B80*I80</f>
        <v>4200000</v>
      </c>
      <c r="K80" s="636">
        <f>D80+H80+J80+F80</f>
        <v>11805000</v>
      </c>
      <c r="L80" s="637">
        <f>K80/B80</f>
        <v>70267.857142857145</v>
      </c>
      <c r="M80" s="596">
        <f>K80</f>
        <v>11805000</v>
      </c>
    </row>
    <row r="81" spans="1:17" ht="25.5" outlineLevel="1">
      <c r="A81" s="631" t="s">
        <v>199</v>
      </c>
      <c r="B81" s="632">
        <v>17</v>
      </c>
      <c r="C81" s="633">
        <v>15000</v>
      </c>
      <c r="D81" s="634">
        <v>499499.99999999994</v>
      </c>
      <c r="E81" s="649">
        <v>0</v>
      </c>
      <c r="F81" s="634">
        <f>B81*E81</f>
        <v>0</v>
      </c>
      <c r="G81" s="1915"/>
      <c r="H81" s="615">
        <f>B81*G80</f>
        <v>629000</v>
      </c>
      <c r="I81" s="1915"/>
      <c r="J81" s="615">
        <f>B81*I80</f>
        <v>425000</v>
      </c>
      <c r="K81" s="617">
        <f>D81+H81+J81+F81</f>
        <v>1553500</v>
      </c>
      <c r="L81" s="637">
        <f>K81/B81</f>
        <v>91382.352941176476</v>
      </c>
      <c r="M81" s="596">
        <f>K81</f>
        <v>1553500</v>
      </c>
      <c r="N81" s="580" t="s">
        <v>589</v>
      </c>
    </row>
    <row r="82" spans="1:17" outlineLevel="1">
      <c r="A82" s="631" t="s">
        <v>593</v>
      </c>
      <c r="B82" s="686">
        <v>800</v>
      </c>
      <c r="C82" s="633">
        <v>8000</v>
      </c>
      <c r="D82" s="615">
        <f>B82*C82</f>
        <v>6400000</v>
      </c>
      <c r="E82" s="662">
        <v>0</v>
      </c>
      <c r="F82" s="687">
        <f>B82*E82</f>
        <v>0</v>
      </c>
      <c r="G82" s="662">
        <v>37000</v>
      </c>
      <c r="H82" s="615">
        <f>B82*G82</f>
        <v>29600000</v>
      </c>
      <c r="I82" s="662">
        <v>0</v>
      </c>
      <c r="J82" s="687">
        <f>B82*I82</f>
        <v>0</v>
      </c>
      <c r="K82" s="617">
        <f>D82+F82+H82+J82</f>
        <v>36000000</v>
      </c>
      <c r="L82" s="637">
        <f>K82/B82</f>
        <v>45000</v>
      </c>
      <c r="M82" s="664">
        <f>K82</f>
        <v>36000000</v>
      </c>
      <c r="N82" s="674">
        <f>M87-F85</f>
        <v>1386440700</v>
      </c>
    </row>
    <row r="83" spans="1:17" outlineLevel="1">
      <c r="A83" s="631" t="s">
        <v>291</v>
      </c>
      <c r="B83" s="686">
        <v>1000</v>
      </c>
      <c r="C83" s="633">
        <v>8000</v>
      </c>
      <c r="D83" s="615">
        <f>B83*C83</f>
        <v>8000000</v>
      </c>
      <c r="E83" s="662">
        <v>0</v>
      </c>
      <c r="F83" s="687">
        <v>0</v>
      </c>
      <c r="G83" s="662">
        <v>37000</v>
      </c>
      <c r="H83" s="615">
        <f>G83*B83</f>
        <v>37000000</v>
      </c>
      <c r="I83" s="662">
        <v>25000</v>
      </c>
      <c r="J83" s="687">
        <f>I83*B83</f>
        <v>25000000</v>
      </c>
      <c r="K83" s="617">
        <f>D83+H83+J83</f>
        <v>70000000</v>
      </c>
      <c r="L83" s="637">
        <f>K83/B83</f>
        <v>70000</v>
      </c>
      <c r="M83" s="664">
        <f>K83</f>
        <v>70000000</v>
      </c>
      <c r="N83" s="674"/>
    </row>
    <row r="84" spans="1:17" ht="18">
      <c r="A84" s="631" t="s">
        <v>586</v>
      </c>
      <c r="B84" s="744">
        <f>B50+B52+B53+B54+B56+B58+B59+B60+B62+B64+B66+B68+B70+B72+B74+B75+B77+B78+B80+B81+B82+B83</f>
        <v>12475</v>
      </c>
      <c r="C84" s="591"/>
      <c r="D84" s="596"/>
      <c r="E84" s="661"/>
      <c r="G84" s="661"/>
      <c r="H84" s="596"/>
      <c r="I84" s="661"/>
      <c r="K84" s="664"/>
      <c r="L84" s="664"/>
      <c r="M84" s="664"/>
      <c r="N84" s="793"/>
    </row>
    <row r="85" spans="1:17">
      <c r="A85" s="666" t="s">
        <v>587</v>
      </c>
      <c r="B85" s="688">
        <v>11000</v>
      </c>
      <c r="F85" s="596">
        <f>F50+F53+F54+F52+F56+F58+F59+F60+F62+F64+F66+F70+F72+F74+F77+F80</f>
        <v>345539000</v>
      </c>
    </row>
    <row r="86" spans="1:17" ht="26.25">
      <c r="A86" s="668" t="s">
        <v>590</v>
      </c>
      <c r="B86" s="664"/>
      <c r="F86" s="596"/>
      <c r="L86" s="689">
        <f>M87/B84*1.2</f>
        <v>166603.25771543087</v>
      </c>
      <c r="M86" s="671">
        <v>173296</v>
      </c>
    </row>
    <row r="87" spans="1:17" ht="23.25">
      <c r="A87" s="1949" t="s">
        <v>594</v>
      </c>
      <c r="B87" s="1917"/>
      <c r="C87" s="1917"/>
      <c r="D87" s="1917"/>
      <c r="E87" s="1917"/>
      <c r="F87" s="1917"/>
      <c r="G87" s="1917"/>
      <c r="H87" s="1917"/>
      <c r="I87" s="1917"/>
      <c r="J87" s="1917"/>
      <c r="K87" s="1917"/>
      <c r="L87" s="672" t="s">
        <v>592</v>
      </c>
      <c r="M87" s="690">
        <f>SUM(M50:M85)</f>
        <v>1731979700</v>
      </c>
    </row>
    <row r="88" spans="1:17" ht="31.5">
      <c r="A88" s="691"/>
      <c r="B88" s="676"/>
      <c r="C88" s="669"/>
      <c r="D88" s="596"/>
      <c r="E88" s="596"/>
      <c r="F88" s="596"/>
      <c r="L88" s="680" t="s">
        <v>229</v>
      </c>
      <c r="M88" s="681">
        <f>SUM(K51,K52:K54,K56:K60,K62,K65,K67,K68,K71,K72,K74:K75,K77:K78,K80:K83)</f>
        <v>1797229700</v>
      </c>
      <c r="N88" s="743">
        <f>M88/B84</f>
        <v>144066.50901803607</v>
      </c>
      <c r="Q88" s="745">
        <f>M88-Бюджет!G6</f>
        <v>0</v>
      </c>
    </row>
    <row r="89" spans="1:17" ht="31.5">
      <c r="A89" s="691"/>
      <c r="B89" s="676" t="s">
        <v>15</v>
      </c>
      <c r="C89" s="669"/>
      <c r="D89" s="596"/>
      <c r="E89" s="596"/>
      <c r="F89" s="596"/>
      <c r="L89" s="660"/>
      <c r="M89" s="692"/>
    </row>
    <row r="90" spans="1:17" ht="75" outlineLevel="1">
      <c r="A90" s="584" t="s">
        <v>204</v>
      </c>
      <c r="B90" s="584" t="s">
        <v>205</v>
      </c>
      <c r="C90" s="585" t="s">
        <v>557</v>
      </c>
      <c r="D90" s="586" t="s">
        <v>558</v>
      </c>
      <c r="E90" s="585" t="s">
        <v>559</v>
      </c>
      <c r="F90" s="586" t="s">
        <v>560</v>
      </c>
      <c r="G90" s="585" t="s">
        <v>561</v>
      </c>
      <c r="H90" s="586" t="s">
        <v>562</v>
      </c>
      <c r="I90" s="585" t="s">
        <v>563</v>
      </c>
      <c r="J90" s="586" t="s">
        <v>564</v>
      </c>
      <c r="K90" s="587" t="s">
        <v>565</v>
      </c>
      <c r="L90" s="683"/>
    </row>
    <row r="91" spans="1:17" outlineLevel="1">
      <c r="A91" s="584" t="s">
        <v>567</v>
      </c>
      <c r="B91" s="584" t="s">
        <v>323</v>
      </c>
      <c r="C91" s="585" t="s">
        <v>568</v>
      </c>
      <c r="D91" s="586" t="s">
        <v>569</v>
      </c>
      <c r="E91" s="586" t="s">
        <v>570</v>
      </c>
      <c r="F91" s="586" t="s">
        <v>571</v>
      </c>
      <c r="G91" s="592" t="s">
        <v>572</v>
      </c>
      <c r="H91" s="592" t="s">
        <v>573</v>
      </c>
      <c r="I91" s="592" t="s">
        <v>574</v>
      </c>
      <c r="J91" s="592" t="s">
        <v>575</v>
      </c>
      <c r="K91" s="593" t="s">
        <v>576</v>
      </c>
      <c r="L91" s="594"/>
    </row>
    <row r="92" spans="1:17" outlineLevel="1">
      <c r="A92" s="1930" t="s">
        <v>206</v>
      </c>
      <c r="B92" s="1913"/>
      <c r="C92" s="1913"/>
      <c r="D92" s="1913"/>
      <c r="E92" s="1913"/>
      <c r="F92" s="1913"/>
      <c r="G92" s="1913"/>
      <c r="H92" s="1913"/>
      <c r="I92" s="1913"/>
      <c r="J92" s="1913"/>
      <c r="K92" s="1913"/>
      <c r="L92" s="595"/>
    </row>
    <row r="93" spans="1:17" outlineLevel="1">
      <c r="A93" s="1939" t="s">
        <v>577</v>
      </c>
      <c r="B93" s="1927">
        <v>3780</v>
      </c>
      <c r="C93" s="598">
        <v>25000</v>
      </c>
      <c r="D93" s="599">
        <f>B93*C93</f>
        <v>94500000</v>
      </c>
      <c r="E93" s="600">
        <v>32000</v>
      </c>
      <c r="F93" s="599">
        <f>B93*E93</f>
        <v>120960000</v>
      </c>
      <c r="G93" s="1940">
        <v>33000</v>
      </c>
      <c r="H93" s="1929">
        <f>B93*G93</f>
        <v>124740000</v>
      </c>
      <c r="I93" s="1914">
        <v>15000</v>
      </c>
      <c r="J93" s="1925">
        <f>B93*I93</f>
        <v>56700000</v>
      </c>
      <c r="K93" s="601">
        <f>D93+H93+J93+F93</f>
        <v>396900000</v>
      </c>
      <c r="L93" s="602">
        <f>K93/B93</f>
        <v>105000</v>
      </c>
      <c r="M93" s="596">
        <f>K93</f>
        <v>396900000</v>
      </c>
    </row>
    <row r="94" spans="1:17" outlineLevel="1">
      <c r="A94" s="1915"/>
      <c r="B94" s="1915"/>
      <c r="C94" s="684">
        <v>45000</v>
      </c>
      <c r="D94" s="606">
        <f>B93*C94</f>
        <v>170100000</v>
      </c>
      <c r="E94" s="646">
        <v>37000</v>
      </c>
      <c r="F94" s="606">
        <f>B93*E94</f>
        <v>139860000</v>
      </c>
      <c r="G94" s="1924"/>
      <c r="H94" s="1915"/>
      <c r="I94" s="1924"/>
      <c r="J94" s="1915"/>
      <c r="K94" s="607">
        <f>D94+H93+J93+F94</f>
        <v>491400000</v>
      </c>
      <c r="L94" s="608">
        <f>K94/B93</f>
        <v>130000</v>
      </c>
      <c r="M94" s="596" t="s">
        <v>578</v>
      </c>
    </row>
    <row r="95" spans="1:17" outlineLevel="1">
      <c r="A95" s="620" t="s">
        <v>196</v>
      </c>
      <c r="B95" s="613">
        <v>800</v>
      </c>
      <c r="C95" s="614">
        <v>11000</v>
      </c>
      <c r="D95" s="615">
        <f>B95*C95</f>
        <v>8800000</v>
      </c>
      <c r="E95" s="642"/>
      <c r="F95" s="615">
        <f>B95*E95</f>
        <v>0</v>
      </c>
      <c r="G95" s="1924"/>
      <c r="H95" s="615">
        <f>B95*G93</f>
        <v>26400000</v>
      </c>
      <c r="I95" s="1924"/>
      <c r="J95" s="615">
        <f>B95*I93</f>
        <v>12000000</v>
      </c>
      <c r="K95" s="617">
        <f>D95+H95+J95+F95</f>
        <v>47200000</v>
      </c>
      <c r="L95" s="618">
        <f>K95/B95</f>
        <v>59000</v>
      </c>
      <c r="M95" s="596">
        <f>K95</f>
        <v>47200000</v>
      </c>
    </row>
    <row r="96" spans="1:17" outlineLevel="1">
      <c r="A96" s="620" t="s">
        <v>207</v>
      </c>
      <c r="B96" s="613">
        <v>52</v>
      </c>
      <c r="C96" s="614">
        <v>11000</v>
      </c>
      <c r="D96" s="615">
        <f>B96*C96</f>
        <v>572000</v>
      </c>
      <c r="E96" s="642"/>
      <c r="F96" s="615">
        <f>B96*E96</f>
        <v>0</v>
      </c>
      <c r="G96" s="1924"/>
      <c r="H96" s="615">
        <f>B96*G93</f>
        <v>1716000</v>
      </c>
      <c r="I96" s="1924"/>
      <c r="J96" s="615">
        <f>B96*I93</f>
        <v>780000</v>
      </c>
      <c r="K96" s="617">
        <f>D96+H96+J96+F96</f>
        <v>3068000</v>
      </c>
      <c r="L96" s="618">
        <f>K96/B96</f>
        <v>59000</v>
      </c>
      <c r="M96" s="596">
        <f>K96</f>
        <v>3068000</v>
      </c>
    </row>
    <row r="97" spans="1:13" outlineLevel="1">
      <c r="A97" s="620" t="s">
        <v>195</v>
      </c>
      <c r="B97" s="622">
        <v>31</v>
      </c>
      <c r="C97" s="614">
        <v>11000</v>
      </c>
      <c r="D97" s="615">
        <f>B97*C97</f>
        <v>341000</v>
      </c>
      <c r="E97" s="642"/>
      <c r="F97" s="615">
        <f>B97*E97</f>
        <v>0</v>
      </c>
      <c r="G97" s="1915"/>
      <c r="H97" s="623">
        <f>B97*G93</f>
        <v>1023000</v>
      </c>
      <c r="I97" s="1915"/>
      <c r="J97" s="623">
        <f>B97*I93</f>
        <v>465000</v>
      </c>
      <c r="K97" s="624">
        <f>D97+H97+J97+F97</f>
        <v>1829000</v>
      </c>
      <c r="L97" s="618">
        <f>K97/B97</f>
        <v>59000</v>
      </c>
      <c r="M97" s="596">
        <f>K97</f>
        <v>1829000</v>
      </c>
    </row>
    <row r="98" spans="1:13" outlineLevel="1">
      <c r="A98" s="1931" t="s">
        <v>45</v>
      </c>
      <c r="B98" s="1913"/>
      <c r="C98" s="1913"/>
      <c r="D98" s="1913"/>
      <c r="E98" s="1913"/>
      <c r="F98" s="1913"/>
      <c r="G98" s="1913"/>
      <c r="H98" s="1913"/>
      <c r="I98" s="1913"/>
      <c r="J98" s="1913"/>
      <c r="K98" s="1913"/>
      <c r="L98" s="595"/>
      <c r="M98" s="596"/>
    </row>
    <row r="99" spans="1:13" outlineLevel="1">
      <c r="A99" s="1932" t="s">
        <v>595</v>
      </c>
      <c r="B99" s="1923">
        <v>300</v>
      </c>
      <c r="C99" s="1934">
        <v>40000</v>
      </c>
      <c r="D99" s="1928">
        <f>B99*C99</f>
        <v>12000000</v>
      </c>
      <c r="E99" s="1935">
        <v>30000</v>
      </c>
      <c r="F99" s="1928">
        <f>B99*E99</f>
        <v>9000000</v>
      </c>
      <c r="G99" s="1914">
        <v>33000</v>
      </c>
      <c r="H99" s="1928">
        <f>B99*G99</f>
        <v>9900000</v>
      </c>
      <c r="I99" s="1914">
        <v>25000</v>
      </c>
      <c r="J99" s="1928">
        <f>B99*I99</f>
        <v>7500000</v>
      </c>
      <c r="K99" s="1936">
        <f>D99+H99+J99+F99</f>
        <v>38400000</v>
      </c>
      <c r="L99" s="1920">
        <f>K99/B99</f>
        <v>128000</v>
      </c>
      <c r="M99" s="596">
        <f>K99</f>
        <v>38400000</v>
      </c>
    </row>
    <row r="100" spans="1:13" outlineLevel="1">
      <c r="A100" s="1915"/>
      <c r="B100" s="1915"/>
      <c r="C100" s="1915"/>
      <c r="D100" s="1915"/>
      <c r="E100" s="1915"/>
      <c r="F100" s="1915"/>
      <c r="G100" s="1924"/>
      <c r="H100" s="1915"/>
      <c r="I100" s="1924"/>
      <c r="J100" s="1915"/>
      <c r="K100" s="1937"/>
      <c r="L100" s="1921"/>
      <c r="M100" s="596"/>
    </row>
    <row r="101" spans="1:13" ht="25.5" outlineLevel="1">
      <c r="A101" s="631" t="s">
        <v>212</v>
      </c>
      <c r="B101" s="632">
        <v>300</v>
      </c>
      <c r="C101" s="633">
        <v>25000</v>
      </c>
      <c r="D101" s="634">
        <f>B101*C101</f>
        <v>7500000</v>
      </c>
      <c r="E101" s="635">
        <v>12000</v>
      </c>
      <c r="F101" s="634">
        <f>B101*E101</f>
        <v>3600000</v>
      </c>
      <c r="G101" s="1924"/>
      <c r="H101" s="634">
        <f>B101*G99</f>
        <v>9900000</v>
      </c>
      <c r="I101" s="1924"/>
      <c r="J101" s="634">
        <f>B101*I99</f>
        <v>7500000</v>
      </c>
      <c r="K101" s="636">
        <f>D101+H101+J101+F101</f>
        <v>28500000</v>
      </c>
      <c r="L101" s="637">
        <f>K101/B101</f>
        <v>95000</v>
      </c>
      <c r="M101" s="596">
        <f>K101</f>
        <v>28500000</v>
      </c>
    </row>
    <row r="102" spans="1:13" ht="25.5" outlineLevel="1">
      <c r="A102" s="631" t="s">
        <v>210</v>
      </c>
      <c r="B102" s="632">
        <v>234</v>
      </c>
      <c r="C102" s="633">
        <v>11000</v>
      </c>
      <c r="D102" s="634">
        <f>B102*C102</f>
        <v>2574000</v>
      </c>
      <c r="E102" s="635">
        <v>2000</v>
      </c>
      <c r="F102" s="634">
        <f>B102*E102</f>
        <v>468000</v>
      </c>
      <c r="G102" s="1924"/>
      <c r="H102" s="634">
        <f>B102*G99</f>
        <v>7722000</v>
      </c>
      <c r="I102" s="1924"/>
      <c r="J102" s="634">
        <f>B102*I99</f>
        <v>5850000</v>
      </c>
      <c r="K102" s="636">
        <f>D102+H102+J102+F102</f>
        <v>16614000</v>
      </c>
      <c r="L102" s="637">
        <f>K102/B102</f>
        <v>71000</v>
      </c>
      <c r="M102" s="596">
        <f>K102</f>
        <v>16614000</v>
      </c>
    </row>
    <row r="103" spans="1:13" outlineLevel="1">
      <c r="A103" s="631" t="s">
        <v>197</v>
      </c>
      <c r="B103" s="632">
        <v>210</v>
      </c>
      <c r="C103" s="633">
        <v>11000</v>
      </c>
      <c r="D103" s="634">
        <f>B103*C103</f>
        <v>2310000</v>
      </c>
      <c r="E103" s="635">
        <v>2000</v>
      </c>
      <c r="F103" s="634">
        <f>B103*E103</f>
        <v>420000</v>
      </c>
      <c r="G103" s="1915"/>
      <c r="H103" s="638">
        <f>B103*G99</f>
        <v>6930000</v>
      </c>
      <c r="I103" s="1915"/>
      <c r="J103" s="638">
        <f>B103*I99</f>
        <v>5250000</v>
      </c>
      <c r="K103" s="639">
        <f>D103+H103+J103+F103</f>
        <v>14910000</v>
      </c>
      <c r="L103" s="637">
        <f>K103/B103</f>
        <v>71000</v>
      </c>
      <c r="M103" s="596">
        <f>K103</f>
        <v>14910000</v>
      </c>
    </row>
    <row r="104" spans="1:13" outlineLevel="1">
      <c r="A104" s="1912" t="s">
        <v>19</v>
      </c>
      <c r="B104" s="1913"/>
      <c r="C104" s="1913"/>
      <c r="D104" s="1913"/>
      <c r="E104" s="1913"/>
      <c r="F104" s="1913"/>
      <c r="G104" s="1913"/>
      <c r="H104" s="1913"/>
      <c r="I104" s="1913"/>
      <c r="J104" s="1913"/>
      <c r="K104" s="1913"/>
      <c r="L104" s="595"/>
      <c r="M104" s="596"/>
    </row>
    <row r="105" spans="1:13" outlineLevel="1">
      <c r="A105" s="1922" t="s">
        <v>580</v>
      </c>
      <c r="B105" s="1923">
        <v>100</v>
      </c>
      <c r="C105" s="644">
        <v>25000</v>
      </c>
      <c r="D105" s="599">
        <f>B105*C105</f>
        <v>2500000</v>
      </c>
      <c r="E105" s="600">
        <v>32000</v>
      </c>
      <c r="F105" s="599">
        <f>B105*E105</f>
        <v>3200000</v>
      </c>
      <c r="G105" s="1914">
        <v>33000</v>
      </c>
      <c r="H105" s="1925">
        <f>B105*G105</f>
        <v>3300000</v>
      </c>
      <c r="I105" s="1914">
        <v>15000</v>
      </c>
      <c r="J105" s="1925">
        <f>B105*I105</f>
        <v>1500000</v>
      </c>
      <c r="K105" s="601">
        <f>D105+H105+J105+F105</f>
        <v>10500000</v>
      </c>
      <c r="L105" s="602">
        <f>K105/B105</f>
        <v>105000</v>
      </c>
      <c r="M105" s="596">
        <f>K105</f>
        <v>10500000</v>
      </c>
    </row>
    <row r="106" spans="1:13" outlineLevel="1">
      <c r="A106" s="1915"/>
      <c r="B106" s="1915"/>
      <c r="C106" s="645">
        <v>35000</v>
      </c>
      <c r="D106" s="606">
        <f>B105*C106</f>
        <v>3500000</v>
      </c>
      <c r="E106" s="646">
        <v>37000</v>
      </c>
      <c r="F106" s="606">
        <f>B105*E106</f>
        <v>3700000</v>
      </c>
      <c r="G106" s="1924"/>
      <c r="H106" s="1915"/>
      <c r="I106" s="1924"/>
      <c r="J106" s="1915"/>
      <c r="K106" s="607">
        <f>D106+H105+J105+F106</f>
        <v>12000000</v>
      </c>
      <c r="L106" s="608">
        <f>K106/B105</f>
        <v>120000</v>
      </c>
      <c r="M106" s="596" t="s">
        <v>578</v>
      </c>
    </row>
    <row r="107" spans="1:13" outlineLevel="1">
      <c r="A107" s="1922" t="s">
        <v>581</v>
      </c>
      <c r="B107" s="1923">
        <v>35</v>
      </c>
      <c r="C107" s="644">
        <v>25000</v>
      </c>
      <c r="D107" s="599">
        <f>B107*C107</f>
        <v>875000</v>
      </c>
      <c r="E107" s="600">
        <v>32000</v>
      </c>
      <c r="F107" s="599">
        <f>B107*E107</f>
        <v>1120000</v>
      </c>
      <c r="G107" s="1924"/>
      <c r="H107" s="1929">
        <f>B107*G105</f>
        <v>1155000</v>
      </c>
      <c r="I107" s="1924"/>
      <c r="J107" s="1925">
        <f>B107*I105</f>
        <v>525000</v>
      </c>
      <c r="K107" s="601">
        <f>D107+H107+J107+F107</f>
        <v>3675000</v>
      </c>
      <c r="L107" s="602">
        <f>K107/B107</f>
        <v>105000</v>
      </c>
      <c r="M107" s="596">
        <f>K107</f>
        <v>3675000</v>
      </c>
    </row>
    <row r="108" spans="1:13" outlineLevel="1">
      <c r="A108" s="1915"/>
      <c r="B108" s="1915"/>
      <c r="C108" s="645">
        <v>35000</v>
      </c>
      <c r="D108" s="606">
        <f>B107*C108</f>
        <v>1225000</v>
      </c>
      <c r="E108" s="646">
        <v>37000</v>
      </c>
      <c r="F108" s="606">
        <f>B107*E108</f>
        <v>1295000</v>
      </c>
      <c r="G108" s="1924"/>
      <c r="H108" s="1915"/>
      <c r="I108" s="1924"/>
      <c r="J108" s="1915"/>
      <c r="K108" s="647">
        <f>D108+H107+J107+F108</f>
        <v>4200000</v>
      </c>
      <c r="L108" s="648">
        <f>K108/B107</f>
        <v>120000</v>
      </c>
      <c r="M108" s="596" t="s">
        <v>578</v>
      </c>
    </row>
    <row r="109" spans="1:13" outlineLevel="1">
      <c r="A109" s="631" t="s">
        <v>198</v>
      </c>
      <c r="B109" s="622">
        <v>50</v>
      </c>
      <c r="C109" s="633">
        <v>11000</v>
      </c>
      <c r="D109" s="638">
        <f>B109*C109</f>
        <v>550000</v>
      </c>
      <c r="E109" s="638"/>
      <c r="F109" s="638">
        <f>B109*E109</f>
        <v>0</v>
      </c>
      <c r="G109" s="1915"/>
      <c r="H109" s="638">
        <f>B109*G105</f>
        <v>1650000</v>
      </c>
      <c r="I109" s="1915"/>
      <c r="J109" s="638">
        <f>B109*I105</f>
        <v>750000</v>
      </c>
      <c r="K109" s="639">
        <f>D109+H109+J109+F109</f>
        <v>2950000</v>
      </c>
      <c r="L109" s="650">
        <f>K109/B109</f>
        <v>59000</v>
      </c>
      <c r="M109" s="596">
        <f>K109</f>
        <v>2950000</v>
      </c>
    </row>
    <row r="110" spans="1:13" outlineLevel="1">
      <c r="A110" s="1930" t="s">
        <v>583</v>
      </c>
      <c r="B110" s="1913"/>
      <c r="C110" s="1913"/>
      <c r="D110" s="1913"/>
      <c r="E110" s="1913"/>
      <c r="F110" s="1913"/>
      <c r="G110" s="1913"/>
      <c r="H110" s="1913"/>
      <c r="I110" s="1913"/>
      <c r="J110" s="1913"/>
      <c r="K110" s="1913"/>
      <c r="L110" s="595"/>
      <c r="M110" s="596"/>
    </row>
    <row r="111" spans="1:13" outlineLevel="1">
      <c r="A111" s="1926" t="s">
        <v>584</v>
      </c>
      <c r="B111" s="1927">
        <v>159</v>
      </c>
      <c r="C111" s="644">
        <v>25000</v>
      </c>
      <c r="D111" s="599">
        <f>B111*C111</f>
        <v>3975000</v>
      </c>
      <c r="E111" s="600">
        <v>32000</v>
      </c>
      <c r="F111" s="599">
        <f>B111*E111</f>
        <v>5088000</v>
      </c>
      <c r="G111" s="1914">
        <v>33000</v>
      </c>
      <c r="H111" s="1928">
        <f>B111*G111</f>
        <v>5247000</v>
      </c>
      <c r="I111" s="1914">
        <v>15000</v>
      </c>
      <c r="J111" s="1928">
        <f>B111*I111</f>
        <v>2385000</v>
      </c>
      <c r="K111" s="601">
        <f>D111+H111+J111+F111</f>
        <v>16695000</v>
      </c>
      <c r="L111" s="602">
        <f>K111/B111</f>
        <v>105000</v>
      </c>
      <c r="M111" s="596">
        <f>K111</f>
        <v>16695000</v>
      </c>
    </row>
    <row r="112" spans="1:13" outlineLevel="1">
      <c r="A112" s="1915"/>
      <c r="B112" s="1915"/>
      <c r="C112" s="645">
        <v>35000</v>
      </c>
      <c r="D112" s="606">
        <f>B111*C112</f>
        <v>5565000</v>
      </c>
      <c r="E112" s="646">
        <v>37000</v>
      </c>
      <c r="F112" s="606">
        <f>B111*E112</f>
        <v>5883000</v>
      </c>
      <c r="G112" s="1924"/>
      <c r="H112" s="1915"/>
      <c r="I112" s="1924"/>
      <c r="J112" s="1915"/>
      <c r="K112" s="647">
        <f>D112+H111+J111+F112</f>
        <v>19080000</v>
      </c>
      <c r="L112" s="648">
        <f>K112/B111</f>
        <v>120000</v>
      </c>
      <c r="M112" s="596" t="s">
        <v>578</v>
      </c>
    </row>
    <row r="113" spans="1:14" ht="25.5" outlineLevel="1">
      <c r="A113" s="631" t="s">
        <v>199</v>
      </c>
      <c r="B113" s="632">
        <v>90</v>
      </c>
      <c r="C113" s="633">
        <v>11000</v>
      </c>
      <c r="D113" s="638">
        <f>B113*C113</f>
        <v>990000</v>
      </c>
      <c r="E113" s="649">
        <v>0</v>
      </c>
      <c r="F113" s="638">
        <f>B113*E113</f>
        <v>0</v>
      </c>
      <c r="G113" s="1915"/>
      <c r="H113" s="623">
        <f>B113*G111</f>
        <v>2970000</v>
      </c>
      <c r="I113" s="1915"/>
      <c r="J113" s="623">
        <f>B113*I111</f>
        <v>1350000</v>
      </c>
      <c r="K113" s="624">
        <f>D113+H113+J113+F113</f>
        <v>5310000</v>
      </c>
      <c r="L113" s="685">
        <f>K113/B113</f>
        <v>59000</v>
      </c>
      <c r="M113" s="596">
        <f>K113</f>
        <v>5310000</v>
      </c>
    </row>
    <row r="114" spans="1:14" outlineLevel="1">
      <c r="A114" s="1912" t="s">
        <v>200</v>
      </c>
      <c r="B114" s="1913"/>
      <c r="C114" s="1913"/>
      <c r="D114" s="1913"/>
      <c r="E114" s="1913"/>
      <c r="F114" s="1913"/>
      <c r="G114" s="1913"/>
      <c r="H114" s="1913"/>
      <c r="I114" s="1913"/>
      <c r="J114" s="1913"/>
      <c r="K114" s="1913"/>
      <c r="L114" s="595"/>
      <c r="M114" s="596"/>
    </row>
    <row r="115" spans="1:14" outlineLevel="1">
      <c r="A115" s="631" t="s">
        <v>200</v>
      </c>
      <c r="B115" s="657">
        <v>13</v>
      </c>
      <c r="C115" s="633">
        <v>11000</v>
      </c>
      <c r="D115" s="615">
        <f>B115*C115</f>
        <v>143000</v>
      </c>
      <c r="E115" s="642">
        <v>1000</v>
      </c>
      <c r="F115" s="615">
        <f>B115*E115</f>
        <v>13000</v>
      </c>
      <c r="G115" s="1914">
        <v>33000</v>
      </c>
      <c r="H115" s="634">
        <f>B115*G115</f>
        <v>429000</v>
      </c>
      <c r="I115" s="1914">
        <v>15000</v>
      </c>
      <c r="J115" s="634">
        <f>B115*I115</f>
        <v>195000</v>
      </c>
      <c r="K115" s="636">
        <f>D115+H115+J115+F115</f>
        <v>780000</v>
      </c>
      <c r="L115" s="637">
        <f>K115/B115</f>
        <v>60000</v>
      </c>
      <c r="M115" s="596">
        <f>K115</f>
        <v>780000</v>
      </c>
    </row>
    <row r="116" spans="1:14" ht="25.5" outlineLevel="1">
      <c r="A116" s="631" t="s">
        <v>199</v>
      </c>
      <c r="B116" s="632">
        <v>39</v>
      </c>
      <c r="C116" s="633">
        <v>11000</v>
      </c>
      <c r="D116" s="634">
        <f>B116*C116</f>
        <v>429000</v>
      </c>
      <c r="E116" s="649">
        <v>0</v>
      </c>
      <c r="F116" s="634">
        <f>B116*E116</f>
        <v>0</v>
      </c>
      <c r="G116" s="1915"/>
      <c r="H116" s="623">
        <f>B116*G115</f>
        <v>1287000</v>
      </c>
      <c r="I116" s="1915"/>
      <c r="J116" s="623">
        <f>B116*I115</f>
        <v>585000</v>
      </c>
      <c r="K116" s="624">
        <f>D116+H116+J116+F116</f>
        <v>2301000</v>
      </c>
      <c r="L116" s="637">
        <f>K116/B116</f>
        <v>59000</v>
      </c>
      <c r="M116" s="596">
        <f>K116</f>
        <v>2301000</v>
      </c>
    </row>
    <row r="117" spans="1:14" outlineLevel="1">
      <c r="A117" s="1912" t="s">
        <v>201</v>
      </c>
      <c r="B117" s="1913"/>
      <c r="C117" s="1913"/>
      <c r="D117" s="1913"/>
      <c r="E117" s="1913"/>
      <c r="F117" s="1913"/>
      <c r="G117" s="1913"/>
      <c r="H117" s="1913"/>
      <c r="I117" s="1913"/>
      <c r="J117" s="1913"/>
      <c r="K117" s="1913"/>
      <c r="L117" s="595"/>
      <c r="M117" s="596"/>
    </row>
    <row r="118" spans="1:14" outlineLevel="1">
      <c r="A118" s="631" t="s">
        <v>201</v>
      </c>
      <c r="B118" s="657">
        <v>130</v>
      </c>
      <c r="C118" s="633">
        <v>11000</v>
      </c>
      <c r="D118" s="615">
        <v>2083400</v>
      </c>
      <c r="E118" s="642">
        <v>1000</v>
      </c>
      <c r="F118" s="615">
        <f>B118*E118</f>
        <v>130000</v>
      </c>
      <c r="G118" s="1914">
        <v>33000</v>
      </c>
      <c r="H118" s="634">
        <f>B118*G118</f>
        <v>4290000</v>
      </c>
      <c r="I118" s="1914">
        <v>15000</v>
      </c>
      <c r="J118" s="634">
        <f>B118*I118</f>
        <v>1950000</v>
      </c>
      <c r="K118" s="636">
        <f>D118+H118+J118+F118</f>
        <v>8453400</v>
      </c>
      <c r="L118" s="637">
        <f>K118/B118</f>
        <v>65026.153846153844</v>
      </c>
      <c r="M118" s="596">
        <f>K118</f>
        <v>8453400</v>
      </c>
    </row>
    <row r="119" spans="1:14" ht="25.5" outlineLevel="1">
      <c r="A119" s="631" t="s">
        <v>202</v>
      </c>
      <c r="B119" s="632">
        <v>33</v>
      </c>
      <c r="C119" s="633">
        <v>11000</v>
      </c>
      <c r="D119" s="634">
        <v>852300</v>
      </c>
      <c r="E119" s="649">
        <v>0</v>
      </c>
      <c r="F119" s="634">
        <f>B119*E119</f>
        <v>0</v>
      </c>
      <c r="G119" s="1915"/>
      <c r="H119" s="623">
        <f>B119*G118</f>
        <v>1089000</v>
      </c>
      <c r="I119" s="1915"/>
      <c r="J119" s="623">
        <f>B119*I118</f>
        <v>495000</v>
      </c>
      <c r="K119" s="624">
        <f>D119+H119+J119+F119</f>
        <v>2436300</v>
      </c>
      <c r="L119" s="637">
        <f>K119/B119</f>
        <v>73827.272727272721</v>
      </c>
      <c r="M119" s="596">
        <f>K119</f>
        <v>2436300</v>
      </c>
    </row>
    <row r="120" spans="1:14" outlineLevel="1">
      <c r="A120" s="1912" t="s">
        <v>203</v>
      </c>
      <c r="B120" s="1913"/>
      <c r="C120" s="1913"/>
      <c r="D120" s="1913"/>
      <c r="E120" s="1913"/>
      <c r="F120" s="1913"/>
      <c r="G120" s="1913"/>
      <c r="H120" s="1913"/>
      <c r="I120" s="1913"/>
      <c r="J120" s="1913"/>
      <c r="K120" s="1913"/>
      <c r="L120" s="595"/>
      <c r="M120" s="596"/>
    </row>
    <row r="121" spans="1:14" outlineLevel="1">
      <c r="A121" s="631" t="s">
        <v>203</v>
      </c>
      <c r="B121" s="657">
        <v>105</v>
      </c>
      <c r="C121" s="633">
        <v>11000</v>
      </c>
      <c r="D121" s="615">
        <v>1221000</v>
      </c>
      <c r="E121" s="642">
        <v>1000</v>
      </c>
      <c r="F121" s="615">
        <f>B121*E121</f>
        <v>105000</v>
      </c>
      <c r="G121" s="1914">
        <v>33000</v>
      </c>
      <c r="H121" s="634">
        <f>B121*G121</f>
        <v>3465000</v>
      </c>
      <c r="I121" s="1914">
        <v>15000</v>
      </c>
      <c r="J121" s="634">
        <f>B121*I121</f>
        <v>1575000</v>
      </c>
      <c r="K121" s="636">
        <f>D121+H121+J121+F121</f>
        <v>6366000</v>
      </c>
      <c r="L121" s="637">
        <f>K121/B121</f>
        <v>60628.571428571428</v>
      </c>
      <c r="M121" s="596">
        <f>K121</f>
        <v>6366000</v>
      </c>
    </row>
    <row r="122" spans="1:14" ht="25.5" outlineLevel="1">
      <c r="A122" s="631" t="s">
        <v>199</v>
      </c>
      <c r="B122" s="632">
        <v>18</v>
      </c>
      <c r="C122" s="633">
        <v>11000</v>
      </c>
      <c r="D122" s="634">
        <v>499499.99999999994</v>
      </c>
      <c r="E122" s="649">
        <v>0</v>
      </c>
      <c r="F122" s="634">
        <f>B122*E122</f>
        <v>0</v>
      </c>
      <c r="G122" s="1915"/>
      <c r="H122" s="615">
        <f>B122*G121</f>
        <v>594000</v>
      </c>
      <c r="I122" s="1915"/>
      <c r="J122" s="615">
        <f>B122*I121</f>
        <v>270000</v>
      </c>
      <c r="K122" s="617">
        <f>D122+H122+J122+F122</f>
        <v>1363500</v>
      </c>
      <c r="L122" s="637">
        <f>K122/B122</f>
        <v>75750</v>
      </c>
      <c r="M122" s="596">
        <f>K122</f>
        <v>1363500</v>
      </c>
      <c r="N122" s="580" t="s">
        <v>589</v>
      </c>
    </row>
    <row r="123" spans="1:14" outlineLevel="1">
      <c r="A123" s="631" t="s">
        <v>585</v>
      </c>
      <c r="B123" s="632">
        <v>450</v>
      </c>
      <c r="C123" s="633">
        <v>8000</v>
      </c>
      <c r="D123" s="634">
        <f>B123*C123</f>
        <v>3600000</v>
      </c>
      <c r="E123" s="649">
        <v>0</v>
      </c>
      <c r="F123" s="634">
        <f>B123*E123</f>
        <v>0</v>
      </c>
      <c r="G123" s="642">
        <v>33000</v>
      </c>
      <c r="H123" s="615">
        <f>B123*G123</f>
        <v>14850000</v>
      </c>
      <c r="I123" s="662">
        <v>0</v>
      </c>
      <c r="J123" s="615">
        <f>B123*I123</f>
        <v>0</v>
      </c>
      <c r="K123" s="617">
        <f>D123+F123+H123+J123</f>
        <v>18450000</v>
      </c>
      <c r="L123" s="637">
        <f>K123/B123</f>
        <v>41000</v>
      </c>
      <c r="M123" s="596">
        <f>K123</f>
        <v>18450000</v>
      </c>
    </row>
    <row r="124" spans="1:14" ht="18">
      <c r="A124" s="631" t="s">
        <v>586</v>
      </c>
      <c r="B124" s="724">
        <f>B93+B95+B96+B97+B99+B101+B102+B103+B105+B107+B109+B111+B113+B115+B116+B118+B119+B121+B122+B123</f>
        <v>6929</v>
      </c>
      <c r="C124" s="591"/>
      <c r="D124" s="629"/>
      <c r="E124" s="663"/>
      <c r="F124" s="629"/>
      <c r="G124" s="693"/>
      <c r="H124" s="596"/>
      <c r="I124" s="661"/>
      <c r="J124" s="596"/>
      <c r="K124" s="664"/>
      <c r="L124" s="660"/>
      <c r="M124" s="596"/>
    </row>
    <row r="125" spans="1:14">
      <c r="A125" s="694" t="s">
        <v>587</v>
      </c>
      <c r="B125" s="695">
        <v>11000</v>
      </c>
      <c r="C125" s="591"/>
      <c r="D125" s="629"/>
      <c r="E125" s="663"/>
      <c r="F125" s="629">
        <f>SUM(F93,F95,F96,F97,F99,F101,F102,F103,F105,F107,F109,F111,F113,F115,F116,F118,F119,F121,F122,F123)</f>
        <v>144104000</v>
      </c>
      <c r="G125" s="693"/>
      <c r="H125" s="596"/>
      <c r="I125" s="661"/>
      <c r="J125" s="596"/>
      <c r="K125" s="664"/>
      <c r="L125" s="660"/>
      <c r="M125" s="596"/>
    </row>
    <row r="126" spans="1:14" ht="26.25">
      <c r="A126" s="696" t="s">
        <v>596</v>
      </c>
      <c r="B126" s="697"/>
      <c r="C126" s="591"/>
      <c r="D126" s="629"/>
      <c r="E126" s="663"/>
      <c r="F126" s="629"/>
      <c r="G126" s="693"/>
      <c r="H126" s="596"/>
      <c r="I126" s="661"/>
      <c r="J126" s="596"/>
      <c r="K126" s="664"/>
      <c r="L126" s="698">
        <f>M127/B124*1.2</f>
        <v>108535.34997835185</v>
      </c>
      <c r="M126" s="671">
        <v>125665</v>
      </c>
    </row>
    <row r="127" spans="1:14" ht="23.25">
      <c r="A127" s="1938" t="s">
        <v>597</v>
      </c>
      <c r="B127" s="1917"/>
      <c r="C127" s="1917"/>
      <c r="D127" s="1917"/>
      <c r="E127" s="1917"/>
      <c r="F127" s="1917"/>
      <c r="G127" s="1917"/>
      <c r="H127" s="1917"/>
      <c r="I127" s="1917"/>
      <c r="J127" s="1917"/>
      <c r="K127" s="1917"/>
      <c r="L127" s="672" t="s">
        <v>592</v>
      </c>
      <c r="M127" s="699">
        <f>SUM(M93:M123)</f>
        <v>626701200</v>
      </c>
      <c r="N127" s="700">
        <f>M127-F125</f>
        <v>482597200</v>
      </c>
    </row>
    <row r="128" spans="1:14" ht="18.75">
      <c r="L128" s="680" t="s">
        <v>229</v>
      </c>
      <c r="M128" s="701">
        <f>SUM(K94,K95:K97,K99:K103,K106,K108,K109,K112,K113,K115:K116,K118:K119,K121:K123)</f>
        <v>725611200</v>
      </c>
      <c r="N128" s="743">
        <f>M128/B124</f>
        <v>104720.91210852937</v>
      </c>
    </row>
    <row r="129" spans="1:14" ht="28.5">
      <c r="B129" s="579" t="s">
        <v>402</v>
      </c>
      <c r="M129" s="664"/>
      <c r="N129" s="596"/>
    </row>
    <row r="130" spans="1:14" ht="75" outlineLevel="1">
      <c r="A130" s="584" t="s">
        <v>204</v>
      </c>
      <c r="B130" s="584" t="s">
        <v>205</v>
      </c>
      <c r="C130" s="585" t="s">
        <v>557</v>
      </c>
      <c r="D130" s="586" t="s">
        <v>558</v>
      </c>
      <c r="E130" s="585" t="s">
        <v>559</v>
      </c>
      <c r="F130" s="586" t="s">
        <v>560</v>
      </c>
      <c r="G130" s="585" t="s">
        <v>561</v>
      </c>
      <c r="H130" s="586" t="s">
        <v>562</v>
      </c>
      <c r="I130" s="585" t="s">
        <v>563</v>
      </c>
      <c r="J130" s="586" t="s">
        <v>564</v>
      </c>
      <c r="K130" s="587" t="s">
        <v>565</v>
      </c>
      <c r="L130" s="588"/>
      <c r="M130" s="664"/>
      <c r="N130" s="596"/>
    </row>
    <row r="131" spans="1:14" outlineLevel="1">
      <c r="A131" s="584" t="s">
        <v>567</v>
      </c>
      <c r="B131" s="584" t="s">
        <v>323</v>
      </c>
      <c r="C131" s="585" t="s">
        <v>568</v>
      </c>
      <c r="D131" s="586" t="s">
        <v>569</v>
      </c>
      <c r="E131" s="586" t="s">
        <v>570</v>
      </c>
      <c r="F131" s="586" t="s">
        <v>571</v>
      </c>
      <c r="G131" s="592" t="s">
        <v>572</v>
      </c>
      <c r="H131" s="592" t="s">
        <v>573</v>
      </c>
      <c r="I131" s="592" t="s">
        <v>574</v>
      </c>
      <c r="J131" s="592" t="s">
        <v>575</v>
      </c>
      <c r="K131" s="593" t="s">
        <v>576</v>
      </c>
      <c r="L131" s="594"/>
      <c r="M131" s="664"/>
      <c r="N131" s="596"/>
    </row>
    <row r="132" spans="1:14" outlineLevel="1">
      <c r="A132" s="1930" t="s">
        <v>206</v>
      </c>
      <c r="B132" s="1913"/>
      <c r="C132" s="1913"/>
      <c r="D132" s="1913"/>
      <c r="E132" s="1913"/>
      <c r="F132" s="1913"/>
      <c r="G132" s="1913"/>
      <c r="H132" s="1913"/>
      <c r="I132" s="1913"/>
      <c r="J132" s="1913"/>
      <c r="K132" s="1913"/>
      <c r="L132" s="653"/>
      <c r="M132" s="664"/>
      <c r="N132" s="596"/>
    </row>
    <row r="133" spans="1:14" outlineLevel="1">
      <c r="A133" s="1939" t="s">
        <v>577</v>
      </c>
      <c r="B133" s="1927">
        <v>1750</v>
      </c>
      <c r="C133" s="598">
        <v>25000</v>
      </c>
      <c r="D133" s="599">
        <f>B133*C133</f>
        <v>43750000</v>
      </c>
      <c r="E133" s="600">
        <v>32000</v>
      </c>
      <c r="F133" s="599">
        <f>B133*E133</f>
        <v>56000000</v>
      </c>
      <c r="G133" s="1940">
        <v>33000</v>
      </c>
      <c r="H133" s="1929">
        <f>B133*G133</f>
        <v>57750000</v>
      </c>
      <c r="I133" s="1914">
        <v>15000</v>
      </c>
      <c r="J133" s="1925">
        <f>B133*I133</f>
        <v>26250000</v>
      </c>
      <c r="K133" s="601">
        <f>D133+H133+J133+F133</f>
        <v>183750000</v>
      </c>
      <c r="L133" s="602">
        <f>K133/B133</f>
        <v>105000</v>
      </c>
      <c r="M133" s="664">
        <f>K133</f>
        <v>183750000</v>
      </c>
      <c r="N133" s="596"/>
    </row>
    <row r="134" spans="1:14" outlineLevel="1">
      <c r="A134" s="1915"/>
      <c r="B134" s="1915"/>
      <c r="C134" s="684">
        <v>45000</v>
      </c>
      <c r="D134" s="606">
        <f>B133*C134</f>
        <v>78750000</v>
      </c>
      <c r="E134" s="646">
        <v>37000</v>
      </c>
      <c r="F134" s="606">
        <f>B133*E134</f>
        <v>64750000</v>
      </c>
      <c r="G134" s="1924"/>
      <c r="H134" s="1915"/>
      <c r="I134" s="1924"/>
      <c r="J134" s="1915"/>
      <c r="K134" s="607">
        <f>D134+H133+J133+F134</f>
        <v>227500000</v>
      </c>
      <c r="L134" s="608">
        <f>K134/B133</f>
        <v>130000</v>
      </c>
      <c r="M134" s="664"/>
      <c r="N134" s="596"/>
    </row>
    <row r="135" spans="1:14" outlineLevel="1">
      <c r="A135" s="620" t="s">
        <v>196</v>
      </c>
      <c r="B135" s="613">
        <f>B133*0.25</f>
        <v>437.5</v>
      </c>
      <c r="C135" s="614">
        <v>11000</v>
      </c>
      <c r="D135" s="615">
        <f>B135*C135</f>
        <v>4812500</v>
      </c>
      <c r="E135" s="642"/>
      <c r="F135" s="615">
        <f>B135*E135</f>
        <v>0</v>
      </c>
      <c r="G135" s="1924"/>
      <c r="H135" s="615">
        <f>B135*G133</f>
        <v>14437500</v>
      </c>
      <c r="I135" s="1924"/>
      <c r="J135" s="615">
        <f>B135*I133</f>
        <v>6562500</v>
      </c>
      <c r="K135" s="617">
        <f>D135+H135+J135+F135</f>
        <v>25812500</v>
      </c>
      <c r="L135" s="618">
        <f>K135/B135</f>
        <v>59000</v>
      </c>
      <c r="M135" s="664">
        <f>K135</f>
        <v>25812500</v>
      </c>
      <c r="N135" s="596"/>
    </row>
    <row r="136" spans="1:14" outlineLevel="1">
      <c r="A136" s="620" t="s">
        <v>207</v>
      </c>
      <c r="B136" s="613">
        <v>52</v>
      </c>
      <c r="C136" s="614">
        <v>11000</v>
      </c>
      <c r="D136" s="615">
        <f>B136*C136</f>
        <v>572000</v>
      </c>
      <c r="E136" s="642"/>
      <c r="F136" s="615">
        <f>B136*E136</f>
        <v>0</v>
      </c>
      <c r="G136" s="1924"/>
      <c r="H136" s="615">
        <f>B136*G133</f>
        <v>1716000</v>
      </c>
      <c r="I136" s="1924"/>
      <c r="J136" s="615">
        <f>B136*I133</f>
        <v>780000</v>
      </c>
      <c r="K136" s="617">
        <f>D136+H136+J136+F136</f>
        <v>3068000</v>
      </c>
      <c r="L136" s="618">
        <f>K136/B136</f>
        <v>59000</v>
      </c>
      <c r="M136" s="664">
        <f>K136</f>
        <v>3068000</v>
      </c>
      <c r="N136" s="596"/>
    </row>
    <row r="137" spans="1:14" outlineLevel="1">
      <c r="A137" s="620" t="s">
        <v>195</v>
      </c>
      <c r="B137" s="622">
        <v>20</v>
      </c>
      <c r="C137" s="614">
        <v>11000</v>
      </c>
      <c r="D137" s="615">
        <f>B137*C137</f>
        <v>220000</v>
      </c>
      <c r="E137" s="642"/>
      <c r="F137" s="615">
        <f>B137*E137</f>
        <v>0</v>
      </c>
      <c r="G137" s="1915"/>
      <c r="H137" s="623">
        <f>B137*G133</f>
        <v>660000</v>
      </c>
      <c r="I137" s="1915"/>
      <c r="J137" s="623">
        <f>B137*I133</f>
        <v>300000</v>
      </c>
      <c r="K137" s="624">
        <f>D137+H137+J137+F137</f>
        <v>1180000</v>
      </c>
      <c r="L137" s="618">
        <f>K137/B137</f>
        <v>59000</v>
      </c>
      <c r="M137" s="664">
        <f>K137</f>
        <v>1180000</v>
      </c>
      <c r="N137" s="596"/>
    </row>
    <row r="138" spans="1:14" outlineLevel="1">
      <c r="A138" s="1931" t="s">
        <v>45</v>
      </c>
      <c r="B138" s="1913"/>
      <c r="C138" s="1913"/>
      <c r="D138" s="1913"/>
      <c r="E138" s="1913"/>
      <c r="F138" s="1913"/>
      <c r="G138" s="1913"/>
      <c r="H138" s="1913"/>
      <c r="I138" s="1913"/>
      <c r="J138" s="1913"/>
      <c r="K138" s="1913"/>
      <c r="L138" s="595"/>
      <c r="M138" s="664"/>
      <c r="N138" s="596"/>
    </row>
    <row r="139" spans="1:14" outlineLevel="1">
      <c r="A139" s="1932" t="s">
        <v>595</v>
      </c>
      <c r="B139" s="1923">
        <v>38</v>
      </c>
      <c r="C139" s="1934">
        <v>40000</v>
      </c>
      <c r="D139" s="1928">
        <f>B139*C139</f>
        <v>1520000</v>
      </c>
      <c r="E139" s="1935">
        <v>20000</v>
      </c>
      <c r="F139" s="1928">
        <f>B139*E139</f>
        <v>760000</v>
      </c>
      <c r="G139" s="1914">
        <v>33000</v>
      </c>
      <c r="H139" s="1928">
        <f>B139*G139</f>
        <v>1254000</v>
      </c>
      <c r="I139" s="1914">
        <v>25000</v>
      </c>
      <c r="J139" s="1928">
        <f>B139*I139</f>
        <v>950000</v>
      </c>
      <c r="K139" s="1936">
        <f>D139+H139+J139+F139</f>
        <v>4484000</v>
      </c>
      <c r="L139" s="1920">
        <f>K139/B139</f>
        <v>118000</v>
      </c>
      <c r="M139" s="664"/>
      <c r="N139" s="596"/>
    </row>
    <row r="140" spans="1:14" outlineLevel="1">
      <c r="A140" s="1915"/>
      <c r="B140" s="1915"/>
      <c r="C140" s="1915"/>
      <c r="D140" s="1915"/>
      <c r="E140" s="1915"/>
      <c r="F140" s="1915"/>
      <c r="G140" s="1924"/>
      <c r="H140" s="1915"/>
      <c r="I140" s="1924"/>
      <c r="J140" s="1915"/>
      <c r="K140" s="1937"/>
      <c r="L140" s="1921"/>
      <c r="M140" s="664">
        <f>K139</f>
        <v>4484000</v>
      </c>
      <c r="N140" s="596"/>
    </row>
    <row r="141" spans="1:14" ht="25.5" outlineLevel="1">
      <c r="A141" s="631" t="s">
        <v>212</v>
      </c>
      <c r="B141" s="632">
        <v>130</v>
      </c>
      <c r="C141" s="633">
        <v>25000</v>
      </c>
      <c r="D141" s="634">
        <f>B141*C141</f>
        <v>3250000</v>
      </c>
      <c r="E141" s="635">
        <v>12000</v>
      </c>
      <c r="F141" s="634">
        <f>B141*E141</f>
        <v>1560000</v>
      </c>
      <c r="G141" s="1924"/>
      <c r="H141" s="634">
        <f>B141*G139</f>
        <v>4290000</v>
      </c>
      <c r="I141" s="1924"/>
      <c r="J141" s="634">
        <f>B141*I139</f>
        <v>3250000</v>
      </c>
      <c r="K141" s="636">
        <f>D141+H141+J141+F141</f>
        <v>12350000</v>
      </c>
      <c r="L141" s="637">
        <f>K141/B141</f>
        <v>95000</v>
      </c>
      <c r="M141" s="664">
        <f>K141</f>
        <v>12350000</v>
      </c>
      <c r="N141" s="596"/>
    </row>
    <row r="142" spans="1:14" ht="25.5" outlineLevel="1">
      <c r="A142" s="631" t="s">
        <v>210</v>
      </c>
      <c r="B142" s="632">
        <v>40</v>
      </c>
      <c r="C142" s="633">
        <v>11000</v>
      </c>
      <c r="D142" s="634">
        <f>B142*C142</f>
        <v>440000</v>
      </c>
      <c r="E142" s="635">
        <v>2000</v>
      </c>
      <c r="F142" s="634">
        <f>B142*E142</f>
        <v>80000</v>
      </c>
      <c r="G142" s="1924"/>
      <c r="H142" s="634">
        <f>B142*G139</f>
        <v>1320000</v>
      </c>
      <c r="I142" s="1924"/>
      <c r="J142" s="634">
        <f>B142*I139</f>
        <v>1000000</v>
      </c>
      <c r="K142" s="636">
        <f>D142+H142+J142+F142</f>
        <v>2840000</v>
      </c>
      <c r="L142" s="637">
        <f>K142/B142</f>
        <v>71000</v>
      </c>
      <c r="M142" s="664">
        <f>K142</f>
        <v>2840000</v>
      </c>
      <c r="N142" s="596"/>
    </row>
    <row r="143" spans="1:14" outlineLevel="1">
      <c r="A143" s="631" t="s">
        <v>197</v>
      </c>
      <c r="B143" s="632">
        <v>30</v>
      </c>
      <c r="C143" s="633">
        <v>11000</v>
      </c>
      <c r="D143" s="634">
        <f>B143*C143</f>
        <v>330000</v>
      </c>
      <c r="E143" s="635">
        <v>2000</v>
      </c>
      <c r="F143" s="634">
        <f>B143*E143</f>
        <v>60000</v>
      </c>
      <c r="G143" s="1915"/>
      <c r="H143" s="638">
        <f>B143*G139</f>
        <v>990000</v>
      </c>
      <c r="I143" s="1915"/>
      <c r="J143" s="638">
        <f>B143*I139</f>
        <v>750000</v>
      </c>
      <c r="K143" s="639">
        <f>D143+H143+J143+F143</f>
        <v>2130000</v>
      </c>
      <c r="L143" s="637">
        <f>K143/B143</f>
        <v>71000</v>
      </c>
      <c r="M143" s="664">
        <f>K143</f>
        <v>2130000</v>
      </c>
      <c r="N143" s="596"/>
    </row>
    <row r="144" spans="1:14" outlineLevel="1">
      <c r="A144" s="1912" t="s">
        <v>19</v>
      </c>
      <c r="B144" s="1941"/>
      <c r="C144" s="1941"/>
      <c r="D144" s="1941"/>
      <c r="E144" s="1941"/>
      <c r="F144" s="1941"/>
      <c r="G144" s="1941"/>
      <c r="H144" s="1941"/>
      <c r="I144" s="1941"/>
      <c r="J144" s="1941"/>
      <c r="K144" s="1942"/>
      <c r="L144" s="595"/>
      <c r="M144" s="664"/>
      <c r="N144" s="596"/>
    </row>
    <row r="145" spans="1:14" outlineLevel="1">
      <c r="A145" s="1922" t="s">
        <v>580</v>
      </c>
      <c r="B145" s="1923">
        <v>0</v>
      </c>
      <c r="C145" s="644">
        <v>25000</v>
      </c>
      <c r="D145" s="599">
        <f>B145*C145</f>
        <v>0</v>
      </c>
      <c r="E145" s="600">
        <v>32000</v>
      </c>
      <c r="F145" s="599">
        <f>B145*E145</f>
        <v>0</v>
      </c>
      <c r="G145" s="1914">
        <v>33000</v>
      </c>
      <c r="H145" s="1925">
        <f>B145*G145</f>
        <v>0</v>
      </c>
      <c r="I145" s="1914">
        <v>15000</v>
      </c>
      <c r="J145" s="1925">
        <f>B145*I145</f>
        <v>0</v>
      </c>
      <c r="K145" s="601">
        <f>D145+H145+J145+F145</f>
        <v>0</v>
      </c>
      <c r="L145" s="602">
        <v>0</v>
      </c>
      <c r="M145" s="664"/>
      <c r="N145" s="596"/>
    </row>
    <row r="146" spans="1:14" outlineLevel="1">
      <c r="A146" s="1943"/>
      <c r="B146" s="1944"/>
      <c r="C146" s="645">
        <v>35000</v>
      </c>
      <c r="D146" s="606">
        <f>B145*C146</f>
        <v>0</v>
      </c>
      <c r="E146" s="646">
        <v>37000</v>
      </c>
      <c r="F146" s="606">
        <f>B145*E146</f>
        <v>0</v>
      </c>
      <c r="G146" s="1945"/>
      <c r="H146" s="1947"/>
      <c r="I146" s="1945"/>
      <c r="J146" s="1947"/>
      <c r="K146" s="607">
        <f>D146+H145+J145+F146</f>
        <v>0</v>
      </c>
      <c r="L146" s="602">
        <v>0</v>
      </c>
      <c r="M146" s="664"/>
      <c r="N146" s="596"/>
    </row>
    <row r="147" spans="1:14" outlineLevel="1">
      <c r="A147" s="1922" t="s">
        <v>581</v>
      </c>
      <c r="B147" s="1923">
        <v>0</v>
      </c>
      <c r="C147" s="644">
        <v>25000</v>
      </c>
      <c r="D147" s="599">
        <f>B147*C147</f>
        <v>0</v>
      </c>
      <c r="E147" s="600">
        <v>32000</v>
      </c>
      <c r="F147" s="599">
        <f>B147*E147</f>
        <v>0</v>
      </c>
      <c r="G147" s="1945"/>
      <c r="H147" s="1929">
        <f>B147*G145</f>
        <v>0</v>
      </c>
      <c r="I147" s="1945"/>
      <c r="J147" s="1925">
        <f>B147*I145</f>
        <v>0</v>
      </c>
      <c r="K147" s="601">
        <f>D147+H147+J147+F147</f>
        <v>0</v>
      </c>
      <c r="L147" s="602">
        <v>0</v>
      </c>
      <c r="M147" s="664"/>
      <c r="N147" s="596"/>
    </row>
    <row r="148" spans="1:14" outlineLevel="1">
      <c r="A148" s="1943"/>
      <c r="B148" s="1944"/>
      <c r="C148" s="645">
        <v>35000</v>
      </c>
      <c r="D148" s="606">
        <f>B147*C148</f>
        <v>0</v>
      </c>
      <c r="E148" s="646">
        <v>37000</v>
      </c>
      <c r="F148" s="606">
        <f>B147*E148</f>
        <v>0</v>
      </c>
      <c r="G148" s="1945"/>
      <c r="H148" s="1948"/>
      <c r="I148" s="1945"/>
      <c r="J148" s="1947"/>
      <c r="K148" s="647">
        <f>D148+H147+J147+F148</f>
        <v>0</v>
      </c>
      <c r="L148" s="602">
        <v>0</v>
      </c>
      <c r="M148" s="664"/>
      <c r="N148" s="596"/>
    </row>
    <row r="149" spans="1:14" outlineLevel="1">
      <c r="A149" s="631" t="s">
        <v>198</v>
      </c>
      <c r="B149" s="622">
        <v>0</v>
      </c>
      <c r="C149" s="633">
        <v>11000</v>
      </c>
      <c r="D149" s="638">
        <f>B149*C149</f>
        <v>0</v>
      </c>
      <c r="E149" s="638"/>
      <c r="F149" s="638">
        <f>B149*E149</f>
        <v>0</v>
      </c>
      <c r="G149" s="1946"/>
      <c r="H149" s="638">
        <f>B149*G145</f>
        <v>0</v>
      </c>
      <c r="I149" s="1946"/>
      <c r="J149" s="638">
        <f>B149*I145</f>
        <v>0</v>
      </c>
      <c r="K149" s="639">
        <f>D149+H149+J149+F149</f>
        <v>0</v>
      </c>
      <c r="L149" s="602">
        <v>0</v>
      </c>
      <c r="M149" s="664"/>
      <c r="N149" s="596"/>
    </row>
    <row r="150" spans="1:14" outlineLevel="1">
      <c r="A150" s="1930" t="s">
        <v>583</v>
      </c>
      <c r="B150" s="1913"/>
      <c r="C150" s="1913"/>
      <c r="D150" s="1913"/>
      <c r="E150" s="1913"/>
      <c r="F150" s="1913"/>
      <c r="G150" s="1913"/>
      <c r="H150" s="1913"/>
      <c r="I150" s="1913"/>
      <c r="J150" s="1913"/>
      <c r="K150" s="1913"/>
      <c r="L150" s="595"/>
      <c r="M150" s="664"/>
      <c r="N150" s="596"/>
    </row>
    <row r="151" spans="1:14" outlineLevel="1">
      <c r="A151" s="1926" t="s">
        <v>584</v>
      </c>
      <c r="B151" s="1927">
        <v>131</v>
      </c>
      <c r="C151" s="644">
        <v>25000</v>
      </c>
      <c r="D151" s="599">
        <f>B151*C151</f>
        <v>3275000</v>
      </c>
      <c r="E151" s="600">
        <v>32000</v>
      </c>
      <c r="F151" s="599">
        <f>B151*E151</f>
        <v>4192000</v>
      </c>
      <c r="G151" s="1914">
        <v>33000</v>
      </c>
      <c r="H151" s="1928">
        <f>B151*G151</f>
        <v>4323000</v>
      </c>
      <c r="I151" s="1914">
        <v>15000</v>
      </c>
      <c r="J151" s="1928">
        <f>B151*I151</f>
        <v>1965000</v>
      </c>
      <c r="K151" s="601">
        <f>D151+H151+J151+F151</f>
        <v>13755000</v>
      </c>
      <c r="L151" s="602">
        <f>K151/B151</f>
        <v>105000</v>
      </c>
      <c r="M151" s="664">
        <f>K151</f>
        <v>13755000</v>
      </c>
      <c r="N151" s="596"/>
    </row>
    <row r="152" spans="1:14" outlineLevel="1">
      <c r="A152" s="1915"/>
      <c r="B152" s="1915"/>
      <c r="C152" s="645">
        <v>35000</v>
      </c>
      <c r="D152" s="606">
        <f>B151*C152</f>
        <v>4585000</v>
      </c>
      <c r="E152" s="646">
        <v>37000</v>
      </c>
      <c r="F152" s="606">
        <f>B151*E152</f>
        <v>4847000</v>
      </c>
      <c r="G152" s="1924"/>
      <c r="H152" s="1915"/>
      <c r="I152" s="1924"/>
      <c r="J152" s="1915"/>
      <c r="K152" s="647">
        <f>D152+H151+J151+F152</f>
        <v>15720000</v>
      </c>
      <c r="L152" s="648">
        <f>K152/B151</f>
        <v>120000</v>
      </c>
      <c r="M152" s="664"/>
      <c r="N152" s="596"/>
    </row>
    <row r="153" spans="1:14" ht="25.5" outlineLevel="1">
      <c r="A153" s="631" t="s">
        <v>199</v>
      </c>
      <c r="B153" s="632">
        <v>90</v>
      </c>
      <c r="C153" s="633">
        <v>11000</v>
      </c>
      <c r="D153" s="638">
        <f>B153*C153</f>
        <v>990000</v>
      </c>
      <c r="E153" s="649">
        <v>0</v>
      </c>
      <c r="F153" s="638">
        <f>B153*E153</f>
        <v>0</v>
      </c>
      <c r="G153" s="1915"/>
      <c r="H153" s="623">
        <f>B153*G151</f>
        <v>2970000</v>
      </c>
      <c r="I153" s="1915"/>
      <c r="J153" s="623">
        <f>B153*I151</f>
        <v>1350000</v>
      </c>
      <c r="K153" s="624">
        <f>D153+H153+J153+F153</f>
        <v>5310000</v>
      </c>
      <c r="L153" s="685">
        <f>K153/B153</f>
        <v>59000</v>
      </c>
      <c r="M153" s="664">
        <f>K153</f>
        <v>5310000</v>
      </c>
      <c r="N153" s="596"/>
    </row>
    <row r="154" spans="1:14" outlineLevel="1">
      <c r="A154" s="1912" t="s">
        <v>200</v>
      </c>
      <c r="B154" s="1913"/>
      <c r="C154" s="1913"/>
      <c r="D154" s="1913"/>
      <c r="E154" s="1913"/>
      <c r="F154" s="1913"/>
      <c r="G154" s="1913"/>
      <c r="H154" s="1913"/>
      <c r="I154" s="1913"/>
      <c r="J154" s="1913"/>
      <c r="K154" s="1913"/>
      <c r="L154" s="595"/>
      <c r="M154" s="664"/>
      <c r="N154" s="596"/>
    </row>
    <row r="155" spans="1:14" outlineLevel="1">
      <c r="A155" s="631" t="s">
        <v>200</v>
      </c>
      <c r="B155" s="657">
        <v>12</v>
      </c>
      <c r="C155" s="633">
        <v>11000</v>
      </c>
      <c r="D155" s="615">
        <f>B155*C155</f>
        <v>132000</v>
      </c>
      <c r="E155" s="642">
        <v>1000</v>
      </c>
      <c r="F155" s="615">
        <f>B155*E155</f>
        <v>12000</v>
      </c>
      <c r="G155" s="1914">
        <v>33000</v>
      </c>
      <c r="H155" s="634">
        <f>B155*G155</f>
        <v>396000</v>
      </c>
      <c r="I155" s="1914">
        <v>15000</v>
      </c>
      <c r="J155" s="634">
        <f>B155*I155</f>
        <v>180000</v>
      </c>
      <c r="K155" s="636">
        <f>D155+H155+J155+F155</f>
        <v>720000</v>
      </c>
      <c r="L155" s="637">
        <f>K155/B155</f>
        <v>60000</v>
      </c>
      <c r="M155" s="664">
        <f>K155</f>
        <v>720000</v>
      </c>
      <c r="N155" s="596"/>
    </row>
    <row r="156" spans="1:14" ht="25.5" outlineLevel="1">
      <c r="A156" s="631" t="s">
        <v>199</v>
      </c>
      <c r="B156" s="632">
        <v>39</v>
      </c>
      <c r="C156" s="633">
        <v>11000</v>
      </c>
      <c r="D156" s="634">
        <f>B156*C156</f>
        <v>429000</v>
      </c>
      <c r="E156" s="649">
        <v>0</v>
      </c>
      <c r="F156" s="634">
        <f>B156*E156</f>
        <v>0</v>
      </c>
      <c r="G156" s="1915"/>
      <c r="H156" s="623">
        <f>B156*G155</f>
        <v>1287000</v>
      </c>
      <c r="I156" s="1915"/>
      <c r="J156" s="623">
        <f>B156*I155</f>
        <v>585000</v>
      </c>
      <c r="K156" s="624">
        <f>D156+H156+J156+F156</f>
        <v>2301000</v>
      </c>
      <c r="L156" s="637">
        <f t="shared" ref="L156:L163" si="0">K156/B156</f>
        <v>59000</v>
      </c>
      <c r="M156" s="664">
        <f>K156</f>
        <v>2301000</v>
      </c>
      <c r="N156" s="596"/>
    </row>
    <row r="157" spans="1:14" outlineLevel="1">
      <c r="A157" s="1912" t="s">
        <v>201</v>
      </c>
      <c r="B157" s="1913"/>
      <c r="C157" s="1913"/>
      <c r="D157" s="1913"/>
      <c r="E157" s="1913"/>
      <c r="F157" s="1913"/>
      <c r="G157" s="1913"/>
      <c r="H157" s="1913"/>
      <c r="I157" s="1913"/>
      <c r="J157" s="1913"/>
      <c r="K157" s="1913"/>
      <c r="L157" s="637"/>
      <c r="M157" s="664"/>
      <c r="N157" s="596"/>
    </row>
    <row r="158" spans="1:14" outlineLevel="1">
      <c r="A158" s="631" t="s">
        <v>201</v>
      </c>
      <c r="B158" s="657">
        <v>97</v>
      </c>
      <c r="C158" s="633">
        <v>11000</v>
      </c>
      <c r="D158" s="615">
        <v>2083400</v>
      </c>
      <c r="E158" s="642">
        <v>1000</v>
      </c>
      <c r="F158" s="615">
        <f>B158*E158</f>
        <v>97000</v>
      </c>
      <c r="G158" s="1914">
        <v>33000</v>
      </c>
      <c r="H158" s="634">
        <f>B158*G158</f>
        <v>3201000</v>
      </c>
      <c r="I158" s="1914">
        <v>15000</v>
      </c>
      <c r="J158" s="634">
        <f>B158*I158</f>
        <v>1455000</v>
      </c>
      <c r="K158" s="636">
        <f>D158+H158+J158+F158</f>
        <v>6836400</v>
      </c>
      <c r="L158" s="637">
        <f t="shared" si="0"/>
        <v>70478.350515463913</v>
      </c>
      <c r="M158" s="664">
        <f>K158</f>
        <v>6836400</v>
      </c>
      <c r="N158" s="596"/>
    </row>
    <row r="159" spans="1:14" ht="25.5" outlineLevel="1">
      <c r="A159" s="631" t="s">
        <v>202</v>
      </c>
      <c r="B159" s="632">
        <v>33</v>
      </c>
      <c r="C159" s="633">
        <v>11000</v>
      </c>
      <c r="D159" s="634">
        <v>852300</v>
      </c>
      <c r="E159" s="649">
        <v>0</v>
      </c>
      <c r="F159" s="634">
        <f>B159*E159</f>
        <v>0</v>
      </c>
      <c r="G159" s="1915"/>
      <c r="H159" s="623">
        <f>B159*G158</f>
        <v>1089000</v>
      </c>
      <c r="I159" s="1915"/>
      <c r="J159" s="623">
        <f>B159*I158</f>
        <v>495000</v>
      </c>
      <c r="K159" s="624">
        <f>D159+H159+J159+F159</f>
        <v>2436300</v>
      </c>
      <c r="L159" s="637">
        <f t="shared" si="0"/>
        <v>73827.272727272721</v>
      </c>
      <c r="M159" s="664">
        <f>K159</f>
        <v>2436300</v>
      </c>
      <c r="N159" s="596"/>
    </row>
    <row r="160" spans="1:14" outlineLevel="1">
      <c r="A160" s="1912" t="s">
        <v>203</v>
      </c>
      <c r="B160" s="1913"/>
      <c r="C160" s="1913"/>
      <c r="D160" s="1913"/>
      <c r="E160" s="1913"/>
      <c r="F160" s="1913"/>
      <c r="G160" s="1913"/>
      <c r="H160" s="1913"/>
      <c r="I160" s="1913"/>
      <c r="J160" s="1913"/>
      <c r="K160" s="1913"/>
      <c r="L160" s="637"/>
      <c r="M160" s="664"/>
      <c r="N160" s="596"/>
    </row>
    <row r="161" spans="1:15" outlineLevel="1">
      <c r="A161" s="631" t="s">
        <v>203</v>
      </c>
      <c r="B161" s="657">
        <v>89</v>
      </c>
      <c r="C161" s="633">
        <v>11000</v>
      </c>
      <c r="D161" s="615">
        <v>1221000</v>
      </c>
      <c r="E161" s="642">
        <v>1000</v>
      </c>
      <c r="F161" s="615">
        <f>B161*E161</f>
        <v>89000</v>
      </c>
      <c r="G161" s="1914">
        <v>33000</v>
      </c>
      <c r="H161" s="634">
        <f>B161*G161</f>
        <v>2937000</v>
      </c>
      <c r="I161" s="1914">
        <v>15000</v>
      </c>
      <c r="J161" s="634">
        <f>B161*I161</f>
        <v>1335000</v>
      </c>
      <c r="K161" s="636">
        <f>D161+H161+J161+F161</f>
        <v>5582000</v>
      </c>
      <c r="L161" s="637">
        <f t="shared" si="0"/>
        <v>62719.101123595508</v>
      </c>
      <c r="M161" s="664">
        <f>K161</f>
        <v>5582000</v>
      </c>
      <c r="N161" s="596"/>
    </row>
    <row r="162" spans="1:15" ht="25.5" outlineLevel="1">
      <c r="A162" s="631" t="s">
        <v>199</v>
      </c>
      <c r="B162" s="632">
        <v>18</v>
      </c>
      <c r="C162" s="633">
        <v>11000</v>
      </c>
      <c r="D162" s="634">
        <v>499499.99999999994</v>
      </c>
      <c r="E162" s="649">
        <v>0</v>
      </c>
      <c r="F162" s="634">
        <f>B162*E162</f>
        <v>0</v>
      </c>
      <c r="G162" s="1915"/>
      <c r="H162" s="615">
        <f>B162*G161</f>
        <v>594000</v>
      </c>
      <c r="I162" s="1915"/>
      <c r="J162" s="615">
        <f>B162*I161</f>
        <v>270000</v>
      </c>
      <c r="K162" s="617">
        <f>D162+H162+J162+F162</f>
        <v>1363500</v>
      </c>
      <c r="L162" s="637">
        <f t="shared" si="0"/>
        <v>75750</v>
      </c>
      <c r="M162" s="664">
        <f>K162</f>
        <v>1363500</v>
      </c>
      <c r="N162" s="596"/>
    </row>
    <row r="163" spans="1:15" outlineLevel="1">
      <c r="A163" s="631" t="s">
        <v>585</v>
      </c>
      <c r="B163" s="632">
        <v>340</v>
      </c>
      <c r="C163" s="633">
        <v>8000</v>
      </c>
      <c r="D163" s="634">
        <f>B163*C163</f>
        <v>2720000</v>
      </c>
      <c r="E163" s="649">
        <v>0</v>
      </c>
      <c r="F163" s="634">
        <f>B163*E163</f>
        <v>0</v>
      </c>
      <c r="G163" s="642">
        <v>33000</v>
      </c>
      <c r="H163" s="615">
        <f>B163*G163</f>
        <v>11220000</v>
      </c>
      <c r="I163" s="662">
        <v>0</v>
      </c>
      <c r="J163" s="615">
        <f>B163*I163</f>
        <v>0</v>
      </c>
      <c r="K163" s="617">
        <f>D163+F163+H163+J163</f>
        <v>13940000</v>
      </c>
      <c r="L163" s="637">
        <f t="shared" si="0"/>
        <v>41000</v>
      </c>
      <c r="M163" s="664">
        <f>K163</f>
        <v>13940000</v>
      </c>
      <c r="N163" s="596"/>
    </row>
    <row r="164" spans="1:15" ht="18">
      <c r="A164" s="631" t="s">
        <v>586</v>
      </c>
      <c r="B164" s="744">
        <f>B133+B135+B136+B137+B139+B141+B142+B143+B145+B147+B149+B151+B153+B155+B156+B158+B159+B161+B162+B163</f>
        <v>3346.5</v>
      </c>
      <c r="C164" s="591"/>
      <c r="D164" s="629"/>
      <c r="E164" s="663"/>
      <c r="F164" s="629"/>
      <c r="G164" s="693"/>
      <c r="H164" s="596"/>
      <c r="I164" s="661"/>
      <c r="J164" s="596"/>
      <c r="K164" s="664"/>
      <c r="L164" s="664"/>
      <c r="M164" s="664"/>
      <c r="N164" s="596"/>
    </row>
    <row r="165" spans="1:15">
      <c r="A165" s="694" t="s">
        <v>587</v>
      </c>
      <c r="B165" s="695">
        <v>1200</v>
      </c>
      <c r="C165" s="591"/>
      <c r="D165" s="629"/>
      <c r="E165" s="663"/>
      <c r="F165" s="629">
        <f>SUM(F133,F135,F136,F137,F139,F141,F142,F143,F145,F147,F149,F151,F153,F155,F156,F158,F159,F161,F162,F163)</f>
        <v>62850000</v>
      </c>
      <c r="G165" s="693"/>
      <c r="H165" s="596"/>
      <c r="I165" s="661"/>
      <c r="J165" s="596"/>
      <c r="K165" s="664"/>
      <c r="L165" s="664"/>
      <c r="M165" s="664"/>
      <c r="N165" s="596"/>
    </row>
    <row r="166" spans="1:15" ht="26.25">
      <c r="A166" s="696" t="s">
        <v>596</v>
      </c>
      <c r="B166" s="697"/>
      <c r="C166" s="591"/>
      <c r="D166" s="629"/>
      <c r="E166" s="663"/>
      <c r="F166" s="629"/>
      <c r="G166" s="693"/>
      <c r="H166" s="596"/>
      <c r="I166" s="661"/>
      <c r="J166" s="596"/>
      <c r="K166" s="664"/>
      <c r="L166" s="702">
        <f>M167/B164*1.2</f>
        <v>103221.40744060959</v>
      </c>
      <c r="M166" s="671">
        <v>119596</v>
      </c>
      <c r="N166" s="596"/>
    </row>
    <row r="167" spans="1:15" ht="23.25">
      <c r="A167" s="1938" t="s">
        <v>598</v>
      </c>
      <c r="B167" s="1917"/>
      <c r="C167" s="1917"/>
      <c r="D167" s="1917"/>
      <c r="E167" s="1917"/>
      <c r="F167" s="1917"/>
      <c r="G167" s="1917"/>
      <c r="H167" s="1917"/>
      <c r="I167" s="1917"/>
      <c r="J167" s="1917"/>
      <c r="K167" s="1917"/>
      <c r="L167" s="672" t="s">
        <v>592</v>
      </c>
      <c r="M167" s="699">
        <f>M133+M135+M136+M137+M140+M141+M142+M143+M151+M153+M155+M156+M158+M159+M161+M162+M163</f>
        <v>287858700</v>
      </c>
      <c r="N167" s="596"/>
    </row>
    <row r="168" spans="1:15" ht="18.75">
      <c r="L168" s="680" t="s">
        <v>229</v>
      </c>
      <c r="M168" s="701">
        <f>SUM(K134,K135:K137,K139:K143,K152,K153,K155:K156,K158:K159,K161:K163)</f>
        <v>333573700</v>
      </c>
      <c r="N168" s="743">
        <f>M168/B164</f>
        <v>99678.380397430155</v>
      </c>
    </row>
    <row r="169" spans="1:15" ht="18.75">
      <c r="K169" s="703"/>
      <c r="L169" s="704"/>
      <c r="M169" s="682"/>
      <c r="N169" s="596"/>
    </row>
    <row r="170" spans="1:15" ht="26.25">
      <c r="B170" s="705" t="s">
        <v>599</v>
      </c>
      <c r="M170" s="664"/>
      <c r="N170" s="596"/>
    </row>
    <row r="171" spans="1:15" ht="75" outlineLevel="1">
      <c r="A171" s="584" t="s">
        <v>204</v>
      </c>
      <c r="B171" s="584" t="s">
        <v>205</v>
      </c>
      <c r="C171" s="585" t="s">
        <v>557</v>
      </c>
      <c r="D171" s="586" t="s">
        <v>558</v>
      </c>
      <c r="E171" s="585" t="s">
        <v>559</v>
      </c>
      <c r="F171" s="586" t="s">
        <v>560</v>
      </c>
      <c r="G171" s="585" t="s">
        <v>561</v>
      </c>
      <c r="H171" s="586" t="s">
        <v>562</v>
      </c>
      <c r="I171" s="585" t="s">
        <v>563</v>
      </c>
      <c r="J171" s="586" t="s">
        <v>564</v>
      </c>
      <c r="K171" s="706" t="s">
        <v>565</v>
      </c>
      <c r="L171" s="707"/>
      <c r="M171" s="664"/>
      <c r="N171" s="596"/>
    </row>
    <row r="172" spans="1:15" outlineLevel="1">
      <c r="A172" s="584" t="s">
        <v>567</v>
      </c>
      <c r="B172" s="584" t="s">
        <v>323</v>
      </c>
      <c r="C172" s="585" t="s">
        <v>568</v>
      </c>
      <c r="D172" s="586" t="s">
        <v>569</v>
      </c>
      <c r="E172" s="586" t="s">
        <v>570</v>
      </c>
      <c r="F172" s="586" t="s">
        <v>571</v>
      </c>
      <c r="G172" s="592" t="s">
        <v>572</v>
      </c>
      <c r="H172" s="592" t="s">
        <v>573</v>
      </c>
      <c r="I172" s="592" t="s">
        <v>574</v>
      </c>
      <c r="J172" s="592" t="s">
        <v>575</v>
      </c>
      <c r="K172" s="708" t="s">
        <v>576</v>
      </c>
      <c r="L172" s="709"/>
      <c r="M172" s="664"/>
      <c r="N172" s="596"/>
    </row>
    <row r="173" spans="1:15" outlineLevel="1">
      <c r="A173" s="1930" t="s">
        <v>206</v>
      </c>
      <c r="B173" s="1913"/>
      <c r="C173" s="1913"/>
      <c r="D173" s="1913"/>
      <c r="E173" s="1913"/>
      <c r="F173" s="1913"/>
      <c r="G173" s="1913"/>
      <c r="H173" s="1913"/>
      <c r="I173" s="1913"/>
      <c r="J173" s="1913"/>
      <c r="K173" s="1913"/>
      <c r="L173" s="595"/>
      <c r="M173" s="664"/>
      <c r="N173" s="596"/>
    </row>
    <row r="174" spans="1:15" outlineLevel="1">
      <c r="A174" s="1939" t="s">
        <v>577</v>
      </c>
      <c r="B174" s="1927">
        <v>14000</v>
      </c>
      <c r="C174" s="598">
        <v>8000</v>
      </c>
      <c r="D174" s="599">
        <f>B174*C174</f>
        <v>112000000</v>
      </c>
      <c r="E174" s="1811">
        <v>32000</v>
      </c>
      <c r="F174" s="1812">
        <f>B174*E174</f>
        <v>448000000</v>
      </c>
      <c r="G174" s="1940">
        <v>33000</v>
      </c>
      <c r="H174" s="1929">
        <f>B174*G174</f>
        <v>462000000</v>
      </c>
      <c r="I174" s="1914">
        <v>15000</v>
      </c>
      <c r="J174" s="1925">
        <f>B174*I174</f>
        <v>210000000</v>
      </c>
      <c r="K174" s="601">
        <f>D174+H174+J174+F174</f>
        <v>1232000000</v>
      </c>
      <c r="L174" s="602">
        <f>K174/B174</f>
        <v>88000</v>
      </c>
      <c r="M174" s="664">
        <f>K174</f>
        <v>1232000000</v>
      </c>
      <c r="N174" s="596"/>
      <c r="O174" s="1800"/>
    </row>
    <row r="175" spans="1:15" outlineLevel="1">
      <c r="A175" s="1915"/>
      <c r="B175" s="1915"/>
      <c r="C175" s="684">
        <v>45000</v>
      </c>
      <c r="D175" s="606">
        <f>B174*C175</f>
        <v>630000000</v>
      </c>
      <c r="E175" s="1813">
        <v>37000</v>
      </c>
      <c r="F175" s="1814">
        <f>B174*E175</f>
        <v>518000000</v>
      </c>
      <c r="G175" s="1924"/>
      <c r="H175" s="1915"/>
      <c r="I175" s="1924"/>
      <c r="J175" s="1915"/>
      <c r="K175" s="607">
        <f>D175+H174+J174+F175</f>
        <v>1820000000</v>
      </c>
      <c r="L175" s="608">
        <f>K175/B174</f>
        <v>130000</v>
      </c>
      <c r="M175" s="664"/>
      <c r="N175" s="596"/>
      <c r="O175" s="1800"/>
    </row>
    <row r="176" spans="1:15" outlineLevel="1">
      <c r="A176" s="620" t="s">
        <v>196</v>
      </c>
      <c r="B176" s="613">
        <f>B174*0.17</f>
        <v>2380</v>
      </c>
      <c r="C176" s="614">
        <v>11000</v>
      </c>
      <c r="D176" s="615">
        <f>B176*C176</f>
        <v>26180000</v>
      </c>
      <c r="E176" s="642"/>
      <c r="F176" s="615">
        <f>B176*E176</f>
        <v>0</v>
      </c>
      <c r="G176" s="1924"/>
      <c r="H176" s="615">
        <f>B176*G174</f>
        <v>78540000</v>
      </c>
      <c r="I176" s="1924"/>
      <c r="J176" s="615">
        <f>B176*I174</f>
        <v>35700000</v>
      </c>
      <c r="K176" s="617">
        <f>D176+H176+J176+F176</f>
        <v>140420000</v>
      </c>
      <c r="L176" s="608">
        <f>K176/B176</f>
        <v>59000</v>
      </c>
      <c r="M176" s="664">
        <f>K176</f>
        <v>140420000</v>
      </c>
      <c r="N176" s="596"/>
      <c r="O176" s="1800"/>
    </row>
    <row r="177" spans="1:15" outlineLevel="1">
      <c r="A177" s="620" t="s">
        <v>207</v>
      </c>
      <c r="B177" s="613">
        <v>52</v>
      </c>
      <c r="C177" s="614">
        <v>11000</v>
      </c>
      <c r="D177" s="615">
        <f>B177*C177</f>
        <v>572000</v>
      </c>
      <c r="E177" s="642"/>
      <c r="F177" s="615">
        <f>B177*E177</f>
        <v>0</v>
      </c>
      <c r="G177" s="1924"/>
      <c r="H177" s="615">
        <f>B177*G174</f>
        <v>1716000</v>
      </c>
      <c r="I177" s="1924"/>
      <c r="J177" s="615">
        <f>B177*I174</f>
        <v>780000</v>
      </c>
      <c r="K177" s="617">
        <f>D177+H177+J177+F177</f>
        <v>3068000</v>
      </c>
      <c r="L177" s="608">
        <f>K177/B177</f>
        <v>59000</v>
      </c>
      <c r="M177" s="664">
        <f>K177</f>
        <v>3068000</v>
      </c>
      <c r="N177" s="596"/>
      <c r="O177" s="1800"/>
    </row>
    <row r="178" spans="1:15" outlineLevel="1">
      <c r="A178" s="620" t="s">
        <v>195</v>
      </c>
      <c r="B178" s="622">
        <v>20</v>
      </c>
      <c r="C178" s="614">
        <v>11000</v>
      </c>
      <c r="D178" s="615">
        <f>B178*C178</f>
        <v>220000</v>
      </c>
      <c r="E178" s="642"/>
      <c r="F178" s="615">
        <f>B178*E178</f>
        <v>0</v>
      </c>
      <c r="G178" s="1915"/>
      <c r="H178" s="623">
        <f>B178*G174</f>
        <v>660000</v>
      </c>
      <c r="I178" s="1915"/>
      <c r="J178" s="623">
        <f>B178*I174</f>
        <v>300000</v>
      </c>
      <c r="K178" s="624">
        <f>D178+H178+J178+F178</f>
        <v>1180000</v>
      </c>
      <c r="L178" s="608">
        <f>K178/B178</f>
        <v>59000</v>
      </c>
      <c r="M178" s="664">
        <f>K178</f>
        <v>1180000</v>
      </c>
      <c r="N178" s="596"/>
      <c r="O178" s="1800"/>
    </row>
    <row r="179" spans="1:15" outlineLevel="1">
      <c r="A179" s="1931" t="s">
        <v>45</v>
      </c>
      <c r="B179" s="1913"/>
      <c r="C179" s="1913"/>
      <c r="D179" s="1913"/>
      <c r="E179" s="1913"/>
      <c r="F179" s="1913"/>
      <c r="G179" s="1913"/>
      <c r="H179" s="1913"/>
      <c r="I179" s="1913"/>
      <c r="J179" s="1913"/>
      <c r="K179" s="1913"/>
      <c r="L179" s="595"/>
      <c r="M179" s="664"/>
      <c r="N179" s="596"/>
      <c r="O179" s="1800"/>
    </row>
    <row r="180" spans="1:15" outlineLevel="1">
      <c r="A180" s="1932" t="s">
        <v>595</v>
      </c>
      <c r="B180" s="1923">
        <v>400</v>
      </c>
      <c r="C180" s="1934">
        <v>40000</v>
      </c>
      <c r="D180" s="1928">
        <f>B180*C180</f>
        <v>16000000</v>
      </c>
      <c r="E180" s="1935">
        <v>20000</v>
      </c>
      <c r="F180" s="1928">
        <f>B180*E180</f>
        <v>8000000</v>
      </c>
      <c r="G180" s="1914">
        <v>33000</v>
      </c>
      <c r="H180" s="1928">
        <f>B180*G180</f>
        <v>13200000</v>
      </c>
      <c r="I180" s="1914">
        <v>25000</v>
      </c>
      <c r="J180" s="1928">
        <f>B180*I180</f>
        <v>10000000</v>
      </c>
      <c r="K180" s="1936">
        <f>D180+H180+J180+F180</f>
        <v>47200000</v>
      </c>
      <c r="L180" s="1920">
        <f>K180/B180</f>
        <v>118000</v>
      </c>
      <c r="M180" s="664"/>
      <c r="N180" s="596"/>
      <c r="O180" s="1800"/>
    </row>
    <row r="181" spans="1:15" outlineLevel="1">
      <c r="A181" s="1915"/>
      <c r="B181" s="1933"/>
      <c r="C181" s="1915"/>
      <c r="D181" s="1915"/>
      <c r="E181" s="1915"/>
      <c r="F181" s="1915"/>
      <c r="G181" s="1924"/>
      <c r="H181" s="1915"/>
      <c r="I181" s="1924"/>
      <c r="J181" s="1915"/>
      <c r="K181" s="1937"/>
      <c r="L181" s="1921"/>
      <c r="M181" s="664">
        <f>K180</f>
        <v>47200000</v>
      </c>
      <c r="N181" s="596"/>
      <c r="O181" s="1800"/>
    </row>
    <row r="182" spans="1:15" ht="25.5" outlineLevel="1">
      <c r="A182" s="631" t="s">
        <v>212</v>
      </c>
      <c r="B182" s="632">
        <v>230</v>
      </c>
      <c r="C182" s="633">
        <v>25000</v>
      </c>
      <c r="D182" s="634">
        <f>B182*C182</f>
        <v>5750000</v>
      </c>
      <c r="E182" s="635">
        <v>12000</v>
      </c>
      <c r="F182" s="634">
        <f>B182*E182</f>
        <v>2760000</v>
      </c>
      <c r="G182" s="1924"/>
      <c r="H182" s="634">
        <f>B182*G180</f>
        <v>7590000</v>
      </c>
      <c r="I182" s="1924"/>
      <c r="J182" s="634">
        <f>B182*I180</f>
        <v>5750000</v>
      </c>
      <c r="K182" s="636">
        <f>D182+H182+J182+F182</f>
        <v>21850000</v>
      </c>
      <c r="L182" s="637">
        <f>K182/B182</f>
        <v>95000</v>
      </c>
      <c r="M182" s="664">
        <f>K182</f>
        <v>21850000</v>
      </c>
      <c r="N182" s="596"/>
      <c r="O182" s="1800"/>
    </row>
    <row r="183" spans="1:15" ht="25.5" outlineLevel="1">
      <c r="A183" s="631" t="s">
        <v>210</v>
      </c>
      <c r="B183" s="632">
        <v>40</v>
      </c>
      <c r="C183" s="633">
        <v>11000</v>
      </c>
      <c r="D183" s="634">
        <f>B183*C183</f>
        <v>440000</v>
      </c>
      <c r="E183" s="635">
        <v>2000</v>
      </c>
      <c r="F183" s="634">
        <f>B183*E183</f>
        <v>80000</v>
      </c>
      <c r="G183" s="1924"/>
      <c r="H183" s="634">
        <f>B183*G180</f>
        <v>1320000</v>
      </c>
      <c r="I183" s="1924"/>
      <c r="J183" s="634">
        <f>B183*I180</f>
        <v>1000000</v>
      </c>
      <c r="K183" s="636">
        <f>D183+H183+J183+F183</f>
        <v>2840000</v>
      </c>
      <c r="L183" s="637">
        <f>K183/B183</f>
        <v>71000</v>
      </c>
      <c r="M183" s="664">
        <f>K183</f>
        <v>2840000</v>
      </c>
      <c r="N183" s="596"/>
      <c r="O183" s="1800"/>
    </row>
    <row r="184" spans="1:15" outlineLevel="1">
      <c r="A184" s="631" t="s">
        <v>197</v>
      </c>
      <c r="B184" s="632">
        <v>30</v>
      </c>
      <c r="C184" s="633">
        <v>11000</v>
      </c>
      <c r="D184" s="634">
        <f>B184*C184</f>
        <v>330000</v>
      </c>
      <c r="E184" s="635">
        <v>2000</v>
      </c>
      <c r="F184" s="634">
        <f>B184*E184</f>
        <v>60000</v>
      </c>
      <c r="G184" s="1915"/>
      <c r="H184" s="638">
        <f>B184*G180</f>
        <v>990000</v>
      </c>
      <c r="I184" s="1915"/>
      <c r="J184" s="638">
        <f>B184*I180</f>
        <v>750000</v>
      </c>
      <c r="K184" s="639">
        <f>D184+H184+J184+F184</f>
        <v>2130000</v>
      </c>
      <c r="L184" s="637">
        <f>K184/B184</f>
        <v>71000</v>
      </c>
      <c r="M184" s="664">
        <f>K184</f>
        <v>2130000</v>
      </c>
      <c r="N184" s="596"/>
      <c r="O184" s="1800"/>
    </row>
    <row r="185" spans="1:15" outlineLevel="1">
      <c r="A185" s="1912" t="s">
        <v>19</v>
      </c>
      <c r="B185" s="1913"/>
      <c r="C185" s="1913"/>
      <c r="D185" s="1913"/>
      <c r="E185" s="1913"/>
      <c r="F185" s="1913"/>
      <c r="G185" s="1913"/>
      <c r="H185" s="1913"/>
      <c r="I185" s="1913"/>
      <c r="J185" s="1913"/>
      <c r="K185" s="1913"/>
      <c r="L185" s="595"/>
      <c r="M185" s="664"/>
      <c r="N185" s="596"/>
      <c r="O185" s="1800"/>
    </row>
    <row r="186" spans="1:15" outlineLevel="1">
      <c r="A186" s="1922" t="s">
        <v>580</v>
      </c>
      <c r="B186" s="1923">
        <v>0</v>
      </c>
      <c r="C186" s="644">
        <v>25000</v>
      </c>
      <c r="D186" s="599">
        <f>B186*C186</f>
        <v>0</v>
      </c>
      <c r="E186" s="600">
        <v>32000</v>
      </c>
      <c r="F186" s="599">
        <f>B186*E186</f>
        <v>0</v>
      </c>
      <c r="G186" s="1914">
        <v>33000</v>
      </c>
      <c r="H186" s="1925">
        <f>B186*G186</f>
        <v>0</v>
      </c>
      <c r="I186" s="1914">
        <v>15000</v>
      </c>
      <c r="J186" s="1925">
        <f>B186*I186</f>
        <v>0</v>
      </c>
      <c r="K186" s="601">
        <f>D186+H186+J186+F186</f>
        <v>0</v>
      </c>
      <c r="L186" s="602">
        <v>0</v>
      </c>
      <c r="M186" s="664"/>
      <c r="N186" s="596"/>
      <c r="O186" s="1800"/>
    </row>
    <row r="187" spans="1:15" outlineLevel="1">
      <c r="A187" s="1915"/>
      <c r="B187" s="1915"/>
      <c r="C187" s="645">
        <v>35000</v>
      </c>
      <c r="D187" s="606">
        <f>B186*C187</f>
        <v>0</v>
      </c>
      <c r="E187" s="646">
        <v>37000</v>
      </c>
      <c r="F187" s="606">
        <f>B186*E187</f>
        <v>0</v>
      </c>
      <c r="G187" s="1924"/>
      <c r="H187" s="1915"/>
      <c r="I187" s="1924"/>
      <c r="J187" s="1915"/>
      <c r="K187" s="607">
        <f>D187+H186+J186+F187</f>
        <v>0</v>
      </c>
      <c r="L187" s="602">
        <v>0</v>
      </c>
      <c r="M187" s="664"/>
      <c r="N187" s="596"/>
      <c r="O187" s="1800"/>
    </row>
    <row r="188" spans="1:15" outlineLevel="1">
      <c r="A188" s="1922" t="s">
        <v>581</v>
      </c>
      <c r="B188" s="1923">
        <v>0</v>
      </c>
      <c r="C188" s="644">
        <v>25000</v>
      </c>
      <c r="D188" s="599">
        <f>B188*C188</f>
        <v>0</v>
      </c>
      <c r="E188" s="600">
        <v>32000</v>
      </c>
      <c r="F188" s="599">
        <f>B188*E188</f>
        <v>0</v>
      </c>
      <c r="G188" s="1924"/>
      <c r="H188" s="1929">
        <f>B188*G186</f>
        <v>0</v>
      </c>
      <c r="I188" s="1924"/>
      <c r="J188" s="1925">
        <f>B188*I186</f>
        <v>0</v>
      </c>
      <c r="K188" s="601">
        <f>D188+H188+J188+F188</f>
        <v>0</v>
      </c>
      <c r="L188" s="602">
        <v>0</v>
      </c>
      <c r="M188" s="664"/>
      <c r="N188" s="596"/>
      <c r="O188" s="1800"/>
    </row>
    <row r="189" spans="1:15" outlineLevel="1">
      <c r="A189" s="1915"/>
      <c r="B189" s="1915"/>
      <c r="C189" s="645">
        <v>35000</v>
      </c>
      <c r="D189" s="606">
        <f>B188*C189</f>
        <v>0</v>
      </c>
      <c r="E189" s="646">
        <v>37000</v>
      </c>
      <c r="F189" s="606">
        <f>B188*E189</f>
        <v>0</v>
      </c>
      <c r="G189" s="1924"/>
      <c r="H189" s="1915"/>
      <c r="I189" s="1924"/>
      <c r="J189" s="1915"/>
      <c r="K189" s="647">
        <f>D189+H188+J188+F189</f>
        <v>0</v>
      </c>
      <c r="L189" s="602">
        <v>0</v>
      </c>
      <c r="M189" s="664"/>
      <c r="N189" s="596"/>
      <c r="O189" s="1800"/>
    </row>
    <row r="190" spans="1:15" outlineLevel="1">
      <c r="A190" s="631" t="s">
        <v>198</v>
      </c>
      <c r="B190" s="622">
        <v>0</v>
      </c>
      <c r="C190" s="633">
        <v>11000</v>
      </c>
      <c r="D190" s="638">
        <f>B190*C190</f>
        <v>0</v>
      </c>
      <c r="E190" s="638"/>
      <c r="F190" s="638">
        <f>B190*E190</f>
        <v>0</v>
      </c>
      <c r="G190" s="1915"/>
      <c r="H190" s="638">
        <f>B190*G186</f>
        <v>0</v>
      </c>
      <c r="I190" s="1915"/>
      <c r="J190" s="638">
        <f>B190*I186</f>
        <v>0</v>
      </c>
      <c r="K190" s="639">
        <f>D190+H190+J190+F190</f>
        <v>0</v>
      </c>
      <c r="L190" s="602">
        <v>0</v>
      </c>
      <c r="M190" s="664"/>
      <c r="N190" s="596"/>
      <c r="O190" s="1800"/>
    </row>
    <row r="191" spans="1:15" outlineLevel="1">
      <c r="A191" s="1930" t="s">
        <v>583</v>
      </c>
      <c r="B191" s="1913"/>
      <c r="C191" s="1913"/>
      <c r="D191" s="1913"/>
      <c r="E191" s="1913"/>
      <c r="F191" s="1913"/>
      <c r="G191" s="1913"/>
      <c r="H191" s="1913"/>
      <c r="I191" s="1913"/>
      <c r="J191" s="1913"/>
      <c r="K191" s="1913"/>
      <c r="L191" s="595"/>
      <c r="M191" s="664"/>
      <c r="N191" s="596"/>
      <c r="O191" s="1800"/>
    </row>
    <row r="192" spans="1:15" outlineLevel="1">
      <c r="A192" s="1926" t="s">
        <v>584</v>
      </c>
      <c r="B192" s="1927">
        <v>180</v>
      </c>
      <c r="C192" s="644">
        <v>25000</v>
      </c>
      <c r="D192" s="599">
        <f>B192*C192</f>
        <v>4500000</v>
      </c>
      <c r="E192" s="600">
        <v>32000</v>
      </c>
      <c r="F192" s="599">
        <f>B192*E192</f>
        <v>5760000</v>
      </c>
      <c r="G192" s="1914">
        <v>33000</v>
      </c>
      <c r="H192" s="1928">
        <f>B192*G192</f>
        <v>5940000</v>
      </c>
      <c r="I192" s="1914">
        <v>15000</v>
      </c>
      <c r="J192" s="1928">
        <f>B192*I192</f>
        <v>2700000</v>
      </c>
      <c r="K192" s="601">
        <f>D192+H192+J192+F192</f>
        <v>18900000</v>
      </c>
      <c r="L192" s="602">
        <f>K192/B192</f>
        <v>105000</v>
      </c>
      <c r="M192" s="664">
        <f>K192</f>
        <v>18900000</v>
      </c>
      <c r="N192" s="596"/>
      <c r="O192" s="1800"/>
    </row>
    <row r="193" spans="1:15" outlineLevel="1">
      <c r="A193" s="1915"/>
      <c r="B193" s="1915"/>
      <c r="C193" s="645">
        <v>35000</v>
      </c>
      <c r="D193" s="606">
        <f>B192*C193</f>
        <v>6300000</v>
      </c>
      <c r="E193" s="646">
        <v>37000</v>
      </c>
      <c r="F193" s="606">
        <f>B192*E193</f>
        <v>6660000</v>
      </c>
      <c r="G193" s="1924"/>
      <c r="H193" s="1915"/>
      <c r="I193" s="1924"/>
      <c r="J193" s="1915"/>
      <c r="K193" s="647">
        <f>D193+H192+J192+F193</f>
        <v>21600000</v>
      </c>
      <c r="L193" s="648">
        <f>K193/B192</f>
        <v>120000</v>
      </c>
      <c r="M193" s="664"/>
      <c r="N193" s="596"/>
      <c r="O193" s="1800"/>
    </row>
    <row r="194" spans="1:15" ht="25.5" outlineLevel="1">
      <c r="A194" s="631" t="s">
        <v>199</v>
      </c>
      <c r="B194" s="632">
        <v>90</v>
      </c>
      <c r="C194" s="633">
        <v>11000</v>
      </c>
      <c r="D194" s="638">
        <f>B194*C194</f>
        <v>990000</v>
      </c>
      <c r="E194" s="649">
        <v>0</v>
      </c>
      <c r="F194" s="638">
        <f>B194*E194</f>
        <v>0</v>
      </c>
      <c r="G194" s="1915"/>
      <c r="H194" s="623">
        <f>B194*G192</f>
        <v>2970000</v>
      </c>
      <c r="I194" s="1915"/>
      <c r="J194" s="623">
        <f>B194*I192</f>
        <v>1350000</v>
      </c>
      <c r="K194" s="624">
        <f>D194+H194+J194+F194</f>
        <v>5310000</v>
      </c>
      <c r="L194" s="685">
        <f>K194/B194</f>
        <v>59000</v>
      </c>
      <c r="M194" s="664">
        <f>K194</f>
        <v>5310000</v>
      </c>
      <c r="N194" s="596"/>
      <c r="O194" s="1800"/>
    </row>
    <row r="195" spans="1:15" outlineLevel="1">
      <c r="A195" s="1912" t="s">
        <v>200</v>
      </c>
      <c r="B195" s="1913"/>
      <c r="C195" s="1913"/>
      <c r="D195" s="1913"/>
      <c r="E195" s="1913"/>
      <c r="F195" s="1913"/>
      <c r="G195" s="1913"/>
      <c r="H195" s="1913"/>
      <c r="I195" s="1913"/>
      <c r="J195" s="1913"/>
      <c r="K195" s="1913"/>
      <c r="L195" s="685"/>
      <c r="M195" s="664"/>
      <c r="N195" s="596"/>
      <c r="O195" s="1800"/>
    </row>
    <row r="196" spans="1:15" outlineLevel="1">
      <c r="A196" s="631" t="s">
        <v>200</v>
      </c>
      <c r="B196" s="657">
        <v>12</v>
      </c>
      <c r="C196" s="633">
        <v>11000</v>
      </c>
      <c r="D196" s="615">
        <f>B196*C196</f>
        <v>132000</v>
      </c>
      <c r="E196" s="642">
        <v>1000</v>
      </c>
      <c r="F196" s="615">
        <f>B196*E196</f>
        <v>12000</v>
      </c>
      <c r="G196" s="1914">
        <v>33000</v>
      </c>
      <c r="H196" s="634">
        <f>B196*G196</f>
        <v>396000</v>
      </c>
      <c r="I196" s="1914">
        <v>15000</v>
      </c>
      <c r="J196" s="634">
        <f>B196*I196</f>
        <v>180000</v>
      </c>
      <c r="K196" s="636">
        <f>D196+H196+J196+F196</f>
        <v>720000</v>
      </c>
      <c r="L196" s="685">
        <f t="shared" ref="L196:L205" si="1">K196/B196</f>
        <v>60000</v>
      </c>
      <c r="M196" s="664">
        <f>K196</f>
        <v>720000</v>
      </c>
      <c r="N196" s="596"/>
      <c r="O196" s="1800"/>
    </row>
    <row r="197" spans="1:15" ht="25.5" outlineLevel="1">
      <c r="A197" s="631" t="s">
        <v>199</v>
      </c>
      <c r="B197" s="632">
        <v>39</v>
      </c>
      <c r="C197" s="633">
        <v>11000</v>
      </c>
      <c r="D197" s="634">
        <f>B197*C197</f>
        <v>429000</v>
      </c>
      <c r="E197" s="649">
        <v>0</v>
      </c>
      <c r="F197" s="634">
        <f>B197*E197</f>
        <v>0</v>
      </c>
      <c r="G197" s="1915"/>
      <c r="H197" s="623">
        <f>B197*G196</f>
        <v>1287000</v>
      </c>
      <c r="I197" s="1915"/>
      <c r="J197" s="623">
        <f>B197*I196</f>
        <v>585000</v>
      </c>
      <c r="K197" s="624">
        <f>D197+H197+J197+F197</f>
        <v>2301000</v>
      </c>
      <c r="L197" s="685">
        <f t="shared" si="1"/>
        <v>59000</v>
      </c>
      <c r="M197" s="664">
        <f>K197</f>
        <v>2301000</v>
      </c>
      <c r="N197" s="596"/>
      <c r="O197" s="1800"/>
    </row>
    <row r="198" spans="1:15" outlineLevel="1">
      <c r="A198" s="1912" t="s">
        <v>201</v>
      </c>
      <c r="B198" s="1913"/>
      <c r="C198" s="1913"/>
      <c r="D198" s="1913"/>
      <c r="E198" s="1913"/>
      <c r="F198" s="1913"/>
      <c r="G198" s="1913"/>
      <c r="H198" s="1913"/>
      <c r="I198" s="1913"/>
      <c r="J198" s="1913"/>
      <c r="K198" s="1913"/>
      <c r="L198" s="685"/>
      <c r="M198" s="664"/>
      <c r="N198" s="596"/>
      <c r="O198" s="1800"/>
    </row>
    <row r="199" spans="1:15" outlineLevel="1">
      <c r="A199" s="631" t="s">
        <v>201</v>
      </c>
      <c r="B199" s="657">
        <v>97</v>
      </c>
      <c r="C199" s="633">
        <v>11000</v>
      </c>
      <c r="D199" s="615">
        <v>2083400</v>
      </c>
      <c r="E199" s="642">
        <v>1000</v>
      </c>
      <c r="F199" s="615">
        <f>B199*E199</f>
        <v>97000</v>
      </c>
      <c r="G199" s="1914">
        <v>33000</v>
      </c>
      <c r="H199" s="634">
        <f>B199*G199</f>
        <v>3201000</v>
      </c>
      <c r="I199" s="1914">
        <v>15000</v>
      </c>
      <c r="J199" s="634">
        <f>B199*I199</f>
        <v>1455000</v>
      </c>
      <c r="K199" s="636">
        <f>D199+H199+J199+F199</f>
        <v>6836400</v>
      </c>
      <c r="L199" s="685">
        <f t="shared" si="1"/>
        <v>70478.350515463913</v>
      </c>
      <c r="M199" s="664">
        <f>K199</f>
        <v>6836400</v>
      </c>
      <c r="N199" s="596"/>
      <c r="O199" s="1800"/>
    </row>
    <row r="200" spans="1:15" ht="25.5" outlineLevel="1">
      <c r="A200" s="631" t="s">
        <v>202</v>
      </c>
      <c r="B200" s="632">
        <v>33</v>
      </c>
      <c r="C200" s="633">
        <v>11000</v>
      </c>
      <c r="D200" s="634">
        <v>852300</v>
      </c>
      <c r="E200" s="649">
        <v>0</v>
      </c>
      <c r="F200" s="634">
        <f>B200*E200</f>
        <v>0</v>
      </c>
      <c r="G200" s="1915"/>
      <c r="H200" s="623">
        <f>B200*G199</f>
        <v>1089000</v>
      </c>
      <c r="I200" s="1915"/>
      <c r="J200" s="623">
        <f>B200*I199</f>
        <v>495000</v>
      </c>
      <c r="K200" s="624">
        <f>D200+H200+J200+F200</f>
        <v>2436300</v>
      </c>
      <c r="L200" s="685">
        <f t="shared" si="1"/>
        <v>73827.272727272721</v>
      </c>
      <c r="M200" s="664">
        <f>K200</f>
        <v>2436300</v>
      </c>
      <c r="N200" s="596"/>
      <c r="O200" s="1800"/>
    </row>
    <row r="201" spans="1:15" outlineLevel="1">
      <c r="A201" s="1912" t="s">
        <v>203</v>
      </c>
      <c r="B201" s="1913"/>
      <c r="C201" s="1913"/>
      <c r="D201" s="1913"/>
      <c r="E201" s="1913"/>
      <c r="F201" s="1913"/>
      <c r="G201" s="1913"/>
      <c r="H201" s="1913"/>
      <c r="I201" s="1913"/>
      <c r="J201" s="1913"/>
      <c r="K201" s="1913"/>
      <c r="L201" s="685"/>
      <c r="M201" s="664"/>
      <c r="N201" s="596"/>
      <c r="O201" s="1800"/>
    </row>
    <row r="202" spans="1:15" outlineLevel="1">
      <c r="A202" s="631" t="s">
        <v>203</v>
      </c>
      <c r="B202" s="657">
        <v>89</v>
      </c>
      <c r="C202" s="633">
        <v>11000</v>
      </c>
      <c r="D202" s="615">
        <v>1221000</v>
      </c>
      <c r="E202" s="642">
        <v>1000</v>
      </c>
      <c r="F202" s="615">
        <f>B202*E202</f>
        <v>89000</v>
      </c>
      <c r="G202" s="1914">
        <v>33000</v>
      </c>
      <c r="H202" s="634">
        <f>B202*G202</f>
        <v>2937000</v>
      </c>
      <c r="I202" s="1914">
        <v>15000</v>
      </c>
      <c r="J202" s="634">
        <f>B202*I202</f>
        <v>1335000</v>
      </c>
      <c r="K202" s="636">
        <f>D202+H202+J202+F202</f>
        <v>5582000</v>
      </c>
      <c r="L202" s="685">
        <f t="shared" si="1"/>
        <v>62719.101123595508</v>
      </c>
      <c r="M202" s="664">
        <f>K202</f>
        <v>5582000</v>
      </c>
      <c r="N202" s="596"/>
      <c r="O202" s="1800"/>
    </row>
    <row r="203" spans="1:15" ht="25.5" outlineLevel="1">
      <c r="A203" s="631" t="s">
        <v>199</v>
      </c>
      <c r="B203" s="632">
        <v>18</v>
      </c>
      <c r="C203" s="633">
        <v>11000</v>
      </c>
      <c r="D203" s="634">
        <v>499499.99999999994</v>
      </c>
      <c r="E203" s="649">
        <v>0</v>
      </c>
      <c r="F203" s="634">
        <f>B203*E203</f>
        <v>0</v>
      </c>
      <c r="G203" s="1915"/>
      <c r="H203" s="615">
        <f>B203*G202</f>
        <v>594000</v>
      </c>
      <c r="I203" s="1915"/>
      <c r="J203" s="615">
        <f>B203*I202</f>
        <v>270000</v>
      </c>
      <c r="K203" s="617">
        <f>D203+H203+J203+F203</f>
        <v>1363500</v>
      </c>
      <c r="L203" s="685">
        <f t="shared" si="1"/>
        <v>75750</v>
      </c>
      <c r="M203" s="664">
        <f>K203</f>
        <v>1363500</v>
      </c>
      <c r="N203" s="596"/>
      <c r="O203" s="1800"/>
    </row>
    <row r="204" spans="1:15" outlineLevel="1">
      <c r="A204" s="631" t="s">
        <v>585</v>
      </c>
      <c r="B204" s="632">
        <v>640</v>
      </c>
      <c r="C204" s="633">
        <v>8000</v>
      </c>
      <c r="D204" s="634">
        <f>B204*C204</f>
        <v>5120000</v>
      </c>
      <c r="E204" s="649">
        <v>0</v>
      </c>
      <c r="F204" s="634">
        <f>B204*E204</f>
        <v>0</v>
      </c>
      <c r="G204" s="642">
        <v>33000</v>
      </c>
      <c r="H204" s="615">
        <f>B204*G204</f>
        <v>21120000</v>
      </c>
      <c r="I204" s="662">
        <v>0</v>
      </c>
      <c r="J204" s="615">
        <f>B204*I204</f>
        <v>0</v>
      </c>
      <c r="K204" s="617">
        <f>D204+F204+H204+J204</f>
        <v>26240000</v>
      </c>
      <c r="L204" s="685">
        <f t="shared" si="1"/>
        <v>41000</v>
      </c>
      <c r="M204" s="664">
        <f>K204</f>
        <v>26240000</v>
      </c>
      <c r="N204" s="596"/>
      <c r="O204" s="1800"/>
    </row>
    <row r="205" spans="1:15" outlineLevel="1">
      <c r="A205" s="631" t="s">
        <v>600</v>
      </c>
      <c r="B205" s="632">
        <v>3600</v>
      </c>
      <c r="C205" s="633">
        <v>8000</v>
      </c>
      <c r="D205" s="634">
        <f>B205*C205</f>
        <v>28800000</v>
      </c>
      <c r="E205" s="649">
        <v>0</v>
      </c>
      <c r="F205" s="634">
        <v>0</v>
      </c>
      <c r="G205" s="642">
        <v>33000</v>
      </c>
      <c r="H205" s="615">
        <f>G205*B205</f>
        <v>118800000</v>
      </c>
      <c r="I205" s="662">
        <v>15000</v>
      </c>
      <c r="J205" s="615">
        <f>B205*I205</f>
        <v>54000000</v>
      </c>
      <c r="K205" s="617">
        <f>D205+H205+J205</f>
        <v>201600000</v>
      </c>
      <c r="L205" s="685">
        <f t="shared" si="1"/>
        <v>56000</v>
      </c>
      <c r="M205" s="664">
        <f>K205</f>
        <v>201600000</v>
      </c>
      <c r="N205" s="596"/>
      <c r="O205" s="1800"/>
    </row>
    <row r="206" spans="1:15" ht="18">
      <c r="A206" s="1778" t="s">
        <v>586</v>
      </c>
      <c r="B206" s="744">
        <f>B174+B176+B177+B178+B180+B182+B183+B184+B186+B188+B190+B192+B194+B196+B197+B199+B200+B202+B203+B204+B205</f>
        <v>21950</v>
      </c>
      <c r="C206" s="591"/>
      <c r="D206" s="629"/>
      <c r="E206" s="663"/>
      <c r="F206" s="629"/>
      <c r="G206" s="693"/>
      <c r="H206" s="596"/>
      <c r="I206" s="661"/>
      <c r="J206" s="596"/>
      <c r="K206" s="664"/>
      <c r="L206" s="664"/>
      <c r="M206" s="664"/>
      <c r="N206" s="596"/>
    </row>
    <row r="207" spans="1:15">
      <c r="A207" s="694" t="s">
        <v>587</v>
      </c>
      <c r="B207" s="695">
        <v>22500</v>
      </c>
      <c r="C207" s="591"/>
      <c r="D207" s="629"/>
      <c r="E207" s="663"/>
      <c r="F207" s="629">
        <f>SUM(F174,F176,F177,F178,F180,F182,F183,F184,F186,F188,F190,F192,F194,F196,F197,F199,F200,F202,F203,F204)</f>
        <v>464858000</v>
      </c>
      <c r="G207" s="693"/>
      <c r="H207" s="596"/>
      <c r="I207" s="661"/>
      <c r="J207" s="596"/>
      <c r="K207" s="664"/>
      <c r="L207" s="664"/>
      <c r="M207" s="664"/>
      <c r="N207" s="596"/>
    </row>
    <row r="208" spans="1:15" ht="26.25">
      <c r="A208" s="696" t="s">
        <v>596</v>
      </c>
      <c r="B208" s="697"/>
      <c r="C208" s="591"/>
      <c r="D208" s="629"/>
      <c r="E208" s="663"/>
      <c r="F208" s="629"/>
      <c r="G208" s="693"/>
      <c r="H208" s="596"/>
      <c r="I208" s="661"/>
      <c r="J208" s="596"/>
      <c r="K208" s="664"/>
      <c r="L208" s="702">
        <f>M209/B206*1.2</f>
        <v>94139.983599088839</v>
      </c>
      <c r="M208" s="671">
        <v>98114</v>
      </c>
      <c r="N208" s="596"/>
    </row>
    <row r="209" spans="1:14" ht="26.25">
      <c r="A209" s="1916" t="s">
        <v>601</v>
      </c>
      <c r="B209" s="1917"/>
      <c r="C209" s="1917"/>
      <c r="D209" s="1917"/>
      <c r="E209" s="1917"/>
      <c r="F209" s="1917"/>
      <c r="G209" s="1917"/>
      <c r="H209" s="1917"/>
      <c r="I209" s="1917"/>
      <c r="J209" s="1917"/>
      <c r="K209" s="1917"/>
      <c r="L209" s="672" t="s">
        <v>592</v>
      </c>
      <c r="M209" s="673">
        <f>M174+M176+M177+M178+M181+M182+M183+M184+M192+M194+M196+M197+M199+M200+M202+M203+M204+M205</f>
        <v>1721977200</v>
      </c>
      <c r="N209" s="596"/>
    </row>
    <row r="210" spans="1:14" ht="18.75">
      <c r="L210" s="680" t="s">
        <v>229</v>
      </c>
      <c r="M210" s="681">
        <f>SUM(K175,K176:K178,K180:K184,K193,K194,K196:K197,K199:K200,K202:K205)</f>
        <v>2312677200</v>
      </c>
      <c r="N210" s="743">
        <f>M210/B206</f>
        <v>105361.14806378132</v>
      </c>
    </row>
    <row r="211" spans="1:14" ht="26.25">
      <c r="B211" s="705" t="s">
        <v>553</v>
      </c>
      <c r="M211" s="664"/>
      <c r="N211" s="596"/>
    </row>
    <row r="212" spans="1:14" ht="75" outlineLevel="1">
      <c r="A212" s="584" t="s">
        <v>204</v>
      </c>
      <c r="B212" s="584" t="s">
        <v>205</v>
      </c>
      <c r="C212" s="585" t="s">
        <v>557</v>
      </c>
      <c r="D212" s="586" t="s">
        <v>558</v>
      </c>
      <c r="E212" s="585" t="s">
        <v>559</v>
      </c>
      <c r="F212" s="586" t="s">
        <v>560</v>
      </c>
      <c r="G212" s="585" t="s">
        <v>561</v>
      </c>
      <c r="H212" s="586" t="s">
        <v>562</v>
      </c>
      <c r="I212" s="585" t="s">
        <v>563</v>
      </c>
      <c r="J212" s="586" t="s">
        <v>564</v>
      </c>
      <c r="K212" s="587" t="s">
        <v>565</v>
      </c>
      <c r="L212" s="588"/>
      <c r="M212" s="664"/>
      <c r="N212" s="596"/>
    </row>
    <row r="213" spans="1:14" outlineLevel="1">
      <c r="A213" s="584" t="s">
        <v>567</v>
      </c>
      <c r="B213" s="584" t="s">
        <v>323</v>
      </c>
      <c r="C213" s="585" t="s">
        <v>568</v>
      </c>
      <c r="D213" s="586" t="s">
        <v>569</v>
      </c>
      <c r="E213" s="586" t="s">
        <v>570</v>
      </c>
      <c r="F213" s="586" t="s">
        <v>571</v>
      </c>
      <c r="G213" s="592" t="s">
        <v>572</v>
      </c>
      <c r="H213" s="592" t="s">
        <v>573</v>
      </c>
      <c r="I213" s="592" t="s">
        <v>574</v>
      </c>
      <c r="J213" s="592" t="s">
        <v>575</v>
      </c>
      <c r="K213" s="593" t="s">
        <v>576</v>
      </c>
      <c r="L213" s="594"/>
      <c r="M213" s="664"/>
      <c r="N213" s="596"/>
    </row>
    <row r="214" spans="1:14" outlineLevel="1">
      <c r="A214" s="1774" t="s">
        <v>368</v>
      </c>
      <c r="B214" s="1774">
        <v>2500</v>
      </c>
      <c r="C214" s="687">
        <v>25000</v>
      </c>
      <c r="D214" s="687">
        <f t="shared" ref="D214:D220" si="2">B214*C214</f>
        <v>62500000</v>
      </c>
      <c r="E214" s="687">
        <v>32000</v>
      </c>
      <c r="F214" s="687">
        <f t="shared" ref="F214:F220" si="3">E214*B214</f>
        <v>80000000</v>
      </c>
      <c r="G214" s="687">
        <v>33000</v>
      </c>
      <c r="H214" s="687">
        <f t="shared" ref="H214:H220" si="4">G214*B214</f>
        <v>82500000</v>
      </c>
      <c r="I214" s="687">
        <v>15000</v>
      </c>
      <c r="J214" s="687">
        <f t="shared" ref="J214:J220" si="5">I214*B214</f>
        <v>37500000</v>
      </c>
      <c r="K214" s="710">
        <f t="shared" ref="K214:K220" si="6">D214+F214+H214+J214</f>
        <v>262500000</v>
      </c>
      <c r="L214" s="711">
        <f>K214/B214</f>
        <v>105000</v>
      </c>
      <c r="M214" s="664">
        <f t="shared" ref="M214:M220" si="7">K214</f>
        <v>262500000</v>
      </c>
      <c r="N214" s="596"/>
    </row>
    <row r="215" spans="1:14" outlineLevel="1">
      <c r="A215" s="1774" t="s">
        <v>292</v>
      </c>
      <c r="B215" s="1774">
        <v>150</v>
      </c>
      <c r="C215" s="687">
        <v>40000</v>
      </c>
      <c r="D215" s="687">
        <f t="shared" si="2"/>
        <v>6000000</v>
      </c>
      <c r="E215" s="687">
        <v>20000</v>
      </c>
      <c r="F215" s="687">
        <f t="shared" si="3"/>
        <v>3000000</v>
      </c>
      <c r="G215" s="687">
        <v>33000</v>
      </c>
      <c r="H215" s="687">
        <f t="shared" si="4"/>
        <v>4950000</v>
      </c>
      <c r="I215" s="687">
        <v>25000</v>
      </c>
      <c r="J215" s="687">
        <f t="shared" si="5"/>
        <v>3750000</v>
      </c>
      <c r="K215" s="710">
        <f t="shared" si="6"/>
        <v>17700000</v>
      </c>
      <c r="L215" s="711">
        <f t="shared" ref="L215:L220" si="8">K215/B215</f>
        <v>118000</v>
      </c>
      <c r="M215" s="664">
        <f t="shared" si="7"/>
        <v>17700000</v>
      </c>
      <c r="N215" s="596"/>
    </row>
    <row r="216" spans="1:14" outlineLevel="1">
      <c r="A216" s="687" t="s">
        <v>602</v>
      </c>
      <c r="B216" s="687">
        <v>250</v>
      </c>
      <c r="C216" s="687">
        <v>25000</v>
      </c>
      <c r="D216" s="687">
        <f t="shared" si="2"/>
        <v>6250000</v>
      </c>
      <c r="E216" s="687">
        <v>0</v>
      </c>
      <c r="F216" s="687">
        <f t="shared" si="3"/>
        <v>0</v>
      </c>
      <c r="G216" s="687">
        <v>33000</v>
      </c>
      <c r="H216" s="687">
        <f t="shared" si="4"/>
        <v>8250000</v>
      </c>
      <c r="I216" s="687">
        <v>15000</v>
      </c>
      <c r="J216" s="687">
        <f t="shared" si="5"/>
        <v>3750000</v>
      </c>
      <c r="K216" s="710">
        <f t="shared" si="6"/>
        <v>18250000</v>
      </c>
      <c r="L216" s="711">
        <f t="shared" si="8"/>
        <v>73000</v>
      </c>
      <c r="M216" s="664">
        <f t="shared" si="7"/>
        <v>18250000</v>
      </c>
      <c r="N216" s="596"/>
    </row>
    <row r="217" spans="1:14" outlineLevel="1">
      <c r="A217" s="687" t="s">
        <v>245</v>
      </c>
      <c r="B217" s="687">
        <v>1800</v>
      </c>
      <c r="C217" s="687">
        <v>25000</v>
      </c>
      <c r="D217" s="687">
        <f t="shared" si="2"/>
        <v>45000000</v>
      </c>
      <c r="E217" s="687">
        <v>20000</v>
      </c>
      <c r="F217" s="687">
        <f t="shared" si="3"/>
        <v>36000000</v>
      </c>
      <c r="G217" s="687">
        <v>33000</v>
      </c>
      <c r="H217" s="687">
        <f t="shared" si="4"/>
        <v>59400000</v>
      </c>
      <c r="I217" s="687">
        <v>15000</v>
      </c>
      <c r="J217" s="687">
        <f t="shared" si="5"/>
        <v>27000000</v>
      </c>
      <c r="K217" s="710">
        <f t="shared" si="6"/>
        <v>167400000</v>
      </c>
      <c r="L217" s="711">
        <f t="shared" si="8"/>
        <v>93000</v>
      </c>
      <c r="M217" s="664">
        <f t="shared" si="7"/>
        <v>167400000</v>
      </c>
      <c r="N217" s="596"/>
    </row>
    <row r="218" spans="1:14" outlineLevel="1">
      <c r="A218" s="1774" t="s">
        <v>291</v>
      </c>
      <c r="B218" s="1774">
        <v>4000</v>
      </c>
      <c r="C218" s="687">
        <v>8000</v>
      </c>
      <c r="D218" s="687">
        <f t="shared" si="2"/>
        <v>32000000</v>
      </c>
      <c r="E218" s="687">
        <v>0</v>
      </c>
      <c r="F218" s="687">
        <f t="shared" si="3"/>
        <v>0</v>
      </c>
      <c r="G218" s="687">
        <v>33000</v>
      </c>
      <c r="H218" s="687">
        <f t="shared" si="4"/>
        <v>132000000</v>
      </c>
      <c r="I218" s="687">
        <v>15000</v>
      </c>
      <c r="J218" s="687">
        <f t="shared" si="5"/>
        <v>60000000</v>
      </c>
      <c r="K218" s="710">
        <f t="shared" si="6"/>
        <v>224000000</v>
      </c>
      <c r="L218" s="711">
        <f t="shared" si="8"/>
        <v>56000</v>
      </c>
      <c r="M218" s="664">
        <f t="shared" si="7"/>
        <v>224000000</v>
      </c>
      <c r="N218" s="596"/>
    </row>
    <row r="219" spans="1:14" outlineLevel="1">
      <c r="A219" s="687" t="s">
        <v>603</v>
      </c>
      <c r="B219" s="687">
        <v>900</v>
      </c>
      <c r="C219" s="687">
        <v>11000</v>
      </c>
      <c r="D219" s="687">
        <f t="shared" si="2"/>
        <v>9900000</v>
      </c>
      <c r="E219" s="687">
        <v>20000</v>
      </c>
      <c r="F219" s="687">
        <f t="shared" si="3"/>
        <v>18000000</v>
      </c>
      <c r="G219" s="687">
        <v>33000</v>
      </c>
      <c r="H219" s="687">
        <f t="shared" si="4"/>
        <v>29700000</v>
      </c>
      <c r="I219" s="687">
        <v>15000</v>
      </c>
      <c r="J219" s="687">
        <f t="shared" si="5"/>
        <v>13500000</v>
      </c>
      <c r="K219" s="710">
        <f t="shared" si="6"/>
        <v>71100000</v>
      </c>
      <c r="L219" s="711">
        <f t="shared" si="8"/>
        <v>79000</v>
      </c>
      <c r="M219" s="664">
        <f t="shared" si="7"/>
        <v>71100000</v>
      </c>
      <c r="N219" s="596"/>
    </row>
    <row r="220" spans="1:14" outlineLevel="1">
      <c r="A220" s="1815" t="s">
        <v>604</v>
      </c>
      <c r="B220" s="1815">
        <v>1200</v>
      </c>
      <c r="C220" s="687">
        <v>8000</v>
      </c>
      <c r="D220" s="687">
        <f t="shared" si="2"/>
        <v>9600000</v>
      </c>
      <c r="E220" s="687">
        <v>2000</v>
      </c>
      <c r="F220" s="687">
        <f t="shared" si="3"/>
        <v>2400000</v>
      </c>
      <c r="G220" s="687">
        <v>33000</v>
      </c>
      <c r="H220" s="687">
        <f t="shared" si="4"/>
        <v>39600000</v>
      </c>
      <c r="I220" s="687">
        <v>15000</v>
      </c>
      <c r="J220" s="687">
        <f t="shared" si="5"/>
        <v>18000000</v>
      </c>
      <c r="K220" s="710">
        <f t="shared" si="6"/>
        <v>69600000</v>
      </c>
      <c r="L220" s="711">
        <f t="shared" si="8"/>
        <v>58000</v>
      </c>
      <c r="M220" s="664">
        <f t="shared" si="7"/>
        <v>69600000</v>
      </c>
      <c r="N220" s="596"/>
    </row>
    <row r="221" spans="1:14" ht="18">
      <c r="A221" s="631" t="s">
        <v>586</v>
      </c>
      <c r="B221" s="744">
        <f>SUM(B214:B220)</f>
        <v>10800</v>
      </c>
      <c r="C221" s="794"/>
      <c r="D221" s="794"/>
      <c r="E221" s="794"/>
      <c r="F221" s="794"/>
      <c r="G221" s="794"/>
      <c r="H221" s="794"/>
      <c r="I221" s="794"/>
      <c r="J221" s="794"/>
      <c r="K221" s="794"/>
      <c r="L221" s="794"/>
      <c r="M221" s="664"/>
      <c r="N221" s="596"/>
    </row>
    <row r="222" spans="1:14">
      <c r="A222" s="666" t="s">
        <v>587</v>
      </c>
      <c r="B222" s="687">
        <v>12200</v>
      </c>
      <c r="M222" s="664"/>
      <c r="N222" s="596"/>
    </row>
    <row r="223" spans="1:14" ht="26.25">
      <c r="A223" s="1918" t="s">
        <v>605</v>
      </c>
      <c r="B223" s="1913"/>
      <c r="C223" s="1913"/>
      <c r="D223" s="1913"/>
      <c r="E223" s="1913"/>
      <c r="F223" s="1913"/>
      <c r="G223" s="1913"/>
      <c r="H223" s="1913"/>
      <c r="I223" s="1913"/>
      <c r="J223" s="1913"/>
      <c r="K223" s="1919"/>
      <c r="L223" s="712"/>
      <c r="M223" s="713">
        <f>M214+M215+M216+M217+M218+M219+M220</f>
        <v>830550000</v>
      </c>
      <c r="N223" s="743">
        <f>M223/B221</f>
        <v>76902.777777777781</v>
      </c>
    </row>
    <row r="224" spans="1:14">
      <c r="M224" s="664"/>
      <c r="N224" s="596"/>
    </row>
    <row r="225" spans="1:14" ht="26.25">
      <c r="B225" s="705" t="s">
        <v>407</v>
      </c>
      <c r="M225" s="664"/>
      <c r="N225" s="596"/>
    </row>
    <row r="226" spans="1:14" ht="75" outlineLevel="1">
      <c r="A226" s="584" t="s">
        <v>204</v>
      </c>
      <c r="B226" s="584" t="s">
        <v>205</v>
      </c>
      <c r="C226" s="585" t="s">
        <v>557</v>
      </c>
      <c r="D226" s="586" t="s">
        <v>558</v>
      </c>
      <c r="E226" s="585" t="s">
        <v>559</v>
      </c>
      <c r="F226" s="586" t="s">
        <v>560</v>
      </c>
      <c r="G226" s="585" t="s">
        <v>561</v>
      </c>
      <c r="H226" s="586" t="s">
        <v>562</v>
      </c>
      <c r="I226" s="585" t="s">
        <v>563</v>
      </c>
      <c r="J226" s="586" t="s">
        <v>564</v>
      </c>
      <c r="K226" s="587" t="s">
        <v>565</v>
      </c>
      <c r="L226" s="588"/>
      <c r="M226" s="664"/>
      <c r="N226" s="596"/>
    </row>
    <row r="227" spans="1:14" outlineLevel="1">
      <c r="A227" s="584" t="s">
        <v>567</v>
      </c>
      <c r="B227" s="584" t="s">
        <v>323</v>
      </c>
      <c r="C227" s="585" t="s">
        <v>568</v>
      </c>
      <c r="D227" s="586" t="s">
        <v>569</v>
      </c>
      <c r="E227" s="586" t="s">
        <v>570</v>
      </c>
      <c r="F227" s="586" t="s">
        <v>571</v>
      </c>
      <c r="G227" s="592" t="s">
        <v>572</v>
      </c>
      <c r="H227" s="592" t="s">
        <v>573</v>
      </c>
      <c r="I227" s="592" t="s">
        <v>574</v>
      </c>
      <c r="J227" s="592" t="s">
        <v>575</v>
      </c>
      <c r="K227" s="593" t="s">
        <v>576</v>
      </c>
      <c r="L227" s="594"/>
      <c r="M227" s="664"/>
      <c r="N227" s="596"/>
    </row>
    <row r="228" spans="1:14" outlineLevel="1">
      <c r="A228" s="714" t="s">
        <v>606</v>
      </c>
      <c r="B228" s="715"/>
      <c r="C228" s="715"/>
      <c r="D228" s="715"/>
      <c r="E228" s="715"/>
      <c r="F228" s="715"/>
      <c r="G228" s="715"/>
      <c r="H228" s="715"/>
      <c r="I228" s="715"/>
      <c r="J228" s="715"/>
      <c r="K228" s="715">
        <v>195000000</v>
      </c>
      <c r="L228" s="711"/>
      <c r="M228" s="664"/>
      <c r="N228" s="596"/>
    </row>
    <row r="229" spans="1:14" ht="26.25">
      <c r="A229" s="1916" t="s">
        <v>607</v>
      </c>
      <c r="B229" s="1917"/>
      <c r="C229" s="1917"/>
      <c r="D229" s="1917"/>
      <c r="E229" s="1917"/>
      <c r="F229" s="1917"/>
      <c r="G229" s="1917"/>
      <c r="H229" s="1917"/>
      <c r="I229" s="1917"/>
      <c r="J229" s="1917"/>
      <c r="K229" s="1917"/>
      <c r="L229" s="716"/>
      <c r="M229" s="717">
        <f>K228</f>
        <v>195000000</v>
      </c>
      <c r="N229" s="743">
        <f>M229/13</f>
        <v>15000000</v>
      </c>
    </row>
    <row r="230" spans="1:14" ht="26.25">
      <c r="A230" s="718"/>
      <c r="B230" s="718"/>
      <c r="C230" s="718"/>
      <c r="D230" s="718"/>
      <c r="E230" s="718"/>
      <c r="F230" s="718"/>
      <c r="G230" s="718"/>
      <c r="H230" s="718"/>
      <c r="I230" s="718"/>
      <c r="J230" s="718"/>
      <c r="K230" s="718"/>
      <c r="L230" s="718"/>
      <c r="M230" s="719"/>
      <c r="N230" s="596"/>
    </row>
    <row r="231" spans="1:14" ht="62.25">
      <c r="A231" s="738" t="s">
        <v>617</v>
      </c>
      <c r="B231" s="739" t="s">
        <v>618</v>
      </c>
      <c r="C231" s="740" t="s">
        <v>1389</v>
      </c>
      <c r="D231" s="740" t="s">
        <v>619</v>
      </c>
      <c r="E231" s="740" t="s">
        <v>1390</v>
      </c>
      <c r="F231" s="740" t="s">
        <v>1391</v>
      </c>
      <c r="G231" s="718"/>
      <c r="H231" s="718"/>
      <c r="I231" s="718"/>
      <c r="J231" s="718"/>
      <c r="K231" s="718"/>
      <c r="L231" s="718"/>
      <c r="M231" s="719"/>
      <c r="N231" s="596"/>
    </row>
    <row r="232" spans="1:14" ht="26.25">
      <c r="A232" s="577" t="s">
        <v>555</v>
      </c>
      <c r="B232" s="577">
        <v>900</v>
      </c>
      <c r="C232" s="577">
        <f>N210</f>
        <v>105361.14806378132</v>
      </c>
      <c r="D232" s="577">
        <f>C232*B232</f>
        <v>94825033.257403195</v>
      </c>
      <c r="E232" s="577">
        <v>70000000</v>
      </c>
      <c r="F232" s="577">
        <f>E232+D232</f>
        <v>164825033.25740319</v>
      </c>
      <c r="G232" s="743">
        <f>F232/B232</f>
        <v>183138.9258415591</v>
      </c>
      <c r="H232" s="718"/>
      <c r="I232" s="718"/>
      <c r="J232" s="718"/>
      <c r="K232" s="718"/>
      <c r="L232" s="718"/>
      <c r="M232" s="719"/>
      <c r="N232" s="596"/>
    </row>
    <row r="233" spans="1:14" ht="26.25">
      <c r="A233" s="577" t="s">
        <v>556</v>
      </c>
      <c r="B233" s="577">
        <v>1900</v>
      </c>
      <c r="C233" s="577">
        <f>D233/B233</f>
        <v>150000</v>
      </c>
      <c r="D233" s="577">
        <v>285000000</v>
      </c>
      <c r="E233" s="1885"/>
      <c r="F233" s="577">
        <f>D233</f>
        <v>285000000</v>
      </c>
      <c r="G233" s="743">
        <f>D233/B233</f>
        <v>150000</v>
      </c>
      <c r="H233" s="718"/>
      <c r="I233" s="718"/>
      <c r="J233" s="718"/>
      <c r="K233" s="718"/>
      <c r="L233" s="718"/>
      <c r="M233" s="719"/>
      <c r="N233" s="596"/>
    </row>
    <row r="234" spans="1:14" ht="26.25">
      <c r="A234" s="718"/>
      <c r="B234" s="718"/>
      <c r="C234" s="718"/>
      <c r="D234" s="718"/>
      <c r="E234" s="718"/>
      <c r="F234" s="718"/>
      <c r="G234" s="718"/>
      <c r="H234" s="718"/>
      <c r="I234" s="718"/>
      <c r="J234" s="718"/>
      <c r="K234" s="718"/>
      <c r="L234" s="718"/>
      <c r="M234" s="719"/>
      <c r="N234" s="596"/>
    </row>
    <row r="235" spans="1:14" ht="26.25">
      <c r="A235" s="718"/>
      <c r="B235" s="718"/>
      <c r="C235" s="718"/>
      <c r="D235" s="732" t="str">
        <f>L245</f>
        <v>min</v>
      </c>
      <c r="E235" s="732" t="str">
        <f>L246</f>
        <v>max</v>
      </c>
      <c r="F235" s="718"/>
      <c r="G235" s="718"/>
      <c r="H235" s="718"/>
      <c r="I235" s="718"/>
      <c r="J235" s="718"/>
      <c r="K235" s="718"/>
      <c r="L235" s="718"/>
      <c r="M235" s="719"/>
      <c r="N235" s="596"/>
    </row>
    <row r="236" spans="1:14">
      <c r="A236" s="725" t="s">
        <v>608</v>
      </c>
      <c r="B236" s="725"/>
      <c r="C236" s="725"/>
      <c r="D236" s="665">
        <f>M44+M87+M127+M167+M209+M223+M229</f>
        <v>7179937028.3658533</v>
      </c>
      <c r="E236" s="665">
        <f>SUM(M45,M88,M128,M168,M210,M223,M229)</f>
        <v>8092519028.3658533</v>
      </c>
      <c r="F236" s="596"/>
      <c r="M236" s="664"/>
      <c r="N236" s="596"/>
    </row>
    <row r="237" spans="1:14" ht="90">
      <c r="A237" s="741" t="s">
        <v>609</v>
      </c>
      <c r="B237" s="727">
        <v>7</v>
      </c>
      <c r="C237" s="728">
        <v>2500000</v>
      </c>
      <c r="D237" s="729">
        <f>B237*C237</f>
        <v>17500000</v>
      </c>
      <c r="E237" s="1401">
        <f t="shared" ref="E237:E242" si="9">D237</f>
        <v>17500000</v>
      </c>
      <c r="M237" s="596"/>
      <c r="N237" s="596"/>
    </row>
    <row r="238" spans="1:14">
      <c r="A238" s="726" t="s">
        <v>287</v>
      </c>
      <c r="B238" s="730">
        <v>8500</v>
      </c>
      <c r="C238" s="728">
        <v>1500</v>
      </c>
      <c r="D238" s="729">
        <f>B238*C238</f>
        <v>12750000</v>
      </c>
      <c r="E238" s="1401">
        <f t="shared" si="9"/>
        <v>12750000</v>
      </c>
    </row>
    <row r="239" spans="1:14">
      <c r="A239" s="726" t="s">
        <v>610</v>
      </c>
      <c r="B239" s="730"/>
      <c r="C239" s="730"/>
      <c r="D239" s="729">
        <v>120000000</v>
      </c>
      <c r="E239" s="1401">
        <f t="shared" si="9"/>
        <v>120000000</v>
      </c>
    </row>
    <row r="240" spans="1:14">
      <c r="A240" s="726" t="s">
        <v>611</v>
      </c>
      <c r="B240" s="730"/>
      <c r="C240" s="730"/>
      <c r="D240" s="729">
        <v>12000000</v>
      </c>
      <c r="E240" s="729">
        <f t="shared" si="9"/>
        <v>12000000</v>
      </c>
    </row>
    <row r="241" spans="1:14">
      <c r="A241" s="726" t="s">
        <v>612</v>
      </c>
      <c r="B241" s="730">
        <v>6</v>
      </c>
      <c r="C241" s="731">
        <v>760000</v>
      </c>
      <c r="D241" s="729">
        <f>B241*C241</f>
        <v>4560000</v>
      </c>
      <c r="E241" s="729">
        <f t="shared" si="9"/>
        <v>4560000</v>
      </c>
    </row>
    <row r="242" spans="1:14" ht="45">
      <c r="A242" s="726" t="s">
        <v>613</v>
      </c>
      <c r="B242" s="730">
        <v>0.04</v>
      </c>
      <c r="C242" s="731">
        <f>N237-D246</f>
        <v>0</v>
      </c>
      <c r="D242" s="729">
        <f>(D236+D237+D238+D239+D240+D241)*0.04-67000000-10500000</f>
        <v>216369881.13463414</v>
      </c>
      <c r="E242" s="1401">
        <f t="shared" si="9"/>
        <v>216369881.13463414</v>
      </c>
    </row>
    <row r="243" spans="1:14">
      <c r="A243" s="733" t="s">
        <v>58</v>
      </c>
      <c r="B243" s="734"/>
      <c r="C243" s="735"/>
      <c r="D243" s="736">
        <f>SUM(D236:D242)</f>
        <v>7563116909.5004873</v>
      </c>
      <c r="E243" s="737">
        <f>SUM(E236,D237:D242)</f>
        <v>8475698909.5004873</v>
      </c>
      <c r="H243" s="596"/>
    </row>
    <row r="245" spans="1:14" ht="28.5">
      <c r="A245" s="1909" t="s">
        <v>614</v>
      </c>
      <c r="B245" s="1910"/>
      <c r="C245" s="1910"/>
      <c r="D245" s="1910"/>
      <c r="E245" s="1910"/>
      <c r="F245" s="1910"/>
      <c r="G245" s="1910"/>
      <c r="H245" s="1910"/>
      <c r="I245" s="1910"/>
      <c r="J245" s="1910"/>
      <c r="K245" s="1911"/>
      <c r="L245" s="720" t="s">
        <v>592</v>
      </c>
      <c r="M245" s="721">
        <f>D243</f>
        <v>7563116909.5004873</v>
      </c>
    </row>
    <row r="246" spans="1:14" ht="15.75">
      <c r="D246" s="722"/>
      <c r="L246" s="723" t="s">
        <v>229</v>
      </c>
      <c r="M246" s="681">
        <f>E243</f>
        <v>8475698909.5004873</v>
      </c>
    </row>
    <row r="247" spans="1:14" ht="28.5">
      <c r="A247" s="1909" t="s">
        <v>615</v>
      </c>
      <c r="B247" s="1910"/>
      <c r="C247" s="1910"/>
      <c r="D247" s="1910"/>
      <c r="E247" s="1910"/>
      <c r="F247" s="1910"/>
      <c r="G247" s="1910"/>
      <c r="H247" s="1910"/>
      <c r="I247" s="1910"/>
      <c r="J247" s="1910"/>
      <c r="K247" s="1911"/>
      <c r="L247" s="723" t="s">
        <v>592</v>
      </c>
      <c r="M247" s="721">
        <f>M245*1.2</f>
        <v>9075740291.4005852</v>
      </c>
      <c r="N247" s="596"/>
    </row>
    <row r="248" spans="1:14" ht="15.75">
      <c r="L248" s="723" t="s">
        <v>229</v>
      </c>
      <c r="M248" s="681">
        <f>M246*1.2</f>
        <v>10170838691.400585</v>
      </c>
      <c r="N248" s="596"/>
    </row>
    <row r="250" spans="1:14">
      <c r="B250" s="1480">
        <f>B41+B84+B124+B164+B206+B221+B232+B233</f>
        <v>70248.118878048786</v>
      </c>
    </row>
  </sheetData>
  <mergeCells count="277">
    <mergeCell ref="N5:O5"/>
    <mergeCell ref="Q5:T5"/>
    <mergeCell ref="A6:K6"/>
    <mergeCell ref="N6:N7"/>
    <mergeCell ref="Q6:Q7"/>
    <mergeCell ref="R6:R7"/>
    <mergeCell ref="A7:A8"/>
    <mergeCell ref="B7:B8"/>
    <mergeCell ref="G7:G11"/>
    <mergeCell ref="H7:H8"/>
    <mergeCell ref="I7:I11"/>
    <mergeCell ref="J7:J8"/>
    <mergeCell ref="Q11:T11"/>
    <mergeCell ref="A12:K12"/>
    <mergeCell ref="O12:O13"/>
    <mergeCell ref="Q12:Q13"/>
    <mergeCell ref="R12:R13"/>
    <mergeCell ref="S12:S13"/>
    <mergeCell ref="T12:T13"/>
    <mergeCell ref="A13:A14"/>
    <mergeCell ref="H13:H14"/>
    <mergeCell ref="I13:I17"/>
    <mergeCell ref="J13:J14"/>
    <mergeCell ref="K13:K14"/>
    <mergeCell ref="M13:M14"/>
    <mergeCell ref="N13:N14"/>
    <mergeCell ref="N17:O17"/>
    <mergeCell ref="B13:B14"/>
    <mergeCell ref="C13:C14"/>
    <mergeCell ref="D13:D14"/>
    <mergeCell ref="E13:E14"/>
    <mergeCell ref="F13:F14"/>
    <mergeCell ref="G13:G17"/>
    <mergeCell ref="Q17:T17"/>
    <mergeCell ref="A18:K18"/>
    <mergeCell ref="A20:K20"/>
    <mergeCell ref="N20:N21"/>
    <mergeCell ref="Q20:Q21"/>
    <mergeCell ref="R20:R21"/>
    <mergeCell ref="A21:A22"/>
    <mergeCell ref="B21:B22"/>
    <mergeCell ref="G21:G25"/>
    <mergeCell ref="H21:H22"/>
    <mergeCell ref="Q25:T25"/>
    <mergeCell ref="I21:I25"/>
    <mergeCell ref="J21:J22"/>
    <mergeCell ref="N22:N23"/>
    <mergeCell ref="Q22:Q23"/>
    <mergeCell ref="R22:R23"/>
    <mergeCell ref="A23:A24"/>
    <mergeCell ref="B23:B24"/>
    <mergeCell ref="H23:H24"/>
    <mergeCell ref="J23:J24"/>
    <mergeCell ref="N25:O25"/>
    <mergeCell ref="A26:K26"/>
    <mergeCell ref="N26:N27"/>
    <mergeCell ref="Q26:Q27"/>
    <mergeCell ref="R26:R27"/>
    <mergeCell ref="A27:A28"/>
    <mergeCell ref="B27:B28"/>
    <mergeCell ref="G27:G29"/>
    <mergeCell ref="H27:H28"/>
    <mergeCell ref="I27:I29"/>
    <mergeCell ref="A33:K33"/>
    <mergeCell ref="G34:G35"/>
    <mergeCell ref="I34:I35"/>
    <mergeCell ref="N35:O35"/>
    <mergeCell ref="Q35:T35"/>
    <mergeCell ref="A36:K36"/>
    <mergeCell ref="J27:J28"/>
    <mergeCell ref="N29:O29"/>
    <mergeCell ref="Q29:T29"/>
    <mergeCell ref="A30:K30"/>
    <mergeCell ref="G31:G32"/>
    <mergeCell ref="I31:I32"/>
    <mergeCell ref="N32:O32"/>
    <mergeCell ref="Q32:T32"/>
    <mergeCell ref="G37:G38"/>
    <mergeCell ref="I37:I38"/>
    <mergeCell ref="A44:K44"/>
    <mergeCell ref="A49:K49"/>
    <mergeCell ref="A50:A51"/>
    <mergeCell ref="B50:B51"/>
    <mergeCell ref="G50:G54"/>
    <mergeCell ref="H50:H51"/>
    <mergeCell ref="I50:I54"/>
    <mergeCell ref="J50:J51"/>
    <mergeCell ref="A55:K55"/>
    <mergeCell ref="A56:A57"/>
    <mergeCell ref="B56:B57"/>
    <mergeCell ref="C56:C57"/>
    <mergeCell ref="D56:D57"/>
    <mergeCell ref="E56:E57"/>
    <mergeCell ref="F56:F57"/>
    <mergeCell ref="G56:G60"/>
    <mergeCell ref="H56:H57"/>
    <mergeCell ref="I56:I60"/>
    <mergeCell ref="J64:J65"/>
    <mergeCell ref="A66:A67"/>
    <mergeCell ref="B66:B67"/>
    <mergeCell ref="H66:H67"/>
    <mergeCell ref="J66:J67"/>
    <mergeCell ref="A69:K69"/>
    <mergeCell ref="J56:J57"/>
    <mergeCell ref="K56:K57"/>
    <mergeCell ref="L56:L57"/>
    <mergeCell ref="A61:K61"/>
    <mergeCell ref="A63:K63"/>
    <mergeCell ref="A64:A65"/>
    <mergeCell ref="B64:B65"/>
    <mergeCell ref="G64:G68"/>
    <mergeCell ref="H64:H65"/>
    <mergeCell ref="I64:I68"/>
    <mergeCell ref="A73:K73"/>
    <mergeCell ref="G74:G75"/>
    <mergeCell ref="I74:I75"/>
    <mergeCell ref="A76:K76"/>
    <mergeCell ref="G77:G78"/>
    <mergeCell ref="I77:I78"/>
    <mergeCell ref="A70:A71"/>
    <mergeCell ref="B70:B71"/>
    <mergeCell ref="G70:G72"/>
    <mergeCell ref="H70:H71"/>
    <mergeCell ref="I70:I72"/>
    <mergeCell ref="J70:J71"/>
    <mergeCell ref="A79:K79"/>
    <mergeCell ref="G80:G81"/>
    <mergeCell ref="I80:I81"/>
    <mergeCell ref="A87:K87"/>
    <mergeCell ref="A92:K92"/>
    <mergeCell ref="A93:A94"/>
    <mergeCell ref="B93:B94"/>
    <mergeCell ref="G93:G97"/>
    <mergeCell ref="H93:H94"/>
    <mergeCell ref="I93:I97"/>
    <mergeCell ref="L99:L100"/>
    <mergeCell ref="A104:K104"/>
    <mergeCell ref="A105:A106"/>
    <mergeCell ref="B105:B106"/>
    <mergeCell ref="G105:G109"/>
    <mergeCell ref="H105:H106"/>
    <mergeCell ref="I105:I109"/>
    <mergeCell ref="J93:J94"/>
    <mergeCell ref="A98:K98"/>
    <mergeCell ref="A99:A100"/>
    <mergeCell ref="B99:B100"/>
    <mergeCell ref="C99:C100"/>
    <mergeCell ref="D99:D100"/>
    <mergeCell ref="E99:E100"/>
    <mergeCell ref="F99:F100"/>
    <mergeCell ref="G99:G103"/>
    <mergeCell ref="H99:H100"/>
    <mergeCell ref="J105:J106"/>
    <mergeCell ref="A107:A108"/>
    <mergeCell ref="B107:B108"/>
    <mergeCell ref="H107:H108"/>
    <mergeCell ref="J107:J108"/>
    <mergeCell ref="A110:K110"/>
    <mergeCell ref="I99:I103"/>
    <mergeCell ref="J99:J100"/>
    <mergeCell ref="K99:K100"/>
    <mergeCell ref="A114:K114"/>
    <mergeCell ref="G115:G116"/>
    <mergeCell ref="I115:I116"/>
    <mergeCell ref="A117:K117"/>
    <mergeCell ref="G118:G119"/>
    <mergeCell ref="I118:I119"/>
    <mergeCell ref="A111:A112"/>
    <mergeCell ref="B111:B112"/>
    <mergeCell ref="G111:G113"/>
    <mergeCell ref="H111:H112"/>
    <mergeCell ref="I111:I113"/>
    <mergeCell ref="J111:J112"/>
    <mergeCell ref="A120:K120"/>
    <mergeCell ref="G121:G122"/>
    <mergeCell ref="I121:I122"/>
    <mergeCell ref="A127:K127"/>
    <mergeCell ref="A132:K132"/>
    <mergeCell ref="A133:A134"/>
    <mergeCell ref="B133:B134"/>
    <mergeCell ref="G133:G137"/>
    <mergeCell ref="H133:H134"/>
    <mergeCell ref="I133:I137"/>
    <mergeCell ref="L139:L140"/>
    <mergeCell ref="A144:K144"/>
    <mergeCell ref="A145:A146"/>
    <mergeCell ref="B145:B146"/>
    <mergeCell ref="G145:G149"/>
    <mergeCell ref="H145:H146"/>
    <mergeCell ref="I145:I149"/>
    <mergeCell ref="J133:J134"/>
    <mergeCell ref="A138:K138"/>
    <mergeCell ref="A139:A140"/>
    <mergeCell ref="B139:B140"/>
    <mergeCell ref="C139:C140"/>
    <mergeCell ref="D139:D140"/>
    <mergeCell ref="E139:E140"/>
    <mergeCell ref="F139:F140"/>
    <mergeCell ref="G139:G143"/>
    <mergeCell ref="H139:H140"/>
    <mergeCell ref="J145:J146"/>
    <mergeCell ref="A147:A148"/>
    <mergeCell ref="B147:B148"/>
    <mergeCell ref="H147:H148"/>
    <mergeCell ref="J147:J148"/>
    <mergeCell ref="A150:K150"/>
    <mergeCell ref="I139:I143"/>
    <mergeCell ref="J139:J140"/>
    <mergeCell ref="K139:K140"/>
    <mergeCell ref="A154:K154"/>
    <mergeCell ref="G155:G156"/>
    <mergeCell ref="I155:I156"/>
    <mergeCell ref="A157:K157"/>
    <mergeCell ref="G158:G159"/>
    <mergeCell ref="I158:I159"/>
    <mergeCell ref="A151:A152"/>
    <mergeCell ref="B151:B152"/>
    <mergeCell ref="G151:G153"/>
    <mergeCell ref="H151:H152"/>
    <mergeCell ref="I151:I153"/>
    <mergeCell ref="J151:J152"/>
    <mergeCell ref="A160:K160"/>
    <mergeCell ref="G161:G162"/>
    <mergeCell ref="I161:I162"/>
    <mergeCell ref="A167:K167"/>
    <mergeCell ref="A173:K173"/>
    <mergeCell ref="A174:A175"/>
    <mergeCell ref="B174:B175"/>
    <mergeCell ref="G174:G178"/>
    <mergeCell ref="H174:H175"/>
    <mergeCell ref="I174:I178"/>
    <mergeCell ref="J174:J175"/>
    <mergeCell ref="A179:K179"/>
    <mergeCell ref="A180:A181"/>
    <mergeCell ref="B180:B181"/>
    <mergeCell ref="C180:C181"/>
    <mergeCell ref="D180:D181"/>
    <mergeCell ref="E180:E181"/>
    <mergeCell ref="F180:F181"/>
    <mergeCell ref="G180:G184"/>
    <mergeCell ref="H180:H181"/>
    <mergeCell ref="I180:I184"/>
    <mergeCell ref="J180:J181"/>
    <mergeCell ref="K180:K181"/>
    <mergeCell ref="L180:L181"/>
    <mergeCell ref="A185:K185"/>
    <mergeCell ref="A186:A187"/>
    <mergeCell ref="B186:B187"/>
    <mergeCell ref="G186:G190"/>
    <mergeCell ref="H186:H187"/>
    <mergeCell ref="I186:I190"/>
    <mergeCell ref="A192:A193"/>
    <mergeCell ref="B192:B193"/>
    <mergeCell ref="G192:G194"/>
    <mergeCell ref="H192:H193"/>
    <mergeCell ref="I192:I194"/>
    <mergeCell ref="J192:J193"/>
    <mergeCell ref="J186:J187"/>
    <mergeCell ref="A188:A189"/>
    <mergeCell ref="B188:B189"/>
    <mergeCell ref="H188:H189"/>
    <mergeCell ref="J188:J189"/>
    <mergeCell ref="A191:K191"/>
    <mergeCell ref="A245:K245"/>
    <mergeCell ref="A247:K247"/>
    <mergeCell ref="A201:K201"/>
    <mergeCell ref="G202:G203"/>
    <mergeCell ref="I202:I203"/>
    <mergeCell ref="A209:K209"/>
    <mergeCell ref="A223:K223"/>
    <mergeCell ref="A229:K229"/>
    <mergeCell ref="A195:K195"/>
    <mergeCell ref="G196:G197"/>
    <mergeCell ref="I196:I197"/>
    <mergeCell ref="A198:K198"/>
    <mergeCell ref="G199:G200"/>
    <mergeCell ref="I199:I200"/>
  </mergeCells>
  <pageMargins left="0.25" right="0.25" top="0.75" bottom="0.75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3B2"/>
  </sheetPr>
  <dimension ref="A1"/>
  <sheetViews>
    <sheetView showGridLines="0"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69"/>
  <sheetViews>
    <sheetView showGridLines="0" zoomScale="85" zoomScaleNormal="85" workbookViewId="0">
      <selection activeCell="C13" sqref="C13"/>
    </sheetView>
  </sheetViews>
  <sheetFormatPr defaultRowHeight="15"/>
  <cols>
    <col min="1" max="1" width="2.85546875" customWidth="1"/>
    <col min="2" max="2" width="3.140625" customWidth="1"/>
    <col min="3" max="3" width="61.7109375" customWidth="1"/>
    <col min="4" max="4" width="16.85546875" customWidth="1"/>
    <col min="5" max="5" width="15.7109375" customWidth="1"/>
    <col min="6" max="6" width="14.85546875" customWidth="1"/>
    <col min="7" max="7" width="15.140625" customWidth="1"/>
    <col min="8" max="9" width="12" customWidth="1"/>
    <col min="10" max="11" width="10.5703125" customWidth="1"/>
    <col min="12" max="12" width="12.140625" customWidth="1"/>
    <col min="13" max="14" width="11.85546875" customWidth="1"/>
    <col min="15" max="15" width="10.5703125" customWidth="1"/>
    <col min="16" max="16" width="12.5703125" customWidth="1"/>
    <col min="17" max="17" width="11.85546875" customWidth="1"/>
    <col min="19" max="19" width="12.5703125" customWidth="1"/>
    <col min="20" max="20" width="11.7109375" customWidth="1"/>
    <col min="21" max="22" width="11.140625" customWidth="1"/>
  </cols>
  <sheetData>
    <row r="1" spans="1:14" s="19" customFormat="1" ht="15.75" thickBot="1">
      <c r="A1" s="13">
        <v>1</v>
      </c>
    </row>
    <row r="2" spans="1:14">
      <c r="C2" s="6" t="s">
        <v>6</v>
      </c>
      <c r="D2" s="2"/>
      <c r="E2" s="20"/>
      <c r="F2" s="20"/>
      <c r="G2" s="20"/>
      <c r="H2" s="19"/>
      <c r="I2" s="19"/>
      <c r="J2" s="19"/>
      <c r="K2" s="19"/>
      <c r="L2" s="19"/>
      <c r="M2" s="19"/>
      <c r="N2" s="19"/>
    </row>
    <row r="3" spans="1:14" ht="15.75">
      <c r="C3" s="316" t="s">
        <v>7</v>
      </c>
      <c r="D3" s="316" t="s">
        <v>110</v>
      </c>
      <c r="E3" s="20"/>
      <c r="F3" s="100"/>
      <c r="H3" s="19"/>
      <c r="I3" s="19"/>
      <c r="J3" s="19"/>
      <c r="K3" s="19"/>
      <c r="L3" s="19"/>
      <c r="M3" s="19"/>
      <c r="N3" s="19"/>
    </row>
    <row r="4" spans="1:14">
      <c r="C4" s="101" t="s">
        <v>158</v>
      </c>
      <c r="D4" s="285">
        <v>44593</v>
      </c>
      <c r="E4" s="102"/>
      <c r="F4" s="103"/>
      <c r="H4" s="19"/>
      <c r="I4" s="19"/>
      <c r="J4" s="19"/>
      <c r="K4" s="19"/>
      <c r="L4" s="19"/>
      <c r="M4" s="19"/>
      <c r="N4" s="19"/>
    </row>
    <row r="5" spans="1:14" s="19" customFormat="1">
      <c r="C5" s="101" t="s">
        <v>160</v>
      </c>
      <c r="D5" s="105">
        <f>YEAR(D4)</f>
        <v>2022</v>
      </c>
      <c r="E5" s="102"/>
      <c r="F5" s="103"/>
    </row>
    <row r="6" spans="1:14" s="19" customFormat="1" ht="8.4499999999999993" customHeight="1">
      <c r="C6" s="101"/>
      <c r="D6" s="311"/>
      <c r="E6" s="102"/>
      <c r="F6" s="103"/>
    </row>
    <row r="7" spans="1:14">
      <c r="C7" s="101" t="s">
        <v>173</v>
      </c>
      <c r="D7" s="124">
        <f>D4</f>
        <v>44593</v>
      </c>
      <c r="E7" s="104"/>
      <c r="F7" s="103"/>
      <c r="H7" s="19"/>
      <c r="I7" s="19"/>
      <c r="J7" s="19"/>
      <c r="K7" s="19"/>
      <c r="L7" s="19"/>
      <c r="M7" s="19"/>
      <c r="N7" s="19"/>
    </row>
    <row r="8" spans="1:14" s="19" customFormat="1" ht="8.4499999999999993" customHeight="1">
      <c r="C8" s="101"/>
      <c r="D8" s="311"/>
      <c r="E8" s="102"/>
      <c r="F8" s="103"/>
    </row>
    <row r="9" spans="1:14">
      <c r="C9" s="101" t="s">
        <v>421</v>
      </c>
      <c r="D9" s="124">
        <f>MIN(D10:D16)</f>
        <v>45839</v>
      </c>
      <c r="E9" s="118"/>
      <c r="F9" s="103"/>
      <c r="H9" s="19"/>
      <c r="I9" s="19"/>
      <c r="J9" s="19"/>
      <c r="K9" s="19"/>
      <c r="L9" s="19"/>
      <c r="M9" s="19"/>
      <c r="N9" s="19"/>
    </row>
    <row r="10" spans="1:14">
      <c r="C10" s="27" t="str">
        <f>Объекты!C5&amp;" - "&amp;Объекты!D5</f>
        <v xml:space="preserve">Гостиница 5* - Mövenpick </v>
      </c>
      <c r="D10" s="125">
        <v>46204</v>
      </c>
      <c r="E10" s="20"/>
      <c r="F10" s="20"/>
      <c r="G10" s="19"/>
      <c r="H10" s="19"/>
      <c r="I10" s="19"/>
      <c r="J10" s="19"/>
      <c r="K10" s="19"/>
      <c r="L10" s="19"/>
      <c r="M10" s="19"/>
      <c r="N10" s="19"/>
    </row>
    <row r="11" spans="1:14" s="19" customFormat="1">
      <c r="C11" s="27" t="str">
        <f>Объекты!C6&amp;" - "&amp;Объекты!D6</f>
        <v>Гостиница 4* - Mercure</v>
      </c>
      <c r="D11" s="125">
        <v>46204</v>
      </c>
      <c r="E11" s="20"/>
      <c r="F11" s="20"/>
    </row>
    <row r="12" spans="1:14" s="19" customFormat="1" ht="25.5">
      <c r="C12" s="27" t="str">
        <f>Объекты!C7&amp;" - "&amp;Объекты!D7</f>
        <v>Гостиница 3* - Возможный бренд:
Ibis Styles</v>
      </c>
      <c r="D12" s="125">
        <v>45839</v>
      </c>
      <c r="E12" s="20"/>
      <c r="F12" s="20"/>
    </row>
    <row r="13" spans="1:14" s="19" customFormat="1">
      <c r="C13" s="27" t="str">
        <f>Объекты!C8&amp;" - "&amp;Объекты!D8</f>
        <v>Гостиница 2* - Ibis Budget</v>
      </c>
      <c r="D13" s="125"/>
      <c r="E13" s="20"/>
      <c r="F13" s="20"/>
    </row>
    <row r="14" spans="1:14" s="19" customFormat="1">
      <c r="C14" s="27" t="str">
        <f>Объекты!C9&amp;" - "&amp;Объекты!D9</f>
        <v>Хостел в составе МФЦ - Jo&amp;JOE</v>
      </c>
      <c r="D14" s="125">
        <v>45839</v>
      </c>
      <c r="E14" s="20"/>
      <c r="F14" s="20"/>
    </row>
    <row r="15" spans="1:14" s="19" customFormat="1">
      <c r="C15" s="27" t="str">
        <f>Объекты!C10</f>
        <v>Шале</v>
      </c>
      <c r="D15" s="125">
        <v>46204</v>
      </c>
      <c r="E15" s="20"/>
      <c r="F15" s="20"/>
    </row>
    <row r="16" spans="1:14" s="19" customFormat="1">
      <c r="C16" s="27" t="str">
        <f>Объекты!C13</f>
        <v>Туристские резиденции</v>
      </c>
      <c r="D16" s="125">
        <v>45839</v>
      </c>
      <c r="E16" s="20"/>
      <c r="F16" s="20"/>
    </row>
    <row r="17" spans="3:14" s="19" customFormat="1" ht="8.4499999999999993" customHeight="1">
      <c r="C17" s="101"/>
      <c r="D17" s="311"/>
      <c r="E17" s="102"/>
      <c r="F17" s="103"/>
    </row>
    <row r="18" spans="3:14" ht="15.75" customHeight="1">
      <c r="C18" s="101" t="s">
        <v>423</v>
      </c>
      <c r="D18" s="313">
        <v>86.503200000000007</v>
      </c>
      <c r="E18" s="111" t="s">
        <v>425</v>
      </c>
      <c r="F18" s="20"/>
      <c r="G18" s="19"/>
      <c r="H18" s="19"/>
      <c r="I18" s="19"/>
      <c r="J18" s="19"/>
      <c r="K18" s="19"/>
      <c r="L18" s="19"/>
      <c r="M18" s="19"/>
      <c r="N18" s="19"/>
    </row>
    <row r="19" spans="3:14" s="19" customFormat="1" ht="15.75" customHeight="1">
      <c r="C19" s="101" t="s">
        <v>424</v>
      </c>
      <c r="D19" s="313">
        <v>77.470200000000006</v>
      </c>
      <c r="E19" s="111" t="s">
        <v>426</v>
      </c>
      <c r="F19" s="20"/>
    </row>
    <row r="20" spans="3:14" s="19" customFormat="1" ht="8.4499999999999993" customHeight="1">
      <c r="C20" s="101"/>
      <c r="D20" s="311"/>
      <c r="E20" s="102"/>
      <c r="F20" s="103"/>
    </row>
    <row r="21" spans="3:14" ht="14.25" customHeight="1">
      <c r="C21" s="101" t="s">
        <v>161</v>
      </c>
      <c r="D21" s="126">
        <v>0.2</v>
      </c>
      <c r="E21" s="107"/>
      <c r="F21" s="20"/>
      <c r="H21" s="19"/>
      <c r="I21" s="19"/>
      <c r="J21" s="19"/>
      <c r="K21" s="19"/>
      <c r="L21" s="19"/>
      <c r="M21" s="19"/>
      <c r="N21" s="19"/>
    </row>
    <row r="22" spans="3:14" ht="15.75" customHeight="1">
      <c r="C22" s="101" t="s">
        <v>162</v>
      </c>
      <c r="D22" s="106">
        <f>1-D21</f>
        <v>0.8</v>
      </c>
      <c r="E22" s="107"/>
      <c r="F22" s="20"/>
      <c r="H22" s="19"/>
      <c r="I22" s="19"/>
      <c r="J22" s="19"/>
      <c r="K22" s="19"/>
      <c r="L22" s="19"/>
      <c r="M22" s="19"/>
      <c r="N22" s="19"/>
    </row>
    <row r="23" spans="3:14" s="19" customFormat="1" ht="15.75" customHeight="1">
      <c r="C23" s="1446"/>
      <c r="D23" s="1417"/>
      <c r="E23" s="107"/>
      <c r="F23" s="20"/>
    </row>
    <row r="24" spans="3:14" s="19" customFormat="1" ht="15.75" customHeight="1">
      <c r="C24" s="1447" t="s">
        <v>104</v>
      </c>
      <c r="D24" s="1964" t="s">
        <v>1019</v>
      </c>
      <c r="E24" s="1965"/>
      <c r="F24" s="1964" t="s">
        <v>1020</v>
      </c>
      <c r="G24" s="1965"/>
      <c r="H24" s="1966" t="s">
        <v>0</v>
      </c>
      <c r="I24" s="1967"/>
    </row>
    <row r="25" spans="3:14" s="19" customFormat="1" ht="15.75" customHeight="1">
      <c r="C25" s="108" t="s">
        <v>1023</v>
      </c>
      <c r="D25" s="1452" t="s">
        <v>1021</v>
      </c>
      <c r="E25" s="1452" t="s">
        <v>1022</v>
      </c>
      <c r="F25" s="1452" t="s">
        <v>1021</v>
      </c>
      <c r="G25" s="1452" t="s">
        <v>1022</v>
      </c>
      <c r="H25" s="1448" t="s">
        <v>1021</v>
      </c>
      <c r="I25" s="1449" t="s">
        <v>1022</v>
      </c>
    </row>
    <row r="26" spans="3:14" s="19" customFormat="1" ht="15.75" customHeight="1">
      <c r="C26" s="108" t="s">
        <v>1018</v>
      </c>
      <c r="D26" s="1453">
        <v>0.03</v>
      </c>
      <c r="E26" s="1453">
        <v>0.02</v>
      </c>
      <c r="F26" s="1453">
        <v>0.17</v>
      </c>
      <c r="G26" s="1453">
        <v>0.18</v>
      </c>
      <c r="H26" s="1450">
        <f>D26+F26</f>
        <v>0.2</v>
      </c>
      <c r="I26" s="1450">
        <f>E26+G26</f>
        <v>0.19999999999999998</v>
      </c>
    </row>
    <row r="27" spans="3:14" s="19" customFormat="1" ht="15.6" customHeight="1">
      <c r="C27" s="108" t="s">
        <v>1024</v>
      </c>
      <c r="D27" s="1453">
        <v>0</v>
      </c>
      <c r="E27" s="1453">
        <f>E26</f>
        <v>0.02</v>
      </c>
      <c r="F27" s="1453">
        <v>0.13500000000000001</v>
      </c>
      <c r="G27" s="1453">
        <v>0.13500000000000001</v>
      </c>
      <c r="H27" s="1450">
        <f>D27+F27</f>
        <v>0.13500000000000001</v>
      </c>
      <c r="I27" s="1450">
        <f>E27+G27</f>
        <v>0.155</v>
      </c>
    </row>
    <row r="28" spans="3:14" ht="15.75" customHeight="1">
      <c r="C28" s="19"/>
      <c r="D28" s="1456"/>
      <c r="E28" s="1456"/>
      <c r="F28" s="19"/>
      <c r="G28" s="20"/>
      <c r="H28" s="19"/>
      <c r="I28" s="19"/>
      <c r="J28" s="19"/>
      <c r="K28" s="19"/>
      <c r="L28" s="19"/>
      <c r="M28" s="19"/>
      <c r="N28" s="19"/>
    </row>
    <row r="29" spans="3:14" s="19" customFormat="1" ht="15.75" customHeight="1">
      <c r="D29" s="1455" t="s">
        <v>177</v>
      </c>
      <c r="E29" s="1455" t="s">
        <v>178</v>
      </c>
      <c r="F29" s="20"/>
      <c r="G29" s="20"/>
    </row>
    <row r="30" spans="3:14" ht="17.25" customHeight="1">
      <c r="C30" s="101" t="s">
        <v>163</v>
      </c>
      <c r="D30" s="126">
        <v>0</v>
      </c>
      <c r="E30" s="126">
        <v>2.1999999999999999E-2</v>
      </c>
      <c r="F30" s="20"/>
      <c r="G30" s="20"/>
      <c r="H30" s="19"/>
      <c r="I30" s="20"/>
      <c r="J30" s="20"/>
    </row>
    <row r="31" spans="3:14" s="19" customFormat="1" ht="17.25" customHeight="1">
      <c r="C31" s="101" t="s">
        <v>625</v>
      </c>
      <c r="D31" s="196">
        <v>10</v>
      </c>
      <c r="E31" s="20"/>
      <c r="F31" s="20"/>
      <c r="G31" s="20"/>
      <c r="I31" s="20"/>
      <c r="J31" s="20"/>
    </row>
    <row r="32" spans="3:14" ht="14.25" customHeight="1">
      <c r="C32" s="109" t="s">
        <v>164</v>
      </c>
      <c r="D32" s="1451">
        <f>1/12</f>
        <v>8.3333333333333329E-2</v>
      </c>
      <c r="E32" s="107"/>
      <c r="F32" s="107"/>
      <c r="G32" s="20"/>
      <c r="H32" s="19"/>
      <c r="I32" s="107"/>
      <c r="J32" s="107"/>
    </row>
    <row r="33" spans="3:20" ht="13.5" customHeight="1">
      <c r="C33" s="101" t="s">
        <v>165</v>
      </c>
      <c r="D33" s="106">
        <f>SUM(D34:D36)</f>
        <v>0.3</v>
      </c>
      <c r="E33" s="107"/>
      <c r="F33" s="20"/>
      <c r="G33" s="20"/>
      <c r="H33" s="20"/>
      <c r="I33" s="19"/>
      <c r="J33" s="19"/>
    </row>
    <row r="34" spans="3:20" ht="17.25" customHeight="1">
      <c r="C34" s="110" t="s">
        <v>166</v>
      </c>
      <c r="D34" s="126">
        <v>0.22</v>
      </c>
      <c r="E34" s="111" t="s">
        <v>167</v>
      </c>
      <c r="F34" s="20"/>
      <c r="G34" s="20"/>
      <c r="H34" s="20"/>
      <c r="I34" s="19"/>
      <c r="J34" s="19"/>
    </row>
    <row r="35" spans="3:20" ht="17.25" customHeight="1">
      <c r="C35" s="110" t="s">
        <v>168</v>
      </c>
      <c r="D35" s="126">
        <v>2.9000000000000001E-2</v>
      </c>
      <c r="E35" s="111" t="s">
        <v>169</v>
      </c>
      <c r="F35" s="20"/>
      <c r="G35" s="20"/>
      <c r="H35" s="20"/>
      <c r="I35" s="19"/>
      <c r="J35" s="19"/>
    </row>
    <row r="36" spans="3:20" ht="17.25" customHeight="1">
      <c r="C36" s="110" t="s">
        <v>170</v>
      </c>
      <c r="D36" s="126">
        <v>5.0999999999999997E-2</v>
      </c>
      <c r="E36" s="111" t="s">
        <v>169</v>
      </c>
      <c r="F36" s="20"/>
      <c r="G36" s="20"/>
      <c r="H36" s="20"/>
      <c r="I36" s="19"/>
      <c r="J36" s="19"/>
    </row>
    <row r="37" spans="3:20" ht="16.5" customHeight="1">
      <c r="C37" s="101" t="s">
        <v>171</v>
      </c>
      <c r="D37" s="314">
        <v>2.5000000000000001E-3</v>
      </c>
      <c r="E37" s="111" t="s">
        <v>172</v>
      </c>
      <c r="F37" s="19"/>
      <c r="G37" s="19"/>
      <c r="H37" s="19"/>
      <c r="I37" s="19"/>
      <c r="J37" s="19"/>
    </row>
    <row r="38" spans="3:20">
      <c r="C38" s="19"/>
      <c r="D38" s="19"/>
      <c r="E38" s="20"/>
      <c r="F38" s="20"/>
      <c r="G38" s="20"/>
      <c r="H38" s="20"/>
      <c r="I38" s="19"/>
      <c r="J38" s="19"/>
    </row>
    <row r="39" spans="3:20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3:20" s="19" customFormat="1">
      <c r="C40" s="315" t="s">
        <v>248</v>
      </c>
      <c r="D40" s="315"/>
      <c r="E40" s="315"/>
      <c r="F40" s="315"/>
      <c r="G40" s="315"/>
      <c r="H40" s="315"/>
    </row>
    <row r="41" spans="3:20" s="19" customFormat="1">
      <c r="C41" s="108" t="s">
        <v>249</v>
      </c>
      <c r="D41" s="838">
        <v>2</v>
      </c>
      <c r="E41" s="837" t="s">
        <v>251</v>
      </c>
      <c r="F41" s="207"/>
      <c r="G41" s="207"/>
      <c r="H41" s="207" t="str">
        <f>IF(D41=0,"без учета расходов на бренд",IF(D41=1,"прямое управление","франшиза для отелей 4* и 5*"))</f>
        <v>франшиза для отелей 4* и 5*</v>
      </c>
    </row>
    <row r="42" spans="3:20" s="19" customFormat="1">
      <c r="C42" s="108"/>
      <c r="D42" s="206" t="s">
        <v>1351</v>
      </c>
      <c r="E42" s="108"/>
      <c r="H42" s="207"/>
    </row>
    <row r="43" spans="3:20">
      <c r="C43" s="205"/>
      <c r="D43" s="206" t="s">
        <v>250</v>
      </c>
      <c r="E43" s="205"/>
      <c r="F43" s="205"/>
      <c r="G43" s="205"/>
      <c r="H43" s="205"/>
      <c r="I43" s="19"/>
      <c r="J43" s="19"/>
      <c r="K43" s="19"/>
      <c r="L43" s="19"/>
      <c r="M43" s="19"/>
      <c r="N43" s="19"/>
      <c r="O43" s="19"/>
    </row>
    <row r="44" spans="3:20" s="19" customFormat="1">
      <c r="C44" s="205"/>
      <c r="D44" s="205" t="s">
        <v>1352</v>
      </c>
      <c r="E44" s="205"/>
      <c r="F44" s="205"/>
      <c r="G44" s="205"/>
      <c r="H44" s="205"/>
      <c r="T44" s="21"/>
    </row>
    <row r="45" spans="3:20" s="19" customFormat="1">
      <c r="C45"/>
      <c r="D45"/>
      <c r="E45"/>
      <c r="F45"/>
      <c r="G45"/>
      <c r="H45"/>
    </row>
    <row r="46" spans="3:20" s="19" customFormat="1">
      <c r="D46" s="101" t="s">
        <v>1361</v>
      </c>
      <c r="E46" s="1795">
        <f>KPI!D6</f>
        <v>67.805055417616614</v>
      </c>
    </row>
    <row r="47" spans="3:20">
      <c r="C47" s="19"/>
      <c r="D47" s="101" t="s">
        <v>1362</v>
      </c>
      <c r="E47" s="106">
        <f>KPI!D7</f>
        <v>0.14418346312725339</v>
      </c>
      <c r="H47" s="19"/>
      <c r="I47" s="19"/>
      <c r="J47" s="19"/>
      <c r="K47" s="19"/>
      <c r="L47" s="19"/>
      <c r="M47" s="19"/>
      <c r="N47" s="19"/>
      <c r="O47" s="19"/>
    </row>
    <row r="48" spans="3:20" s="19" customFormat="1"/>
    <row r="49" spans="3:5" s="19" customFormat="1">
      <c r="D49" s="101" t="s">
        <v>1354</v>
      </c>
      <c r="E49" s="1795">
        <f>KPI!D11</f>
        <v>998.27965379703528</v>
      </c>
    </row>
    <row r="50" spans="3:5" s="19" customFormat="1">
      <c r="D50" s="101" t="s">
        <v>1355</v>
      </c>
      <c r="E50" s="106">
        <f>KPI!D12</f>
        <v>0.22612660540241714</v>
      </c>
    </row>
    <row r="51" spans="3:5" s="19" customFormat="1"/>
    <row r="52" spans="3:5" s="19" customFormat="1"/>
    <row r="53" spans="3:5" s="19" customFormat="1"/>
    <row r="54" spans="3:5" s="19" customFormat="1"/>
    <row r="55" spans="3:5">
      <c r="C55" s="19"/>
      <c r="D55" s="19"/>
      <c r="E55" s="19"/>
    </row>
    <row r="56" spans="3:5">
      <c r="C56" s="19"/>
      <c r="D56" s="19"/>
      <c r="E56" s="19"/>
    </row>
    <row r="57" spans="3:5">
      <c r="C57" s="19"/>
      <c r="D57" s="19"/>
      <c r="E57" s="19"/>
    </row>
    <row r="58" spans="3:5">
      <c r="C58" s="19"/>
      <c r="D58" s="19"/>
      <c r="E58" s="19"/>
    </row>
    <row r="59" spans="3:5">
      <c r="C59" s="19"/>
      <c r="D59" s="19"/>
      <c r="E59" s="19"/>
    </row>
    <row r="60" spans="3:5">
      <c r="C60" s="19"/>
      <c r="D60" s="19"/>
      <c r="E60" s="19"/>
    </row>
    <row r="61" spans="3:5">
      <c r="C61" s="19"/>
      <c r="D61" s="19"/>
      <c r="E61" s="19"/>
    </row>
    <row r="62" spans="3:5">
      <c r="C62" s="19"/>
      <c r="D62" s="19"/>
      <c r="E62" s="19"/>
    </row>
    <row r="63" spans="3:5">
      <c r="C63" s="19"/>
      <c r="D63" s="19"/>
      <c r="E63" s="19"/>
    </row>
    <row r="64" spans="3:5">
      <c r="C64" s="19"/>
      <c r="D64" s="19"/>
      <c r="E64" s="19"/>
    </row>
    <row r="65" spans="3:5">
      <c r="C65" s="19"/>
      <c r="D65" s="19"/>
      <c r="E65" s="19"/>
    </row>
    <row r="66" spans="3:5">
      <c r="C66" s="19"/>
      <c r="D66" s="19"/>
      <c r="E66" s="19"/>
    </row>
    <row r="67" spans="3:5">
      <c r="C67" s="19"/>
      <c r="D67" s="19"/>
      <c r="E67" s="19"/>
    </row>
    <row r="68" spans="3:5">
      <c r="C68" s="19"/>
      <c r="D68" s="19"/>
      <c r="E68" s="19"/>
    </row>
    <row r="69" spans="3:5">
      <c r="C69" s="19"/>
      <c r="D69" s="19"/>
      <c r="E69" s="19"/>
    </row>
  </sheetData>
  <mergeCells count="3">
    <mergeCell ref="D24:E24"/>
    <mergeCell ref="F24:G24"/>
    <mergeCell ref="H24:I24"/>
  </mergeCells>
  <conditionalFormatting sqref="D4:D7 D29">
    <cfRule type="expression" dxfId="2174" priority="112">
      <formula>$A$2=1</formula>
    </cfRule>
  </conditionalFormatting>
  <conditionalFormatting sqref="D2">
    <cfRule type="cellIs" dxfId="2173" priority="111" operator="notEqual">
      <formula>1</formula>
    </cfRule>
  </conditionalFormatting>
  <conditionalFormatting sqref="D32">
    <cfRule type="expression" dxfId="2172" priority="106">
      <formula>$A$2=1</formula>
    </cfRule>
  </conditionalFormatting>
  <conditionalFormatting sqref="E29">
    <cfRule type="expression" dxfId="2171" priority="96">
      <formula>$A$2=1</formula>
    </cfRule>
  </conditionalFormatting>
  <conditionalFormatting sqref="D30">
    <cfRule type="expression" dxfId="2170" priority="81" stopIfTrue="1">
      <formula>$A$1=1</formula>
    </cfRule>
  </conditionalFormatting>
  <conditionalFormatting sqref="D30">
    <cfRule type="expression" dxfId="2169" priority="82" stopIfTrue="1">
      <formula>$A$1=1</formula>
    </cfRule>
  </conditionalFormatting>
  <conditionalFormatting sqref="D34:D36">
    <cfRule type="expression" dxfId="2168" priority="77" stopIfTrue="1">
      <formula>$A$1=1</formula>
    </cfRule>
  </conditionalFormatting>
  <conditionalFormatting sqref="D34:D36">
    <cfRule type="expression" dxfId="2167" priority="78" stopIfTrue="1">
      <formula>$A$1=1</formula>
    </cfRule>
  </conditionalFormatting>
  <conditionalFormatting sqref="E30">
    <cfRule type="expression" dxfId="2166" priority="73" stopIfTrue="1">
      <formula>$A$1=1</formula>
    </cfRule>
  </conditionalFormatting>
  <conditionalFormatting sqref="E30">
    <cfRule type="expression" dxfId="2165" priority="74" stopIfTrue="1">
      <formula>$A$1=1</formula>
    </cfRule>
  </conditionalFormatting>
  <conditionalFormatting sqref="D41">
    <cfRule type="expression" dxfId="2164" priority="69" stopIfTrue="1">
      <formula>$A$1=1</formula>
    </cfRule>
  </conditionalFormatting>
  <conditionalFormatting sqref="D41">
    <cfRule type="expression" dxfId="2163" priority="70" stopIfTrue="1">
      <formula>$A$1=1</formula>
    </cfRule>
  </conditionalFormatting>
  <conditionalFormatting sqref="D37">
    <cfRule type="expression" dxfId="2162" priority="67" stopIfTrue="1">
      <formula>$A$1=1</formula>
    </cfRule>
  </conditionalFormatting>
  <conditionalFormatting sqref="D37">
    <cfRule type="expression" dxfId="2161" priority="68" stopIfTrue="1">
      <formula>$A$1=1</formula>
    </cfRule>
  </conditionalFormatting>
  <conditionalFormatting sqref="D10:D16">
    <cfRule type="expression" dxfId="2160" priority="42" stopIfTrue="1">
      <formula>$A$1=1</formula>
    </cfRule>
  </conditionalFormatting>
  <conditionalFormatting sqref="D10:D16">
    <cfRule type="expression" dxfId="2159" priority="43" stopIfTrue="1">
      <formula>$A$1=1</formula>
    </cfRule>
  </conditionalFormatting>
  <conditionalFormatting sqref="D9">
    <cfRule type="expression" dxfId="2158" priority="41">
      <formula>$A$2=1</formula>
    </cfRule>
  </conditionalFormatting>
  <conditionalFormatting sqref="D8">
    <cfRule type="expression" dxfId="2157" priority="40">
      <formula>$A$2=1</formula>
    </cfRule>
  </conditionalFormatting>
  <conditionalFormatting sqref="D18:D19">
    <cfRule type="expression" dxfId="2156" priority="38" stopIfTrue="1">
      <formula>$A$1=1</formula>
    </cfRule>
  </conditionalFormatting>
  <conditionalFormatting sqref="D18:D19">
    <cfRule type="expression" dxfId="2155" priority="39" stopIfTrue="1">
      <formula>$A$1=1</formula>
    </cfRule>
  </conditionalFormatting>
  <conditionalFormatting sqref="D17">
    <cfRule type="expression" dxfId="2154" priority="37">
      <formula>$A$2=1</formula>
    </cfRule>
  </conditionalFormatting>
  <conditionalFormatting sqref="D20">
    <cfRule type="expression" dxfId="2153" priority="36">
      <formula>$A$2=1</formula>
    </cfRule>
  </conditionalFormatting>
  <conditionalFormatting sqref="D21">
    <cfRule type="expression" dxfId="2152" priority="34" stopIfTrue="1">
      <formula>$A$1=1</formula>
    </cfRule>
  </conditionalFormatting>
  <conditionalFormatting sqref="D21">
    <cfRule type="expression" dxfId="2151" priority="35" stopIfTrue="1">
      <formula>$A$1=1</formula>
    </cfRule>
  </conditionalFormatting>
  <conditionalFormatting sqref="D31">
    <cfRule type="expression" dxfId="2150" priority="28" stopIfTrue="1">
      <formula>$A$1=1</formula>
    </cfRule>
  </conditionalFormatting>
  <conditionalFormatting sqref="D31">
    <cfRule type="expression" dxfId="2149" priority="29" stopIfTrue="1">
      <formula>$A$1=1</formula>
    </cfRule>
  </conditionalFormatting>
  <conditionalFormatting sqref="D26:G27">
    <cfRule type="expression" dxfId="2148" priority="4" stopIfTrue="1">
      <formula>$A$1=1</formula>
    </cfRule>
  </conditionalFormatting>
  <conditionalFormatting sqref="D26:G27">
    <cfRule type="expression" dxfId="2147" priority="5" stopIfTrue="1">
      <formula>$A$1=1</formula>
    </cfRule>
  </conditionalFormatting>
  <conditionalFormatting sqref="E49">
    <cfRule type="expression" dxfId="2146" priority="3">
      <formula>$A$2=1</formula>
    </cfRule>
  </conditionalFormatting>
  <conditionalFormatting sqref="E46">
    <cfRule type="expression" dxfId="2145" priority="1">
      <formula>$A$2=1</formula>
    </cfRule>
  </conditionalFormatting>
  <dataValidations count="1">
    <dataValidation type="list" allowBlank="1" showInputMessage="1" showErrorMessage="1" sqref="D41">
      <formula1>"0,1,2"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showGridLines="0" zoomScaleNormal="100" workbookViewId="0">
      <selection activeCell="I21" sqref="I21"/>
    </sheetView>
  </sheetViews>
  <sheetFormatPr defaultColWidth="9.140625" defaultRowHeight="15" customHeight="1" outlineLevelRow="1"/>
  <cols>
    <col min="1" max="1" width="12.7109375" style="140" customWidth="1"/>
    <col min="2" max="2" width="3.85546875" style="140" customWidth="1"/>
    <col min="3" max="3" width="47.5703125" style="140" customWidth="1"/>
    <col min="4" max="4" width="8.42578125" style="140" customWidth="1"/>
    <col min="5" max="5" width="7.85546875" style="140" customWidth="1"/>
    <col min="6" max="6" width="9.28515625" style="140" bestFit="1" customWidth="1"/>
    <col min="7" max="7" width="11.28515625" style="140" customWidth="1"/>
    <col min="8" max="9" width="9.5703125" style="140" bestFit="1" customWidth="1"/>
    <col min="10" max="61" width="7.7109375" style="140" customWidth="1"/>
    <col min="62" max="16384" width="9.140625" style="140"/>
  </cols>
  <sheetData>
    <row r="1" spans="1:65" ht="15" customHeight="1" thickBot="1">
      <c r="A1" s="189">
        <v>1</v>
      </c>
      <c r="B1" s="5"/>
      <c r="C1" s="319"/>
      <c r="D1" s="319"/>
      <c r="E1" s="31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5" ht="15" customHeight="1">
      <c r="A2" s="5"/>
      <c r="B2" s="5"/>
      <c r="C2" s="1" t="s">
        <v>430</v>
      </c>
      <c r="D2" s="1"/>
      <c r="E2" s="32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5" ht="15" customHeight="1">
      <c r="A3" s="5"/>
      <c r="B3" s="5"/>
      <c r="C3" s="4" t="s">
        <v>431</v>
      </c>
      <c r="D3" s="4"/>
      <c r="E3" s="4">
        <f>Вводные!D5</f>
        <v>2022</v>
      </c>
      <c r="F3" s="4">
        <f t="shared" ref="F3:AN3" si="0">E3+1</f>
        <v>2023</v>
      </c>
      <c r="G3" s="4">
        <f t="shared" si="0"/>
        <v>2024</v>
      </c>
      <c r="H3" s="4">
        <f t="shared" si="0"/>
        <v>2025</v>
      </c>
      <c r="I3" s="4">
        <f t="shared" si="0"/>
        <v>2026</v>
      </c>
      <c r="J3" s="4">
        <f t="shared" si="0"/>
        <v>2027</v>
      </c>
      <c r="K3" s="4">
        <f t="shared" si="0"/>
        <v>2028</v>
      </c>
      <c r="L3" s="4">
        <f t="shared" si="0"/>
        <v>2029</v>
      </c>
      <c r="M3" s="4">
        <f t="shared" si="0"/>
        <v>2030</v>
      </c>
      <c r="N3" s="4">
        <f t="shared" si="0"/>
        <v>2031</v>
      </c>
      <c r="O3" s="4">
        <f t="shared" si="0"/>
        <v>2032</v>
      </c>
      <c r="P3" s="4">
        <f t="shared" si="0"/>
        <v>2033</v>
      </c>
      <c r="Q3" s="4">
        <f t="shared" si="0"/>
        <v>2034</v>
      </c>
      <c r="R3" s="4">
        <f t="shared" si="0"/>
        <v>2035</v>
      </c>
      <c r="S3" s="4">
        <f t="shared" si="0"/>
        <v>2036</v>
      </c>
      <c r="T3" s="4">
        <f t="shared" si="0"/>
        <v>2037</v>
      </c>
      <c r="U3" s="4">
        <f t="shared" si="0"/>
        <v>2038</v>
      </c>
      <c r="V3" s="4">
        <f t="shared" si="0"/>
        <v>2039</v>
      </c>
      <c r="W3" s="4">
        <f t="shared" si="0"/>
        <v>2040</v>
      </c>
      <c r="X3" s="4">
        <f t="shared" si="0"/>
        <v>2041</v>
      </c>
      <c r="Y3" s="4">
        <f t="shared" si="0"/>
        <v>2042</v>
      </c>
      <c r="Z3" s="4">
        <f t="shared" si="0"/>
        <v>2043</v>
      </c>
      <c r="AA3" s="4">
        <f t="shared" si="0"/>
        <v>2044</v>
      </c>
      <c r="AB3" s="4">
        <f t="shared" si="0"/>
        <v>2045</v>
      </c>
      <c r="AC3" s="4">
        <f t="shared" si="0"/>
        <v>2046</v>
      </c>
      <c r="AD3" s="4">
        <f t="shared" si="0"/>
        <v>2047</v>
      </c>
      <c r="AE3" s="4">
        <f t="shared" si="0"/>
        <v>2048</v>
      </c>
      <c r="AF3" s="4">
        <f t="shared" si="0"/>
        <v>2049</v>
      </c>
      <c r="AG3" s="4">
        <f t="shared" si="0"/>
        <v>2050</v>
      </c>
      <c r="AH3" s="4">
        <f t="shared" si="0"/>
        <v>2051</v>
      </c>
      <c r="AI3" s="4">
        <f t="shared" si="0"/>
        <v>2052</v>
      </c>
      <c r="AJ3" s="4">
        <f t="shared" si="0"/>
        <v>2053</v>
      </c>
      <c r="AK3" s="4">
        <f t="shared" si="0"/>
        <v>2054</v>
      </c>
      <c r="AL3" s="4">
        <f t="shared" si="0"/>
        <v>2055</v>
      </c>
      <c r="AM3" s="4">
        <f t="shared" si="0"/>
        <v>2056</v>
      </c>
      <c r="AN3" s="4">
        <f t="shared" si="0"/>
        <v>2057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spans="1:65" ht="15" customHeight="1">
      <c r="A4" s="5"/>
      <c r="B4" s="5"/>
      <c r="C4" s="321" t="s">
        <v>432</v>
      </c>
      <c r="D4" s="321"/>
      <c r="E4" s="1766">
        <v>0.04</v>
      </c>
      <c r="F4" s="1766">
        <v>0.04</v>
      </c>
      <c r="G4" s="1766">
        <v>0.04</v>
      </c>
      <c r="H4" s="1766">
        <v>0.04</v>
      </c>
      <c r="I4" s="1766">
        <v>0.04</v>
      </c>
      <c r="J4" s="322">
        <f t="shared" ref="J4:AN4" si="1">I4</f>
        <v>0.04</v>
      </c>
      <c r="K4" s="322">
        <f t="shared" si="1"/>
        <v>0.04</v>
      </c>
      <c r="L4" s="322">
        <f t="shared" si="1"/>
        <v>0.04</v>
      </c>
      <c r="M4" s="322">
        <f t="shared" si="1"/>
        <v>0.04</v>
      </c>
      <c r="N4" s="322">
        <f t="shared" si="1"/>
        <v>0.04</v>
      </c>
      <c r="O4" s="322">
        <f t="shared" si="1"/>
        <v>0.04</v>
      </c>
      <c r="P4" s="322">
        <f t="shared" si="1"/>
        <v>0.04</v>
      </c>
      <c r="Q4" s="322">
        <f t="shared" si="1"/>
        <v>0.04</v>
      </c>
      <c r="R4" s="322">
        <f t="shared" si="1"/>
        <v>0.04</v>
      </c>
      <c r="S4" s="322">
        <f t="shared" si="1"/>
        <v>0.04</v>
      </c>
      <c r="T4" s="322">
        <f t="shared" si="1"/>
        <v>0.04</v>
      </c>
      <c r="U4" s="322">
        <f t="shared" si="1"/>
        <v>0.04</v>
      </c>
      <c r="V4" s="322">
        <f t="shared" si="1"/>
        <v>0.04</v>
      </c>
      <c r="W4" s="322">
        <f t="shared" si="1"/>
        <v>0.04</v>
      </c>
      <c r="X4" s="322">
        <f t="shared" si="1"/>
        <v>0.04</v>
      </c>
      <c r="Y4" s="322">
        <f t="shared" si="1"/>
        <v>0.04</v>
      </c>
      <c r="Z4" s="322">
        <f t="shared" si="1"/>
        <v>0.04</v>
      </c>
      <c r="AA4" s="322">
        <f t="shared" si="1"/>
        <v>0.04</v>
      </c>
      <c r="AB4" s="322">
        <f t="shared" si="1"/>
        <v>0.04</v>
      </c>
      <c r="AC4" s="322">
        <f t="shared" si="1"/>
        <v>0.04</v>
      </c>
      <c r="AD4" s="322">
        <f t="shared" si="1"/>
        <v>0.04</v>
      </c>
      <c r="AE4" s="322">
        <f t="shared" si="1"/>
        <v>0.04</v>
      </c>
      <c r="AF4" s="322">
        <f t="shared" si="1"/>
        <v>0.04</v>
      </c>
      <c r="AG4" s="322">
        <f t="shared" si="1"/>
        <v>0.04</v>
      </c>
      <c r="AH4" s="322">
        <f t="shared" si="1"/>
        <v>0.04</v>
      </c>
      <c r="AI4" s="322">
        <f t="shared" si="1"/>
        <v>0.04</v>
      </c>
      <c r="AJ4" s="322">
        <f t="shared" si="1"/>
        <v>0.04</v>
      </c>
      <c r="AK4" s="322">
        <f t="shared" si="1"/>
        <v>0.04</v>
      </c>
      <c r="AL4" s="322">
        <f t="shared" si="1"/>
        <v>0.04</v>
      </c>
      <c r="AM4" s="322">
        <f t="shared" si="1"/>
        <v>0.04</v>
      </c>
      <c r="AN4" s="322">
        <f t="shared" si="1"/>
        <v>0.04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spans="1:65" ht="15" customHeight="1">
      <c r="A5" s="5"/>
      <c r="B5" s="5"/>
      <c r="C5" s="321" t="s">
        <v>70</v>
      </c>
      <c r="D5" s="323">
        <v>1</v>
      </c>
      <c r="E5" s="324">
        <f>(1+E4)*D5</f>
        <v>1.04</v>
      </c>
      <c r="F5" s="324">
        <f>(1+F4)*E5</f>
        <v>1.0816000000000001</v>
      </c>
      <c r="G5" s="324">
        <f t="shared" ref="G5:AN5" si="2">(1+G4)*F5</f>
        <v>1.1248640000000001</v>
      </c>
      <c r="H5" s="324">
        <f t="shared" si="2"/>
        <v>1.1698585600000002</v>
      </c>
      <c r="I5" s="324">
        <f t="shared" si="2"/>
        <v>1.2166529024000003</v>
      </c>
      <c r="J5" s="324">
        <f t="shared" si="2"/>
        <v>1.2653190184960004</v>
      </c>
      <c r="K5" s="324">
        <f t="shared" si="2"/>
        <v>1.3159317792358405</v>
      </c>
      <c r="L5" s="324">
        <f t="shared" si="2"/>
        <v>1.3685690504052741</v>
      </c>
      <c r="M5" s="324">
        <f t="shared" si="2"/>
        <v>1.4233118124214852</v>
      </c>
      <c r="N5" s="324">
        <f t="shared" si="2"/>
        <v>1.4802442849183446</v>
      </c>
      <c r="O5" s="324">
        <f t="shared" si="2"/>
        <v>1.5394540563150785</v>
      </c>
      <c r="P5" s="324">
        <f t="shared" si="2"/>
        <v>1.6010322185676817</v>
      </c>
      <c r="Q5" s="324">
        <f t="shared" si="2"/>
        <v>1.6650735073103891</v>
      </c>
      <c r="R5" s="324">
        <f t="shared" si="2"/>
        <v>1.7316764476028046</v>
      </c>
      <c r="S5" s="324">
        <f t="shared" si="2"/>
        <v>1.8009435055069167</v>
      </c>
      <c r="T5" s="324">
        <f t="shared" si="2"/>
        <v>1.8729812457271935</v>
      </c>
      <c r="U5" s="324">
        <f t="shared" si="2"/>
        <v>1.9479004955562813</v>
      </c>
      <c r="V5" s="324">
        <f t="shared" si="2"/>
        <v>2.0258165153785326</v>
      </c>
      <c r="W5" s="324">
        <f t="shared" si="2"/>
        <v>2.1068491759936738</v>
      </c>
      <c r="X5" s="324">
        <f t="shared" si="2"/>
        <v>2.1911231430334208</v>
      </c>
      <c r="Y5" s="324">
        <f t="shared" si="2"/>
        <v>2.2787680687547578</v>
      </c>
      <c r="Z5" s="324">
        <f t="shared" si="2"/>
        <v>2.369918791504948</v>
      </c>
      <c r="AA5" s="324">
        <f t="shared" si="2"/>
        <v>2.4647155431651462</v>
      </c>
      <c r="AB5" s="324">
        <f t="shared" si="2"/>
        <v>2.5633041648917523</v>
      </c>
      <c r="AC5" s="324">
        <f t="shared" si="2"/>
        <v>2.6658363314874225</v>
      </c>
      <c r="AD5" s="324">
        <f t="shared" si="2"/>
        <v>2.7724697847469195</v>
      </c>
      <c r="AE5" s="324">
        <f t="shared" si="2"/>
        <v>2.8833685761367964</v>
      </c>
      <c r="AF5" s="324">
        <f t="shared" si="2"/>
        <v>2.9987033191822685</v>
      </c>
      <c r="AG5" s="324">
        <f t="shared" si="2"/>
        <v>3.1186514519495594</v>
      </c>
      <c r="AH5" s="324">
        <f t="shared" si="2"/>
        <v>3.2433975100275418</v>
      </c>
      <c r="AI5" s="324">
        <f t="shared" si="2"/>
        <v>3.3731334104286437</v>
      </c>
      <c r="AJ5" s="324">
        <f t="shared" si="2"/>
        <v>3.5080587468457893</v>
      </c>
      <c r="AK5" s="324">
        <f t="shared" si="2"/>
        <v>3.6483810967196209</v>
      </c>
      <c r="AL5" s="324">
        <f t="shared" si="2"/>
        <v>3.7943163405884057</v>
      </c>
      <c r="AM5" s="324">
        <f t="shared" si="2"/>
        <v>3.9460889942119421</v>
      </c>
      <c r="AN5" s="324">
        <f t="shared" si="2"/>
        <v>4.1039325539804201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ht="15" customHeight="1">
      <c r="A6" s="5"/>
      <c r="B6" s="5"/>
      <c r="C6" s="321" t="s">
        <v>433</v>
      </c>
      <c r="D6" s="321"/>
      <c r="E6" s="322">
        <v>0</v>
      </c>
      <c r="F6" s="322">
        <f>E6</f>
        <v>0</v>
      </c>
      <c r="G6" s="322">
        <f>F6</f>
        <v>0</v>
      </c>
      <c r="H6" s="322">
        <f>G6</f>
        <v>0</v>
      </c>
      <c r="I6" s="119">
        <v>0.05</v>
      </c>
      <c r="J6" s="322">
        <f>E6</f>
        <v>0</v>
      </c>
      <c r="K6" s="322">
        <f t="shared" ref="K6:AN6" si="3">F6</f>
        <v>0</v>
      </c>
      <c r="L6" s="322">
        <f t="shared" si="3"/>
        <v>0</v>
      </c>
      <c r="M6" s="322">
        <f t="shared" si="3"/>
        <v>0</v>
      </c>
      <c r="N6" s="119">
        <f t="shared" si="3"/>
        <v>0.05</v>
      </c>
      <c r="O6" s="322">
        <f t="shared" si="3"/>
        <v>0</v>
      </c>
      <c r="P6" s="322">
        <f t="shared" si="3"/>
        <v>0</v>
      </c>
      <c r="Q6" s="322">
        <f t="shared" si="3"/>
        <v>0</v>
      </c>
      <c r="R6" s="322">
        <f t="shared" si="3"/>
        <v>0</v>
      </c>
      <c r="S6" s="322">
        <f t="shared" si="3"/>
        <v>0.05</v>
      </c>
      <c r="T6" s="322">
        <f t="shared" si="3"/>
        <v>0</v>
      </c>
      <c r="U6" s="322">
        <f t="shared" si="3"/>
        <v>0</v>
      </c>
      <c r="V6" s="322">
        <f t="shared" si="3"/>
        <v>0</v>
      </c>
      <c r="W6" s="322">
        <f t="shared" si="3"/>
        <v>0</v>
      </c>
      <c r="X6" s="322">
        <f t="shared" si="3"/>
        <v>0.05</v>
      </c>
      <c r="Y6" s="322">
        <f t="shared" si="3"/>
        <v>0</v>
      </c>
      <c r="Z6" s="322">
        <f t="shared" si="3"/>
        <v>0</v>
      </c>
      <c r="AA6" s="322">
        <f t="shared" si="3"/>
        <v>0</v>
      </c>
      <c r="AB6" s="322">
        <f t="shared" si="3"/>
        <v>0</v>
      </c>
      <c r="AC6" s="322">
        <f t="shared" si="3"/>
        <v>0.05</v>
      </c>
      <c r="AD6" s="322">
        <f t="shared" si="3"/>
        <v>0</v>
      </c>
      <c r="AE6" s="322">
        <f t="shared" si="3"/>
        <v>0</v>
      </c>
      <c r="AF6" s="322">
        <f t="shared" si="3"/>
        <v>0</v>
      </c>
      <c r="AG6" s="322">
        <f t="shared" si="3"/>
        <v>0</v>
      </c>
      <c r="AH6" s="322">
        <f t="shared" si="3"/>
        <v>0.05</v>
      </c>
      <c r="AI6" s="322">
        <f t="shared" si="3"/>
        <v>0</v>
      </c>
      <c r="AJ6" s="322">
        <f t="shared" si="3"/>
        <v>0</v>
      </c>
      <c r="AK6" s="322">
        <f t="shared" si="3"/>
        <v>0</v>
      </c>
      <c r="AL6" s="322">
        <f t="shared" si="3"/>
        <v>0</v>
      </c>
      <c r="AM6" s="322">
        <f t="shared" si="3"/>
        <v>0.05</v>
      </c>
      <c r="AN6" s="322">
        <f t="shared" si="3"/>
        <v>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ht="15" customHeight="1">
      <c r="A7" s="5"/>
      <c r="B7" s="5"/>
      <c r="C7" s="321" t="s">
        <v>434</v>
      </c>
      <c r="D7" s="321"/>
      <c r="E7" s="324">
        <v>1</v>
      </c>
      <c r="F7" s="324">
        <f t="shared" ref="F7:AN7" si="4">(1+F6)*E7</f>
        <v>1</v>
      </c>
      <c r="G7" s="324">
        <f t="shared" si="4"/>
        <v>1</v>
      </c>
      <c r="H7" s="324">
        <f t="shared" si="4"/>
        <v>1</v>
      </c>
      <c r="I7" s="324">
        <f t="shared" si="4"/>
        <v>1.05</v>
      </c>
      <c r="J7" s="324">
        <f t="shared" si="4"/>
        <v>1.05</v>
      </c>
      <c r="K7" s="324">
        <f t="shared" si="4"/>
        <v>1.05</v>
      </c>
      <c r="L7" s="324">
        <f t="shared" si="4"/>
        <v>1.05</v>
      </c>
      <c r="M7" s="324">
        <f t="shared" si="4"/>
        <v>1.05</v>
      </c>
      <c r="N7" s="324">
        <f t="shared" si="4"/>
        <v>1.1025</v>
      </c>
      <c r="O7" s="324">
        <f t="shared" si="4"/>
        <v>1.1025</v>
      </c>
      <c r="P7" s="324">
        <f t="shared" si="4"/>
        <v>1.1025</v>
      </c>
      <c r="Q7" s="324">
        <f t="shared" si="4"/>
        <v>1.1025</v>
      </c>
      <c r="R7" s="324">
        <f t="shared" si="4"/>
        <v>1.1025</v>
      </c>
      <c r="S7" s="324">
        <f t="shared" si="4"/>
        <v>1.1576250000000001</v>
      </c>
      <c r="T7" s="324">
        <f t="shared" si="4"/>
        <v>1.1576250000000001</v>
      </c>
      <c r="U7" s="324">
        <f t="shared" si="4"/>
        <v>1.1576250000000001</v>
      </c>
      <c r="V7" s="324">
        <f t="shared" si="4"/>
        <v>1.1576250000000001</v>
      </c>
      <c r="W7" s="324">
        <f t="shared" si="4"/>
        <v>1.1576250000000001</v>
      </c>
      <c r="X7" s="324">
        <f t="shared" si="4"/>
        <v>1.2155062500000002</v>
      </c>
      <c r="Y7" s="324">
        <f t="shared" si="4"/>
        <v>1.2155062500000002</v>
      </c>
      <c r="Z7" s="324">
        <f t="shared" si="4"/>
        <v>1.2155062500000002</v>
      </c>
      <c r="AA7" s="324">
        <f t="shared" si="4"/>
        <v>1.2155062500000002</v>
      </c>
      <c r="AB7" s="324">
        <f t="shared" si="4"/>
        <v>1.2155062500000002</v>
      </c>
      <c r="AC7" s="324">
        <f t="shared" si="4"/>
        <v>1.2762815625000004</v>
      </c>
      <c r="AD7" s="324">
        <f t="shared" si="4"/>
        <v>1.2762815625000004</v>
      </c>
      <c r="AE7" s="324">
        <f t="shared" si="4"/>
        <v>1.2762815625000004</v>
      </c>
      <c r="AF7" s="324">
        <f t="shared" si="4"/>
        <v>1.2762815625000004</v>
      </c>
      <c r="AG7" s="324">
        <f t="shared" si="4"/>
        <v>1.2762815625000004</v>
      </c>
      <c r="AH7" s="324">
        <f t="shared" si="4"/>
        <v>1.3400956406250004</v>
      </c>
      <c r="AI7" s="324">
        <f t="shared" si="4"/>
        <v>1.3400956406250004</v>
      </c>
      <c r="AJ7" s="324">
        <f t="shared" si="4"/>
        <v>1.3400956406250004</v>
      </c>
      <c r="AK7" s="324">
        <f t="shared" si="4"/>
        <v>1.3400956406250004</v>
      </c>
      <c r="AL7" s="324">
        <f t="shared" si="4"/>
        <v>1.3400956406250004</v>
      </c>
      <c r="AM7" s="324">
        <f t="shared" si="4"/>
        <v>1.4071004226562505</v>
      </c>
      <c r="AN7" s="324">
        <f t="shared" si="4"/>
        <v>1.4071004226562505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 ht="15" customHeight="1">
      <c r="A8" s="5"/>
      <c r="B8" s="5"/>
      <c r="C8" s="321" t="s">
        <v>435</v>
      </c>
      <c r="D8" s="321"/>
      <c r="E8" s="322">
        <f>E4</f>
        <v>0.04</v>
      </c>
      <c r="F8" s="322">
        <f t="shared" ref="F8:AN8" si="5">F4</f>
        <v>0.04</v>
      </c>
      <c r="G8" s="322">
        <f t="shared" si="5"/>
        <v>0.04</v>
      </c>
      <c r="H8" s="322">
        <f>H4</f>
        <v>0.04</v>
      </c>
      <c r="I8" s="322">
        <f t="shared" si="5"/>
        <v>0.04</v>
      </c>
      <c r="J8" s="322">
        <f t="shared" si="5"/>
        <v>0.04</v>
      </c>
      <c r="K8" s="322">
        <f t="shared" si="5"/>
        <v>0.04</v>
      </c>
      <c r="L8" s="322">
        <f t="shared" si="5"/>
        <v>0.04</v>
      </c>
      <c r="M8" s="322">
        <f t="shared" si="5"/>
        <v>0.04</v>
      </c>
      <c r="N8" s="322">
        <f t="shared" si="5"/>
        <v>0.04</v>
      </c>
      <c r="O8" s="322">
        <f t="shared" si="5"/>
        <v>0.04</v>
      </c>
      <c r="P8" s="322">
        <f t="shared" si="5"/>
        <v>0.04</v>
      </c>
      <c r="Q8" s="322">
        <f t="shared" si="5"/>
        <v>0.04</v>
      </c>
      <c r="R8" s="322">
        <f t="shared" si="5"/>
        <v>0.04</v>
      </c>
      <c r="S8" s="322">
        <f t="shared" si="5"/>
        <v>0.04</v>
      </c>
      <c r="T8" s="322">
        <f t="shared" si="5"/>
        <v>0.04</v>
      </c>
      <c r="U8" s="322">
        <f t="shared" si="5"/>
        <v>0.04</v>
      </c>
      <c r="V8" s="322">
        <f t="shared" si="5"/>
        <v>0.04</v>
      </c>
      <c r="W8" s="322">
        <f t="shared" si="5"/>
        <v>0.04</v>
      </c>
      <c r="X8" s="322">
        <f t="shared" si="5"/>
        <v>0.04</v>
      </c>
      <c r="Y8" s="322">
        <f t="shared" si="5"/>
        <v>0.04</v>
      </c>
      <c r="Z8" s="322">
        <f t="shared" si="5"/>
        <v>0.04</v>
      </c>
      <c r="AA8" s="322">
        <f t="shared" si="5"/>
        <v>0.04</v>
      </c>
      <c r="AB8" s="322">
        <f t="shared" si="5"/>
        <v>0.04</v>
      </c>
      <c r="AC8" s="322">
        <f t="shared" si="5"/>
        <v>0.04</v>
      </c>
      <c r="AD8" s="322">
        <f t="shared" si="5"/>
        <v>0.04</v>
      </c>
      <c r="AE8" s="322">
        <f t="shared" si="5"/>
        <v>0.04</v>
      </c>
      <c r="AF8" s="322">
        <f t="shared" si="5"/>
        <v>0.04</v>
      </c>
      <c r="AG8" s="322">
        <f t="shared" si="5"/>
        <v>0.04</v>
      </c>
      <c r="AH8" s="322">
        <f t="shared" si="5"/>
        <v>0.04</v>
      </c>
      <c r="AI8" s="322">
        <f t="shared" si="5"/>
        <v>0.04</v>
      </c>
      <c r="AJ8" s="322">
        <f t="shared" si="5"/>
        <v>0.04</v>
      </c>
      <c r="AK8" s="322">
        <f t="shared" si="5"/>
        <v>0.04</v>
      </c>
      <c r="AL8" s="322">
        <f t="shared" si="5"/>
        <v>0.04</v>
      </c>
      <c r="AM8" s="322">
        <f t="shared" si="5"/>
        <v>0.04</v>
      </c>
      <c r="AN8" s="322">
        <f t="shared" si="5"/>
        <v>0.04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 ht="15" customHeight="1">
      <c r="A9" s="5"/>
      <c r="B9" s="5"/>
      <c r="C9" s="321" t="s">
        <v>436</v>
      </c>
      <c r="D9" s="321"/>
      <c r="E9" s="324">
        <f>E5</f>
        <v>1.04</v>
      </c>
      <c r="F9" s="324">
        <f t="shared" ref="F9:AN9" si="6">(1+F8)*E9</f>
        <v>1.0816000000000001</v>
      </c>
      <c r="G9" s="324">
        <f t="shared" si="6"/>
        <v>1.1248640000000001</v>
      </c>
      <c r="H9" s="324">
        <f t="shared" si="6"/>
        <v>1.1698585600000002</v>
      </c>
      <c r="I9" s="324">
        <f t="shared" si="6"/>
        <v>1.2166529024000003</v>
      </c>
      <c r="J9" s="324">
        <f t="shared" si="6"/>
        <v>1.2653190184960004</v>
      </c>
      <c r="K9" s="324">
        <f t="shared" si="6"/>
        <v>1.3159317792358405</v>
      </c>
      <c r="L9" s="324">
        <f t="shared" si="6"/>
        <v>1.3685690504052741</v>
      </c>
      <c r="M9" s="324">
        <f t="shared" si="6"/>
        <v>1.4233118124214852</v>
      </c>
      <c r="N9" s="324">
        <f t="shared" si="6"/>
        <v>1.4802442849183446</v>
      </c>
      <c r="O9" s="324">
        <f t="shared" si="6"/>
        <v>1.5394540563150785</v>
      </c>
      <c r="P9" s="324">
        <f t="shared" si="6"/>
        <v>1.6010322185676817</v>
      </c>
      <c r="Q9" s="324">
        <f t="shared" si="6"/>
        <v>1.6650735073103891</v>
      </c>
      <c r="R9" s="324">
        <f t="shared" si="6"/>
        <v>1.7316764476028046</v>
      </c>
      <c r="S9" s="324">
        <f t="shared" si="6"/>
        <v>1.8009435055069167</v>
      </c>
      <c r="T9" s="324">
        <f t="shared" si="6"/>
        <v>1.8729812457271935</v>
      </c>
      <c r="U9" s="324">
        <f t="shared" si="6"/>
        <v>1.9479004955562813</v>
      </c>
      <c r="V9" s="324">
        <f t="shared" si="6"/>
        <v>2.0258165153785326</v>
      </c>
      <c r="W9" s="324">
        <f t="shared" si="6"/>
        <v>2.1068491759936738</v>
      </c>
      <c r="X9" s="324">
        <f t="shared" si="6"/>
        <v>2.1911231430334208</v>
      </c>
      <c r="Y9" s="324">
        <f t="shared" si="6"/>
        <v>2.2787680687547578</v>
      </c>
      <c r="Z9" s="324">
        <f t="shared" si="6"/>
        <v>2.369918791504948</v>
      </c>
      <c r="AA9" s="324">
        <f t="shared" si="6"/>
        <v>2.4647155431651462</v>
      </c>
      <c r="AB9" s="324">
        <f t="shared" si="6"/>
        <v>2.5633041648917523</v>
      </c>
      <c r="AC9" s="324">
        <f t="shared" si="6"/>
        <v>2.6658363314874225</v>
      </c>
      <c r="AD9" s="324">
        <f t="shared" si="6"/>
        <v>2.7724697847469195</v>
      </c>
      <c r="AE9" s="324">
        <f t="shared" si="6"/>
        <v>2.8833685761367964</v>
      </c>
      <c r="AF9" s="324">
        <f t="shared" si="6"/>
        <v>2.9987033191822685</v>
      </c>
      <c r="AG9" s="324">
        <f t="shared" si="6"/>
        <v>3.1186514519495594</v>
      </c>
      <c r="AH9" s="324">
        <f t="shared" si="6"/>
        <v>3.2433975100275418</v>
      </c>
      <c r="AI9" s="324">
        <f t="shared" si="6"/>
        <v>3.3731334104286437</v>
      </c>
      <c r="AJ9" s="324">
        <f t="shared" si="6"/>
        <v>3.5080587468457893</v>
      </c>
      <c r="AK9" s="324">
        <f t="shared" si="6"/>
        <v>3.6483810967196209</v>
      </c>
      <c r="AL9" s="324">
        <f t="shared" si="6"/>
        <v>3.7943163405884057</v>
      </c>
      <c r="AM9" s="324">
        <f t="shared" si="6"/>
        <v>3.9460889942119421</v>
      </c>
      <c r="AN9" s="324">
        <f t="shared" si="6"/>
        <v>4.1039325539804201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 ht="15" customHeight="1">
      <c r="A10" s="5"/>
      <c r="B10" s="5"/>
      <c r="C10" s="321" t="s">
        <v>437</v>
      </c>
      <c r="D10" s="321"/>
      <c r="E10" s="325">
        <v>88.04060809901577</v>
      </c>
      <c r="F10" s="325">
        <v>84.434627301852601</v>
      </c>
      <c r="G10" s="325">
        <v>79.241197208065387</v>
      </c>
      <c r="H10" s="326">
        <f t="shared" ref="H10:X11" si="7">G10</f>
        <v>79.241197208065387</v>
      </c>
      <c r="I10" s="326">
        <f t="shared" si="7"/>
        <v>79.241197208065387</v>
      </c>
      <c r="J10" s="326">
        <f t="shared" si="7"/>
        <v>79.241197208065387</v>
      </c>
      <c r="K10" s="326">
        <f t="shared" si="7"/>
        <v>79.241197208065387</v>
      </c>
      <c r="L10" s="326">
        <f t="shared" si="7"/>
        <v>79.241197208065387</v>
      </c>
      <c r="M10" s="326">
        <f t="shared" si="7"/>
        <v>79.241197208065387</v>
      </c>
      <c r="N10" s="326">
        <f t="shared" si="7"/>
        <v>79.241197208065387</v>
      </c>
      <c r="O10" s="326">
        <f t="shared" si="7"/>
        <v>79.241197208065387</v>
      </c>
      <c r="P10" s="326">
        <f t="shared" si="7"/>
        <v>79.241197208065387</v>
      </c>
      <c r="Q10" s="326">
        <f t="shared" si="7"/>
        <v>79.241197208065387</v>
      </c>
      <c r="R10" s="326">
        <f t="shared" si="7"/>
        <v>79.241197208065387</v>
      </c>
      <c r="S10" s="326">
        <f t="shared" si="7"/>
        <v>79.241197208065387</v>
      </c>
      <c r="T10" s="326">
        <f t="shared" si="7"/>
        <v>79.241197208065387</v>
      </c>
      <c r="U10" s="326">
        <f t="shared" si="7"/>
        <v>79.241197208065387</v>
      </c>
      <c r="V10" s="326">
        <f t="shared" si="7"/>
        <v>79.241197208065387</v>
      </c>
      <c r="W10" s="326">
        <f t="shared" si="7"/>
        <v>79.241197208065387</v>
      </c>
      <c r="X10" s="326">
        <f t="shared" si="7"/>
        <v>79.241197208065387</v>
      </c>
      <c r="Y10" s="326">
        <f>X10</f>
        <v>79.241197208065387</v>
      </c>
      <c r="Z10" s="326">
        <f t="shared" ref="Z10:AN11" si="8">Y10</f>
        <v>79.241197208065387</v>
      </c>
      <c r="AA10" s="326">
        <f t="shared" si="8"/>
        <v>79.241197208065387</v>
      </c>
      <c r="AB10" s="326">
        <f t="shared" si="8"/>
        <v>79.241197208065387</v>
      </c>
      <c r="AC10" s="326">
        <f t="shared" si="8"/>
        <v>79.241197208065387</v>
      </c>
      <c r="AD10" s="326">
        <f t="shared" si="8"/>
        <v>79.241197208065387</v>
      </c>
      <c r="AE10" s="326">
        <f t="shared" si="8"/>
        <v>79.241197208065387</v>
      </c>
      <c r="AF10" s="326">
        <f t="shared" si="8"/>
        <v>79.241197208065387</v>
      </c>
      <c r="AG10" s="326">
        <f t="shared" si="8"/>
        <v>79.241197208065387</v>
      </c>
      <c r="AH10" s="326">
        <f t="shared" si="8"/>
        <v>79.241197208065387</v>
      </c>
      <c r="AI10" s="326">
        <f t="shared" si="8"/>
        <v>79.241197208065387</v>
      </c>
      <c r="AJ10" s="326">
        <f t="shared" si="8"/>
        <v>79.241197208065387</v>
      </c>
      <c r="AK10" s="326">
        <f t="shared" si="8"/>
        <v>79.241197208065387</v>
      </c>
      <c r="AL10" s="326">
        <f t="shared" si="8"/>
        <v>79.241197208065387</v>
      </c>
      <c r="AM10" s="326">
        <f t="shared" si="8"/>
        <v>79.241197208065387</v>
      </c>
      <c r="AN10" s="326">
        <f t="shared" si="8"/>
        <v>79.241197208065387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 ht="15" customHeight="1">
      <c r="A11" s="5"/>
      <c r="B11" s="5"/>
      <c r="C11" s="321" t="s">
        <v>438</v>
      </c>
      <c r="D11" s="321"/>
      <c r="E11" s="325">
        <v>80</v>
      </c>
      <c r="F11" s="326">
        <f>E11</f>
        <v>80</v>
      </c>
      <c r="G11" s="326">
        <f>F11</f>
        <v>80</v>
      </c>
      <c r="H11" s="326">
        <f t="shared" si="7"/>
        <v>80</v>
      </c>
      <c r="I11" s="326">
        <f t="shared" si="7"/>
        <v>80</v>
      </c>
      <c r="J11" s="326">
        <f t="shared" si="7"/>
        <v>80</v>
      </c>
      <c r="K11" s="326">
        <f t="shared" si="7"/>
        <v>80</v>
      </c>
      <c r="L11" s="326">
        <f t="shared" si="7"/>
        <v>80</v>
      </c>
      <c r="M11" s="326">
        <f t="shared" si="7"/>
        <v>80</v>
      </c>
      <c r="N11" s="326">
        <f t="shared" si="7"/>
        <v>80</v>
      </c>
      <c r="O11" s="326">
        <f t="shared" si="7"/>
        <v>80</v>
      </c>
      <c r="P11" s="326">
        <f t="shared" si="7"/>
        <v>80</v>
      </c>
      <c r="Q11" s="326">
        <f t="shared" si="7"/>
        <v>80</v>
      </c>
      <c r="R11" s="326">
        <f t="shared" si="7"/>
        <v>80</v>
      </c>
      <c r="S11" s="326">
        <f t="shared" si="7"/>
        <v>80</v>
      </c>
      <c r="T11" s="326">
        <f t="shared" si="7"/>
        <v>80</v>
      </c>
      <c r="U11" s="326">
        <f t="shared" si="7"/>
        <v>80</v>
      </c>
      <c r="V11" s="326">
        <f t="shared" si="7"/>
        <v>80</v>
      </c>
      <c r="W11" s="326">
        <f t="shared" si="7"/>
        <v>80</v>
      </c>
      <c r="X11" s="326">
        <f t="shared" si="7"/>
        <v>80</v>
      </c>
      <c r="Y11" s="326">
        <f>X11</f>
        <v>80</v>
      </c>
      <c r="Z11" s="326">
        <f t="shared" si="8"/>
        <v>80</v>
      </c>
      <c r="AA11" s="326">
        <f t="shared" si="8"/>
        <v>80</v>
      </c>
      <c r="AB11" s="326">
        <f t="shared" si="8"/>
        <v>80</v>
      </c>
      <c r="AC11" s="326">
        <f t="shared" si="8"/>
        <v>80</v>
      </c>
      <c r="AD11" s="326">
        <f t="shared" si="8"/>
        <v>80</v>
      </c>
      <c r="AE11" s="326">
        <f t="shared" si="8"/>
        <v>80</v>
      </c>
      <c r="AF11" s="326">
        <f t="shared" si="8"/>
        <v>80</v>
      </c>
      <c r="AG11" s="326">
        <f t="shared" si="8"/>
        <v>80</v>
      </c>
      <c r="AH11" s="326">
        <f t="shared" si="8"/>
        <v>80</v>
      </c>
      <c r="AI11" s="326">
        <f t="shared" si="8"/>
        <v>80</v>
      </c>
      <c r="AJ11" s="326">
        <f t="shared" si="8"/>
        <v>80</v>
      </c>
      <c r="AK11" s="326">
        <f t="shared" si="8"/>
        <v>80</v>
      </c>
      <c r="AL11" s="326">
        <f t="shared" si="8"/>
        <v>80</v>
      </c>
      <c r="AM11" s="326">
        <f t="shared" si="8"/>
        <v>80</v>
      </c>
      <c r="AN11" s="326">
        <f t="shared" si="8"/>
        <v>80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 ht="15" customHeight="1">
      <c r="A12" s="5"/>
      <c r="B12" s="5"/>
      <c r="C12" s="4" t="s">
        <v>439</v>
      </c>
      <c r="D12" s="4"/>
      <c r="E12" s="4">
        <f>YEAR(E16)</f>
        <v>2022</v>
      </c>
      <c r="F12" s="4">
        <f t="shared" ref="F12:BL12" si="9">YEAR(F16)</f>
        <v>2022</v>
      </c>
      <c r="G12" s="4">
        <f t="shared" si="9"/>
        <v>2022</v>
      </c>
      <c r="H12" s="4">
        <f t="shared" si="9"/>
        <v>2022</v>
      </c>
      <c r="I12" s="4">
        <f t="shared" si="9"/>
        <v>2023</v>
      </c>
      <c r="J12" s="4">
        <f t="shared" si="9"/>
        <v>2023</v>
      </c>
      <c r="K12" s="4">
        <f t="shared" si="9"/>
        <v>2023</v>
      </c>
      <c r="L12" s="4">
        <f t="shared" si="9"/>
        <v>2023</v>
      </c>
      <c r="M12" s="4">
        <f t="shared" si="9"/>
        <v>2024</v>
      </c>
      <c r="N12" s="4">
        <f t="shared" si="9"/>
        <v>2024</v>
      </c>
      <c r="O12" s="4">
        <f t="shared" si="9"/>
        <v>2024</v>
      </c>
      <c r="P12" s="4">
        <f t="shared" si="9"/>
        <v>2024</v>
      </c>
      <c r="Q12" s="4">
        <f t="shared" si="9"/>
        <v>2025</v>
      </c>
      <c r="R12" s="4">
        <f t="shared" si="9"/>
        <v>2025</v>
      </c>
      <c r="S12" s="4">
        <f t="shared" si="9"/>
        <v>2025</v>
      </c>
      <c r="T12" s="4">
        <f t="shared" si="9"/>
        <v>2025</v>
      </c>
      <c r="U12" s="4">
        <f t="shared" si="9"/>
        <v>2026</v>
      </c>
      <c r="V12" s="4">
        <f t="shared" si="9"/>
        <v>2026</v>
      </c>
      <c r="W12" s="4">
        <f t="shared" si="9"/>
        <v>2026</v>
      </c>
      <c r="X12" s="4">
        <f t="shared" si="9"/>
        <v>2026</v>
      </c>
      <c r="Y12" s="4">
        <f t="shared" si="9"/>
        <v>2027</v>
      </c>
      <c r="Z12" s="4">
        <f t="shared" si="9"/>
        <v>2027</v>
      </c>
      <c r="AA12" s="4">
        <f t="shared" si="9"/>
        <v>2027</v>
      </c>
      <c r="AB12" s="4">
        <f t="shared" si="9"/>
        <v>2027</v>
      </c>
      <c r="AC12" s="4">
        <f t="shared" si="9"/>
        <v>2028</v>
      </c>
      <c r="AD12" s="4">
        <f t="shared" si="9"/>
        <v>2028</v>
      </c>
      <c r="AE12" s="4">
        <f t="shared" si="9"/>
        <v>2028</v>
      </c>
      <c r="AF12" s="4">
        <f t="shared" si="9"/>
        <v>2028</v>
      </c>
      <c r="AG12" s="4">
        <f t="shared" si="9"/>
        <v>2029</v>
      </c>
      <c r="AH12" s="4">
        <f t="shared" si="9"/>
        <v>2029</v>
      </c>
      <c r="AI12" s="4">
        <f t="shared" si="9"/>
        <v>2029</v>
      </c>
      <c r="AJ12" s="4">
        <f t="shared" si="9"/>
        <v>2029</v>
      </c>
      <c r="AK12" s="4">
        <f t="shared" si="9"/>
        <v>2030</v>
      </c>
      <c r="AL12" s="4">
        <f t="shared" si="9"/>
        <v>2030</v>
      </c>
      <c r="AM12" s="4">
        <f t="shared" si="9"/>
        <v>2030</v>
      </c>
      <c r="AN12" s="4">
        <f t="shared" si="9"/>
        <v>2030</v>
      </c>
      <c r="AO12" s="4">
        <f t="shared" si="9"/>
        <v>2031</v>
      </c>
      <c r="AP12" s="4">
        <f t="shared" si="9"/>
        <v>2031</v>
      </c>
      <c r="AQ12" s="4">
        <f t="shared" si="9"/>
        <v>2031</v>
      </c>
      <c r="AR12" s="4">
        <f t="shared" si="9"/>
        <v>2031</v>
      </c>
      <c r="AS12" s="4">
        <f t="shared" si="9"/>
        <v>2032</v>
      </c>
      <c r="AT12" s="4">
        <f t="shared" si="9"/>
        <v>2032</v>
      </c>
      <c r="AU12" s="4">
        <f t="shared" si="9"/>
        <v>2032</v>
      </c>
      <c r="AV12" s="4">
        <f t="shared" si="9"/>
        <v>2032</v>
      </c>
      <c r="AW12" s="4">
        <f t="shared" si="9"/>
        <v>2033</v>
      </c>
      <c r="AX12" s="4">
        <f t="shared" si="9"/>
        <v>2033</v>
      </c>
      <c r="AY12" s="4">
        <f t="shared" si="9"/>
        <v>2033</v>
      </c>
      <c r="AZ12" s="4">
        <f t="shared" si="9"/>
        <v>2033</v>
      </c>
      <c r="BA12" s="4">
        <f t="shared" si="9"/>
        <v>2034</v>
      </c>
      <c r="BB12" s="4">
        <f t="shared" si="9"/>
        <v>2034</v>
      </c>
      <c r="BC12" s="4">
        <f t="shared" si="9"/>
        <v>2034</v>
      </c>
      <c r="BD12" s="4">
        <f t="shared" si="9"/>
        <v>2034</v>
      </c>
      <c r="BE12" s="4">
        <f t="shared" si="9"/>
        <v>2035</v>
      </c>
      <c r="BF12" s="4">
        <f t="shared" si="9"/>
        <v>2035</v>
      </c>
      <c r="BG12" s="4">
        <f t="shared" si="9"/>
        <v>2035</v>
      </c>
      <c r="BH12" s="4">
        <f t="shared" si="9"/>
        <v>2035</v>
      </c>
      <c r="BI12" s="4">
        <f t="shared" si="9"/>
        <v>2036</v>
      </c>
      <c r="BJ12" s="4">
        <f t="shared" si="9"/>
        <v>2036</v>
      </c>
      <c r="BK12" s="4">
        <f t="shared" si="9"/>
        <v>2036</v>
      </c>
      <c r="BL12" s="4">
        <f t="shared" si="9"/>
        <v>2036</v>
      </c>
    </row>
    <row r="13" spans="1:65" ht="15" customHeight="1">
      <c r="A13" s="5"/>
      <c r="B13" s="5"/>
      <c r="C13" s="327" t="s">
        <v>67</v>
      </c>
      <c r="D13" s="328"/>
      <c r="E13" s="329">
        <v>1</v>
      </c>
      <c r="F13" s="329">
        <v>2</v>
      </c>
      <c r="G13" s="329">
        <v>3</v>
      </c>
      <c r="H13" s="329">
        <v>4</v>
      </c>
      <c r="I13" s="329">
        <v>5</v>
      </c>
      <c r="J13" s="329">
        <v>6</v>
      </c>
      <c r="K13" s="329">
        <v>7</v>
      </c>
      <c r="L13" s="329">
        <v>8</v>
      </c>
      <c r="M13" s="329">
        <v>9</v>
      </c>
      <c r="N13" s="329">
        <v>10</v>
      </c>
      <c r="O13" s="329">
        <v>11</v>
      </c>
      <c r="P13" s="329">
        <v>12</v>
      </c>
      <c r="Q13" s="329">
        <v>13</v>
      </c>
      <c r="R13" s="329">
        <v>14</v>
      </c>
      <c r="S13" s="329">
        <v>15</v>
      </c>
      <c r="T13" s="329">
        <v>16</v>
      </c>
      <c r="U13" s="329">
        <v>17</v>
      </c>
      <c r="V13" s="329">
        <v>18</v>
      </c>
      <c r="W13" s="329">
        <v>19</v>
      </c>
      <c r="X13" s="329">
        <v>20</v>
      </c>
      <c r="Y13" s="329">
        <v>21</v>
      </c>
      <c r="Z13" s="329">
        <v>22</v>
      </c>
      <c r="AA13" s="329">
        <v>23</v>
      </c>
      <c r="AB13" s="329">
        <v>24</v>
      </c>
      <c r="AC13" s="329">
        <v>25</v>
      </c>
      <c r="AD13" s="329">
        <v>26</v>
      </c>
      <c r="AE13" s="329">
        <v>27</v>
      </c>
      <c r="AF13" s="329">
        <v>28</v>
      </c>
      <c r="AG13" s="329">
        <v>29</v>
      </c>
      <c r="AH13" s="329">
        <v>30</v>
      </c>
      <c r="AI13" s="329">
        <v>31</v>
      </c>
      <c r="AJ13" s="329">
        <v>32</v>
      </c>
      <c r="AK13" s="329">
        <v>33</v>
      </c>
      <c r="AL13" s="329">
        <v>34</v>
      </c>
      <c r="AM13" s="329">
        <v>35</v>
      </c>
      <c r="AN13" s="329">
        <v>36</v>
      </c>
      <c r="AO13" s="329">
        <v>37</v>
      </c>
      <c r="AP13" s="329">
        <v>38</v>
      </c>
      <c r="AQ13" s="329">
        <v>39</v>
      </c>
      <c r="AR13" s="329">
        <v>40</v>
      </c>
      <c r="AS13" s="329">
        <v>41</v>
      </c>
      <c r="AT13" s="329">
        <v>42</v>
      </c>
      <c r="AU13" s="329">
        <v>43</v>
      </c>
      <c r="AV13" s="329">
        <v>44</v>
      </c>
      <c r="AW13" s="329">
        <v>45</v>
      </c>
      <c r="AX13" s="329">
        <v>46</v>
      </c>
      <c r="AY13" s="329">
        <v>47</v>
      </c>
      <c r="AZ13" s="329">
        <v>48</v>
      </c>
      <c r="BA13" s="329">
        <v>49</v>
      </c>
      <c r="BB13" s="329">
        <v>50</v>
      </c>
      <c r="BC13" s="329">
        <v>51</v>
      </c>
      <c r="BD13" s="329">
        <v>52</v>
      </c>
      <c r="BE13" s="329">
        <v>53</v>
      </c>
      <c r="BF13" s="329">
        <v>54</v>
      </c>
      <c r="BG13" s="329">
        <v>55</v>
      </c>
      <c r="BH13" s="329">
        <v>56</v>
      </c>
      <c r="BI13" s="329">
        <v>57</v>
      </c>
      <c r="BJ13" s="329">
        <v>58</v>
      </c>
      <c r="BK13" s="329">
        <v>59</v>
      </c>
      <c r="BL13" s="329">
        <v>60</v>
      </c>
    </row>
    <row r="14" spans="1:65" ht="15" customHeight="1">
      <c r="A14" s="5"/>
      <c r="B14" s="5"/>
      <c r="C14" s="330" t="s">
        <v>8</v>
      </c>
      <c r="D14" s="331"/>
      <c r="E14" s="329">
        <f>IF(E15&lt;&gt;"",TRUNC((MONTH(E16)-1)/3, 0)+1,"")</f>
        <v>1</v>
      </c>
      <c r="F14" s="329">
        <f>IF(F15&lt;&gt;"",TRUNC((MONTH(F16)-1)/3, 0)+1,"")</f>
        <v>2</v>
      </c>
      <c r="G14" s="329">
        <f t="shared" ref="G14:BL14" si="10">IF(G15&lt;&gt;"",TRUNC((MONTH(G16)-1)/3, 0)+1,"")</f>
        <v>3</v>
      </c>
      <c r="H14" s="329">
        <f t="shared" si="10"/>
        <v>4</v>
      </c>
      <c r="I14" s="329">
        <f t="shared" si="10"/>
        <v>1</v>
      </c>
      <c r="J14" s="329">
        <f t="shared" si="10"/>
        <v>2</v>
      </c>
      <c r="K14" s="329">
        <f t="shared" si="10"/>
        <v>3</v>
      </c>
      <c r="L14" s="329">
        <f t="shared" si="10"/>
        <v>4</v>
      </c>
      <c r="M14" s="329">
        <f t="shared" si="10"/>
        <v>1</v>
      </c>
      <c r="N14" s="329">
        <f t="shared" si="10"/>
        <v>2</v>
      </c>
      <c r="O14" s="329">
        <f t="shared" si="10"/>
        <v>3</v>
      </c>
      <c r="P14" s="329">
        <f t="shared" si="10"/>
        <v>4</v>
      </c>
      <c r="Q14" s="329">
        <f t="shared" si="10"/>
        <v>1</v>
      </c>
      <c r="R14" s="329">
        <f t="shared" si="10"/>
        <v>2</v>
      </c>
      <c r="S14" s="329">
        <f t="shared" si="10"/>
        <v>3</v>
      </c>
      <c r="T14" s="329">
        <f t="shared" si="10"/>
        <v>4</v>
      </c>
      <c r="U14" s="329">
        <f t="shared" si="10"/>
        <v>1</v>
      </c>
      <c r="V14" s="329">
        <f t="shared" si="10"/>
        <v>2</v>
      </c>
      <c r="W14" s="329">
        <f t="shared" si="10"/>
        <v>3</v>
      </c>
      <c r="X14" s="329">
        <f t="shared" si="10"/>
        <v>4</v>
      </c>
      <c r="Y14" s="329">
        <f t="shared" si="10"/>
        <v>1</v>
      </c>
      <c r="Z14" s="329">
        <f t="shared" si="10"/>
        <v>2</v>
      </c>
      <c r="AA14" s="329">
        <f t="shared" si="10"/>
        <v>3</v>
      </c>
      <c r="AB14" s="329">
        <f t="shared" si="10"/>
        <v>4</v>
      </c>
      <c r="AC14" s="329">
        <f t="shared" si="10"/>
        <v>1</v>
      </c>
      <c r="AD14" s="329">
        <f t="shared" si="10"/>
        <v>2</v>
      </c>
      <c r="AE14" s="329">
        <f t="shared" si="10"/>
        <v>3</v>
      </c>
      <c r="AF14" s="329">
        <f t="shared" si="10"/>
        <v>4</v>
      </c>
      <c r="AG14" s="329">
        <f t="shared" si="10"/>
        <v>1</v>
      </c>
      <c r="AH14" s="329">
        <f t="shared" si="10"/>
        <v>2</v>
      </c>
      <c r="AI14" s="329">
        <f t="shared" si="10"/>
        <v>3</v>
      </c>
      <c r="AJ14" s="329">
        <f t="shared" si="10"/>
        <v>4</v>
      </c>
      <c r="AK14" s="329">
        <f t="shared" si="10"/>
        <v>1</v>
      </c>
      <c r="AL14" s="329">
        <f t="shared" si="10"/>
        <v>2</v>
      </c>
      <c r="AM14" s="329">
        <f t="shared" si="10"/>
        <v>3</v>
      </c>
      <c r="AN14" s="329">
        <f t="shared" si="10"/>
        <v>4</v>
      </c>
      <c r="AO14" s="329">
        <f t="shared" si="10"/>
        <v>1</v>
      </c>
      <c r="AP14" s="329">
        <f t="shared" si="10"/>
        <v>2</v>
      </c>
      <c r="AQ14" s="329">
        <f t="shared" si="10"/>
        <v>3</v>
      </c>
      <c r="AR14" s="329">
        <f t="shared" si="10"/>
        <v>4</v>
      </c>
      <c r="AS14" s="329">
        <f t="shared" si="10"/>
        <v>1</v>
      </c>
      <c r="AT14" s="329">
        <f t="shared" si="10"/>
        <v>2</v>
      </c>
      <c r="AU14" s="329">
        <f t="shared" si="10"/>
        <v>3</v>
      </c>
      <c r="AV14" s="329">
        <f t="shared" si="10"/>
        <v>4</v>
      </c>
      <c r="AW14" s="329">
        <f t="shared" si="10"/>
        <v>1</v>
      </c>
      <c r="AX14" s="329">
        <f t="shared" si="10"/>
        <v>2</v>
      </c>
      <c r="AY14" s="329">
        <f t="shared" si="10"/>
        <v>3</v>
      </c>
      <c r="AZ14" s="329">
        <f t="shared" si="10"/>
        <v>4</v>
      </c>
      <c r="BA14" s="329">
        <f t="shared" si="10"/>
        <v>1</v>
      </c>
      <c r="BB14" s="329">
        <f t="shared" si="10"/>
        <v>2</v>
      </c>
      <c r="BC14" s="329">
        <f t="shared" si="10"/>
        <v>3</v>
      </c>
      <c r="BD14" s="329">
        <f t="shared" si="10"/>
        <v>4</v>
      </c>
      <c r="BE14" s="329">
        <f t="shared" si="10"/>
        <v>1</v>
      </c>
      <c r="BF14" s="329">
        <f t="shared" si="10"/>
        <v>2</v>
      </c>
      <c r="BG14" s="329">
        <f t="shared" si="10"/>
        <v>3</v>
      </c>
      <c r="BH14" s="329">
        <f t="shared" si="10"/>
        <v>4</v>
      </c>
      <c r="BI14" s="329">
        <f t="shared" si="10"/>
        <v>1</v>
      </c>
      <c r="BJ14" s="329">
        <f t="shared" si="10"/>
        <v>2</v>
      </c>
      <c r="BK14" s="329">
        <f t="shared" si="10"/>
        <v>3</v>
      </c>
      <c r="BL14" s="329">
        <f t="shared" si="10"/>
        <v>4</v>
      </c>
    </row>
    <row r="15" spans="1:65" ht="15" customHeight="1">
      <c r="A15" s="5"/>
      <c r="B15" s="5"/>
      <c r="C15" s="330" t="s">
        <v>1</v>
      </c>
      <c r="D15" s="331"/>
      <c r="E15" s="332">
        <f>Вводные!D4</f>
        <v>44593</v>
      </c>
      <c r="F15" s="333">
        <f>DATE(YEAR(E15),(TRUNC((MONTH(E15)-1)/3,0)+1)*3+1,1)</f>
        <v>44652</v>
      </c>
      <c r="G15" s="333">
        <f t="shared" ref="G15:BL15" si="11">DATE(YEAR(F15),(TRUNC((MONTH(F15)-1)/3,0)+1)*3+1,1)</f>
        <v>44743</v>
      </c>
      <c r="H15" s="333">
        <f t="shared" si="11"/>
        <v>44835</v>
      </c>
      <c r="I15" s="333">
        <f t="shared" si="11"/>
        <v>44927</v>
      </c>
      <c r="J15" s="333">
        <f t="shared" si="11"/>
        <v>45017</v>
      </c>
      <c r="K15" s="333">
        <f t="shared" si="11"/>
        <v>45108</v>
      </c>
      <c r="L15" s="333">
        <f t="shared" si="11"/>
        <v>45200</v>
      </c>
      <c r="M15" s="333">
        <f t="shared" si="11"/>
        <v>45292</v>
      </c>
      <c r="N15" s="333">
        <f t="shared" si="11"/>
        <v>45383</v>
      </c>
      <c r="O15" s="333">
        <f t="shared" si="11"/>
        <v>45474</v>
      </c>
      <c r="P15" s="333">
        <f t="shared" si="11"/>
        <v>45566</v>
      </c>
      <c r="Q15" s="333">
        <f t="shared" si="11"/>
        <v>45658</v>
      </c>
      <c r="R15" s="333">
        <f t="shared" si="11"/>
        <v>45748</v>
      </c>
      <c r="S15" s="333">
        <f t="shared" si="11"/>
        <v>45839</v>
      </c>
      <c r="T15" s="333">
        <f t="shared" si="11"/>
        <v>45931</v>
      </c>
      <c r="U15" s="333">
        <f t="shared" si="11"/>
        <v>46023</v>
      </c>
      <c r="V15" s="333">
        <f t="shared" si="11"/>
        <v>46113</v>
      </c>
      <c r="W15" s="333">
        <f t="shared" si="11"/>
        <v>46204</v>
      </c>
      <c r="X15" s="333">
        <f t="shared" si="11"/>
        <v>46296</v>
      </c>
      <c r="Y15" s="333">
        <f t="shared" si="11"/>
        <v>46388</v>
      </c>
      <c r="Z15" s="333">
        <f t="shared" si="11"/>
        <v>46478</v>
      </c>
      <c r="AA15" s="333">
        <f t="shared" si="11"/>
        <v>46569</v>
      </c>
      <c r="AB15" s="333">
        <f t="shared" si="11"/>
        <v>46661</v>
      </c>
      <c r="AC15" s="333">
        <f t="shared" si="11"/>
        <v>46753</v>
      </c>
      <c r="AD15" s="333">
        <f t="shared" si="11"/>
        <v>46844</v>
      </c>
      <c r="AE15" s="333">
        <f t="shared" si="11"/>
        <v>46935</v>
      </c>
      <c r="AF15" s="333">
        <f t="shared" si="11"/>
        <v>47027</v>
      </c>
      <c r="AG15" s="333">
        <f t="shared" si="11"/>
        <v>47119</v>
      </c>
      <c r="AH15" s="333">
        <f t="shared" si="11"/>
        <v>47209</v>
      </c>
      <c r="AI15" s="333">
        <f t="shared" si="11"/>
        <v>47300</v>
      </c>
      <c r="AJ15" s="333">
        <f t="shared" si="11"/>
        <v>47392</v>
      </c>
      <c r="AK15" s="333">
        <f t="shared" si="11"/>
        <v>47484</v>
      </c>
      <c r="AL15" s="333">
        <f t="shared" si="11"/>
        <v>47574</v>
      </c>
      <c r="AM15" s="333">
        <f t="shared" si="11"/>
        <v>47665</v>
      </c>
      <c r="AN15" s="333">
        <f t="shared" si="11"/>
        <v>47757</v>
      </c>
      <c r="AO15" s="333">
        <f t="shared" si="11"/>
        <v>47849</v>
      </c>
      <c r="AP15" s="333">
        <f t="shared" si="11"/>
        <v>47939</v>
      </c>
      <c r="AQ15" s="333">
        <f t="shared" si="11"/>
        <v>48030</v>
      </c>
      <c r="AR15" s="333">
        <f t="shared" si="11"/>
        <v>48122</v>
      </c>
      <c r="AS15" s="333">
        <f t="shared" si="11"/>
        <v>48214</v>
      </c>
      <c r="AT15" s="333">
        <f t="shared" si="11"/>
        <v>48305</v>
      </c>
      <c r="AU15" s="333">
        <f t="shared" si="11"/>
        <v>48396</v>
      </c>
      <c r="AV15" s="333">
        <f t="shared" si="11"/>
        <v>48488</v>
      </c>
      <c r="AW15" s="333">
        <f t="shared" si="11"/>
        <v>48580</v>
      </c>
      <c r="AX15" s="333">
        <f t="shared" si="11"/>
        <v>48670</v>
      </c>
      <c r="AY15" s="333">
        <f t="shared" si="11"/>
        <v>48761</v>
      </c>
      <c r="AZ15" s="333">
        <f t="shared" si="11"/>
        <v>48853</v>
      </c>
      <c r="BA15" s="333">
        <f t="shared" si="11"/>
        <v>48945</v>
      </c>
      <c r="BB15" s="333">
        <f t="shared" si="11"/>
        <v>49035</v>
      </c>
      <c r="BC15" s="333">
        <f t="shared" si="11"/>
        <v>49126</v>
      </c>
      <c r="BD15" s="333">
        <f t="shared" si="11"/>
        <v>49218</v>
      </c>
      <c r="BE15" s="333">
        <f t="shared" si="11"/>
        <v>49310</v>
      </c>
      <c r="BF15" s="333">
        <f t="shared" si="11"/>
        <v>49400</v>
      </c>
      <c r="BG15" s="333">
        <f t="shared" si="11"/>
        <v>49491</v>
      </c>
      <c r="BH15" s="333">
        <f t="shared" si="11"/>
        <v>49583</v>
      </c>
      <c r="BI15" s="333">
        <f t="shared" si="11"/>
        <v>49675</v>
      </c>
      <c r="BJ15" s="333">
        <f t="shared" si="11"/>
        <v>49766</v>
      </c>
      <c r="BK15" s="333">
        <f t="shared" si="11"/>
        <v>49857</v>
      </c>
      <c r="BL15" s="333">
        <f t="shared" si="11"/>
        <v>49949</v>
      </c>
    </row>
    <row r="16" spans="1:65" ht="15" customHeight="1">
      <c r="A16" s="5"/>
      <c r="B16" s="5"/>
      <c r="C16" s="330" t="s">
        <v>2</v>
      </c>
      <c r="D16" s="331"/>
      <c r="E16" s="332">
        <f>DATE(YEAR(E15),((TRUNC((MONTH(E15)-1),0)+1)+2),1)-1</f>
        <v>44651</v>
      </c>
      <c r="F16" s="333">
        <f>DATE(YEAR(F15),((TRUNC((MONTH(F15)-1),0)+1)+1)+2,1)-1</f>
        <v>44742</v>
      </c>
      <c r="G16" s="333">
        <f t="shared" ref="G16:BL16" si="12">DATE(YEAR(G15),((TRUNC((MONTH(G15)-1),0)+1)+1)+2,1)-1</f>
        <v>44834</v>
      </c>
      <c r="H16" s="333">
        <f t="shared" si="12"/>
        <v>44926</v>
      </c>
      <c r="I16" s="333">
        <f t="shared" si="12"/>
        <v>45016</v>
      </c>
      <c r="J16" s="333">
        <f t="shared" si="12"/>
        <v>45107</v>
      </c>
      <c r="K16" s="333">
        <f t="shared" si="12"/>
        <v>45199</v>
      </c>
      <c r="L16" s="333">
        <f t="shared" si="12"/>
        <v>45291</v>
      </c>
      <c r="M16" s="333">
        <f t="shared" si="12"/>
        <v>45382</v>
      </c>
      <c r="N16" s="333">
        <f t="shared" si="12"/>
        <v>45473</v>
      </c>
      <c r="O16" s="333">
        <f t="shared" si="12"/>
        <v>45565</v>
      </c>
      <c r="P16" s="333">
        <f t="shared" si="12"/>
        <v>45657</v>
      </c>
      <c r="Q16" s="333">
        <f t="shared" si="12"/>
        <v>45747</v>
      </c>
      <c r="R16" s="333">
        <f t="shared" si="12"/>
        <v>45838</v>
      </c>
      <c r="S16" s="333">
        <f t="shared" si="12"/>
        <v>45930</v>
      </c>
      <c r="T16" s="333">
        <f t="shared" si="12"/>
        <v>46022</v>
      </c>
      <c r="U16" s="333">
        <f t="shared" si="12"/>
        <v>46112</v>
      </c>
      <c r="V16" s="333">
        <f t="shared" si="12"/>
        <v>46203</v>
      </c>
      <c r="W16" s="333">
        <f t="shared" si="12"/>
        <v>46295</v>
      </c>
      <c r="X16" s="333">
        <f t="shared" si="12"/>
        <v>46387</v>
      </c>
      <c r="Y16" s="333">
        <f t="shared" si="12"/>
        <v>46477</v>
      </c>
      <c r="Z16" s="333">
        <f t="shared" si="12"/>
        <v>46568</v>
      </c>
      <c r="AA16" s="333">
        <f t="shared" si="12"/>
        <v>46660</v>
      </c>
      <c r="AB16" s="333">
        <f t="shared" si="12"/>
        <v>46752</v>
      </c>
      <c r="AC16" s="333">
        <f t="shared" si="12"/>
        <v>46843</v>
      </c>
      <c r="AD16" s="333">
        <f t="shared" si="12"/>
        <v>46934</v>
      </c>
      <c r="AE16" s="333">
        <f t="shared" si="12"/>
        <v>47026</v>
      </c>
      <c r="AF16" s="333">
        <f t="shared" si="12"/>
        <v>47118</v>
      </c>
      <c r="AG16" s="333">
        <f t="shared" si="12"/>
        <v>47208</v>
      </c>
      <c r="AH16" s="333">
        <f t="shared" si="12"/>
        <v>47299</v>
      </c>
      <c r="AI16" s="333">
        <f t="shared" si="12"/>
        <v>47391</v>
      </c>
      <c r="AJ16" s="333">
        <f t="shared" si="12"/>
        <v>47483</v>
      </c>
      <c r="AK16" s="333">
        <f t="shared" si="12"/>
        <v>47573</v>
      </c>
      <c r="AL16" s="333">
        <f t="shared" si="12"/>
        <v>47664</v>
      </c>
      <c r="AM16" s="333">
        <f t="shared" si="12"/>
        <v>47756</v>
      </c>
      <c r="AN16" s="333">
        <f t="shared" si="12"/>
        <v>47848</v>
      </c>
      <c r="AO16" s="333">
        <f t="shared" si="12"/>
        <v>47938</v>
      </c>
      <c r="AP16" s="333">
        <f t="shared" si="12"/>
        <v>48029</v>
      </c>
      <c r="AQ16" s="333">
        <f t="shared" si="12"/>
        <v>48121</v>
      </c>
      <c r="AR16" s="333">
        <f t="shared" si="12"/>
        <v>48213</v>
      </c>
      <c r="AS16" s="333">
        <f t="shared" si="12"/>
        <v>48304</v>
      </c>
      <c r="AT16" s="333">
        <f t="shared" si="12"/>
        <v>48395</v>
      </c>
      <c r="AU16" s="333">
        <f t="shared" si="12"/>
        <v>48487</v>
      </c>
      <c r="AV16" s="333">
        <f t="shared" si="12"/>
        <v>48579</v>
      </c>
      <c r="AW16" s="333">
        <f t="shared" si="12"/>
        <v>48669</v>
      </c>
      <c r="AX16" s="333">
        <f t="shared" si="12"/>
        <v>48760</v>
      </c>
      <c r="AY16" s="333">
        <f t="shared" si="12"/>
        <v>48852</v>
      </c>
      <c r="AZ16" s="333">
        <f t="shared" si="12"/>
        <v>48944</v>
      </c>
      <c r="BA16" s="333">
        <f t="shared" si="12"/>
        <v>49034</v>
      </c>
      <c r="BB16" s="333">
        <f t="shared" si="12"/>
        <v>49125</v>
      </c>
      <c r="BC16" s="333">
        <f t="shared" si="12"/>
        <v>49217</v>
      </c>
      <c r="BD16" s="333">
        <f t="shared" si="12"/>
        <v>49309</v>
      </c>
      <c r="BE16" s="333">
        <f t="shared" si="12"/>
        <v>49399</v>
      </c>
      <c r="BF16" s="333">
        <f t="shared" si="12"/>
        <v>49490</v>
      </c>
      <c r="BG16" s="333">
        <f t="shared" si="12"/>
        <v>49582</v>
      </c>
      <c r="BH16" s="333">
        <f t="shared" si="12"/>
        <v>49674</v>
      </c>
      <c r="BI16" s="333">
        <f t="shared" si="12"/>
        <v>49765</v>
      </c>
      <c r="BJ16" s="333">
        <f t="shared" si="12"/>
        <v>49856</v>
      </c>
      <c r="BK16" s="333">
        <f t="shared" si="12"/>
        <v>49948</v>
      </c>
      <c r="BL16" s="333">
        <f t="shared" si="12"/>
        <v>50040</v>
      </c>
    </row>
    <row r="17" spans="1:64" ht="15" customHeight="1">
      <c r="A17" s="5"/>
      <c r="B17" s="5"/>
      <c r="C17" s="330" t="s">
        <v>8</v>
      </c>
      <c r="D17" s="331"/>
      <c r="E17" s="329" t="str">
        <f t="shared" ref="E17:AJ17" si="13">CONCATENATE(E14," кв. ",H99)</f>
        <v xml:space="preserve">1 кв. </v>
      </c>
      <c r="F17" s="329" t="str">
        <f t="shared" si="13"/>
        <v xml:space="preserve">2 кв. </v>
      </c>
      <c r="G17" s="329" t="str">
        <f t="shared" si="13"/>
        <v xml:space="preserve">3 кв. </v>
      </c>
      <c r="H17" s="329" t="str">
        <f t="shared" si="13"/>
        <v xml:space="preserve">4 кв. </v>
      </c>
      <c r="I17" s="329" t="str">
        <f t="shared" si="13"/>
        <v xml:space="preserve">1 кв. </v>
      </c>
      <c r="J17" s="329" t="str">
        <f t="shared" si="13"/>
        <v xml:space="preserve">2 кв. </v>
      </c>
      <c r="K17" s="329" t="str">
        <f t="shared" si="13"/>
        <v xml:space="preserve">3 кв. </v>
      </c>
      <c r="L17" s="329" t="str">
        <f t="shared" si="13"/>
        <v xml:space="preserve">4 кв. </v>
      </c>
      <c r="M17" s="329" t="str">
        <f t="shared" si="13"/>
        <v xml:space="preserve">1 кв. </v>
      </c>
      <c r="N17" s="329" t="str">
        <f t="shared" si="13"/>
        <v xml:space="preserve">2 кв. </v>
      </c>
      <c r="O17" s="329" t="str">
        <f t="shared" si="13"/>
        <v xml:space="preserve">3 кв. </v>
      </c>
      <c r="P17" s="329" t="str">
        <f t="shared" si="13"/>
        <v xml:space="preserve">4 кв. </v>
      </c>
      <c r="Q17" s="329" t="str">
        <f t="shared" si="13"/>
        <v xml:space="preserve">1 кв. </v>
      </c>
      <c r="R17" s="329" t="str">
        <f t="shared" si="13"/>
        <v xml:space="preserve">2 кв. </v>
      </c>
      <c r="S17" s="329" t="str">
        <f t="shared" si="13"/>
        <v xml:space="preserve">3 кв. </v>
      </c>
      <c r="T17" s="329" t="str">
        <f t="shared" si="13"/>
        <v xml:space="preserve">4 кв. </v>
      </c>
      <c r="U17" s="329" t="str">
        <f t="shared" si="13"/>
        <v xml:space="preserve">1 кв. </v>
      </c>
      <c r="V17" s="329" t="str">
        <f t="shared" si="13"/>
        <v xml:space="preserve">2 кв. </v>
      </c>
      <c r="W17" s="329" t="str">
        <f t="shared" si="13"/>
        <v xml:space="preserve">3 кв. </v>
      </c>
      <c r="X17" s="329" t="str">
        <f t="shared" si="13"/>
        <v xml:space="preserve">4 кв. </v>
      </c>
      <c r="Y17" s="329" t="str">
        <f t="shared" si="13"/>
        <v xml:space="preserve">1 кв. </v>
      </c>
      <c r="Z17" s="329" t="str">
        <f t="shared" si="13"/>
        <v xml:space="preserve">2 кв. </v>
      </c>
      <c r="AA17" s="329" t="str">
        <f t="shared" si="13"/>
        <v xml:space="preserve">3 кв. </v>
      </c>
      <c r="AB17" s="329" t="str">
        <f t="shared" si="13"/>
        <v xml:space="preserve">4 кв. </v>
      </c>
      <c r="AC17" s="329" t="str">
        <f t="shared" si="13"/>
        <v xml:space="preserve">1 кв. </v>
      </c>
      <c r="AD17" s="329" t="str">
        <f t="shared" si="13"/>
        <v xml:space="preserve">2 кв. </v>
      </c>
      <c r="AE17" s="329" t="str">
        <f t="shared" si="13"/>
        <v xml:space="preserve">3 кв. </v>
      </c>
      <c r="AF17" s="329" t="str">
        <f t="shared" si="13"/>
        <v xml:space="preserve">4 кв. </v>
      </c>
      <c r="AG17" s="329" t="str">
        <f t="shared" si="13"/>
        <v xml:space="preserve">1 кв. </v>
      </c>
      <c r="AH17" s="329" t="str">
        <f t="shared" si="13"/>
        <v xml:space="preserve">2 кв. </v>
      </c>
      <c r="AI17" s="329" t="str">
        <f t="shared" si="13"/>
        <v xml:space="preserve">3 кв. </v>
      </c>
      <c r="AJ17" s="329" t="str">
        <f t="shared" si="13"/>
        <v xml:space="preserve">4 кв. </v>
      </c>
      <c r="AK17" s="329" t="str">
        <f t="shared" ref="AK17:BL17" si="14">CONCATENATE(AK14," кв. ",AN99)</f>
        <v xml:space="preserve">1 кв. </v>
      </c>
      <c r="AL17" s="329" t="str">
        <f t="shared" si="14"/>
        <v xml:space="preserve">2 кв. </v>
      </c>
      <c r="AM17" s="329" t="str">
        <f t="shared" si="14"/>
        <v xml:space="preserve">3 кв. </v>
      </c>
      <c r="AN17" s="329" t="str">
        <f t="shared" si="14"/>
        <v xml:space="preserve">4 кв. </v>
      </c>
      <c r="AO17" s="329" t="str">
        <f t="shared" si="14"/>
        <v xml:space="preserve">1 кв. </v>
      </c>
      <c r="AP17" s="329" t="str">
        <f t="shared" si="14"/>
        <v xml:space="preserve">2 кв. </v>
      </c>
      <c r="AQ17" s="329" t="str">
        <f t="shared" si="14"/>
        <v xml:space="preserve">3 кв. </v>
      </c>
      <c r="AR17" s="329" t="str">
        <f t="shared" si="14"/>
        <v xml:space="preserve">4 кв. </v>
      </c>
      <c r="AS17" s="329" t="str">
        <f t="shared" si="14"/>
        <v xml:space="preserve">1 кв. </v>
      </c>
      <c r="AT17" s="329" t="str">
        <f t="shared" si="14"/>
        <v xml:space="preserve">2 кв. </v>
      </c>
      <c r="AU17" s="329" t="str">
        <f t="shared" si="14"/>
        <v xml:space="preserve">3 кв. </v>
      </c>
      <c r="AV17" s="329" t="str">
        <f t="shared" si="14"/>
        <v xml:space="preserve">4 кв. </v>
      </c>
      <c r="AW17" s="329" t="str">
        <f t="shared" si="14"/>
        <v xml:space="preserve">1 кв. </v>
      </c>
      <c r="AX17" s="329" t="str">
        <f t="shared" si="14"/>
        <v xml:space="preserve">2 кв. </v>
      </c>
      <c r="AY17" s="329" t="str">
        <f t="shared" si="14"/>
        <v xml:space="preserve">3 кв. </v>
      </c>
      <c r="AZ17" s="329" t="str">
        <f t="shared" si="14"/>
        <v xml:space="preserve">4 кв. </v>
      </c>
      <c r="BA17" s="329" t="str">
        <f t="shared" si="14"/>
        <v xml:space="preserve">1 кв. </v>
      </c>
      <c r="BB17" s="329" t="str">
        <f t="shared" si="14"/>
        <v xml:space="preserve">2 кв. </v>
      </c>
      <c r="BC17" s="329" t="str">
        <f t="shared" si="14"/>
        <v xml:space="preserve">3 кв. </v>
      </c>
      <c r="BD17" s="329" t="str">
        <f t="shared" si="14"/>
        <v xml:space="preserve">4 кв. </v>
      </c>
      <c r="BE17" s="329" t="str">
        <f t="shared" si="14"/>
        <v xml:space="preserve">1 кв. </v>
      </c>
      <c r="BF17" s="329" t="str">
        <f t="shared" si="14"/>
        <v xml:space="preserve">2 кв. </v>
      </c>
      <c r="BG17" s="329" t="str">
        <f t="shared" si="14"/>
        <v xml:space="preserve">3 кв. </v>
      </c>
      <c r="BH17" s="329" t="str">
        <f t="shared" si="14"/>
        <v xml:space="preserve">4 кв. </v>
      </c>
      <c r="BI17" s="329" t="str">
        <f t="shared" si="14"/>
        <v xml:space="preserve">1 кв. </v>
      </c>
      <c r="BJ17" s="329" t="str">
        <f t="shared" si="14"/>
        <v xml:space="preserve">2 кв. </v>
      </c>
      <c r="BK17" s="329" t="str">
        <f t="shared" si="14"/>
        <v xml:space="preserve">3 кв. </v>
      </c>
      <c r="BL17" s="329" t="str">
        <f t="shared" si="14"/>
        <v xml:space="preserve">4 кв. </v>
      </c>
    </row>
    <row r="18" spans="1:64" ht="15" customHeight="1">
      <c r="A18" s="5"/>
      <c r="B18" s="5"/>
      <c r="C18" s="330" t="s">
        <v>68</v>
      </c>
      <c r="D18" s="331"/>
      <c r="E18" s="329">
        <f>E16-E15+1</f>
        <v>59</v>
      </c>
      <c r="F18" s="329">
        <f>F16-F15+1</f>
        <v>91</v>
      </c>
      <c r="G18" s="329">
        <f t="shared" ref="G18:BL18" si="15">G16-G15+1</f>
        <v>92</v>
      </c>
      <c r="H18" s="329">
        <f t="shared" si="15"/>
        <v>92</v>
      </c>
      <c r="I18" s="329">
        <f t="shared" si="15"/>
        <v>90</v>
      </c>
      <c r="J18" s="329">
        <f t="shared" si="15"/>
        <v>91</v>
      </c>
      <c r="K18" s="329">
        <f t="shared" si="15"/>
        <v>92</v>
      </c>
      <c r="L18" s="329">
        <f t="shared" si="15"/>
        <v>92</v>
      </c>
      <c r="M18" s="329">
        <f t="shared" si="15"/>
        <v>91</v>
      </c>
      <c r="N18" s="329">
        <f t="shared" si="15"/>
        <v>91</v>
      </c>
      <c r="O18" s="329">
        <f t="shared" si="15"/>
        <v>92</v>
      </c>
      <c r="P18" s="329">
        <f t="shared" si="15"/>
        <v>92</v>
      </c>
      <c r="Q18" s="329">
        <f t="shared" si="15"/>
        <v>90</v>
      </c>
      <c r="R18" s="329">
        <f t="shared" si="15"/>
        <v>91</v>
      </c>
      <c r="S18" s="329">
        <f t="shared" si="15"/>
        <v>92</v>
      </c>
      <c r="T18" s="329">
        <f t="shared" si="15"/>
        <v>92</v>
      </c>
      <c r="U18" s="329">
        <f t="shared" si="15"/>
        <v>90</v>
      </c>
      <c r="V18" s="329">
        <f t="shared" si="15"/>
        <v>91</v>
      </c>
      <c r="W18" s="329">
        <f t="shared" si="15"/>
        <v>92</v>
      </c>
      <c r="X18" s="329">
        <f t="shared" si="15"/>
        <v>92</v>
      </c>
      <c r="Y18" s="329">
        <f t="shared" si="15"/>
        <v>90</v>
      </c>
      <c r="Z18" s="329">
        <f t="shared" si="15"/>
        <v>91</v>
      </c>
      <c r="AA18" s="329">
        <f t="shared" si="15"/>
        <v>92</v>
      </c>
      <c r="AB18" s="329">
        <f t="shared" si="15"/>
        <v>92</v>
      </c>
      <c r="AC18" s="329">
        <f t="shared" si="15"/>
        <v>91</v>
      </c>
      <c r="AD18" s="329">
        <f t="shared" si="15"/>
        <v>91</v>
      </c>
      <c r="AE18" s="329">
        <f t="shared" si="15"/>
        <v>92</v>
      </c>
      <c r="AF18" s="329">
        <f t="shared" si="15"/>
        <v>92</v>
      </c>
      <c r="AG18" s="329">
        <f t="shared" si="15"/>
        <v>90</v>
      </c>
      <c r="AH18" s="329">
        <f t="shared" si="15"/>
        <v>91</v>
      </c>
      <c r="AI18" s="329">
        <f t="shared" si="15"/>
        <v>92</v>
      </c>
      <c r="AJ18" s="329">
        <f t="shared" si="15"/>
        <v>92</v>
      </c>
      <c r="AK18" s="329">
        <f t="shared" si="15"/>
        <v>90</v>
      </c>
      <c r="AL18" s="329">
        <f t="shared" si="15"/>
        <v>91</v>
      </c>
      <c r="AM18" s="329">
        <f t="shared" si="15"/>
        <v>92</v>
      </c>
      <c r="AN18" s="329">
        <f t="shared" si="15"/>
        <v>92</v>
      </c>
      <c r="AO18" s="329">
        <f t="shared" si="15"/>
        <v>90</v>
      </c>
      <c r="AP18" s="329">
        <f t="shared" si="15"/>
        <v>91</v>
      </c>
      <c r="AQ18" s="329">
        <f t="shared" si="15"/>
        <v>92</v>
      </c>
      <c r="AR18" s="329">
        <f t="shared" si="15"/>
        <v>92</v>
      </c>
      <c r="AS18" s="329">
        <f t="shared" si="15"/>
        <v>91</v>
      </c>
      <c r="AT18" s="329">
        <f t="shared" si="15"/>
        <v>91</v>
      </c>
      <c r="AU18" s="329">
        <f t="shared" si="15"/>
        <v>92</v>
      </c>
      <c r="AV18" s="329">
        <f t="shared" si="15"/>
        <v>92</v>
      </c>
      <c r="AW18" s="329">
        <f t="shared" si="15"/>
        <v>90</v>
      </c>
      <c r="AX18" s="329">
        <f t="shared" si="15"/>
        <v>91</v>
      </c>
      <c r="AY18" s="329">
        <f t="shared" si="15"/>
        <v>92</v>
      </c>
      <c r="AZ18" s="329">
        <f t="shared" si="15"/>
        <v>92</v>
      </c>
      <c r="BA18" s="329">
        <f t="shared" si="15"/>
        <v>90</v>
      </c>
      <c r="BB18" s="329">
        <f t="shared" si="15"/>
        <v>91</v>
      </c>
      <c r="BC18" s="329">
        <f t="shared" si="15"/>
        <v>92</v>
      </c>
      <c r="BD18" s="329">
        <f t="shared" si="15"/>
        <v>92</v>
      </c>
      <c r="BE18" s="329">
        <f t="shared" si="15"/>
        <v>90</v>
      </c>
      <c r="BF18" s="329">
        <f t="shared" si="15"/>
        <v>91</v>
      </c>
      <c r="BG18" s="329">
        <f t="shared" si="15"/>
        <v>92</v>
      </c>
      <c r="BH18" s="329">
        <f t="shared" si="15"/>
        <v>92</v>
      </c>
      <c r="BI18" s="329">
        <f t="shared" si="15"/>
        <v>91</v>
      </c>
      <c r="BJ18" s="329">
        <f t="shared" si="15"/>
        <v>91</v>
      </c>
      <c r="BK18" s="329">
        <f t="shared" si="15"/>
        <v>92</v>
      </c>
      <c r="BL18" s="329">
        <f t="shared" si="15"/>
        <v>92</v>
      </c>
    </row>
    <row r="19" spans="1:64" ht="15" customHeight="1">
      <c r="A19" s="5"/>
      <c r="B19" s="5"/>
      <c r="C19" s="7" t="s">
        <v>10</v>
      </c>
      <c r="D19" s="331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329"/>
      <c r="AU19" s="329"/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/>
      <c r="BG19" s="329"/>
      <c r="BH19" s="329"/>
      <c r="BI19" s="329"/>
      <c r="BJ19" s="329"/>
      <c r="BK19" s="329"/>
      <c r="BL19" s="329"/>
    </row>
    <row r="20" spans="1:64" ht="15" customHeight="1">
      <c r="A20" s="5"/>
      <c r="B20" s="5"/>
      <c r="C20" s="9" t="s">
        <v>5</v>
      </c>
      <c r="D20" s="321"/>
      <c r="E20" s="334">
        <f t="shared" ref="E20:BL20" si="16">(1+SUMIF($E$3:$AN$3,E12,$E$4:$AN$4))^(1/4)-1</f>
        <v>9.8534065489688238E-3</v>
      </c>
      <c r="F20" s="334">
        <f t="shared" si="16"/>
        <v>9.8534065489688238E-3</v>
      </c>
      <c r="G20" s="334">
        <f t="shared" si="16"/>
        <v>9.8534065489688238E-3</v>
      </c>
      <c r="H20" s="334">
        <f t="shared" si="16"/>
        <v>9.8534065489688238E-3</v>
      </c>
      <c r="I20" s="334">
        <f t="shared" si="16"/>
        <v>9.8534065489688238E-3</v>
      </c>
      <c r="J20" s="334">
        <f t="shared" si="16"/>
        <v>9.8534065489688238E-3</v>
      </c>
      <c r="K20" s="334">
        <f t="shared" si="16"/>
        <v>9.8534065489688238E-3</v>
      </c>
      <c r="L20" s="334">
        <f t="shared" si="16"/>
        <v>9.8534065489688238E-3</v>
      </c>
      <c r="M20" s="334">
        <f t="shared" si="16"/>
        <v>9.8534065489688238E-3</v>
      </c>
      <c r="N20" s="334">
        <f t="shared" si="16"/>
        <v>9.8534065489688238E-3</v>
      </c>
      <c r="O20" s="334">
        <f t="shared" si="16"/>
        <v>9.8534065489688238E-3</v>
      </c>
      <c r="P20" s="334">
        <f t="shared" si="16"/>
        <v>9.8534065489688238E-3</v>
      </c>
      <c r="Q20" s="334">
        <f t="shared" si="16"/>
        <v>9.8534065489688238E-3</v>
      </c>
      <c r="R20" s="334">
        <f t="shared" si="16"/>
        <v>9.8534065489688238E-3</v>
      </c>
      <c r="S20" s="334">
        <f t="shared" si="16"/>
        <v>9.8534065489688238E-3</v>
      </c>
      <c r="T20" s="334">
        <f t="shared" si="16"/>
        <v>9.8534065489688238E-3</v>
      </c>
      <c r="U20" s="334">
        <f t="shared" si="16"/>
        <v>9.8534065489688238E-3</v>
      </c>
      <c r="V20" s="334">
        <f t="shared" si="16"/>
        <v>9.8534065489688238E-3</v>
      </c>
      <c r="W20" s="334">
        <f t="shared" si="16"/>
        <v>9.8534065489688238E-3</v>
      </c>
      <c r="X20" s="334">
        <f t="shared" si="16"/>
        <v>9.8534065489688238E-3</v>
      </c>
      <c r="Y20" s="334">
        <f t="shared" si="16"/>
        <v>9.8534065489688238E-3</v>
      </c>
      <c r="Z20" s="334">
        <f t="shared" si="16"/>
        <v>9.8534065489688238E-3</v>
      </c>
      <c r="AA20" s="334">
        <f t="shared" si="16"/>
        <v>9.8534065489688238E-3</v>
      </c>
      <c r="AB20" s="334">
        <f t="shared" si="16"/>
        <v>9.8534065489688238E-3</v>
      </c>
      <c r="AC20" s="334">
        <f t="shared" si="16"/>
        <v>9.8534065489688238E-3</v>
      </c>
      <c r="AD20" s="334">
        <f t="shared" si="16"/>
        <v>9.8534065489688238E-3</v>
      </c>
      <c r="AE20" s="334">
        <f t="shared" si="16"/>
        <v>9.8534065489688238E-3</v>
      </c>
      <c r="AF20" s="334">
        <f t="shared" si="16"/>
        <v>9.8534065489688238E-3</v>
      </c>
      <c r="AG20" s="334">
        <f t="shared" si="16"/>
        <v>9.8534065489688238E-3</v>
      </c>
      <c r="AH20" s="334">
        <f t="shared" si="16"/>
        <v>9.8534065489688238E-3</v>
      </c>
      <c r="AI20" s="334">
        <f t="shared" si="16"/>
        <v>9.8534065489688238E-3</v>
      </c>
      <c r="AJ20" s="334">
        <f t="shared" si="16"/>
        <v>9.8534065489688238E-3</v>
      </c>
      <c r="AK20" s="334">
        <f t="shared" si="16"/>
        <v>9.8534065489688238E-3</v>
      </c>
      <c r="AL20" s="334">
        <f t="shared" si="16"/>
        <v>9.8534065489688238E-3</v>
      </c>
      <c r="AM20" s="334">
        <f t="shared" si="16"/>
        <v>9.8534065489688238E-3</v>
      </c>
      <c r="AN20" s="334">
        <f t="shared" si="16"/>
        <v>9.8534065489688238E-3</v>
      </c>
      <c r="AO20" s="334">
        <f t="shared" si="16"/>
        <v>9.8534065489688238E-3</v>
      </c>
      <c r="AP20" s="334">
        <f t="shared" si="16"/>
        <v>9.8534065489688238E-3</v>
      </c>
      <c r="AQ20" s="334">
        <f t="shared" si="16"/>
        <v>9.8534065489688238E-3</v>
      </c>
      <c r="AR20" s="334">
        <f t="shared" si="16"/>
        <v>9.8534065489688238E-3</v>
      </c>
      <c r="AS20" s="334">
        <f t="shared" si="16"/>
        <v>9.8534065489688238E-3</v>
      </c>
      <c r="AT20" s="334">
        <f t="shared" si="16"/>
        <v>9.8534065489688238E-3</v>
      </c>
      <c r="AU20" s="334">
        <f t="shared" si="16"/>
        <v>9.8534065489688238E-3</v>
      </c>
      <c r="AV20" s="334">
        <f t="shared" si="16"/>
        <v>9.8534065489688238E-3</v>
      </c>
      <c r="AW20" s="334">
        <f t="shared" si="16"/>
        <v>9.8534065489688238E-3</v>
      </c>
      <c r="AX20" s="334">
        <f t="shared" si="16"/>
        <v>9.8534065489688238E-3</v>
      </c>
      <c r="AY20" s="334">
        <f t="shared" si="16"/>
        <v>9.8534065489688238E-3</v>
      </c>
      <c r="AZ20" s="334">
        <f t="shared" si="16"/>
        <v>9.8534065489688238E-3</v>
      </c>
      <c r="BA20" s="334">
        <f t="shared" si="16"/>
        <v>9.8534065489688238E-3</v>
      </c>
      <c r="BB20" s="334">
        <f t="shared" si="16"/>
        <v>9.8534065489688238E-3</v>
      </c>
      <c r="BC20" s="334">
        <f t="shared" si="16"/>
        <v>9.8534065489688238E-3</v>
      </c>
      <c r="BD20" s="334">
        <f t="shared" si="16"/>
        <v>9.8534065489688238E-3</v>
      </c>
      <c r="BE20" s="334">
        <f t="shared" si="16"/>
        <v>9.8534065489688238E-3</v>
      </c>
      <c r="BF20" s="334">
        <f t="shared" si="16"/>
        <v>9.8534065489688238E-3</v>
      </c>
      <c r="BG20" s="334">
        <f t="shared" si="16"/>
        <v>9.8534065489688238E-3</v>
      </c>
      <c r="BH20" s="334">
        <f t="shared" si="16"/>
        <v>9.8534065489688238E-3</v>
      </c>
      <c r="BI20" s="334">
        <f t="shared" si="16"/>
        <v>9.8534065489688238E-3</v>
      </c>
      <c r="BJ20" s="334">
        <f t="shared" si="16"/>
        <v>9.8534065489688238E-3</v>
      </c>
      <c r="BK20" s="334">
        <f t="shared" si="16"/>
        <v>9.8534065489688238E-3</v>
      </c>
      <c r="BL20" s="334">
        <f t="shared" si="16"/>
        <v>9.8534065489688238E-3</v>
      </c>
    </row>
    <row r="21" spans="1:64" ht="15" customHeight="1">
      <c r="A21" s="5"/>
      <c r="B21" s="5"/>
      <c r="C21" s="9" t="s">
        <v>4</v>
      </c>
      <c r="D21" s="321"/>
      <c r="E21" s="334">
        <f t="shared" ref="E21:AJ21" si="17">(1+SUMIF($E$3:$AN$3,E12,$E$6:$AN$6))^(1/4)-1</f>
        <v>0</v>
      </c>
      <c r="F21" s="334">
        <f t="shared" si="17"/>
        <v>0</v>
      </c>
      <c r="G21" s="334">
        <f t="shared" si="17"/>
        <v>0</v>
      </c>
      <c r="H21" s="334">
        <f t="shared" si="17"/>
        <v>0</v>
      </c>
      <c r="I21" s="334">
        <f t="shared" si="17"/>
        <v>0</v>
      </c>
      <c r="J21" s="334">
        <f t="shared" si="17"/>
        <v>0</v>
      </c>
      <c r="K21" s="334">
        <f t="shared" si="17"/>
        <v>0</v>
      </c>
      <c r="L21" s="334">
        <f t="shared" si="17"/>
        <v>0</v>
      </c>
      <c r="M21" s="334">
        <f t="shared" si="17"/>
        <v>0</v>
      </c>
      <c r="N21" s="334">
        <f t="shared" si="17"/>
        <v>0</v>
      </c>
      <c r="O21" s="334">
        <f t="shared" si="17"/>
        <v>0</v>
      </c>
      <c r="P21" s="334">
        <f t="shared" si="17"/>
        <v>0</v>
      </c>
      <c r="Q21" s="334">
        <f t="shared" si="17"/>
        <v>0</v>
      </c>
      <c r="R21" s="334">
        <f t="shared" si="17"/>
        <v>0</v>
      </c>
      <c r="S21" s="334">
        <f t="shared" si="17"/>
        <v>0</v>
      </c>
      <c r="T21" s="334">
        <f t="shared" si="17"/>
        <v>0</v>
      </c>
      <c r="U21" s="334">
        <f t="shared" si="17"/>
        <v>1.2272234429039353E-2</v>
      </c>
      <c r="V21" s="334">
        <f t="shared" si="17"/>
        <v>1.2272234429039353E-2</v>
      </c>
      <c r="W21" s="334">
        <f t="shared" si="17"/>
        <v>1.2272234429039353E-2</v>
      </c>
      <c r="X21" s="334">
        <f t="shared" si="17"/>
        <v>1.2272234429039353E-2</v>
      </c>
      <c r="Y21" s="334">
        <f t="shared" si="17"/>
        <v>0</v>
      </c>
      <c r="Z21" s="334">
        <f t="shared" si="17"/>
        <v>0</v>
      </c>
      <c r="AA21" s="334">
        <f t="shared" si="17"/>
        <v>0</v>
      </c>
      <c r="AB21" s="334">
        <f t="shared" si="17"/>
        <v>0</v>
      </c>
      <c r="AC21" s="334">
        <f t="shared" si="17"/>
        <v>0</v>
      </c>
      <c r="AD21" s="334">
        <f t="shared" si="17"/>
        <v>0</v>
      </c>
      <c r="AE21" s="334">
        <f t="shared" si="17"/>
        <v>0</v>
      </c>
      <c r="AF21" s="334">
        <f t="shared" si="17"/>
        <v>0</v>
      </c>
      <c r="AG21" s="334">
        <f t="shared" si="17"/>
        <v>0</v>
      </c>
      <c r="AH21" s="334">
        <f t="shared" si="17"/>
        <v>0</v>
      </c>
      <c r="AI21" s="334">
        <f t="shared" si="17"/>
        <v>0</v>
      </c>
      <c r="AJ21" s="334">
        <f t="shared" si="17"/>
        <v>0</v>
      </c>
      <c r="AK21" s="334">
        <f t="shared" ref="AK21:BL21" si="18">(1+SUMIF($E$3:$AN$3,AK12,$E$6:$AN$6))^(1/4)-1</f>
        <v>0</v>
      </c>
      <c r="AL21" s="334">
        <f t="shared" si="18"/>
        <v>0</v>
      </c>
      <c r="AM21" s="334">
        <f t="shared" si="18"/>
        <v>0</v>
      </c>
      <c r="AN21" s="334">
        <f t="shared" si="18"/>
        <v>0</v>
      </c>
      <c r="AO21" s="334">
        <f t="shared" si="18"/>
        <v>1.2272234429039353E-2</v>
      </c>
      <c r="AP21" s="334">
        <f t="shared" si="18"/>
        <v>1.2272234429039353E-2</v>
      </c>
      <c r="AQ21" s="334">
        <f t="shared" si="18"/>
        <v>1.2272234429039353E-2</v>
      </c>
      <c r="AR21" s="334">
        <f t="shared" si="18"/>
        <v>1.2272234429039353E-2</v>
      </c>
      <c r="AS21" s="334">
        <f t="shared" si="18"/>
        <v>0</v>
      </c>
      <c r="AT21" s="334">
        <f t="shared" si="18"/>
        <v>0</v>
      </c>
      <c r="AU21" s="334">
        <f t="shared" si="18"/>
        <v>0</v>
      </c>
      <c r="AV21" s="334">
        <f t="shared" si="18"/>
        <v>0</v>
      </c>
      <c r="AW21" s="334">
        <f t="shared" si="18"/>
        <v>0</v>
      </c>
      <c r="AX21" s="334">
        <f t="shared" si="18"/>
        <v>0</v>
      </c>
      <c r="AY21" s="334">
        <f t="shared" si="18"/>
        <v>0</v>
      </c>
      <c r="AZ21" s="334">
        <f t="shared" si="18"/>
        <v>0</v>
      </c>
      <c r="BA21" s="334">
        <f t="shared" si="18"/>
        <v>0</v>
      </c>
      <c r="BB21" s="334">
        <f t="shared" si="18"/>
        <v>0</v>
      </c>
      <c r="BC21" s="334">
        <f t="shared" si="18"/>
        <v>0</v>
      </c>
      <c r="BD21" s="334">
        <f t="shared" si="18"/>
        <v>0</v>
      </c>
      <c r="BE21" s="334">
        <f t="shared" si="18"/>
        <v>0</v>
      </c>
      <c r="BF21" s="334">
        <f t="shared" si="18"/>
        <v>0</v>
      </c>
      <c r="BG21" s="334">
        <f t="shared" si="18"/>
        <v>0</v>
      </c>
      <c r="BH21" s="334">
        <f t="shared" si="18"/>
        <v>0</v>
      </c>
      <c r="BI21" s="334">
        <f t="shared" si="18"/>
        <v>1.2272234429039353E-2</v>
      </c>
      <c r="BJ21" s="334">
        <f t="shared" si="18"/>
        <v>1.2272234429039353E-2</v>
      </c>
      <c r="BK21" s="334">
        <f t="shared" si="18"/>
        <v>1.2272234429039353E-2</v>
      </c>
      <c r="BL21" s="334">
        <f t="shared" si="18"/>
        <v>1.2272234429039353E-2</v>
      </c>
    </row>
    <row r="22" spans="1:64" ht="15" customHeight="1">
      <c r="A22" s="5"/>
      <c r="B22" s="5"/>
      <c r="C22" s="9" t="s">
        <v>552</v>
      </c>
      <c r="D22" s="321"/>
      <c r="E22" s="334">
        <f>(1+SUMIF($E$3:$AN$3,E12,$E$8:$AN$8))^(1/4)-1</f>
        <v>9.8534065489688238E-3</v>
      </c>
      <c r="F22" s="334">
        <f>(1+SUMIF($E$3:$AN$3,F12,$E$8:$AN$8))^(1/4)-1</f>
        <v>9.8534065489688238E-3</v>
      </c>
      <c r="G22" s="334">
        <f>(1+SUMIF($E$3:$AN$3,G12,$E$8:$AN$8))^(1/4)-1</f>
        <v>9.8534065489688238E-3</v>
      </c>
      <c r="H22" s="334">
        <f>(1+SUMIF($E$3:$AN$3,H12,$E$8:$AN$8))^(1/4)-1</f>
        <v>9.8534065489688238E-3</v>
      </c>
      <c r="I22" s="334">
        <f>(1+SUMIF($E$3:$AN$3,I12,$E$8:$AN$8))^(1/4)-1</f>
        <v>9.8534065489688238E-3</v>
      </c>
      <c r="J22" s="334">
        <f t="shared" ref="J22:AO22" si="19">(1+SUMIF($F$3:$AN$3,J12,$F$8:$AN$8))^(1/4)-1</f>
        <v>9.8534065489688238E-3</v>
      </c>
      <c r="K22" s="334">
        <f t="shared" si="19"/>
        <v>9.8534065489688238E-3</v>
      </c>
      <c r="L22" s="334">
        <f t="shared" si="19"/>
        <v>9.8534065489688238E-3</v>
      </c>
      <c r="M22" s="334">
        <f t="shared" si="19"/>
        <v>9.8534065489688238E-3</v>
      </c>
      <c r="N22" s="334">
        <f t="shared" si="19"/>
        <v>9.8534065489688238E-3</v>
      </c>
      <c r="O22" s="334">
        <f t="shared" si="19"/>
        <v>9.8534065489688238E-3</v>
      </c>
      <c r="P22" s="334">
        <f t="shared" si="19"/>
        <v>9.8534065489688238E-3</v>
      </c>
      <c r="Q22" s="334">
        <f t="shared" si="19"/>
        <v>9.8534065489688238E-3</v>
      </c>
      <c r="R22" s="334">
        <f t="shared" si="19"/>
        <v>9.8534065489688238E-3</v>
      </c>
      <c r="S22" s="334">
        <f t="shared" si="19"/>
        <v>9.8534065489688238E-3</v>
      </c>
      <c r="T22" s="334">
        <f t="shared" si="19"/>
        <v>9.8534065489688238E-3</v>
      </c>
      <c r="U22" s="334">
        <f t="shared" si="19"/>
        <v>9.8534065489688238E-3</v>
      </c>
      <c r="V22" s="334">
        <f t="shared" si="19"/>
        <v>9.8534065489688238E-3</v>
      </c>
      <c r="W22" s="334">
        <f t="shared" si="19"/>
        <v>9.8534065489688238E-3</v>
      </c>
      <c r="X22" s="334">
        <f t="shared" si="19"/>
        <v>9.8534065489688238E-3</v>
      </c>
      <c r="Y22" s="334">
        <f t="shared" si="19"/>
        <v>9.8534065489688238E-3</v>
      </c>
      <c r="Z22" s="334">
        <f t="shared" si="19"/>
        <v>9.8534065489688238E-3</v>
      </c>
      <c r="AA22" s="334">
        <f t="shared" si="19"/>
        <v>9.8534065489688238E-3</v>
      </c>
      <c r="AB22" s="334">
        <f t="shared" si="19"/>
        <v>9.8534065489688238E-3</v>
      </c>
      <c r="AC22" s="334">
        <f t="shared" si="19"/>
        <v>9.8534065489688238E-3</v>
      </c>
      <c r="AD22" s="334">
        <f t="shared" si="19"/>
        <v>9.8534065489688238E-3</v>
      </c>
      <c r="AE22" s="334">
        <f t="shared" si="19"/>
        <v>9.8534065489688238E-3</v>
      </c>
      <c r="AF22" s="334">
        <f t="shared" si="19"/>
        <v>9.8534065489688238E-3</v>
      </c>
      <c r="AG22" s="334">
        <f t="shared" si="19"/>
        <v>9.8534065489688238E-3</v>
      </c>
      <c r="AH22" s="334">
        <f t="shared" si="19"/>
        <v>9.8534065489688238E-3</v>
      </c>
      <c r="AI22" s="334">
        <f t="shared" si="19"/>
        <v>9.8534065489688238E-3</v>
      </c>
      <c r="AJ22" s="334">
        <f t="shared" si="19"/>
        <v>9.8534065489688238E-3</v>
      </c>
      <c r="AK22" s="334">
        <f t="shared" si="19"/>
        <v>9.8534065489688238E-3</v>
      </c>
      <c r="AL22" s="334">
        <f t="shared" si="19"/>
        <v>9.8534065489688238E-3</v>
      </c>
      <c r="AM22" s="334">
        <f t="shared" si="19"/>
        <v>9.8534065489688238E-3</v>
      </c>
      <c r="AN22" s="334">
        <f t="shared" si="19"/>
        <v>9.8534065489688238E-3</v>
      </c>
      <c r="AO22" s="334">
        <f t="shared" si="19"/>
        <v>9.8534065489688238E-3</v>
      </c>
      <c r="AP22" s="334">
        <f t="shared" ref="AP22:BL22" si="20">(1+SUMIF($F$3:$AN$3,AP12,$F$8:$AN$8))^(1/4)-1</f>
        <v>9.8534065489688238E-3</v>
      </c>
      <c r="AQ22" s="334">
        <f t="shared" si="20"/>
        <v>9.8534065489688238E-3</v>
      </c>
      <c r="AR22" s="334">
        <f t="shared" si="20"/>
        <v>9.8534065489688238E-3</v>
      </c>
      <c r="AS22" s="334">
        <f t="shared" si="20"/>
        <v>9.8534065489688238E-3</v>
      </c>
      <c r="AT22" s="334">
        <f t="shared" si="20"/>
        <v>9.8534065489688238E-3</v>
      </c>
      <c r="AU22" s="334">
        <f t="shared" si="20"/>
        <v>9.8534065489688238E-3</v>
      </c>
      <c r="AV22" s="334">
        <f t="shared" si="20"/>
        <v>9.8534065489688238E-3</v>
      </c>
      <c r="AW22" s="334">
        <f t="shared" si="20"/>
        <v>9.8534065489688238E-3</v>
      </c>
      <c r="AX22" s="334">
        <f t="shared" si="20"/>
        <v>9.8534065489688238E-3</v>
      </c>
      <c r="AY22" s="334">
        <f t="shared" si="20"/>
        <v>9.8534065489688238E-3</v>
      </c>
      <c r="AZ22" s="334">
        <f t="shared" si="20"/>
        <v>9.8534065489688238E-3</v>
      </c>
      <c r="BA22" s="334">
        <f t="shared" si="20"/>
        <v>9.8534065489688238E-3</v>
      </c>
      <c r="BB22" s="334">
        <f t="shared" si="20"/>
        <v>9.8534065489688238E-3</v>
      </c>
      <c r="BC22" s="334">
        <f t="shared" si="20"/>
        <v>9.8534065489688238E-3</v>
      </c>
      <c r="BD22" s="334">
        <f t="shared" si="20"/>
        <v>9.8534065489688238E-3</v>
      </c>
      <c r="BE22" s="334">
        <f t="shared" si="20"/>
        <v>9.8534065489688238E-3</v>
      </c>
      <c r="BF22" s="334">
        <f t="shared" si="20"/>
        <v>9.8534065489688238E-3</v>
      </c>
      <c r="BG22" s="334">
        <f t="shared" si="20"/>
        <v>9.8534065489688238E-3</v>
      </c>
      <c r="BH22" s="334">
        <f t="shared" si="20"/>
        <v>9.8534065489688238E-3</v>
      </c>
      <c r="BI22" s="334">
        <f t="shared" si="20"/>
        <v>9.8534065489688238E-3</v>
      </c>
      <c r="BJ22" s="334">
        <f t="shared" si="20"/>
        <v>9.8534065489688238E-3</v>
      </c>
      <c r="BK22" s="334">
        <f t="shared" si="20"/>
        <v>9.8534065489688238E-3</v>
      </c>
      <c r="BL22" s="334">
        <f t="shared" si="20"/>
        <v>9.8534065489688238E-3</v>
      </c>
    </row>
    <row r="23" spans="1:64" ht="15" customHeight="1">
      <c r="A23" s="20"/>
      <c r="B23" s="20"/>
      <c r="C23" s="7" t="s">
        <v>11</v>
      </c>
      <c r="D23" s="8"/>
      <c r="E23" s="8"/>
      <c r="F23" s="19"/>
      <c r="G23" s="10"/>
      <c r="H23" s="8"/>
      <c r="I23" s="8"/>
      <c r="J23" s="10"/>
      <c r="K23" s="10"/>
      <c r="L23" s="8"/>
      <c r="M23" s="8"/>
      <c r="N23" s="10"/>
      <c r="O23" s="8"/>
      <c r="P23" s="8"/>
      <c r="Q23" s="8"/>
      <c r="R23" s="10"/>
      <c r="S23" s="8"/>
      <c r="T23" s="8"/>
      <c r="U23" s="8"/>
      <c r="V23" s="10"/>
      <c r="W23" s="8"/>
      <c r="X23" s="8"/>
      <c r="Y23" s="20"/>
      <c r="Z23" s="10"/>
      <c r="AA23" s="8"/>
      <c r="AB23" s="8"/>
      <c r="AC23" s="8"/>
      <c r="AD23" s="10"/>
      <c r="AE23" s="8"/>
      <c r="AF23" s="8"/>
      <c r="AG23" s="8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</row>
    <row r="24" spans="1:64" ht="15" customHeight="1">
      <c r="A24" s="5"/>
      <c r="B24" s="5"/>
      <c r="C24" s="9" t="str">
        <f>C20</f>
        <v>Инфляция</v>
      </c>
      <c r="D24" s="323">
        <v>1</v>
      </c>
      <c r="E24" s="324">
        <f>(1+E20)*D24</f>
        <v>1.0098534065489688</v>
      </c>
      <c r="F24" s="324">
        <f t="shared" ref="F24:BL24" si="21">(1+F20)*E24</f>
        <v>1.0198039027185568</v>
      </c>
      <c r="G24" s="324">
        <f t="shared" si="21"/>
        <v>1.0298524451722677</v>
      </c>
      <c r="H24" s="324">
        <f t="shared" si="21"/>
        <v>1.0399999999999996</v>
      </c>
      <c r="I24" s="324">
        <f t="shared" si="21"/>
        <v>1.0502475428109272</v>
      </c>
      <c r="J24" s="324">
        <f t="shared" si="21"/>
        <v>1.0605960588272989</v>
      </c>
      <c r="K24" s="324">
        <f t="shared" si="21"/>
        <v>1.0710465429791582</v>
      </c>
      <c r="L24" s="324">
        <f t="shared" si="21"/>
        <v>1.0815999999999995</v>
      </c>
      <c r="M24" s="324">
        <f t="shared" si="21"/>
        <v>1.0922574445233642</v>
      </c>
      <c r="N24" s="324">
        <f t="shared" si="21"/>
        <v>1.1030199011803907</v>
      </c>
      <c r="O24" s="324">
        <f t="shared" si="21"/>
        <v>1.1138884046983246</v>
      </c>
      <c r="P24" s="324">
        <f t="shared" si="21"/>
        <v>1.1248639999999994</v>
      </c>
      <c r="Q24" s="324">
        <f t="shared" si="21"/>
        <v>1.1359477423042987</v>
      </c>
      <c r="R24" s="324">
        <f t="shared" si="21"/>
        <v>1.1471406972276064</v>
      </c>
      <c r="S24" s="324">
        <f t="shared" si="21"/>
        <v>1.1584439408862575</v>
      </c>
      <c r="T24" s="324">
        <f t="shared" si="21"/>
        <v>1.1698585599999993</v>
      </c>
      <c r="U24" s="324">
        <f t="shared" si="21"/>
        <v>1.1813856519964705</v>
      </c>
      <c r="V24" s="324">
        <f t="shared" si="21"/>
        <v>1.1930263251167104</v>
      </c>
      <c r="W24" s="324">
        <f t="shared" si="21"/>
        <v>1.2047816985217075</v>
      </c>
      <c r="X24" s="324">
        <f t="shared" si="21"/>
        <v>1.216652902399999</v>
      </c>
      <c r="Y24" s="324">
        <f t="shared" si="21"/>
        <v>1.2286410780763291</v>
      </c>
      <c r="Z24" s="324">
        <f t="shared" si="21"/>
        <v>1.2407473781213785</v>
      </c>
      <c r="AA24" s="324">
        <f t="shared" si="21"/>
        <v>1.2529729664625755</v>
      </c>
      <c r="AB24" s="324">
        <f t="shared" si="21"/>
        <v>1.2653190184959988</v>
      </c>
      <c r="AC24" s="324">
        <f t="shared" si="21"/>
        <v>1.2777867211993821</v>
      </c>
      <c r="AD24" s="324">
        <f t="shared" si="21"/>
        <v>1.2903772732462335</v>
      </c>
      <c r="AE24" s="324">
        <f t="shared" si="21"/>
        <v>1.3030918851210784</v>
      </c>
      <c r="AF24" s="324">
        <f t="shared" si="21"/>
        <v>1.3159317792358387</v>
      </c>
      <c r="AG24" s="324">
        <f t="shared" si="21"/>
        <v>1.3288981900473573</v>
      </c>
      <c r="AH24" s="324">
        <f t="shared" si="21"/>
        <v>1.3419923641760827</v>
      </c>
      <c r="AI24" s="324">
        <f t="shared" si="21"/>
        <v>1.3552155605259215</v>
      </c>
      <c r="AJ24" s="324">
        <f t="shared" si="21"/>
        <v>1.3685690504052721</v>
      </c>
      <c r="AK24" s="324">
        <f t="shared" si="21"/>
        <v>1.3820541176492513</v>
      </c>
      <c r="AL24" s="324">
        <f t="shared" si="21"/>
        <v>1.3956720587431257</v>
      </c>
      <c r="AM24" s="324">
        <f t="shared" si="21"/>
        <v>1.409424182946958</v>
      </c>
      <c r="AN24" s="324">
        <f t="shared" si="21"/>
        <v>1.4233118124214825</v>
      </c>
      <c r="AO24" s="324">
        <f t="shared" si="21"/>
        <v>1.4373362823552212</v>
      </c>
      <c r="AP24" s="324">
        <f t="shared" si="21"/>
        <v>1.4514989410928505</v>
      </c>
      <c r="AQ24" s="324">
        <f t="shared" si="21"/>
        <v>1.465801150264836</v>
      </c>
      <c r="AR24" s="324">
        <f t="shared" si="21"/>
        <v>1.4802442849183417</v>
      </c>
      <c r="AS24" s="324">
        <f t="shared" si="21"/>
        <v>1.4948297336494298</v>
      </c>
      <c r="AT24" s="324">
        <f t="shared" si="21"/>
        <v>1.5095588987365645</v>
      </c>
      <c r="AU24" s="324">
        <f t="shared" si="21"/>
        <v>1.5244331962754294</v>
      </c>
      <c r="AV24" s="324">
        <f t="shared" si="21"/>
        <v>1.5394540563150751</v>
      </c>
      <c r="AW24" s="324">
        <f t="shared" si="21"/>
        <v>1.5546229229954067</v>
      </c>
      <c r="AX24" s="324">
        <f t="shared" si="21"/>
        <v>1.5699412546860267</v>
      </c>
      <c r="AY24" s="324">
        <f t="shared" si="21"/>
        <v>1.5854105241264465</v>
      </c>
      <c r="AZ24" s="324">
        <f t="shared" si="21"/>
        <v>1.601032218567678</v>
      </c>
      <c r="BA24" s="324">
        <f t="shared" si="21"/>
        <v>1.6168078399152228</v>
      </c>
      <c r="BB24" s="324">
        <f t="shared" si="21"/>
        <v>1.6327389048734675</v>
      </c>
      <c r="BC24" s="324">
        <f t="shared" si="21"/>
        <v>1.6488269450915038</v>
      </c>
      <c r="BD24" s="324">
        <f t="shared" si="21"/>
        <v>1.6650735073103848</v>
      </c>
      <c r="BE24" s="324">
        <f t="shared" si="21"/>
        <v>1.6814801535118316</v>
      </c>
      <c r="BF24" s="324">
        <f t="shared" si="21"/>
        <v>1.6980484610684061</v>
      </c>
      <c r="BG24" s="324">
        <f t="shared" si="21"/>
        <v>1.714780022895164</v>
      </c>
      <c r="BH24" s="324">
        <f t="shared" si="21"/>
        <v>1.7316764476028002</v>
      </c>
      <c r="BI24" s="324">
        <f t="shared" si="21"/>
        <v>1.7487393596523046</v>
      </c>
      <c r="BJ24" s="324">
        <f t="shared" si="21"/>
        <v>1.7659703995111422</v>
      </c>
      <c r="BK24" s="324">
        <f t="shared" si="21"/>
        <v>1.7833712238109705</v>
      </c>
      <c r="BL24" s="324">
        <f t="shared" si="21"/>
        <v>1.8009435055069121</v>
      </c>
    </row>
    <row r="25" spans="1:64" ht="15" customHeight="1">
      <c r="C25" s="9" t="str">
        <f>C21</f>
        <v>Земельные платежи</v>
      </c>
      <c r="D25" s="323">
        <v>1</v>
      </c>
      <c r="E25" s="324">
        <f>(1+E21)*D25</f>
        <v>1</v>
      </c>
      <c r="F25" s="324">
        <f t="shared" ref="F25:BL25" si="22">(1+F21)*E25</f>
        <v>1</v>
      </c>
      <c r="G25" s="324">
        <f t="shared" si="22"/>
        <v>1</v>
      </c>
      <c r="H25" s="324">
        <f t="shared" si="22"/>
        <v>1</v>
      </c>
      <c r="I25" s="324">
        <f t="shared" si="22"/>
        <v>1</v>
      </c>
      <c r="J25" s="324">
        <f t="shared" si="22"/>
        <v>1</v>
      </c>
      <c r="K25" s="324">
        <f t="shared" si="22"/>
        <v>1</v>
      </c>
      <c r="L25" s="324">
        <f t="shared" si="22"/>
        <v>1</v>
      </c>
      <c r="M25" s="324">
        <f t="shared" si="22"/>
        <v>1</v>
      </c>
      <c r="N25" s="324">
        <f t="shared" si="22"/>
        <v>1</v>
      </c>
      <c r="O25" s="324">
        <f t="shared" si="22"/>
        <v>1</v>
      </c>
      <c r="P25" s="324">
        <f t="shared" si="22"/>
        <v>1</v>
      </c>
      <c r="Q25" s="324">
        <f t="shared" si="22"/>
        <v>1</v>
      </c>
      <c r="R25" s="324">
        <f t="shared" si="22"/>
        <v>1</v>
      </c>
      <c r="S25" s="324">
        <f t="shared" si="22"/>
        <v>1</v>
      </c>
      <c r="T25" s="324">
        <f t="shared" si="22"/>
        <v>1</v>
      </c>
      <c r="U25" s="324">
        <f t="shared" si="22"/>
        <v>1.0122722344290394</v>
      </c>
      <c r="V25" s="324">
        <f t="shared" si="22"/>
        <v>1.0246950765959599</v>
      </c>
      <c r="W25" s="324">
        <f t="shared" si="22"/>
        <v>1.037270374794228</v>
      </c>
      <c r="X25" s="324">
        <f t="shared" si="22"/>
        <v>1.0500000000000003</v>
      </c>
      <c r="Y25" s="324">
        <f t="shared" si="22"/>
        <v>1.0500000000000003</v>
      </c>
      <c r="Z25" s="324">
        <f t="shared" si="22"/>
        <v>1.0500000000000003</v>
      </c>
      <c r="AA25" s="324">
        <f t="shared" si="22"/>
        <v>1.0500000000000003</v>
      </c>
      <c r="AB25" s="324">
        <f t="shared" si="22"/>
        <v>1.0500000000000003</v>
      </c>
      <c r="AC25" s="324">
        <f t="shared" si="22"/>
        <v>1.0500000000000003</v>
      </c>
      <c r="AD25" s="324">
        <f t="shared" si="22"/>
        <v>1.0500000000000003</v>
      </c>
      <c r="AE25" s="324">
        <f t="shared" si="22"/>
        <v>1.0500000000000003</v>
      </c>
      <c r="AF25" s="324">
        <f t="shared" si="22"/>
        <v>1.0500000000000003</v>
      </c>
      <c r="AG25" s="324">
        <f t="shared" si="22"/>
        <v>1.0500000000000003</v>
      </c>
      <c r="AH25" s="324">
        <f t="shared" si="22"/>
        <v>1.0500000000000003</v>
      </c>
      <c r="AI25" s="324">
        <f t="shared" si="22"/>
        <v>1.0500000000000003</v>
      </c>
      <c r="AJ25" s="324">
        <f t="shared" si="22"/>
        <v>1.0500000000000003</v>
      </c>
      <c r="AK25" s="324">
        <f t="shared" si="22"/>
        <v>1.0500000000000003</v>
      </c>
      <c r="AL25" s="324">
        <f t="shared" si="22"/>
        <v>1.0500000000000003</v>
      </c>
      <c r="AM25" s="324">
        <f t="shared" si="22"/>
        <v>1.0500000000000003</v>
      </c>
      <c r="AN25" s="324">
        <f t="shared" si="22"/>
        <v>1.0500000000000003</v>
      </c>
      <c r="AO25" s="324">
        <f t="shared" si="22"/>
        <v>1.0628858461504915</v>
      </c>
      <c r="AP25" s="324">
        <f t="shared" si="22"/>
        <v>1.0759298304257583</v>
      </c>
      <c r="AQ25" s="324">
        <f t="shared" si="22"/>
        <v>1.0891338935339399</v>
      </c>
      <c r="AR25" s="324">
        <f t="shared" si="22"/>
        <v>1.1025000000000007</v>
      </c>
      <c r="AS25" s="324">
        <f t="shared" si="22"/>
        <v>1.1025000000000007</v>
      </c>
      <c r="AT25" s="324">
        <f t="shared" si="22"/>
        <v>1.1025000000000007</v>
      </c>
      <c r="AU25" s="324">
        <f t="shared" si="22"/>
        <v>1.1025000000000007</v>
      </c>
      <c r="AV25" s="324">
        <f t="shared" si="22"/>
        <v>1.1025000000000007</v>
      </c>
      <c r="AW25" s="324">
        <f t="shared" si="22"/>
        <v>1.1025000000000007</v>
      </c>
      <c r="AX25" s="324">
        <f t="shared" si="22"/>
        <v>1.1025000000000007</v>
      </c>
      <c r="AY25" s="324">
        <f t="shared" si="22"/>
        <v>1.1025000000000007</v>
      </c>
      <c r="AZ25" s="324">
        <f t="shared" si="22"/>
        <v>1.1025000000000007</v>
      </c>
      <c r="BA25" s="324">
        <f t="shared" si="22"/>
        <v>1.1025000000000007</v>
      </c>
      <c r="BB25" s="324">
        <f t="shared" si="22"/>
        <v>1.1025000000000007</v>
      </c>
      <c r="BC25" s="324">
        <f t="shared" si="22"/>
        <v>1.1025000000000007</v>
      </c>
      <c r="BD25" s="324">
        <f t="shared" si="22"/>
        <v>1.1025000000000007</v>
      </c>
      <c r="BE25" s="324">
        <f t="shared" si="22"/>
        <v>1.1025000000000007</v>
      </c>
      <c r="BF25" s="324">
        <f t="shared" si="22"/>
        <v>1.1025000000000007</v>
      </c>
      <c r="BG25" s="324">
        <f t="shared" si="22"/>
        <v>1.1025000000000007</v>
      </c>
      <c r="BH25" s="324">
        <f t="shared" si="22"/>
        <v>1.1025000000000007</v>
      </c>
      <c r="BI25" s="324">
        <f t="shared" si="22"/>
        <v>1.1160301384580167</v>
      </c>
      <c r="BJ25" s="324">
        <f t="shared" si="22"/>
        <v>1.1297263219470468</v>
      </c>
      <c r="BK25" s="324">
        <f t="shared" si="22"/>
        <v>1.1435905882106374</v>
      </c>
      <c r="BL25" s="324">
        <f t="shared" si="22"/>
        <v>1.1576250000000015</v>
      </c>
    </row>
    <row r="26" spans="1:64" ht="15" customHeight="1">
      <c r="A26" s="5"/>
      <c r="B26" s="5"/>
      <c r="C26" s="9" t="str">
        <f>C22</f>
        <v>Заработная плата</v>
      </c>
      <c r="D26" s="323">
        <v>1</v>
      </c>
      <c r="E26" s="324">
        <f>(1+E22)*D26</f>
        <v>1.0098534065489688</v>
      </c>
      <c r="F26" s="324">
        <f t="shared" ref="F26:BL26" si="23">(1+F22)*E26</f>
        <v>1.0198039027185568</v>
      </c>
      <c r="G26" s="324">
        <f t="shared" si="23"/>
        <v>1.0298524451722677</v>
      </c>
      <c r="H26" s="324">
        <f t="shared" si="23"/>
        <v>1.0399999999999996</v>
      </c>
      <c r="I26" s="324">
        <f t="shared" si="23"/>
        <v>1.0502475428109272</v>
      </c>
      <c r="J26" s="324">
        <f t="shared" si="23"/>
        <v>1.0605960588272989</v>
      </c>
      <c r="K26" s="324">
        <f t="shared" si="23"/>
        <v>1.0710465429791582</v>
      </c>
      <c r="L26" s="324">
        <f t="shared" si="23"/>
        <v>1.0815999999999995</v>
      </c>
      <c r="M26" s="324">
        <f t="shared" si="23"/>
        <v>1.0922574445233642</v>
      </c>
      <c r="N26" s="324">
        <f t="shared" si="23"/>
        <v>1.1030199011803907</v>
      </c>
      <c r="O26" s="324">
        <f t="shared" si="23"/>
        <v>1.1138884046983246</v>
      </c>
      <c r="P26" s="324">
        <f t="shared" si="23"/>
        <v>1.1248639999999994</v>
      </c>
      <c r="Q26" s="324">
        <f t="shared" si="23"/>
        <v>1.1359477423042987</v>
      </c>
      <c r="R26" s="324">
        <f t="shared" si="23"/>
        <v>1.1471406972276064</v>
      </c>
      <c r="S26" s="324">
        <f t="shared" si="23"/>
        <v>1.1584439408862575</v>
      </c>
      <c r="T26" s="324">
        <f t="shared" si="23"/>
        <v>1.1698585599999993</v>
      </c>
      <c r="U26" s="324">
        <f t="shared" si="23"/>
        <v>1.1813856519964705</v>
      </c>
      <c r="V26" s="324">
        <f t="shared" si="23"/>
        <v>1.1930263251167104</v>
      </c>
      <c r="W26" s="324">
        <f t="shared" si="23"/>
        <v>1.2047816985217075</v>
      </c>
      <c r="X26" s="324">
        <f t="shared" si="23"/>
        <v>1.216652902399999</v>
      </c>
      <c r="Y26" s="324">
        <f t="shared" si="23"/>
        <v>1.2286410780763291</v>
      </c>
      <c r="Z26" s="324">
        <f t="shared" si="23"/>
        <v>1.2407473781213785</v>
      </c>
      <c r="AA26" s="324">
        <f t="shared" si="23"/>
        <v>1.2529729664625755</v>
      </c>
      <c r="AB26" s="324">
        <f t="shared" si="23"/>
        <v>1.2653190184959988</v>
      </c>
      <c r="AC26" s="324">
        <f t="shared" si="23"/>
        <v>1.2777867211993821</v>
      </c>
      <c r="AD26" s="324">
        <f t="shared" si="23"/>
        <v>1.2903772732462335</v>
      </c>
      <c r="AE26" s="324">
        <f t="shared" si="23"/>
        <v>1.3030918851210784</v>
      </c>
      <c r="AF26" s="324">
        <f t="shared" si="23"/>
        <v>1.3159317792358387</v>
      </c>
      <c r="AG26" s="324">
        <f t="shared" si="23"/>
        <v>1.3288981900473573</v>
      </c>
      <c r="AH26" s="324">
        <f t="shared" si="23"/>
        <v>1.3419923641760827</v>
      </c>
      <c r="AI26" s="324">
        <f t="shared" si="23"/>
        <v>1.3552155605259215</v>
      </c>
      <c r="AJ26" s="324">
        <f t="shared" si="23"/>
        <v>1.3685690504052721</v>
      </c>
      <c r="AK26" s="324">
        <f t="shared" si="23"/>
        <v>1.3820541176492513</v>
      </c>
      <c r="AL26" s="324">
        <f t="shared" si="23"/>
        <v>1.3956720587431257</v>
      </c>
      <c r="AM26" s="324">
        <f t="shared" si="23"/>
        <v>1.409424182946958</v>
      </c>
      <c r="AN26" s="324">
        <f t="shared" si="23"/>
        <v>1.4233118124214825</v>
      </c>
      <c r="AO26" s="324">
        <f t="shared" si="23"/>
        <v>1.4373362823552212</v>
      </c>
      <c r="AP26" s="324">
        <f t="shared" si="23"/>
        <v>1.4514989410928505</v>
      </c>
      <c r="AQ26" s="324">
        <f t="shared" si="23"/>
        <v>1.465801150264836</v>
      </c>
      <c r="AR26" s="324">
        <f t="shared" si="23"/>
        <v>1.4802442849183417</v>
      </c>
      <c r="AS26" s="324">
        <f t="shared" si="23"/>
        <v>1.4948297336494298</v>
      </c>
      <c r="AT26" s="324">
        <f t="shared" si="23"/>
        <v>1.5095588987365645</v>
      </c>
      <c r="AU26" s="324">
        <f t="shared" si="23"/>
        <v>1.5244331962754294</v>
      </c>
      <c r="AV26" s="324">
        <f t="shared" si="23"/>
        <v>1.5394540563150751</v>
      </c>
      <c r="AW26" s="324">
        <f t="shared" si="23"/>
        <v>1.5546229229954067</v>
      </c>
      <c r="AX26" s="324">
        <f t="shared" si="23"/>
        <v>1.5699412546860267</v>
      </c>
      <c r="AY26" s="324">
        <f t="shared" si="23"/>
        <v>1.5854105241264465</v>
      </c>
      <c r="AZ26" s="324">
        <f t="shared" si="23"/>
        <v>1.601032218567678</v>
      </c>
      <c r="BA26" s="324">
        <f t="shared" si="23"/>
        <v>1.6168078399152228</v>
      </c>
      <c r="BB26" s="324">
        <f t="shared" si="23"/>
        <v>1.6327389048734675</v>
      </c>
      <c r="BC26" s="324">
        <f t="shared" si="23"/>
        <v>1.6488269450915038</v>
      </c>
      <c r="BD26" s="324">
        <f t="shared" si="23"/>
        <v>1.6650735073103848</v>
      </c>
      <c r="BE26" s="324">
        <f t="shared" si="23"/>
        <v>1.6814801535118316</v>
      </c>
      <c r="BF26" s="324">
        <f t="shared" si="23"/>
        <v>1.6980484610684061</v>
      </c>
      <c r="BG26" s="324">
        <f t="shared" si="23"/>
        <v>1.714780022895164</v>
      </c>
      <c r="BH26" s="324">
        <f t="shared" si="23"/>
        <v>1.7316764476028002</v>
      </c>
      <c r="BI26" s="324">
        <f t="shared" si="23"/>
        <v>1.7487393596523046</v>
      </c>
      <c r="BJ26" s="324">
        <f t="shared" si="23"/>
        <v>1.7659703995111422</v>
      </c>
      <c r="BK26" s="324">
        <f t="shared" si="23"/>
        <v>1.7833712238109705</v>
      </c>
      <c r="BL26" s="324">
        <f t="shared" si="23"/>
        <v>1.8009435055069121</v>
      </c>
    </row>
    <row r="27" spans="1:64" ht="15" hidden="1" customHeight="1" outlineLevel="1">
      <c r="C27" s="140" t="s">
        <v>440</v>
      </c>
      <c r="H27" s="140" t="b">
        <f>H24=LOOKUP(H$12,$E$3:$AN$3,$E5:$AN5)</f>
        <v>1</v>
      </c>
      <c r="L27" s="140" t="b">
        <f>L24=LOOKUP(L$12,$E$3:$AN$3,$E5:$AN5)</f>
        <v>1</v>
      </c>
      <c r="P27" s="140" t="b">
        <f>P24=LOOKUP(P$12,$E$3:$AN$3,$E5:$AN5)</f>
        <v>1</v>
      </c>
      <c r="T27" s="140" t="b">
        <f>T24=LOOKUP(T$12,$E$3:$AN$3,$E5:$AN5)</f>
        <v>1</v>
      </c>
      <c r="X27" s="140" t="b">
        <f>X24=LOOKUP(X$12,$E$3:$AN$3,$E5:$AN5)</f>
        <v>1</v>
      </c>
      <c r="AB27" s="140" t="b">
        <f>AB24=LOOKUP(AB$12,$E$3:$AN$3,$E5:$AN5)</f>
        <v>1</v>
      </c>
    </row>
    <row r="28" spans="1:64" ht="15" hidden="1" customHeight="1" outlineLevel="1">
      <c r="C28" s="140" t="s">
        <v>440</v>
      </c>
      <c r="H28" s="140" t="b">
        <f>H25=LOOKUP(H$12,$E$3:$AN$3,$E7:$AN7)</f>
        <v>1</v>
      </c>
      <c r="L28" s="140" t="b">
        <f>L25=LOOKUP(L$12,$E$3:$AN$3,$E7:$AN7)</f>
        <v>1</v>
      </c>
      <c r="P28" s="140" t="b">
        <f>P25=LOOKUP(P$12,$E$3:$AN$3,$E7:$AN7)</f>
        <v>1</v>
      </c>
      <c r="T28" s="140" t="b">
        <f>T25=LOOKUP(T$12,$E$3:$AN$3,$E7:$AN7)</f>
        <v>1</v>
      </c>
      <c r="X28" s="140" t="b">
        <f>X25=LOOKUP(X$12,$E$3:$AN$3,$E7:$AN7)</f>
        <v>1</v>
      </c>
      <c r="AB28" s="140" t="b">
        <f>AB25=LOOKUP(AB$12,$E$3:$AN$3,$E7:$AN7)</f>
        <v>1</v>
      </c>
    </row>
    <row r="29" spans="1:64" ht="15" hidden="1" customHeight="1" outlineLevel="1">
      <c r="C29" s="140" t="s">
        <v>440</v>
      </c>
      <c r="H29" s="140" t="b">
        <f>H26=LOOKUP(H$12,$E$3:$AN$3,$E9:$AN9)</f>
        <v>1</v>
      </c>
      <c r="L29" s="140" t="b">
        <f>L26=LOOKUP(L$12,$E$3:$AN$3,$E9:$AN9)</f>
        <v>1</v>
      </c>
      <c r="P29" s="140" t="b">
        <f>P26=LOOKUP(P$12,$E$3:$AN$3,$E9:$AN9)</f>
        <v>1</v>
      </c>
      <c r="T29" s="140" t="b">
        <f>T26=LOOKUP(T$12,$E$3:$AN$3,$E9:$AN9)</f>
        <v>1</v>
      </c>
      <c r="X29" s="140" t="b">
        <f>X26=LOOKUP(X$12,$E$3:$AN$3,$E9:$AN9)</f>
        <v>1</v>
      </c>
      <c r="AB29" s="140" t="b">
        <f>AB26=LOOKUP(AB$12,$E$3:$AN$3,$E9:$AN9)</f>
        <v>1</v>
      </c>
    </row>
    <row r="30" spans="1:64" ht="15" customHeight="1" collapsed="1"/>
    <row r="31" spans="1:64" ht="15" customHeight="1">
      <c r="E31" s="335"/>
      <c r="M31" s="336"/>
    </row>
  </sheetData>
  <conditionalFormatting sqref="F2:S2">
    <cfRule type="cellIs" dxfId="2144" priority="22" operator="notEqual">
      <formula>1</formula>
    </cfRule>
  </conditionalFormatting>
  <conditionalFormatting sqref="D5 D24">
    <cfRule type="expression" dxfId="2143" priority="21">
      <formula>$A$1=1</formula>
    </cfRule>
  </conditionalFormatting>
  <conditionalFormatting sqref="E16 E13:BL14 E17:BL19">
    <cfRule type="cellIs" dxfId="2142" priority="20" operator="lessThan">
      <formula>0</formula>
    </cfRule>
  </conditionalFormatting>
  <conditionalFormatting sqref="E15">
    <cfRule type="cellIs" dxfId="2141" priority="19" operator="lessThan">
      <formula>0</formula>
    </cfRule>
  </conditionalFormatting>
  <conditionalFormatting sqref="F15:BL15">
    <cfRule type="cellIs" dxfId="2140" priority="17" operator="lessThan">
      <formula>0</formula>
    </cfRule>
  </conditionalFormatting>
  <conditionalFormatting sqref="F16:BL16">
    <cfRule type="cellIs" dxfId="2139" priority="18" operator="lessThan">
      <formula>0</formula>
    </cfRule>
  </conditionalFormatting>
  <conditionalFormatting sqref="I6">
    <cfRule type="expression" dxfId="2138" priority="16">
      <formula>$A$1=1</formula>
    </cfRule>
  </conditionalFormatting>
  <conditionalFormatting sqref="E11">
    <cfRule type="expression" dxfId="2137" priority="15">
      <formula>$A$1=1</formula>
    </cfRule>
  </conditionalFormatting>
  <conditionalFormatting sqref="E10:G10">
    <cfRule type="expression" dxfId="2136" priority="14">
      <formula>$A$1=1</formula>
    </cfRule>
  </conditionalFormatting>
  <conditionalFormatting sqref="N6">
    <cfRule type="expression" dxfId="2135" priority="13">
      <formula>$A$1=1</formula>
    </cfRule>
  </conditionalFormatting>
  <conditionalFormatting sqref="D26">
    <cfRule type="expression" dxfId="2134" priority="11">
      <formula>$A$1=1</formula>
    </cfRule>
  </conditionalFormatting>
  <conditionalFormatting sqref="G23">
    <cfRule type="cellIs" dxfId="2133" priority="10" operator="equal">
      <formula>FALSE</formula>
    </cfRule>
  </conditionalFormatting>
  <conditionalFormatting sqref="J23">
    <cfRule type="cellIs" dxfId="2132" priority="9" operator="equal">
      <formula>FALSE</formula>
    </cfRule>
  </conditionalFormatting>
  <conditionalFormatting sqref="N23">
    <cfRule type="cellIs" dxfId="2131" priority="8" operator="equal">
      <formula>FALSE</formula>
    </cfRule>
  </conditionalFormatting>
  <conditionalFormatting sqref="R23">
    <cfRule type="cellIs" dxfId="2130" priority="7" operator="equal">
      <formula>FALSE</formula>
    </cfRule>
  </conditionalFormatting>
  <conditionalFormatting sqref="V23">
    <cfRule type="cellIs" dxfId="2129" priority="6" operator="equal">
      <formula>FALSE</formula>
    </cfRule>
  </conditionalFormatting>
  <conditionalFormatting sqref="Z23">
    <cfRule type="cellIs" dxfId="2128" priority="5" operator="equal">
      <formula>FALSE</formula>
    </cfRule>
  </conditionalFormatting>
  <conditionalFormatting sqref="AD23">
    <cfRule type="cellIs" dxfId="2127" priority="4" operator="equal">
      <formula>FALSE</formula>
    </cfRule>
  </conditionalFormatting>
  <conditionalFormatting sqref="AH23:BL23 CD23:DS23">
    <cfRule type="cellIs" dxfId="2126" priority="3" operator="equal">
      <formula>FALSE</formula>
    </cfRule>
  </conditionalFormatting>
  <conditionalFormatting sqref="K23">
    <cfRule type="cellIs" dxfId="2125" priority="2" operator="equal">
      <formula>FALSE</formula>
    </cfRule>
  </conditionalFormatting>
  <conditionalFormatting sqref="D25">
    <cfRule type="expression" dxfId="2124" priority="1">
      <formula>$A$1=1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EO33"/>
  <sheetViews>
    <sheetView showGridLines="0" zoomScale="70" zoomScaleNormal="70" workbookViewId="0">
      <selection activeCell="I46" sqref="I46"/>
    </sheetView>
  </sheetViews>
  <sheetFormatPr defaultRowHeight="15" outlineLevelRow="1" outlineLevelCol="1"/>
  <cols>
    <col min="1" max="1" width="3.140625" customWidth="1"/>
    <col min="2" max="2" width="14.7109375" customWidth="1"/>
    <col min="3" max="3" width="24.85546875" customWidth="1"/>
    <col min="4" max="4" width="24.42578125" customWidth="1"/>
    <col min="5" max="13" width="14.42578125" customWidth="1" outlineLevel="1"/>
    <col min="14" max="20" width="9.7109375" customWidth="1"/>
    <col min="21" max="22" width="8.42578125" customWidth="1"/>
    <col min="23" max="29" width="11.42578125" bestFit="1" customWidth="1"/>
    <col min="30" max="115" width="10.7109375" bestFit="1" customWidth="1"/>
    <col min="117" max="117" width="11.7109375" customWidth="1"/>
    <col min="118" max="118" width="10.7109375" bestFit="1" customWidth="1"/>
    <col min="119" max="119" width="9.85546875" bestFit="1" customWidth="1"/>
    <col min="126" max="144" width="0" hidden="1" customWidth="1" outlineLevel="1"/>
    <col min="145" max="145" width="9.140625" collapsed="1"/>
  </cols>
  <sheetData>
    <row r="1" spans="1:27" s="19" customFormat="1" ht="15.75" thickBot="1">
      <c r="A1" s="189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s="19" customFormat="1">
      <c r="A2" s="20"/>
      <c r="B2" s="2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 s="121" customFormat="1">
      <c r="A3" s="228"/>
      <c r="B3" s="20"/>
      <c r="C3" s="229" t="s">
        <v>257</v>
      </c>
      <c r="D3" s="228"/>
      <c r="E3" s="228"/>
      <c r="F3" s="40"/>
      <c r="G3" s="40"/>
      <c r="H3" s="40"/>
      <c r="I3" s="40"/>
      <c r="J3" s="40"/>
      <c r="K3" s="40"/>
      <c r="L3" s="40"/>
      <c r="M3" s="40"/>
      <c r="N3" s="40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 spans="1:27" s="19" customFormat="1" ht="48" customHeight="1">
      <c r="A4" s="40"/>
      <c r="B4" s="20"/>
      <c r="C4" s="33" t="s">
        <v>254</v>
      </c>
      <c r="D4" s="33" t="s">
        <v>194</v>
      </c>
      <c r="E4" s="33" t="s">
        <v>255</v>
      </c>
      <c r="F4" s="215" t="s">
        <v>258</v>
      </c>
      <c r="G4" s="215" t="s">
        <v>260</v>
      </c>
      <c r="H4" s="33" t="s">
        <v>261</v>
      </c>
      <c r="I4" s="33" t="s">
        <v>262</v>
      </c>
      <c r="J4" s="215" t="s">
        <v>263</v>
      </c>
      <c r="K4" s="40"/>
      <c r="L4" s="215" t="s">
        <v>295</v>
      </c>
      <c r="M4" s="215" t="s">
        <v>296</v>
      </c>
      <c r="N4" s="40"/>
      <c r="O4" s="2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s="19" customFormat="1">
      <c r="A5" s="40"/>
      <c r="B5" s="20"/>
      <c r="C5" s="209" t="s">
        <v>294</v>
      </c>
      <c r="D5" s="210">
        <v>114723</v>
      </c>
      <c r="E5" s="210">
        <v>30157235.010000002</v>
      </c>
      <c r="F5" s="211">
        <f>E5/D5</f>
        <v>262.87</v>
      </c>
      <c r="G5" s="287" t="s">
        <v>264</v>
      </c>
      <c r="H5" s="216">
        <v>1.4999999999999999E-2</v>
      </c>
      <c r="I5" s="217">
        <f>H5*E5</f>
        <v>452358.52515</v>
      </c>
      <c r="J5" s="211">
        <f>H5*F5</f>
        <v>3.9430499999999999</v>
      </c>
      <c r="K5" s="40"/>
      <c r="L5" s="286" t="s">
        <v>256</v>
      </c>
      <c r="M5" s="286" t="s">
        <v>297</v>
      </c>
      <c r="N5" s="40"/>
      <c r="O5" s="212"/>
      <c r="P5" s="2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s="19" customFormat="1">
      <c r="A6" s="40"/>
      <c r="B6" s="20"/>
      <c r="C6" s="209" t="s">
        <v>298</v>
      </c>
      <c r="D6" s="210">
        <v>21600</v>
      </c>
      <c r="E6" s="210">
        <v>5677992</v>
      </c>
      <c r="F6" s="211">
        <f>E6/D6</f>
        <v>262.87</v>
      </c>
      <c r="G6" s="287" t="s">
        <v>264</v>
      </c>
      <c r="H6" s="216">
        <v>1.4999999999999999E-2</v>
      </c>
      <c r="I6" s="217">
        <f>H6*E6</f>
        <v>85169.87999999999</v>
      </c>
      <c r="J6" s="211">
        <f>H6*F6</f>
        <v>3.9430499999999999</v>
      </c>
      <c r="K6" s="40"/>
      <c r="L6" s="286" t="s">
        <v>256</v>
      </c>
      <c r="M6" s="286" t="s">
        <v>297</v>
      </c>
      <c r="N6" s="40"/>
      <c r="O6" s="212"/>
      <c r="P6" s="2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s="19" customFormat="1">
      <c r="A7" s="40"/>
      <c r="B7" s="20"/>
      <c r="C7" s="213" t="s">
        <v>259</v>
      </c>
      <c r="D7" s="1853">
        <f>SUM(D5:D6)/10000</f>
        <v>13.632300000000001</v>
      </c>
      <c r="E7" s="214"/>
      <c r="F7" s="40"/>
      <c r="G7" s="40"/>
      <c r="H7" s="40"/>
      <c r="I7" s="40"/>
      <c r="J7" s="20"/>
      <c r="K7" s="40"/>
      <c r="L7" s="40"/>
      <c r="M7" s="40"/>
      <c r="N7" s="40"/>
      <c r="O7" s="20"/>
      <c r="P7" s="2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7" s="19" customFormat="1">
      <c r="A8" s="40"/>
      <c r="B8" s="20"/>
      <c r="C8" s="40"/>
      <c r="D8" s="4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s="19" customFormat="1">
      <c r="A9" s="40"/>
      <c r="B9" s="20"/>
      <c r="C9" s="40"/>
      <c r="D9" s="4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27" s="19" customFormat="1">
      <c r="A10" s="40"/>
      <c r="B10" s="20"/>
      <c r="C10" s="40"/>
      <c r="D10" s="4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7" s="19" customFormat="1">
      <c r="A11" s="40"/>
      <c r="B11" s="20"/>
      <c r="C11" s="40"/>
      <c r="D11" s="4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 s="19" customFormat="1">
      <c r="A12" s="40"/>
      <c r="B12" s="4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7" s="19" customFormat="1">
      <c r="A13" s="40"/>
      <c r="B13" s="40"/>
      <c r="C13" s="43" t="s">
        <v>281</v>
      </c>
      <c r="D13" s="312">
        <f>Вводные!D9</f>
        <v>45839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27" s="19" customFormat="1">
      <c r="A14" s="40"/>
      <c r="B14" s="40"/>
      <c r="C14" s="43" t="s">
        <v>282</v>
      </c>
      <c r="D14" s="258">
        <f>YEAR(D13)</f>
        <v>2025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27" s="19" customFormat="1">
      <c r="A15" s="40"/>
      <c r="B15" s="259" t="s">
        <v>214</v>
      </c>
      <c r="C15" s="43" t="s">
        <v>283</v>
      </c>
      <c r="D15" s="257">
        <v>1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7" s="19" customFormat="1">
      <c r="A16" s="40"/>
      <c r="B16" s="4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145" s="19" customFormat="1">
      <c r="A17" s="40"/>
      <c r="B17" s="40"/>
      <c r="C17" s="6" t="s">
        <v>265</v>
      </c>
      <c r="D17" s="20"/>
      <c r="E17" s="260" t="s">
        <v>284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DM17" s="256"/>
      <c r="DN17" s="127" t="s">
        <v>192</v>
      </c>
      <c r="DO17" s="128">
        <f>10^6</f>
        <v>1000000</v>
      </c>
      <c r="DP17" s="129" t="str">
        <f>IF(DO17=1,"руб.",IF(DO17=1000,"тыс. руб.",IF(DO17=1000000,"млн руб.",IF(DO17=1000000000,"млрд руб.","Ошибка"))))</f>
        <v>млн руб.</v>
      </c>
    </row>
    <row r="18" spans="1:145" s="19" customFormat="1">
      <c r="A18" s="40"/>
      <c r="B18" s="40"/>
      <c r="C18" s="33" t="s">
        <v>7</v>
      </c>
      <c r="D18" s="33"/>
      <c r="E18" s="33">
        <f>YEAR(E19)</f>
        <v>2022</v>
      </c>
      <c r="F18" s="33">
        <f>YEAR(F19)</f>
        <v>2022</v>
      </c>
      <c r="G18" s="33">
        <f t="shared" ref="G18:AE18" si="0">YEAR(G19)</f>
        <v>2022</v>
      </c>
      <c r="H18" s="33">
        <f t="shared" si="0"/>
        <v>2022</v>
      </c>
      <c r="I18" s="33">
        <f t="shared" si="0"/>
        <v>2023</v>
      </c>
      <c r="J18" s="33">
        <f t="shared" si="0"/>
        <v>2023</v>
      </c>
      <c r="K18" s="33">
        <f t="shared" si="0"/>
        <v>2023</v>
      </c>
      <c r="L18" s="33">
        <f t="shared" si="0"/>
        <v>2023</v>
      </c>
      <c r="M18" s="33">
        <f t="shared" si="0"/>
        <v>2024</v>
      </c>
      <c r="N18" s="33">
        <f t="shared" si="0"/>
        <v>2024</v>
      </c>
      <c r="O18" s="33">
        <f t="shared" si="0"/>
        <v>2024</v>
      </c>
      <c r="P18" s="33">
        <f t="shared" si="0"/>
        <v>2024</v>
      </c>
      <c r="Q18" s="33">
        <f t="shared" si="0"/>
        <v>2025</v>
      </c>
      <c r="R18" s="33">
        <f t="shared" si="0"/>
        <v>2025</v>
      </c>
      <c r="S18" s="33">
        <f t="shared" si="0"/>
        <v>2025</v>
      </c>
      <c r="T18" s="33">
        <f t="shared" si="0"/>
        <v>2025</v>
      </c>
      <c r="U18" s="33">
        <f t="shared" si="0"/>
        <v>2026</v>
      </c>
      <c r="V18" s="33">
        <f t="shared" si="0"/>
        <v>2026</v>
      </c>
      <c r="W18" s="33">
        <f t="shared" si="0"/>
        <v>2026</v>
      </c>
      <c r="X18" s="33">
        <f t="shared" si="0"/>
        <v>2026</v>
      </c>
      <c r="Y18" s="33">
        <f t="shared" si="0"/>
        <v>2027</v>
      </c>
      <c r="Z18" s="33">
        <f t="shared" si="0"/>
        <v>2027</v>
      </c>
      <c r="AA18" s="33">
        <f t="shared" si="0"/>
        <v>2027</v>
      </c>
      <c r="AB18" s="33">
        <f t="shared" si="0"/>
        <v>2027</v>
      </c>
      <c r="AC18" s="33">
        <f t="shared" si="0"/>
        <v>2028</v>
      </c>
      <c r="AD18" s="33">
        <f t="shared" si="0"/>
        <v>2028</v>
      </c>
      <c r="AE18" s="33">
        <f t="shared" si="0"/>
        <v>2028</v>
      </c>
      <c r="AF18" s="33">
        <f t="shared" ref="AF18:BK18" si="1">YEAR(AF19)</f>
        <v>2028</v>
      </c>
      <c r="AG18" s="33">
        <f t="shared" si="1"/>
        <v>2029</v>
      </c>
      <c r="AH18" s="33">
        <f t="shared" si="1"/>
        <v>2029</v>
      </c>
      <c r="AI18" s="33">
        <f t="shared" si="1"/>
        <v>2029</v>
      </c>
      <c r="AJ18" s="33">
        <f t="shared" si="1"/>
        <v>2029</v>
      </c>
      <c r="AK18" s="33">
        <f t="shared" si="1"/>
        <v>2030</v>
      </c>
      <c r="AL18" s="33">
        <f t="shared" si="1"/>
        <v>2030</v>
      </c>
      <c r="AM18" s="33">
        <f t="shared" si="1"/>
        <v>2030</v>
      </c>
      <c r="AN18" s="33">
        <f t="shared" si="1"/>
        <v>2030</v>
      </c>
      <c r="AO18" s="33">
        <f t="shared" si="1"/>
        <v>2031</v>
      </c>
      <c r="AP18" s="33">
        <f t="shared" si="1"/>
        <v>2031</v>
      </c>
      <c r="AQ18" s="33">
        <f t="shared" si="1"/>
        <v>2031</v>
      </c>
      <c r="AR18" s="33">
        <f t="shared" si="1"/>
        <v>2031</v>
      </c>
      <c r="AS18" s="33">
        <f t="shared" si="1"/>
        <v>2032</v>
      </c>
      <c r="AT18" s="33">
        <f t="shared" si="1"/>
        <v>2032</v>
      </c>
      <c r="AU18" s="33">
        <f t="shared" si="1"/>
        <v>2032</v>
      </c>
      <c r="AV18" s="33">
        <f t="shared" si="1"/>
        <v>2032</v>
      </c>
      <c r="AW18" s="33">
        <f t="shared" si="1"/>
        <v>2033</v>
      </c>
      <c r="AX18" s="33">
        <f t="shared" si="1"/>
        <v>2033</v>
      </c>
      <c r="AY18" s="33">
        <f t="shared" si="1"/>
        <v>2033</v>
      </c>
      <c r="AZ18" s="33">
        <f t="shared" si="1"/>
        <v>2033</v>
      </c>
      <c r="BA18" s="33">
        <f t="shared" si="1"/>
        <v>2034</v>
      </c>
      <c r="BB18" s="33">
        <f t="shared" si="1"/>
        <v>2034</v>
      </c>
      <c r="BC18" s="33">
        <f t="shared" si="1"/>
        <v>2034</v>
      </c>
      <c r="BD18" s="33">
        <f t="shared" si="1"/>
        <v>2034</v>
      </c>
      <c r="BE18" s="33">
        <f t="shared" si="1"/>
        <v>2035</v>
      </c>
      <c r="BF18" s="33">
        <f t="shared" si="1"/>
        <v>2035</v>
      </c>
      <c r="BG18" s="33">
        <f t="shared" si="1"/>
        <v>2035</v>
      </c>
      <c r="BH18" s="33">
        <f t="shared" si="1"/>
        <v>2035</v>
      </c>
      <c r="BI18" s="33">
        <f t="shared" si="1"/>
        <v>2036</v>
      </c>
      <c r="BJ18" s="33">
        <f t="shared" si="1"/>
        <v>2036</v>
      </c>
      <c r="BK18" s="33">
        <f t="shared" si="1"/>
        <v>2036</v>
      </c>
      <c r="BL18" s="33">
        <f t="shared" ref="BL18:CQ18" si="2">YEAR(BL19)</f>
        <v>2036</v>
      </c>
      <c r="BM18" s="33">
        <f t="shared" si="2"/>
        <v>2037</v>
      </c>
      <c r="BN18" s="33">
        <f t="shared" si="2"/>
        <v>2037</v>
      </c>
      <c r="BO18" s="33">
        <f t="shared" si="2"/>
        <v>2037</v>
      </c>
      <c r="BP18" s="33">
        <f t="shared" si="2"/>
        <v>2037</v>
      </c>
      <c r="BQ18" s="33">
        <f t="shared" si="2"/>
        <v>2038</v>
      </c>
      <c r="BR18" s="33">
        <f t="shared" si="2"/>
        <v>2038</v>
      </c>
      <c r="BS18" s="33">
        <f t="shared" si="2"/>
        <v>2038</v>
      </c>
      <c r="BT18" s="33">
        <f t="shared" si="2"/>
        <v>2038</v>
      </c>
      <c r="BU18" s="33">
        <f t="shared" si="2"/>
        <v>2039</v>
      </c>
      <c r="BV18" s="33">
        <f t="shared" si="2"/>
        <v>2039</v>
      </c>
      <c r="BW18" s="33">
        <f t="shared" si="2"/>
        <v>2039</v>
      </c>
      <c r="BX18" s="33">
        <f t="shared" si="2"/>
        <v>2039</v>
      </c>
      <c r="BY18" s="33">
        <f t="shared" si="2"/>
        <v>2040</v>
      </c>
      <c r="BZ18" s="33">
        <f t="shared" si="2"/>
        <v>2040</v>
      </c>
      <c r="CA18" s="33">
        <f t="shared" si="2"/>
        <v>2040</v>
      </c>
      <c r="CB18" s="33">
        <f t="shared" si="2"/>
        <v>2040</v>
      </c>
      <c r="CC18" s="33">
        <f t="shared" si="2"/>
        <v>2041</v>
      </c>
      <c r="CD18" s="33">
        <f t="shared" si="2"/>
        <v>2041</v>
      </c>
      <c r="CE18" s="33">
        <f t="shared" si="2"/>
        <v>2041</v>
      </c>
      <c r="CF18" s="33">
        <f t="shared" si="2"/>
        <v>2041</v>
      </c>
      <c r="CG18" s="33">
        <f t="shared" si="2"/>
        <v>2042</v>
      </c>
      <c r="CH18" s="33">
        <f t="shared" si="2"/>
        <v>2042</v>
      </c>
      <c r="CI18" s="33">
        <f t="shared" si="2"/>
        <v>2042</v>
      </c>
      <c r="CJ18" s="33">
        <f t="shared" si="2"/>
        <v>2042</v>
      </c>
      <c r="CK18" s="33">
        <f t="shared" si="2"/>
        <v>2043</v>
      </c>
      <c r="CL18" s="33">
        <f t="shared" si="2"/>
        <v>2043</v>
      </c>
      <c r="CM18" s="33">
        <f t="shared" si="2"/>
        <v>2043</v>
      </c>
      <c r="CN18" s="33">
        <f t="shared" si="2"/>
        <v>2043</v>
      </c>
      <c r="CO18" s="33">
        <f t="shared" si="2"/>
        <v>2044</v>
      </c>
      <c r="CP18" s="33">
        <f t="shared" si="2"/>
        <v>2044</v>
      </c>
      <c r="CQ18" s="33">
        <f t="shared" si="2"/>
        <v>2044</v>
      </c>
      <c r="CR18" s="33">
        <f t="shared" ref="CR18:DK18" si="3">YEAR(CR19)</f>
        <v>2044</v>
      </c>
      <c r="CS18" s="33">
        <f t="shared" si="3"/>
        <v>2045</v>
      </c>
      <c r="CT18" s="33">
        <f t="shared" si="3"/>
        <v>2045</v>
      </c>
      <c r="CU18" s="33">
        <f t="shared" si="3"/>
        <v>2045</v>
      </c>
      <c r="CV18" s="33">
        <f t="shared" si="3"/>
        <v>2045</v>
      </c>
      <c r="CW18" s="33">
        <f t="shared" si="3"/>
        <v>2046</v>
      </c>
      <c r="CX18" s="33">
        <f t="shared" si="3"/>
        <v>2046</v>
      </c>
      <c r="CY18" s="33">
        <f t="shared" si="3"/>
        <v>2046</v>
      </c>
      <c r="CZ18" s="33">
        <f t="shared" si="3"/>
        <v>2046</v>
      </c>
      <c r="DA18" s="33">
        <f t="shared" si="3"/>
        <v>2047</v>
      </c>
      <c r="DB18" s="33">
        <f t="shared" si="3"/>
        <v>2047</v>
      </c>
      <c r="DC18" s="33">
        <f t="shared" si="3"/>
        <v>2047</v>
      </c>
      <c r="DD18" s="33">
        <f t="shared" si="3"/>
        <v>2047</v>
      </c>
      <c r="DE18" s="33">
        <f t="shared" si="3"/>
        <v>2048</v>
      </c>
      <c r="DF18" s="33">
        <f t="shared" si="3"/>
        <v>2048</v>
      </c>
      <c r="DG18" s="33">
        <f t="shared" si="3"/>
        <v>2048</v>
      </c>
      <c r="DH18" s="33">
        <f t="shared" si="3"/>
        <v>2048</v>
      </c>
      <c r="DI18" s="33">
        <f t="shared" si="3"/>
        <v>2049</v>
      </c>
      <c r="DJ18" s="33">
        <f t="shared" si="3"/>
        <v>2049</v>
      </c>
      <c r="DK18" s="33">
        <f t="shared" si="3"/>
        <v>2049</v>
      </c>
      <c r="DM18" s="254" t="s">
        <v>60</v>
      </c>
      <c r="DN18" s="255">
        <f>E18</f>
        <v>2022</v>
      </c>
      <c r="DO18" s="255">
        <f>DN18+1</f>
        <v>2023</v>
      </c>
      <c r="DP18" s="255">
        <f t="shared" ref="DP18:EO18" si="4">DO18+1</f>
        <v>2024</v>
      </c>
      <c r="DQ18" s="11">
        <f t="shared" si="4"/>
        <v>2025</v>
      </c>
      <c r="DR18" s="11">
        <f t="shared" si="4"/>
        <v>2026</v>
      </c>
      <c r="DS18" s="11">
        <f t="shared" si="4"/>
        <v>2027</v>
      </c>
      <c r="DT18" s="11">
        <f t="shared" si="4"/>
        <v>2028</v>
      </c>
      <c r="DU18" s="11">
        <f t="shared" si="4"/>
        <v>2029</v>
      </c>
      <c r="DV18" s="11">
        <f t="shared" si="4"/>
        <v>2030</v>
      </c>
      <c r="DW18" s="11">
        <f t="shared" si="4"/>
        <v>2031</v>
      </c>
      <c r="DX18" s="11">
        <f t="shared" si="4"/>
        <v>2032</v>
      </c>
      <c r="DY18" s="11">
        <f t="shared" si="4"/>
        <v>2033</v>
      </c>
      <c r="DZ18" s="11">
        <f t="shared" si="4"/>
        <v>2034</v>
      </c>
      <c r="EA18" s="11">
        <f t="shared" si="4"/>
        <v>2035</v>
      </c>
      <c r="EB18" s="11">
        <f t="shared" si="4"/>
        <v>2036</v>
      </c>
      <c r="EC18" s="11">
        <f t="shared" si="4"/>
        <v>2037</v>
      </c>
      <c r="ED18" s="11">
        <f t="shared" si="4"/>
        <v>2038</v>
      </c>
      <c r="EE18" s="11">
        <f t="shared" si="4"/>
        <v>2039</v>
      </c>
      <c r="EF18" s="11">
        <f t="shared" si="4"/>
        <v>2040</v>
      </c>
      <c r="EG18" s="11">
        <f t="shared" si="4"/>
        <v>2041</v>
      </c>
      <c r="EH18" s="11">
        <f t="shared" si="4"/>
        <v>2042</v>
      </c>
      <c r="EI18" s="11">
        <f t="shared" si="4"/>
        <v>2043</v>
      </c>
      <c r="EJ18" s="11">
        <f t="shared" si="4"/>
        <v>2044</v>
      </c>
      <c r="EK18" s="11">
        <f t="shared" si="4"/>
        <v>2045</v>
      </c>
      <c r="EL18" s="11">
        <f t="shared" si="4"/>
        <v>2046</v>
      </c>
      <c r="EM18" s="11">
        <f t="shared" si="4"/>
        <v>2047</v>
      </c>
      <c r="EN18" s="11">
        <f t="shared" si="4"/>
        <v>2048</v>
      </c>
      <c r="EO18" s="11">
        <f t="shared" si="4"/>
        <v>2049</v>
      </c>
    </row>
    <row r="19" spans="1:145" s="19" customFormat="1">
      <c r="A19" s="40"/>
      <c r="B19" s="40"/>
      <c r="C19" s="26" t="s">
        <v>1</v>
      </c>
      <c r="D19" s="26"/>
      <c r="E19" s="195">
        <f>Вводные!$D$4</f>
        <v>44593</v>
      </c>
      <c r="F19" s="18">
        <f>DATE(YEAR(E20),(TRUNC((MONTH(E20)-1)/3,0)+1)*3+1,1)</f>
        <v>44652</v>
      </c>
      <c r="G19" s="16">
        <f t="shared" ref="G19:BR19" si="5">DATE(YEAR(F20),(TRUNC((MONTH(F20)-1)/3,0)+1)*3+1,1)</f>
        <v>44743</v>
      </c>
      <c r="H19" s="18">
        <f t="shared" si="5"/>
        <v>44835</v>
      </c>
      <c r="I19" s="18">
        <f t="shared" si="5"/>
        <v>44927</v>
      </c>
      <c r="J19" s="18">
        <f t="shared" si="5"/>
        <v>45017</v>
      </c>
      <c r="K19" s="18">
        <f t="shared" si="5"/>
        <v>45108</v>
      </c>
      <c r="L19" s="18">
        <f t="shared" si="5"/>
        <v>45200</v>
      </c>
      <c r="M19" s="18">
        <f t="shared" si="5"/>
        <v>45292</v>
      </c>
      <c r="N19" s="18">
        <f t="shared" si="5"/>
        <v>45383</v>
      </c>
      <c r="O19" s="18">
        <f t="shared" si="5"/>
        <v>45474</v>
      </c>
      <c r="P19" s="18">
        <f t="shared" si="5"/>
        <v>45566</v>
      </c>
      <c r="Q19" s="18">
        <f t="shared" si="5"/>
        <v>45658</v>
      </c>
      <c r="R19" s="18">
        <f t="shared" si="5"/>
        <v>45748</v>
      </c>
      <c r="S19" s="18">
        <f t="shared" si="5"/>
        <v>45839</v>
      </c>
      <c r="T19" s="18">
        <f t="shared" si="5"/>
        <v>45931</v>
      </c>
      <c r="U19" s="18">
        <f t="shared" si="5"/>
        <v>46023</v>
      </c>
      <c r="V19" s="18">
        <f t="shared" si="5"/>
        <v>46113</v>
      </c>
      <c r="W19" s="18">
        <f t="shared" si="5"/>
        <v>46204</v>
      </c>
      <c r="X19" s="18">
        <f t="shared" si="5"/>
        <v>46296</v>
      </c>
      <c r="Y19" s="18">
        <f t="shared" si="5"/>
        <v>46388</v>
      </c>
      <c r="Z19" s="18">
        <f t="shared" si="5"/>
        <v>46478</v>
      </c>
      <c r="AA19" s="18">
        <f t="shared" si="5"/>
        <v>46569</v>
      </c>
      <c r="AB19" s="18">
        <f t="shared" si="5"/>
        <v>46661</v>
      </c>
      <c r="AC19" s="18">
        <f t="shared" si="5"/>
        <v>46753</v>
      </c>
      <c r="AD19" s="18">
        <f t="shared" si="5"/>
        <v>46844</v>
      </c>
      <c r="AE19" s="18">
        <f t="shared" si="5"/>
        <v>46935</v>
      </c>
      <c r="AF19" s="18">
        <f t="shared" si="5"/>
        <v>47027</v>
      </c>
      <c r="AG19" s="18">
        <f t="shared" si="5"/>
        <v>47119</v>
      </c>
      <c r="AH19" s="18">
        <f t="shared" si="5"/>
        <v>47209</v>
      </c>
      <c r="AI19" s="18">
        <f t="shared" si="5"/>
        <v>47300</v>
      </c>
      <c r="AJ19" s="18">
        <f t="shared" si="5"/>
        <v>47392</v>
      </c>
      <c r="AK19" s="18">
        <f t="shared" si="5"/>
        <v>47484</v>
      </c>
      <c r="AL19" s="18">
        <f t="shared" si="5"/>
        <v>47574</v>
      </c>
      <c r="AM19" s="18">
        <f t="shared" si="5"/>
        <v>47665</v>
      </c>
      <c r="AN19" s="18">
        <f t="shared" si="5"/>
        <v>47757</v>
      </c>
      <c r="AO19" s="18">
        <f t="shared" si="5"/>
        <v>47849</v>
      </c>
      <c r="AP19" s="18">
        <f t="shared" si="5"/>
        <v>47939</v>
      </c>
      <c r="AQ19" s="18">
        <f t="shared" si="5"/>
        <v>48030</v>
      </c>
      <c r="AR19" s="18">
        <f t="shared" si="5"/>
        <v>48122</v>
      </c>
      <c r="AS19" s="18">
        <f t="shared" si="5"/>
        <v>48214</v>
      </c>
      <c r="AT19" s="18">
        <f t="shared" si="5"/>
        <v>48305</v>
      </c>
      <c r="AU19" s="18">
        <f t="shared" si="5"/>
        <v>48396</v>
      </c>
      <c r="AV19" s="18">
        <f t="shared" si="5"/>
        <v>48488</v>
      </c>
      <c r="AW19" s="18">
        <f t="shared" si="5"/>
        <v>48580</v>
      </c>
      <c r="AX19" s="18">
        <f t="shared" si="5"/>
        <v>48670</v>
      </c>
      <c r="AY19" s="18">
        <f t="shared" si="5"/>
        <v>48761</v>
      </c>
      <c r="AZ19" s="18">
        <f t="shared" si="5"/>
        <v>48853</v>
      </c>
      <c r="BA19" s="18">
        <f t="shared" si="5"/>
        <v>48945</v>
      </c>
      <c r="BB19" s="18">
        <f t="shared" si="5"/>
        <v>49035</v>
      </c>
      <c r="BC19" s="18">
        <f t="shared" si="5"/>
        <v>49126</v>
      </c>
      <c r="BD19" s="18">
        <f t="shared" si="5"/>
        <v>49218</v>
      </c>
      <c r="BE19" s="18">
        <f t="shared" si="5"/>
        <v>49310</v>
      </c>
      <c r="BF19" s="18">
        <f t="shared" si="5"/>
        <v>49400</v>
      </c>
      <c r="BG19" s="18">
        <f t="shared" si="5"/>
        <v>49491</v>
      </c>
      <c r="BH19" s="18">
        <f t="shared" si="5"/>
        <v>49583</v>
      </c>
      <c r="BI19" s="18">
        <f t="shared" si="5"/>
        <v>49675</v>
      </c>
      <c r="BJ19" s="18">
        <f t="shared" si="5"/>
        <v>49766</v>
      </c>
      <c r="BK19" s="18">
        <f t="shared" si="5"/>
        <v>49857</v>
      </c>
      <c r="BL19" s="18">
        <f t="shared" si="5"/>
        <v>49949</v>
      </c>
      <c r="BM19" s="18">
        <f t="shared" si="5"/>
        <v>50041</v>
      </c>
      <c r="BN19" s="18">
        <f t="shared" si="5"/>
        <v>50131</v>
      </c>
      <c r="BO19" s="18">
        <f t="shared" si="5"/>
        <v>50222</v>
      </c>
      <c r="BP19" s="18">
        <f t="shared" si="5"/>
        <v>50314</v>
      </c>
      <c r="BQ19" s="18">
        <f t="shared" si="5"/>
        <v>50406</v>
      </c>
      <c r="BR19" s="18">
        <f t="shared" si="5"/>
        <v>50496</v>
      </c>
      <c r="BS19" s="18">
        <f t="shared" ref="BS19:DK19" si="6">DATE(YEAR(BR20),(TRUNC((MONTH(BR20)-1)/3,0)+1)*3+1,1)</f>
        <v>50587</v>
      </c>
      <c r="BT19" s="18">
        <f t="shared" si="6"/>
        <v>50679</v>
      </c>
      <c r="BU19" s="18">
        <f t="shared" si="6"/>
        <v>50771</v>
      </c>
      <c r="BV19" s="18">
        <f t="shared" si="6"/>
        <v>50861</v>
      </c>
      <c r="BW19" s="18">
        <f t="shared" si="6"/>
        <v>50952</v>
      </c>
      <c r="BX19" s="18">
        <f t="shared" si="6"/>
        <v>51044</v>
      </c>
      <c r="BY19" s="18">
        <f t="shared" si="6"/>
        <v>51136</v>
      </c>
      <c r="BZ19" s="18">
        <f t="shared" si="6"/>
        <v>51227</v>
      </c>
      <c r="CA19" s="18">
        <f t="shared" si="6"/>
        <v>51318</v>
      </c>
      <c r="CB19" s="18">
        <f t="shared" si="6"/>
        <v>51410</v>
      </c>
      <c r="CC19" s="18">
        <f t="shared" si="6"/>
        <v>51502</v>
      </c>
      <c r="CD19" s="18">
        <f t="shared" si="6"/>
        <v>51592</v>
      </c>
      <c r="CE19" s="18">
        <f t="shared" si="6"/>
        <v>51683</v>
      </c>
      <c r="CF19" s="18">
        <f t="shared" si="6"/>
        <v>51775</v>
      </c>
      <c r="CG19" s="18">
        <f t="shared" si="6"/>
        <v>51867</v>
      </c>
      <c r="CH19" s="18">
        <f t="shared" si="6"/>
        <v>51957</v>
      </c>
      <c r="CI19" s="18">
        <f t="shared" si="6"/>
        <v>52048</v>
      </c>
      <c r="CJ19" s="18">
        <f t="shared" si="6"/>
        <v>52140</v>
      </c>
      <c r="CK19" s="18">
        <f t="shared" si="6"/>
        <v>52232</v>
      </c>
      <c r="CL19" s="18">
        <f t="shared" si="6"/>
        <v>52322</v>
      </c>
      <c r="CM19" s="18">
        <f t="shared" si="6"/>
        <v>52413</v>
      </c>
      <c r="CN19" s="18">
        <f t="shared" si="6"/>
        <v>52505</v>
      </c>
      <c r="CO19" s="18">
        <f t="shared" si="6"/>
        <v>52597</v>
      </c>
      <c r="CP19" s="18">
        <f t="shared" si="6"/>
        <v>52688</v>
      </c>
      <c r="CQ19" s="18">
        <f t="shared" si="6"/>
        <v>52779</v>
      </c>
      <c r="CR19" s="18">
        <f t="shared" si="6"/>
        <v>52871</v>
      </c>
      <c r="CS19" s="18">
        <f t="shared" si="6"/>
        <v>52963</v>
      </c>
      <c r="CT19" s="18">
        <f t="shared" si="6"/>
        <v>53053</v>
      </c>
      <c r="CU19" s="18">
        <f t="shared" si="6"/>
        <v>53144</v>
      </c>
      <c r="CV19" s="18">
        <f t="shared" si="6"/>
        <v>53236</v>
      </c>
      <c r="CW19" s="18">
        <f t="shared" si="6"/>
        <v>53328</v>
      </c>
      <c r="CX19" s="18">
        <f t="shared" si="6"/>
        <v>53418</v>
      </c>
      <c r="CY19" s="18">
        <f t="shared" si="6"/>
        <v>53509</v>
      </c>
      <c r="CZ19" s="18">
        <f t="shared" si="6"/>
        <v>53601</v>
      </c>
      <c r="DA19" s="18">
        <f t="shared" si="6"/>
        <v>53693</v>
      </c>
      <c r="DB19" s="18">
        <f t="shared" si="6"/>
        <v>53783</v>
      </c>
      <c r="DC19" s="18">
        <f t="shared" si="6"/>
        <v>53874</v>
      </c>
      <c r="DD19" s="18">
        <f t="shared" si="6"/>
        <v>53966</v>
      </c>
      <c r="DE19" s="18">
        <f t="shared" si="6"/>
        <v>54058</v>
      </c>
      <c r="DF19" s="18">
        <f t="shared" si="6"/>
        <v>54149</v>
      </c>
      <c r="DG19" s="18">
        <f t="shared" si="6"/>
        <v>54240</v>
      </c>
      <c r="DH19" s="18">
        <f t="shared" si="6"/>
        <v>54332</v>
      </c>
      <c r="DI19" s="18">
        <f t="shared" si="6"/>
        <v>54424</v>
      </c>
      <c r="DJ19" s="18">
        <f t="shared" si="6"/>
        <v>54514</v>
      </c>
      <c r="DK19" s="18">
        <f t="shared" si="6"/>
        <v>54605</v>
      </c>
    </row>
    <row r="20" spans="1:145" s="19" customFormat="1">
      <c r="A20" s="40"/>
      <c r="B20" s="40"/>
      <c r="C20" s="26" t="s">
        <v>2</v>
      </c>
      <c r="D20" s="26"/>
      <c r="E20" s="195">
        <f>DATE(YEAR(E19),((TRUNC((MONTH(E19)-1),0)+1)+2),1)-1</f>
        <v>44651</v>
      </c>
      <c r="F20" s="18">
        <f t="shared" ref="F20:AK20" si="7">DATE(YEAR(F19),((TRUNC((MONTH(F19)-1),0)+1)+1)+2,1)-1</f>
        <v>44742</v>
      </c>
      <c r="G20" s="18">
        <f t="shared" si="7"/>
        <v>44834</v>
      </c>
      <c r="H20" s="18">
        <f t="shared" si="7"/>
        <v>44926</v>
      </c>
      <c r="I20" s="18">
        <f t="shared" si="7"/>
        <v>45016</v>
      </c>
      <c r="J20" s="18">
        <f t="shared" si="7"/>
        <v>45107</v>
      </c>
      <c r="K20" s="18">
        <f t="shared" si="7"/>
        <v>45199</v>
      </c>
      <c r="L20" s="18">
        <f t="shared" si="7"/>
        <v>45291</v>
      </c>
      <c r="M20" s="18">
        <f t="shared" si="7"/>
        <v>45382</v>
      </c>
      <c r="N20" s="18">
        <f t="shared" si="7"/>
        <v>45473</v>
      </c>
      <c r="O20" s="18">
        <f t="shared" si="7"/>
        <v>45565</v>
      </c>
      <c r="P20" s="18">
        <f t="shared" si="7"/>
        <v>45657</v>
      </c>
      <c r="Q20" s="18">
        <f t="shared" si="7"/>
        <v>45747</v>
      </c>
      <c r="R20" s="18">
        <f t="shared" si="7"/>
        <v>45838</v>
      </c>
      <c r="S20" s="18">
        <f t="shared" si="7"/>
        <v>45930</v>
      </c>
      <c r="T20" s="18">
        <f t="shared" si="7"/>
        <v>46022</v>
      </c>
      <c r="U20" s="18">
        <f t="shared" si="7"/>
        <v>46112</v>
      </c>
      <c r="V20" s="18">
        <f t="shared" si="7"/>
        <v>46203</v>
      </c>
      <c r="W20" s="18">
        <f t="shared" si="7"/>
        <v>46295</v>
      </c>
      <c r="X20" s="18">
        <f t="shared" si="7"/>
        <v>46387</v>
      </c>
      <c r="Y20" s="18">
        <f t="shared" si="7"/>
        <v>46477</v>
      </c>
      <c r="Z20" s="18">
        <f t="shared" si="7"/>
        <v>46568</v>
      </c>
      <c r="AA20" s="18">
        <f t="shared" si="7"/>
        <v>46660</v>
      </c>
      <c r="AB20" s="18">
        <f t="shared" si="7"/>
        <v>46752</v>
      </c>
      <c r="AC20" s="18">
        <f t="shared" si="7"/>
        <v>46843</v>
      </c>
      <c r="AD20" s="18">
        <f t="shared" si="7"/>
        <v>46934</v>
      </c>
      <c r="AE20" s="18">
        <f t="shared" si="7"/>
        <v>47026</v>
      </c>
      <c r="AF20" s="18">
        <f t="shared" si="7"/>
        <v>47118</v>
      </c>
      <c r="AG20" s="18">
        <f t="shared" si="7"/>
        <v>47208</v>
      </c>
      <c r="AH20" s="18">
        <f t="shared" si="7"/>
        <v>47299</v>
      </c>
      <c r="AI20" s="18">
        <f t="shared" si="7"/>
        <v>47391</v>
      </c>
      <c r="AJ20" s="18">
        <f t="shared" si="7"/>
        <v>47483</v>
      </c>
      <c r="AK20" s="18">
        <f t="shared" si="7"/>
        <v>47573</v>
      </c>
      <c r="AL20" s="18">
        <f t="shared" ref="AL20:BQ20" si="8">DATE(YEAR(AL19),((TRUNC((MONTH(AL19)-1),0)+1)+1)+2,1)-1</f>
        <v>47664</v>
      </c>
      <c r="AM20" s="18">
        <f t="shared" si="8"/>
        <v>47756</v>
      </c>
      <c r="AN20" s="18">
        <f t="shared" si="8"/>
        <v>47848</v>
      </c>
      <c r="AO20" s="18">
        <f t="shared" si="8"/>
        <v>47938</v>
      </c>
      <c r="AP20" s="18">
        <f t="shared" si="8"/>
        <v>48029</v>
      </c>
      <c r="AQ20" s="18">
        <f t="shared" si="8"/>
        <v>48121</v>
      </c>
      <c r="AR20" s="18">
        <f t="shared" si="8"/>
        <v>48213</v>
      </c>
      <c r="AS20" s="18">
        <f t="shared" si="8"/>
        <v>48304</v>
      </c>
      <c r="AT20" s="18">
        <f t="shared" si="8"/>
        <v>48395</v>
      </c>
      <c r="AU20" s="18">
        <f t="shared" si="8"/>
        <v>48487</v>
      </c>
      <c r="AV20" s="18">
        <f t="shared" si="8"/>
        <v>48579</v>
      </c>
      <c r="AW20" s="18">
        <f t="shared" si="8"/>
        <v>48669</v>
      </c>
      <c r="AX20" s="18">
        <f t="shared" si="8"/>
        <v>48760</v>
      </c>
      <c r="AY20" s="18">
        <f t="shared" si="8"/>
        <v>48852</v>
      </c>
      <c r="AZ20" s="18">
        <f t="shared" si="8"/>
        <v>48944</v>
      </c>
      <c r="BA20" s="18">
        <f t="shared" si="8"/>
        <v>49034</v>
      </c>
      <c r="BB20" s="18">
        <f t="shared" si="8"/>
        <v>49125</v>
      </c>
      <c r="BC20" s="18">
        <f t="shared" si="8"/>
        <v>49217</v>
      </c>
      <c r="BD20" s="18">
        <f t="shared" si="8"/>
        <v>49309</v>
      </c>
      <c r="BE20" s="18">
        <f t="shared" si="8"/>
        <v>49399</v>
      </c>
      <c r="BF20" s="18">
        <f t="shared" si="8"/>
        <v>49490</v>
      </c>
      <c r="BG20" s="18">
        <f t="shared" si="8"/>
        <v>49582</v>
      </c>
      <c r="BH20" s="18">
        <f t="shared" si="8"/>
        <v>49674</v>
      </c>
      <c r="BI20" s="18">
        <f t="shared" si="8"/>
        <v>49765</v>
      </c>
      <c r="BJ20" s="18">
        <f t="shared" si="8"/>
        <v>49856</v>
      </c>
      <c r="BK20" s="18">
        <f t="shared" si="8"/>
        <v>49948</v>
      </c>
      <c r="BL20" s="18">
        <f t="shared" si="8"/>
        <v>50040</v>
      </c>
      <c r="BM20" s="18">
        <f t="shared" si="8"/>
        <v>50130</v>
      </c>
      <c r="BN20" s="18">
        <f t="shared" si="8"/>
        <v>50221</v>
      </c>
      <c r="BO20" s="18">
        <f t="shared" si="8"/>
        <v>50313</v>
      </c>
      <c r="BP20" s="18">
        <f t="shared" si="8"/>
        <v>50405</v>
      </c>
      <c r="BQ20" s="18">
        <f t="shared" si="8"/>
        <v>50495</v>
      </c>
      <c r="BR20" s="18">
        <f t="shared" ref="BR20:CW20" si="9">DATE(YEAR(BR19),((TRUNC((MONTH(BR19)-1),0)+1)+1)+2,1)-1</f>
        <v>50586</v>
      </c>
      <c r="BS20" s="18">
        <f t="shared" si="9"/>
        <v>50678</v>
      </c>
      <c r="BT20" s="18">
        <f t="shared" si="9"/>
        <v>50770</v>
      </c>
      <c r="BU20" s="18">
        <f t="shared" si="9"/>
        <v>50860</v>
      </c>
      <c r="BV20" s="18">
        <f t="shared" si="9"/>
        <v>50951</v>
      </c>
      <c r="BW20" s="18">
        <f t="shared" si="9"/>
        <v>51043</v>
      </c>
      <c r="BX20" s="18">
        <f t="shared" si="9"/>
        <v>51135</v>
      </c>
      <c r="BY20" s="18">
        <f t="shared" si="9"/>
        <v>51226</v>
      </c>
      <c r="BZ20" s="18">
        <f t="shared" si="9"/>
        <v>51317</v>
      </c>
      <c r="CA20" s="18">
        <f t="shared" si="9"/>
        <v>51409</v>
      </c>
      <c r="CB20" s="18">
        <f t="shared" si="9"/>
        <v>51501</v>
      </c>
      <c r="CC20" s="18">
        <f t="shared" si="9"/>
        <v>51591</v>
      </c>
      <c r="CD20" s="18">
        <f t="shared" si="9"/>
        <v>51682</v>
      </c>
      <c r="CE20" s="18">
        <f t="shared" si="9"/>
        <v>51774</v>
      </c>
      <c r="CF20" s="18">
        <f t="shared" si="9"/>
        <v>51866</v>
      </c>
      <c r="CG20" s="18">
        <f t="shared" si="9"/>
        <v>51956</v>
      </c>
      <c r="CH20" s="18">
        <f t="shared" si="9"/>
        <v>52047</v>
      </c>
      <c r="CI20" s="18">
        <f t="shared" si="9"/>
        <v>52139</v>
      </c>
      <c r="CJ20" s="18">
        <f t="shared" si="9"/>
        <v>52231</v>
      </c>
      <c r="CK20" s="18">
        <f t="shared" si="9"/>
        <v>52321</v>
      </c>
      <c r="CL20" s="18">
        <f t="shared" si="9"/>
        <v>52412</v>
      </c>
      <c r="CM20" s="18">
        <f t="shared" si="9"/>
        <v>52504</v>
      </c>
      <c r="CN20" s="18">
        <f t="shared" si="9"/>
        <v>52596</v>
      </c>
      <c r="CO20" s="18">
        <f t="shared" si="9"/>
        <v>52687</v>
      </c>
      <c r="CP20" s="18">
        <f t="shared" si="9"/>
        <v>52778</v>
      </c>
      <c r="CQ20" s="18">
        <f t="shared" si="9"/>
        <v>52870</v>
      </c>
      <c r="CR20" s="18">
        <f t="shared" si="9"/>
        <v>52962</v>
      </c>
      <c r="CS20" s="18">
        <f t="shared" si="9"/>
        <v>53052</v>
      </c>
      <c r="CT20" s="18">
        <f t="shared" si="9"/>
        <v>53143</v>
      </c>
      <c r="CU20" s="18">
        <f t="shared" si="9"/>
        <v>53235</v>
      </c>
      <c r="CV20" s="18">
        <f t="shared" si="9"/>
        <v>53327</v>
      </c>
      <c r="CW20" s="18">
        <f t="shared" si="9"/>
        <v>53417</v>
      </c>
      <c r="CX20" s="18">
        <f t="shared" ref="CX20:DK20" si="10">DATE(YEAR(CX19),((TRUNC((MONTH(CX19)-1),0)+1)+1)+2,1)-1</f>
        <v>53508</v>
      </c>
      <c r="CY20" s="18">
        <f t="shared" si="10"/>
        <v>53600</v>
      </c>
      <c r="CZ20" s="18">
        <f t="shared" si="10"/>
        <v>53692</v>
      </c>
      <c r="DA20" s="18">
        <f t="shared" si="10"/>
        <v>53782</v>
      </c>
      <c r="DB20" s="18">
        <f t="shared" si="10"/>
        <v>53873</v>
      </c>
      <c r="DC20" s="18">
        <f t="shared" si="10"/>
        <v>53965</v>
      </c>
      <c r="DD20" s="18">
        <f t="shared" si="10"/>
        <v>54057</v>
      </c>
      <c r="DE20" s="18">
        <f t="shared" si="10"/>
        <v>54148</v>
      </c>
      <c r="DF20" s="18">
        <f t="shared" si="10"/>
        <v>54239</v>
      </c>
      <c r="DG20" s="18">
        <f t="shared" si="10"/>
        <v>54331</v>
      </c>
      <c r="DH20" s="18">
        <f t="shared" si="10"/>
        <v>54423</v>
      </c>
      <c r="DI20" s="18">
        <f t="shared" si="10"/>
        <v>54513</v>
      </c>
      <c r="DJ20" s="18">
        <f t="shared" si="10"/>
        <v>54604</v>
      </c>
      <c r="DK20" s="18">
        <f t="shared" si="10"/>
        <v>54696</v>
      </c>
    </row>
    <row r="21" spans="1:145" s="19" customFormat="1">
      <c r="A21" s="40"/>
      <c r="B21" s="40"/>
      <c r="C21" s="251" t="s">
        <v>3</v>
      </c>
      <c r="D21" s="251"/>
      <c r="E21" s="217">
        <f>E20-E19+1</f>
        <v>59</v>
      </c>
      <c r="F21" s="217">
        <f t="shared" ref="F21:BQ21" si="11">F20-F19+1</f>
        <v>91</v>
      </c>
      <c r="G21" s="217">
        <f t="shared" si="11"/>
        <v>92</v>
      </c>
      <c r="H21" s="217">
        <f t="shared" si="11"/>
        <v>92</v>
      </c>
      <c r="I21" s="217">
        <f t="shared" si="11"/>
        <v>90</v>
      </c>
      <c r="J21" s="217">
        <f t="shared" si="11"/>
        <v>91</v>
      </c>
      <c r="K21" s="217">
        <f t="shared" si="11"/>
        <v>92</v>
      </c>
      <c r="L21" s="217">
        <f t="shared" si="11"/>
        <v>92</v>
      </c>
      <c r="M21" s="217">
        <f t="shared" si="11"/>
        <v>91</v>
      </c>
      <c r="N21" s="217">
        <f t="shared" si="11"/>
        <v>91</v>
      </c>
      <c r="O21" s="217">
        <f t="shared" si="11"/>
        <v>92</v>
      </c>
      <c r="P21" s="217">
        <f t="shared" si="11"/>
        <v>92</v>
      </c>
      <c r="Q21" s="217">
        <f t="shared" si="11"/>
        <v>90</v>
      </c>
      <c r="R21" s="217">
        <f t="shared" si="11"/>
        <v>91</v>
      </c>
      <c r="S21" s="217">
        <f t="shared" si="11"/>
        <v>92</v>
      </c>
      <c r="T21" s="217">
        <f t="shared" si="11"/>
        <v>92</v>
      </c>
      <c r="U21" s="217">
        <f t="shared" si="11"/>
        <v>90</v>
      </c>
      <c r="V21" s="217">
        <f t="shared" si="11"/>
        <v>91</v>
      </c>
      <c r="W21" s="217">
        <f t="shared" si="11"/>
        <v>92</v>
      </c>
      <c r="X21" s="217">
        <f t="shared" si="11"/>
        <v>92</v>
      </c>
      <c r="Y21" s="217">
        <f t="shared" si="11"/>
        <v>90</v>
      </c>
      <c r="Z21" s="217">
        <f t="shared" si="11"/>
        <v>91</v>
      </c>
      <c r="AA21" s="217">
        <f t="shared" si="11"/>
        <v>92</v>
      </c>
      <c r="AB21" s="217">
        <f t="shared" si="11"/>
        <v>92</v>
      </c>
      <c r="AC21" s="217">
        <f t="shared" si="11"/>
        <v>91</v>
      </c>
      <c r="AD21" s="217">
        <f t="shared" si="11"/>
        <v>91</v>
      </c>
      <c r="AE21" s="217">
        <f t="shared" si="11"/>
        <v>92</v>
      </c>
      <c r="AF21" s="217">
        <f t="shared" si="11"/>
        <v>92</v>
      </c>
      <c r="AG21" s="217">
        <f t="shared" si="11"/>
        <v>90</v>
      </c>
      <c r="AH21" s="217">
        <f t="shared" si="11"/>
        <v>91</v>
      </c>
      <c r="AI21" s="217">
        <f t="shared" si="11"/>
        <v>92</v>
      </c>
      <c r="AJ21" s="217">
        <f t="shared" si="11"/>
        <v>92</v>
      </c>
      <c r="AK21" s="217">
        <f t="shared" si="11"/>
        <v>90</v>
      </c>
      <c r="AL21" s="217">
        <f t="shared" si="11"/>
        <v>91</v>
      </c>
      <c r="AM21" s="217">
        <f t="shared" si="11"/>
        <v>92</v>
      </c>
      <c r="AN21" s="217">
        <f t="shared" si="11"/>
        <v>92</v>
      </c>
      <c r="AO21" s="217">
        <f t="shared" si="11"/>
        <v>90</v>
      </c>
      <c r="AP21" s="217">
        <f t="shared" si="11"/>
        <v>91</v>
      </c>
      <c r="AQ21" s="217">
        <f t="shared" si="11"/>
        <v>92</v>
      </c>
      <c r="AR21" s="217">
        <f t="shared" si="11"/>
        <v>92</v>
      </c>
      <c r="AS21" s="217">
        <f t="shared" si="11"/>
        <v>91</v>
      </c>
      <c r="AT21" s="217">
        <f t="shared" si="11"/>
        <v>91</v>
      </c>
      <c r="AU21" s="217">
        <f t="shared" si="11"/>
        <v>92</v>
      </c>
      <c r="AV21" s="217">
        <f t="shared" si="11"/>
        <v>92</v>
      </c>
      <c r="AW21" s="217">
        <f t="shared" si="11"/>
        <v>90</v>
      </c>
      <c r="AX21" s="217">
        <f t="shared" si="11"/>
        <v>91</v>
      </c>
      <c r="AY21" s="217">
        <f t="shared" si="11"/>
        <v>92</v>
      </c>
      <c r="AZ21" s="217">
        <f t="shared" si="11"/>
        <v>92</v>
      </c>
      <c r="BA21" s="217">
        <f t="shared" si="11"/>
        <v>90</v>
      </c>
      <c r="BB21" s="217">
        <f t="shared" si="11"/>
        <v>91</v>
      </c>
      <c r="BC21" s="217">
        <f t="shared" si="11"/>
        <v>92</v>
      </c>
      <c r="BD21" s="217">
        <f t="shared" si="11"/>
        <v>92</v>
      </c>
      <c r="BE21" s="217">
        <f t="shared" si="11"/>
        <v>90</v>
      </c>
      <c r="BF21" s="217">
        <f t="shared" si="11"/>
        <v>91</v>
      </c>
      <c r="BG21" s="217">
        <f t="shared" si="11"/>
        <v>92</v>
      </c>
      <c r="BH21" s="217">
        <f t="shared" si="11"/>
        <v>92</v>
      </c>
      <c r="BI21" s="217">
        <f t="shared" si="11"/>
        <v>91</v>
      </c>
      <c r="BJ21" s="217">
        <f t="shared" si="11"/>
        <v>91</v>
      </c>
      <c r="BK21" s="217">
        <f t="shared" si="11"/>
        <v>92</v>
      </c>
      <c r="BL21" s="217">
        <f t="shared" si="11"/>
        <v>92</v>
      </c>
      <c r="BM21" s="217">
        <f t="shared" si="11"/>
        <v>90</v>
      </c>
      <c r="BN21" s="217">
        <f t="shared" si="11"/>
        <v>91</v>
      </c>
      <c r="BO21" s="217">
        <f t="shared" si="11"/>
        <v>92</v>
      </c>
      <c r="BP21" s="217">
        <f t="shared" si="11"/>
        <v>92</v>
      </c>
      <c r="BQ21" s="217">
        <f t="shared" si="11"/>
        <v>90</v>
      </c>
      <c r="BR21" s="217">
        <f t="shared" ref="BR21:DJ21" si="12">BR20-BR19+1</f>
        <v>91</v>
      </c>
      <c r="BS21" s="217">
        <f t="shared" si="12"/>
        <v>92</v>
      </c>
      <c r="BT21" s="217">
        <f t="shared" si="12"/>
        <v>92</v>
      </c>
      <c r="BU21" s="217">
        <f t="shared" si="12"/>
        <v>90</v>
      </c>
      <c r="BV21" s="217">
        <f t="shared" si="12"/>
        <v>91</v>
      </c>
      <c r="BW21" s="217">
        <f t="shared" si="12"/>
        <v>92</v>
      </c>
      <c r="BX21" s="217">
        <f t="shared" si="12"/>
        <v>92</v>
      </c>
      <c r="BY21" s="217">
        <f t="shared" si="12"/>
        <v>91</v>
      </c>
      <c r="BZ21" s="217">
        <f t="shared" si="12"/>
        <v>91</v>
      </c>
      <c r="CA21" s="217">
        <f t="shared" si="12"/>
        <v>92</v>
      </c>
      <c r="CB21" s="217">
        <f t="shared" si="12"/>
        <v>92</v>
      </c>
      <c r="CC21" s="217">
        <f t="shared" si="12"/>
        <v>90</v>
      </c>
      <c r="CD21" s="217">
        <f t="shared" si="12"/>
        <v>91</v>
      </c>
      <c r="CE21" s="217">
        <f t="shared" si="12"/>
        <v>92</v>
      </c>
      <c r="CF21" s="217">
        <f t="shared" si="12"/>
        <v>92</v>
      </c>
      <c r="CG21" s="217">
        <f t="shared" si="12"/>
        <v>90</v>
      </c>
      <c r="CH21" s="217">
        <f t="shared" si="12"/>
        <v>91</v>
      </c>
      <c r="CI21" s="217">
        <f t="shared" si="12"/>
        <v>92</v>
      </c>
      <c r="CJ21" s="217">
        <f t="shared" si="12"/>
        <v>92</v>
      </c>
      <c r="CK21" s="217">
        <f t="shared" si="12"/>
        <v>90</v>
      </c>
      <c r="CL21" s="217">
        <f t="shared" si="12"/>
        <v>91</v>
      </c>
      <c r="CM21" s="217">
        <f t="shared" si="12"/>
        <v>92</v>
      </c>
      <c r="CN21" s="217">
        <f t="shared" si="12"/>
        <v>92</v>
      </c>
      <c r="CO21" s="217">
        <f t="shared" si="12"/>
        <v>91</v>
      </c>
      <c r="CP21" s="217">
        <f t="shared" si="12"/>
        <v>91</v>
      </c>
      <c r="CQ21" s="217">
        <f t="shared" si="12"/>
        <v>92</v>
      </c>
      <c r="CR21" s="217">
        <f t="shared" si="12"/>
        <v>92</v>
      </c>
      <c r="CS21" s="217">
        <f t="shared" si="12"/>
        <v>90</v>
      </c>
      <c r="CT21" s="217">
        <f t="shared" si="12"/>
        <v>91</v>
      </c>
      <c r="CU21" s="217">
        <f t="shared" si="12"/>
        <v>92</v>
      </c>
      <c r="CV21" s="217">
        <f t="shared" si="12"/>
        <v>92</v>
      </c>
      <c r="CW21" s="217">
        <f t="shared" si="12"/>
        <v>90</v>
      </c>
      <c r="CX21" s="217">
        <f t="shared" si="12"/>
        <v>91</v>
      </c>
      <c r="CY21" s="217">
        <f t="shared" si="12"/>
        <v>92</v>
      </c>
      <c r="CZ21" s="217">
        <f t="shared" si="12"/>
        <v>92</v>
      </c>
      <c r="DA21" s="217">
        <f t="shared" si="12"/>
        <v>90</v>
      </c>
      <c r="DB21" s="217">
        <f t="shared" si="12"/>
        <v>91</v>
      </c>
      <c r="DC21" s="217">
        <f t="shared" si="12"/>
        <v>92</v>
      </c>
      <c r="DD21" s="217">
        <f t="shared" si="12"/>
        <v>92</v>
      </c>
      <c r="DE21" s="217">
        <f t="shared" si="12"/>
        <v>91</v>
      </c>
      <c r="DF21" s="217">
        <f t="shared" si="12"/>
        <v>91</v>
      </c>
      <c r="DG21" s="217">
        <f t="shared" si="12"/>
        <v>92</v>
      </c>
      <c r="DH21" s="217">
        <f t="shared" si="12"/>
        <v>92</v>
      </c>
      <c r="DI21" s="217">
        <f t="shared" si="12"/>
        <v>90</v>
      </c>
      <c r="DJ21" s="217">
        <f t="shared" si="12"/>
        <v>91</v>
      </c>
      <c r="DK21" s="217">
        <f>DK20-DK19+1</f>
        <v>92</v>
      </c>
    </row>
    <row r="22" spans="1:145" s="19" customFormat="1" ht="15.75" thickBot="1">
      <c r="A22" s="40"/>
      <c r="B22" s="40"/>
      <c r="C22" s="43" t="s">
        <v>266</v>
      </c>
      <c r="D22" s="218"/>
      <c r="E22" s="217">
        <f>$D$5</f>
        <v>114723</v>
      </c>
      <c r="F22" s="217">
        <f>E22</f>
        <v>114723</v>
      </c>
      <c r="G22" s="217">
        <f t="shared" ref="G22:AA22" si="13">F22</f>
        <v>114723</v>
      </c>
      <c r="H22" s="217">
        <f t="shared" si="13"/>
        <v>114723</v>
      </c>
      <c r="I22" s="217">
        <f t="shared" si="13"/>
        <v>114723</v>
      </c>
      <c r="J22" s="217">
        <f t="shared" si="13"/>
        <v>114723</v>
      </c>
      <c r="K22" s="217">
        <f t="shared" si="13"/>
        <v>114723</v>
      </c>
      <c r="L22" s="217">
        <f t="shared" si="13"/>
        <v>114723</v>
      </c>
      <c r="M22" s="217">
        <f t="shared" si="13"/>
        <v>114723</v>
      </c>
      <c r="N22" s="217">
        <f t="shared" si="13"/>
        <v>114723</v>
      </c>
      <c r="O22" s="217">
        <f t="shared" si="13"/>
        <v>114723</v>
      </c>
      <c r="P22" s="217">
        <f t="shared" si="13"/>
        <v>114723</v>
      </c>
      <c r="Q22" s="217">
        <f t="shared" si="13"/>
        <v>114723</v>
      </c>
      <c r="R22" s="217">
        <f t="shared" si="13"/>
        <v>114723</v>
      </c>
      <c r="S22" s="217">
        <f t="shared" si="13"/>
        <v>114723</v>
      </c>
      <c r="T22" s="217">
        <f t="shared" si="13"/>
        <v>114723</v>
      </c>
      <c r="U22" s="217">
        <f t="shared" si="13"/>
        <v>114723</v>
      </c>
      <c r="V22" s="217">
        <f t="shared" si="13"/>
        <v>114723</v>
      </c>
      <c r="W22" s="217">
        <f t="shared" si="13"/>
        <v>114723</v>
      </c>
      <c r="X22" s="217">
        <f t="shared" si="13"/>
        <v>114723</v>
      </c>
      <c r="Y22" s="217">
        <f t="shared" si="13"/>
        <v>114723</v>
      </c>
      <c r="Z22" s="217">
        <f t="shared" si="13"/>
        <v>114723</v>
      </c>
      <c r="AA22" s="217">
        <f t="shared" si="13"/>
        <v>114723</v>
      </c>
      <c r="AB22" s="217">
        <f>AA22</f>
        <v>114723</v>
      </c>
      <c r="AC22" s="217">
        <f>AB22</f>
        <v>114723</v>
      </c>
      <c r="AD22" s="217">
        <f>AC22</f>
        <v>114723</v>
      </c>
      <c r="AE22" s="217">
        <f>AD22</f>
        <v>114723</v>
      </c>
      <c r="AF22" s="217">
        <f t="shared" ref="AF22:CD22" si="14">AE22</f>
        <v>114723</v>
      </c>
      <c r="AG22" s="217">
        <f t="shared" si="14"/>
        <v>114723</v>
      </c>
      <c r="AH22" s="217">
        <f t="shared" si="14"/>
        <v>114723</v>
      </c>
      <c r="AI22" s="217">
        <f t="shared" si="14"/>
        <v>114723</v>
      </c>
      <c r="AJ22" s="217">
        <f t="shared" si="14"/>
        <v>114723</v>
      </c>
      <c r="AK22" s="217">
        <f t="shared" si="14"/>
        <v>114723</v>
      </c>
      <c r="AL22" s="217">
        <f t="shared" si="14"/>
        <v>114723</v>
      </c>
      <c r="AM22" s="217">
        <f t="shared" si="14"/>
        <v>114723</v>
      </c>
      <c r="AN22" s="217">
        <f t="shared" si="14"/>
        <v>114723</v>
      </c>
      <c r="AO22" s="217">
        <f t="shared" si="14"/>
        <v>114723</v>
      </c>
      <c r="AP22" s="217">
        <f t="shared" si="14"/>
        <v>114723</v>
      </c>
      <c r="AQ22" s="217">
        <f t="shared" si="14"/>
        <v>114723</v>
      </c>
      <c r="AR22" s="217">
        <f t="shared" si="14"/>
        <v>114723</v>
      </c>
      <c r="AS22" s="217">
        <f t="shared" si="14"/>
        <v>114723</v>
      </c>
      <c r="AT22" s="217">
        <f t="shared" si="14"/>
        <v>114723</v>
      </c>
      <c r="AU22" s="217">
        <f t="shared" si="14"/>
        <v>114723</v>
      </c>
      <c r="AV22" s="217">
        <f t="shared" si="14"/>
        <v>114723</v>
      </c>
      <c r="AW22" s="217">
        <f t="shared" si="14"/>
        <v>114723</v>
      </c>
      <c r="AX22" s="217">
        <f t="shared" si="14"/>
        <v>114723</v>
      </c>
      <c r="AY22" s="217">
        <f t="shared" si="14"/>
        <v>114723</v>
      </c>
      <c r="AZ22" s="217">
        <f t="shared" si="14"/>
        <v>114723</v>
      </c>
      <c r="BA22" s="217">
        <f t="shared" si="14"/>
        <v>114723</v>
      </c>
      <c r="BB22" s="217">
        <f t="shared" si="14"/>
        <v>114723</v>
      </c>
      <c r="BC22" s="217">
        <f t="shared" si="14"/>
        <v>114723</v>
      </c>
      <c r="BD22" s="217">
        <f t="shared" si="14"/>
        <v>114723</v>
      </c>
      <c r="BE22" s="217">
        <f t="shared" si="14"/>
        <v>114723</v>
      </c>
      <c r="BF22" s="217">
        <f t="shared" si="14"/>
        <v>114723</v>
      </c>
      <c r="BG22" s="217">
        <f t="shared" si="14"/>
        <v>114723</v>
      </c>
      <c r="BH22" s="217">
        <f t="shared" si="14"/>
        <v>114723</v>
      </c>
      <c r="BI22" s="217">
        <f t="shared" si="14"/>
        <v>114723</v>
      </c>
      <c r="BJ22" s="217">
        <f t="shared" si="14"/>
        <v>114723</v>
      </c>
      <c r="BK22" s="217">
        <f t="shared" si="14"/>
        <v>114723</v>
      </c>
      <c r="BL22" s="217">
        <f t="shared" si="14"/>
        <v>114723</v>
      </c>
      <c r="BM22" s="217">
        <f t="shared" si="14"/>
        <v>114723</v>
      </c>
      <c r="BN22" s="217">
        <f t="shared" si="14"/>
        <v>114723</v>
      </c>
      <c r="BO22" s="217">
        <f t="shared" si="14"/>
        <v>114723</v>
      </c>
      <c r="BP22" s="217">
        <f t="shared" si="14"/>
        <v>114723</v>
      </c>
      <c r="BQ22" s="217">
        <f t="shared" si="14"/>
        <v>114723</v>
      </c>
      <c r="BR22" s="217">
        <f t="shared" si="14"/>
        <v>114723</v>
      </c>
      <c r="BS22" s="217">
        <f t="shared" si="14"/>
        <v>114723</v>
      </c>
      <c r="BT22" s="217">
        <f t="shared" si="14"/>
        <v>114723</v>
      </c>
      <c r="BU22" s="217">
        <f t="shared" si="14"/>
        <v>114723</v>
      </c>
      <c r="BV22" s="217">
        <f t="shared" si="14"/>
        <v>114723</v>
      </c>
      <c r="BW22" s="217">
        <f t="shared" si="14"/>
        <v>114723</v>
      </c>
      <c r="BX22" s="217">
        <f t="shared" si="14"/>
        <v>114723</v>
      </c>
      <c r="BY22" s="217">
        <f t="shared" si="14"/>
        <v>114723</v>
      </c>
      <c r="BZ22" s="217">
        <f t="shared" si="14"/>
        <v>114723</v>
      </c>
      <c r="CA22" s="217">
        <f t="shared" si="14"/>
        <v>114723</v>
      </c>
      <c r="CB22" s="217">
        <f t="shared" si="14"/>
        <v>114723</v>
      </c>
      <c r="CC22" s="217">
        <f t="shared" si="14"/>
        <v>114723</v>
      </c>
      <c r="CD22" s="217">
        <f t="shared" si="14"/>
        <v>114723</v>
      </c>
      <c r="CE22" s="217">
        <f>CD22</f>
        <v>114723</v>
      </c>
      <c r="CF22" s="217">
        <f t="shared" ref="CF22:CR22" si="15">CE22</f>
        <v>114723</v>
      </c>
      <c r="CG22" s="217">
        <f t="shared" si="15"/>
        <v>114723</v>
      </c>
      <c r="CH22" s="217">
        <f t="shared" si="15"/>
        <v>114723</v>
      </c>
      <c r="CI22" s="217">
        <f t="shared" si="15"/>
        <v>114723</v>
      </c>
      <c r="CJ22" s="217">
        <f t="shared" si="15"/>
        <v>114723</v>
      </c>
      <c r="CK22" s="217">
        <f t="shared" si="15"/>
        <v>114723</v>
      </c>
      <c r="CL22" s="217">
        <f t="shared" si="15"/>
        <v>114723</v>
      </c>
      <c r="CM22" s="217">
        <f t="shared" si="15"/>
        <v>114723</v>
      </c>
      <c r="CN22" s="217">
        <f t="shared" si="15"/>
        <v>114723</v>
      </c>
      <c r="CO22" s="217">
        <f t="shared" si="15"/>
        <v>114723</v>
      </c>
      <c r="CP22" s="217">
        <f t="shared" si="15"/>
        <v>114723</v>
      </c>
      <c r="CQ22" s="217">
        <f t="shared" si="15"/>
        <v>114723</v>
      </c>
      <c r="CR22" s="217">
        <f t="shared" si="15"/>
        <v>114723</v>
      </c>
      <c r="CS22" s="217">
        <f t="shared" ref="CS22:DH22" si="16">CR22</f>
        <v>114723</v>
      </c>
      <c r="CT22" s="217">
        <f t="shared" si="16"/>
        <v>114723</v>
      </c>
      <c r="CU22" s="217">
        <f t="shared" si="16"/>
        <v>114723</v>
      </c>
      <c r="CV22" s="217">
        <f t="shared" si="16"/>
        <v>114723</v>
      </c>
      <c r="CW22" s="217">
        <f t="shared" si="16"/>
        <v>114723</v>
      </c>
      <c r="CX22" s="217">
        <f t="shared" si="16"/>
        <v>114723</v>
      </c>
      <c r="CY22" s="217">
        <f t="shared" si="16"/>
        <v>114723</v>
      </c>
      <c r="CZ22" s="217">
        <f t="shared" si="16"/>
        <v>114723</v>
      </c>
      <c r="DA22" s="217">
        <f t="shared" si="16"/>
        <v>114723</v>
      </c>
      <c r="DB22" s="217">
        <f t="shared" si="16"/>
        <v>114723</v>
      </c>
      <c r="DC22" s="217">
        <f t="shared" si="16"/>
        <v>114723</v>
      </c>
      <c r="DD22" s="217">
        <f t="shared" si="16"/>
        <v>114723</v>
      </c>
      <c r="DE22" s="217">
        <f t="shared" si="16"/>
        <v>114723</v>
      </c>
      <c r="DF22" s="217">
        <f t="shared" si="16"/>
        <v>114723</v>
      </c>
      <c r="DG22" s="217">
        <f t="shared" si="16"/>
        <v>114723</v>
      </c>
      <c r="DH22" s="217">
        <f t="shared" si="16"/>
        <v>114723</v>
      </c>
      <c r="DI22" s="217">
        <f>DH22</f>
        <v>114723</v>
      </c>
      <c r="DJ22" s="217">
        <f>DI22</f>
        <v>114723</v>
      </c>
      <c r="DK22" s="217">
        <f>DJ22</f>
        <v>114723</v>
      </c>
    </row>
    <row r="23" spans="1:145" s="19" customFormat="1" ht="16.5" thickTop="1" thickBot="1">
      <c r="A23" s="40"/>
      <c r="B23" s="40"/>
      <c r="C23" s="221" t="s">
        <v>429</v>
      </c>
      <c r="D23" s="222"/>
      <c r="E23" s="220">
        <f>Резиденции!F29/(Земля!D5+Земля!D6)</f>
        <v>2.0539454090652349E-2</v>
      </c>
      <c r="F23" s="262">
        <f>Резиденции!F12</f>
        <v>14000</v>
      </c>
      <c r="G23" s="223">
        <f>LOOKUP(G19,ПРОДАЖА_lease_back!$D$11:$CQ$11,ПРОДАЖА_lease_back!$D$22:$CQ$22)</f>
        <v>0</v>
      </c>
      <c r="H23" s="223">
        <f>LOOKUP(H19,ПРОДАЖА_lease_back!$D$11:$CQ$11,ПРОДАЖА_lease_back!$D$22:$CQ$22)</f>
        <v>0</v>
      </c>
      <c r="I23" s="223">
        <f>LOOKUP(I19,ПРОДАЖА_lease_back!$D$11:$CQ$11,ПРОДАЖА_lease_back!$D$22:$CQ$22)</f>
        <v>0</v>
      </c>
      <c r="J23" s="223">
        <f>LOOKUP(J19,ПРОДАЖА_lease_back!$D$11:$CQ$11,ПРОДАЖА_lease_back!$D$22:$CQ$22)</f>
        <v>0</v>
      </c>
      <c r="K23" s="223">
        <f>LOOKUP(K19,ПРОДАЖА_lease_back!$D$11:$CQ$11,ПРОДАЖА_lease_back!$D$22:$CQ$22)</f>
        <v>0</v>
      </c>
      <c r="L23" s="223">
        <f>LOOKUP(L19,ПРОДАЖА_lease_back!$D$11:$CQ$11,ПРОДАЖА_lease_back!$D$22:$CQ$22)</f>
        <v>0</v>
      </c>
      <c r="M23" s="223">
        <f>LOOKUP(M19,ПРОДАЖА_lease_back!$D$11:$CQ$11,ПРОДАЖА_lease_back!$D$22:$CQ$22)</f>
        <v>0</v>
      </c>
      <c r="N23" s="223">
        <f>LOOKUP(N19,ПРОДАЖА_lease_back!$D$11:$CQ$11,ПРОДАЖА_lease_back!$D$22:$CQ$22)</f>
        <v>0</v>
      </c>
      <c r="O23" s="223">
        <f>LOOKUP(O19,ПРОДАЖА_lease_back!$D$11:$CQ$11,ПРОДАЖА_lease_back!$D$22:$CQ$22)</f>
        <v>0</v>
      </c>
      <c r="P23" s="223">
        <f>LOOKUP(P19,ПРОДАЖА_lease_back!$D$11:$CQ$11,ПРОДАЖА_lease_back!$D$22:$CQ$22)</f>
        <v>0</v>
      </c>
      <c r="Q23" s="223">
        <f>LOOKUP(Q19,ПРОДАЖА_lease_back!$D$11:$CQ$11,ПРОДАЖА_lease_back!$D$22:$CQ$22)</f>
        <v>0</v>
      </c>
      <c r="R23" s="223">
        <f>LOOKUP(R19,ПРОДАЖА_lease_back!$D$11:$CQ$11,ПРОДАЖА_lease_back!$D$22:$CQ$22)</f>
        <v>0</v>
      </c>
      <c r="S23" s="223">
        <f>LOOKUP(S19,ПРОДАЖА_lease_back!$D$11:$CQ$11,ПРОДАЖА_lease_back!$D$22:$CQ$22)</f>
        <v>0</v>
      </c>
      <c r="T23" s="223">
        <f>LOOKUP(T19,ПРОДАЖА_lease_back!$D$11:$CQ$11,ПРОДАЖА_lease_back!$D$22:$CQ$22)</f>
        <v>0</v>
      </c>
      <c r="U23" s="223">
        <f>LOOKUP(U19,ПРОДАЖА_lease_back!$D$11:$CQ$11,ПРОДАЖА_lease_back!$D$22:$CQ$22)</f>
        <v>700.00000000000011</v>
      </c>
      <c r="V23" s="223">
        <f>LOOKUP(V19,ПРОДАЖА_lease_back!$D$11:$CQ$11,ПРОДАЖА_lease_back!$D$22:$CQ$22)</f>
        <v>700.00000000000011</v>
      </c>
      <c r="W23" s="223">
        <f>LOOKUP(W19,ПРОДАЖА_lease_back!$D$11:$CQ$11,ПРОДАЖА_lease_back!$D$22:$CQ$22)</f>
        <v>980.00000000000023</v>
      </c>
      <c r="X23" s="223">
        <f>LOOKUP(X19,ПРОДАЖА_lease_back!$D$11:$CQ$11,ПРОДАЖА_lease_back!$D$22:$CQ$22)</f>
        <v>1120.0000000000002</v>
      </c>
      <c r="Y23" s="223">
        <f>LOOKUP(Y19,ПРОДАЖА_lease_back!$D$11:$CQ$11,ПРОДАЖА_lease_back!$D$22:$CQ$22)</f>
        <v>1400.0000000000002</v>
      </c>
      <c r="Z23" s="223">
        <f>LOOKUP(Z19,ПРОДАЖА_lease_back!$D$11:$CQ$11,ПРОДАЖА_lease_back!$D$22:$CQ$22)</f>
        <v>1400.0000000000002</v>
      </c>
      <c r="AA23" s="223">
        <f>LOOKUP(AA19,ПРОДАЖА_lease_back!$D$11:$CQ$11,ПРОДАЖА_lease_back!$D$22:$CQ$22)</f>
        <v>1400.0000000000002</v>
      </c>
      <c r="AB23" s="223">
        <f>LOOKUP(AB19,ПРОДАЖА_lease_back!$D$11:$CQ$11,ПРОДАЖА_lease_back!$D$22:$CQ$22)</f>
        <v>1400.0000000000002</v>
      </c>
      <c r="AC23" s="223">
        <f>LOOKUP(AC19,ПРОДАЖА_lease_back!$D$11:$CQ$11,ПРОДАЖА_lease_back!$D$22:$CQ$22)</f>
        <v>1400.0000000000002</v>
      </c>
      <c r="AD23" s="223">
        <f>LOOKUP(AD19,ПРОДАЖА_lease_back!$D$11:$CQ$11,ПРОДАЖА_lease_back!$D$22:$CQ$22)</f>
        <v>1400.0000000000002</v>
      </c>
      <c r="AE23" s="223">
        <f>LOOKUP(AE19,ПРОДАЖА_lease_back!$D$11:$CQ$11,ПРОДАЖА_lease_back!$D$22:$CQ$22)</f>
        <v>1120.0000000000002</v>
      </c>
      <c r="AF23" s="223">
        <f>LOOKUP(AF19,ПРОДАЖА_lease_back!$D$11:$CQ$11,ПРОДАЖА_lease_back!$D$22:$CQ$22)</f>
        <v>980.00000000000023</v>
      </c>
      <c r="AG23" s="223">
        <f>LOOKUP(AG19,ПРОДАЖА_lease_back!$D$11:$CQ$11,ПРОДАЖА_lease_back!$D$22:$CQ$22)</f>
        <v>0</v>
      </c>
      <c r="AH23" s="223">
        <f>LOOKUP(AH19,ПРОДАЖА_lease_back!$D$11:$CQ$11,ПРОДАЖА_lease_back!$D$22:$CQ$22)</f>
        <v>0</v>
      </c>
      <c r="AI23" s="223">
        <f>LOOKUP(AI19,ПРОДАЖА_lease_back!$D$11:$CQ$11,ПРОДАЖА_lease_back!$D$22:$CQ$22)</f>
        <v>0</v>
      </c>
      <c r="AJ23" s="223">
        <f>LOOKUP(AJ19,ПРОДАЖА_lease_back!$D$11:$CQ$11,ПРОДАЖА_lease_back!$D$22:$CQ$22)</f>
        <v>0</v>
      </c>
      <c r="AK23" s="223">
        <f>LOOKUP(AK19,ПРОДАЖА_lease_back!$D$11:$CQ$11,ПРОДАЖА_lease_back!$D$22:$CQ$22)</f>
        <v>0</v>
      </c>
      <c r="AL23" s="223">
        <f>LOOKUP(AL19,ПРОДАЖА_lease_back!$D$11:$CQ$11,ПРОДАЖА_lease_back!$D$22:$CQ$22)</f>
        <v>0</v>
      </c>
      <c r="AM23" s="223">
        <f>LOOKUP(AM19,ПРОДАЖА_lease_back!$D$11:$CQ$11,ПРОДАЖА_lease_back!$D$22:$CQ$22)</f>
        <v>0</v>
      </c>
      <c r="AN23" s="223">
        <f>LOOKUP(AN19,ПРОДАЖА_lease_back!$D$11:$CQ$11,ПРОДАЖА_lease_back!$D$22:$CQ$22)</f>
        <v>0</v>
      </c>
      <c r="AO23" s="223">
        <f>LOOKUP(AO19,ПРОДАЖА_lease_back!$D$11:$CQ$11,ПРОДАЖА_lease_back!$D$22:$CQ$22)</f>
        <v>0</v>
      </c>
      <c r="AP23" s="223">
        <f>LOOKUP(AP19,ПРОДАЖА_lease_back!$D$11:$CQ$11,ПРОДАЖА_lease_back!$D$22:$CQ$22)</f>
        <v>0</v>
      </c>
      <c r="AQ23" s="223">
        <f>LOOKUP(AQ19,ПРОДАЖА_lease_back!$D$11:$CQ$11,ПРОДАЖА_lease_back!$D$22:$CQ$22)</f>
        <v>0</v>
      </c>
      <c r="AR23" s="223">
        <f>LOOKUP(AR19,ПРОДАЖА_lease_back!$D$11:$CQ$11,ПРОДАЖА_lease_back!$D$22:$CQ$22)</f>
        <v>0</v>
      </c>
      <c r="AS23" s="223">
        <f>LOOKUP(AS19,ПРОДАЖА_lease_back!$D$11:$CQ$11,ПРОДАЖА_lease_back!$D$22:$CQ$22)</f>
        <v>0</v>
      </c>
      <c r="AT23" s="223">
        <f>LOOKUP(AT19,ПРОДАЖА_lease_back!$D$11:$CQ$11,ПРОДАЖА_lease_back!$D$22:$CQ$22)</f>
        <v>0</v>
      </c>
      <c r="AU23" s="223">
        <f>LOOKUP(AU19,ПРОДАЖА_lease_back!$D$11:$CQ$11,ПРОДАЖА_lease_back!$D$22:$CQ$22)</f>
        <v>0</v>
      </c>
      <c r="AV23" s="223">
        <f>LOOKUP(AV19,ПРОДАЖА_lease_back!$D$11:$CQ$11,ПРОДАЖА_lease_back!$D$22:$CQ$22)</f>
        <v>0</v>
      </c>
      <c r="AW23" s="223">
        <f>LOOKUP(AW19,ПРОДАЖА_lease_back!$D$11:$CQ$11,ПРОДАЖА_lease_back!$D$22:$CQ$22)</f>
        <v>0</v>
      </c>
      <c r="AX23" s="223">
        <f>LOOKUP(AX19,ПРОДАЖА_lease_back!$D$11:$CQ$11,ПРОДАЖА_lease_back!$D$22:$CQ$22)</f>
        <v>0</v>
      </c>
      <c r="AY23" s="223">
        <f>LOOKUP(AY19,ПРОДАЖА_lease_back!$D$11:$CQ$11,ПРОДАЖА_lease_back!$D$22:$CQ$22)</f>
        <v>0</v>
      </c>
      <c r="AZ23" s="223">
        <f>LOOKUP(AZ19,ПРОДАЖА_lease_back!$D$11:$CQ$11,ПРОДАЖА_lease_back!$D$22:$CQ$22)</f>
        <v>0</v>
      </c>
      <c r="BA23" s="223">
        <f>LOOKUP(BA19,ПРОДАЖА_lease_back!$D$11:$CQ$11,ПРОДАЖА_lease_back!$D$22:$CQ$22)</f>
        <v>0</v>
      </c>
      <c r="BB23" s="223">
        <f>LOOKUP(BB19,ПРОДАЖА_lease_back!$D$11:$CQ$11,ПРОДАЖА_lease_back!$D$22:$CQ$22)</f>
        <v>0</v>
      </c>
      <c r="BC23" s="223">
        <f>LOOKUP(BC19,ПРОДАЖА_lease_back!$D$11:$CQ$11,ПРОДАЖА_lease_back!$D$22:$CQ$22)</f>
        <v>0</v>
      </c>
      <c r="BD23" s="223">
        <f>LOOKUP(BD19,ПРОДАЖА_lease_back!$D$11:$CQ$11,ПРОДАЖА_lease_back!$D$22:$CQ$22)</f>
        <v>0</v>
      </c>
      <c r="BE23" s="223">
        <f>LOOKUP(BE19,ПРОДАЖА_lease_back!$D$11:$CQ$11,ПРОДАЖА_lease_back!$D$22:$CQ$22)</f>
        <v>0</v>
      </c>
      <c r="BF23" s="223">
        <f>LOOKUP(BF19,ПРОДАЖА_lease_back!$D$11:$CQ$11,ПРОДАЖА_lease_back!$D$22:$CQ$22)</f>
        <v>0</v>
      </c>
      <c r="BG23" s="223">
        <f>LOOKUP(BG19,ПРОДАЖА_lease_back!$D$11:$CQ$11,ПРОДАЖА_lease_back!$D$22:$CQ$22)</f>
        <v>0</v>
      </c>
      <c r="BH23" s="223">
        <f>LOOKUP(BH19,ПРОДАЖА_lease_back!$D$11:$CQ$11,ПРОДАЖА_lease_back!$D$22:$CQ$22)</f>
        <v>0</v>
      </c>
      <c r="BI23" s="223">
        <f>LOOKUP(BI19,ПРОДАЖА_lease_back!$D$11:$CQ$11,ПРОДАЖА_lease_back!$D$22:$CQ$22)</f>
        <v>0</v>
      </c>
      <c r="BJ23" s="223">
        <f>LOOKUP(BJ19,ПРОДАЖА_lease_back!$D$11:$CQ$11,ПРОДАЖА_lease_back!$D$22:$CQ$22)</f>
        <v>0</v>
      </c>
      <c r="BK23" s="223">
        <f>LOOKUP(BK19,ПРОДАЖА_lease_back!$D$11:$CQ$11,ПРОДАЖА_lease_back!$D$22:$CQ$22)</f>
        <v>0</v>
      </c>
      <c r="BL23" s="223">
        <f>LOOKUP(BL19,ПРОДАЖА_lease_back!$D$11:$CQ$11,ПРОДАЖА_lease_back!$D$22:$CQ$22)</f>
        <v>0</v>
      </c>
      <c r="BM23" s="223">
        <f>LOOKUP(BM19,ПРОДАЖА_lease_back!$D$11:$CQ$11,ПРОДАЖА_lease_back!$D$22:$CQ$22)</f>
        <v>0</v>
      </c>
      <c r="BN23" s="223">
        <f>LOOKUP(BN19,ПРОДАЖА_lease_back!$D$11:$CQ$11,ПРОДАЖА_lease_back!$D$22:$CQ$22)</f>
        <v>0</v>
      </c>
      <c r="BO23" s="223">
        <f>LOOKUP(BO19,ПРОДАЖА_lease_back!$D$11:$CQ$11,ПРОДАЖА_lease_back!$D$22:$CQ$22)</f>
        <v>0</v>
      </c>
      <c r="BP23" s="223">
        <f>LOOKUP(BP19,ПРОДАЖА_lease_back!$D$11:$CQ$11,ПРОДАЖА_lease_back!$D$22:$CQ$22)</f>
        <v>0</v>
      </c>
      <c r="BQ23" s="223">
        <f>LOOKUP(BQ19,ПРОДАЖА_lease_back!$D$11:$CQ$11,ПРОДАЖА_lease_back!$D$22:$CQ$22)</f>
        <v>0</v>
      </c>
      <c r="BR23" s="223">
        <f>LOOKUP(BR19,ПРОДАЖА_lease_back!$D$11:$CQ$11,ПРОДАЖА_lease_back!$D$22:$CQ$22)</f>
        <v>0</v>
      </c>
      <c r="BS23" s="223">
        <f>LOOKUP(BS19,ПРОДАЖА_lease_back!$D$11:$CQ$11,ПРОДАЖА_lease_back!$D$22:$CQ$22)</f>
        <v>0</v>
      </c>
      <c r="BT23" s="223">
        <f>LOOKUP(BT19,ПРОДАЖА_lease_back!$D$11:$CQ$11,ПРОДАЖА_lease_back!$D$22:$CQ$22)</f>
        <v>0</v>
      </c>
      <c r="BU23" s="223">
        <f>LOOKUP(BU19,ПРОДАЖА_lease_back!$D$11:$CQ$11,ПРОДАЖА_lease_back!$D$22:$CQ$22)</f>
        <v>0</v>
      </c>
      <c r="BV23" s="223">
        <f>LOOKUP(BV19,ПРОДАЖА_lease_back!$D$11:$CQ$11,ПРОДАЖА_lease_back!$D$22:$CQ$22)</f>
        <v>0</v>
      </c>
      <c r="BW23" s="223">
        <f>LOOKUP(BW19,ПРОДАЖА_lease_back!$D$11:$CQ$11,ПРОДАЖА_lease_back!$D$22:$CQ$22)</f>
        <v>0</v>
      </c>
      <c r="BX23" s="223">
        <f>LOOKUP(BX19,ПРОДАЖА_lease_back!$D$11:$CQ$11,ПРОДАЖА_lease_back!$D$22:$CQ$22)</f>
        <v>0</v>
      </c>
      <c r="BY23" s="223">
        <f>LOOKUP(BY19,ПРОДАЖА_lease_back!$D$11:$CQ$11,ПРОДАЖА_lease_back!$D$22:$CQ$22)</f>
        <v>0</v>
      </c>
      <c r="BZ23" s="223">
        <f>LOOKUP(BZ19,ПРОДАЖА_lease_back!$D$11:$CQ$11,ПРОДАЖА_lease_back!$D$22:$CQ$22)</f>
        <v>0</v>
      </c>
      <c r="CA23" s="223">
        <f>LOOKUP(CA19,ПРОДАЖА_lease_back!$D$11:$CQ$11,ПРОДАЖА_lease_back!$D$22:$CQ$22)</f>
        <v>0</v>
      </c>
      <c r="CB23" s="223">
        <f>LOOKUP(CB19,ПРОДАЖА_lease_back!$D$11:$CQ$11,ПРОДАЖА_lease_back!$D$22:$CQ$22)</f>
        <v>0</v>
      </c>
      <c r="CC23" s="223">
        <f>LOOKUP(CC19,ПРОДАЖА_lease_back!$D$11:$CQ$11,ПРОДАЖА_lease_back!$D$22:$CQ$22)</f>
        <v>0</v>
      </c>
      <c r="CD23" s="223">
        <f>LOOKUP(CD19,ПРОДАЖА_lease_back!$D$11:$CQ$11,ПРОДАЖА_lease_back!$D$22:$CQ$22)</f>
        <v>0</v>
      </c>
      <c r="CE23" s="223">
        <f>LOOKUP(CE19,ПРОДАЖА_lease_back!$D$11:$CQ$11,ПРОДАЖА_lease_back!$D$22:$CQ$22)</f>
        <v>0</v>
      </c>
      <c r="CF23" s="223">
        <f>LOOKUP(CF19,ПРОДАЖА_lease_back!$D$11:$CQ$11,ПРОДАЖА_lease_back!$D$22:$CQ$22)</f>
        <v>0</v>
      </c>
      <c r="CG23" s="223">
        <f>LOOKUP(CG19,ПРОДАЖА_lease_back!$D$11:$CQ$11,ПРОДАЖА_lease_back!$D$22:$CQ$22)</f>
        <v>0</v>
      </c>
      <c r="CH23" s="223">
        <f>LOOKUP(CH19,ПРОДАЖА_lease_back!$D$11:$CQ$11,ПРОДАЖА_lease_back!$D$22:$CQ$22)</f>
        <v>0</v>
      </c>
      <c r="CI23" s="223">
        <f>LOOKUP(CI19,ПРОДАЖА_lease_back!$D$11:$CQ$11,ПРОДАЖА_lease_back!$D$22:$CQ$22)</f>
        <v>0</v>
      </c>
      <c r="CJ23" s="223">
        <f>LOOKUP(CJ19,ПРОДАЖА_lease_back!$D$11:$CQ$11,ПРОДАЖА_lease_back!$D$22:$CQ$22)</f>
        <v>0</v>
      </c>
      <c r="CK23" s="223">
        <f>LOOKUP(CK19,ПРОДАЖА_lease_back!$D$11:$CQ$11,ПРОДАЖА_lease_back!$D$22:$CQ$22)</f>
        <v>0</v>
      </c>
      <c r="CL23" s="223">
        <f>LOOKUP(CL19,ПРОДАЖА_lease_back!$D$11:$CQ$11,ПРОДАЖА_lease_back!$D$22:$CQ$22)</f>
        <v>0</v>
      </c>
      <c r="CM23" s="223">
        <f>LOOKUP(CM19,ПРОДАЖА_lease_back!$D$11:$CQ$11,ПРОДАЖА_lease_back!$D$22:$CQ$22)</f>
        <v>0</v>
      </c>
      <c r="CN23" s="223">
        <f>LOOKUP(CN19,ПРОДАЖА_lease_back!$D$11:$CQ$11,ПРОДАЖА_lease_back!$D$22:$CQ$22)</f>
        <v>0</v>
      </c>
      <c r="CO23" s="223">
        <f>LOOKUP(CO19,ПРОДАЖА_lease_back!$D$11:$CQ$11,ПРОДАЖА_lease_back!$D$22:$CQ$22)</f>
        <v>0</v>
      </c>
      <c r="CP23" s="223">
        <f>LOOKUP(CP19,ПРОДАЖА_lease_back!$D$11:$CQ$11,ПРОДАЖА_lease_back!$D$22:$CQ$22)</f>
        <v>0</v>
      </c>
      <c r="CQ23" s="223">
        <f>LOOKUP(CQ19,ПРОДАЖА_lease_back!$D$11:$CQ$11,ПРОДАЖА_lease_back!$D$22:$CQ$22)</f>
        <v>0</v>
      </c>
      <c r="CR23" s="223">
        <f>LOOKUP(CR19,ПРОДАЖА_lease_back!$D$11:$CQ$11,ПРОДАЖА_lease_back!$D$22:$CQ$22)</f>
        <v>0</v>
      </c>
      <c r="CS23" s="223">
        <f>LOOKUP(CS19,ПРОДАЖА_lease_back!$D$11:$CQ$11,ПРОДАЖА_lease_back!$D$22:$CQ$22)</f>
        <v>0</v>
      </c>
      <c r="CT23" s="223">
        <f>LOOKUP(CT19,ПРОДАЖА_lease_back!$D$11:$CQ$11,ПРОДАЖА_lease_back!$D$22:$CQ$22)</f>
        <v>0</v>
      </c>
      <c r="CU23" s="223">
        <f>LOOKUP(CU19,ПРОДАЖА_lease_back!$D$11:$CQ$11,ПРОДАЖА_lease_back!$D$22:$CQ$22)</f>
        <v>0</v>
      </c>
      <c r="CV23" s="223">
        <f>LOOKUP(CV19,ПРОДАЖА_lease_back!$D$11:$CQ$11,ПРОДАЖА_lease_back!$D$22:$CQ$22)</f>
        <v>0</v>
      </c>
      <c r="CW23" s="223">
        <f>LOOKUP(CW19,ПРОДАЖА_lease_back!$D$11:$CQ$11,ПРОДАЖА_lease_back!$D$22:$CQ$22)</f>
        <v>0</v>
      </c>
      <c r="CX23" s="223">
        <f>LOOKUP(CX19,ПРОДАЖА_lease_back!$D$11:$CQ$11,ПРОДАЖА_lease_back!$D$22:$CQ$22)</f>
        <v>0</v>
      </c>
      <c r="CY23" s="223">
        <f>LOOKUP(CY19,ПРОДАЖА_lease_back!$D$11:$CQ$11,ПРОДАЖА_lease_back!$D$22:$CQ$22)</f>
        <v>0</v>
      </c>
      <c r="CZ23" s="223">
        <f>LOOKUP(CZ19,ПРОДАЖА_lease_back!$D$11:$CQ$11,ПРОДАЖА_lease_back!$D$22:$CQ$22)</f>
        <v>0</v>
      </c>
      <c r="DA23" s="223">
        <f>LOOKUP(DA19,ПРОДАЖА_lease_back!$D$11:$CQ$11,ПРОДАЖА_lease_back!$D$22:$CQ$22)</f>
        <v>0</v>
      </c>
      <c r="DB23" s="223">
        <f>LOOKUP(DB19,ПРОДАЖА_lease_back!$D$11:$CQ$11,ПРОДАЖА_lease_back!$D$22:$CQ$22)</f>
        <v>0</v>
      </c>
      <c r="DC23" s="223">
        <f>LOOKUP(DC19,ПРОДАЖА_lease_back!$D$11:$CQ$11,ПРОДАЖА_lease_back!$D$22:$CQ$22)</f>
        <v>0</v>
      </c>
      <c r="DD23" s="223">
        <f>LOOKUP(DD19,ПРОДАЖА_lease_back!$D$11:$CQ$11,ПРОДАЖА_lease_back!$D$22:$CQ$22)</f>
        <v>0</v>
      </c>
      <c r="DE23" s="223">
        <f>LOOKUP(DE19,ПРОДАЖА_lease_back!$D$11:$CQ$11,ПРОДАЖА_lease_back!$D$22:$CQ$22)</f>
        <v>0</v>
      </c>
      <c r="DF23" s="223">
        <f>LOOKUP(DF19,ПРОДАЖА_lease_back!$D$11:$CQ$11,ПРОДАЖА_lease_back!$D$22:$CQ$22)</f>
        <v>0</v>
      </c>
      <c r="DG23" s="223">
        <f>LOOKUP(DG19,ПРОДАЖА_lease_back!$D$11:$CQ$11,ПРОДАЖА_lease_back!$D$22:$CQ$22)</f>
        <v>0</v>
      </c>
      <c r="DH23" s="223">
        <f>LOOKUP(DH19,ПРОДАЖА_lease_back!$D$11:$CQ$11,ПРОДАЖА_lease_back!$D$22:$CQ$22)</f>
        <v>0</v>
      </c>
      <c r="DI23" s="223">
        <f>LOOKUP(DI19,ПРОДАЖА_lease_back!$D$11:$CQ$11,ПРОДАЖА_lease_back!$D$22:$CQ$22)</f>
        <v>0</v>
      </c>
      <c r="DJ23" s="223">
        <f>LOOKUP(DJ19,ПРОДАЖА_lease_back!$D$11:$CQ$11,ПРОДАЖА_lease_back!$D$22:$CQ$22)</f>
        <v>0</v>
      </c>
      <c r="DK23" s="223">
        <f>LOOKUP(DK19,ПРОДАЖА_lease_back!$D$11:$CQ$11,ПРОДАЖА_lease_back!$D$22:$CQ$22)</f>
        <v>0</v>
      </c>
    </row>
    <row r="24" spans="1:145" s="19" customFormat="1" ht="15.75" thickTop="1">
      <c r="A24" s="40"/>
      <c r="B24" s="40"/>
      <c r="C24" s="43" t="s">
        <v>428</v>
      </c>
      <c r="D24" s="218"/>
      <c r="E24" s="261"/>
      <c r="F24" s="261"/>
      <c r="G24" s="44">
        <f>-$E$23*G22*(SUM($G$23:G23)/$F$23)</f>
        <v>0</v>
      </c>
      <c r="H24" s="44">
        <f>-$E$23*H22*(SUM($G$23:H23)/$F$23)</f>
        <v>0</v>
      </c>
      <c r="I24" s="44">
        <f>-$E$23*I22*(SUM($G$23:I23)/$F$23)</f>
        <v>0</v>
      </c>
      <c r="J24" s="44">
        <f>-$E$23*J22*(SUM($G$23:J23)/$F$23)</f>
        <v>0</v>
      </c>
      <c r="K24" s="44">
        <f>-$E$23*K22*(SUM($G$23:K23)/$F$23)</f>
        <v>0</v>
      </c>
      <c r="L24" s="44">
        <f>-$E$23*L22*(SUM($G$23:L23)/$F$23)</f>
        <v>0</v>
      </c>
      <c r="M24" s="44">
        <f>-$E$23*M22*(SUM($G$23:M23)/$F$23)</f>
        <v>0</v>
      </c>
      <c r="N24" s="44">
        <f>-$E$23*N22*(SUM($G$23:N23)/$F$23)</f>
        <v>0</v>
      </c>
      <c r="O24" s="44">
        <f>-$E$23*O22*(SUM($G$23:O23)/$F$23)</f>
        <v>0</v>
      </c>
      <c r="P24" s="44">
        <f>-$E$23*P22*(SUM($G$23:P23)/$F$23)</f>
        <v>0</v>
      </c>
      <c r="Q24" s="44">
        <f>-$E$23*Q22*(SUM($G$23:Q23)/$F$23)</f>
        <v>0</v>
      </c>
      <c r="R24" s="44">
        <f>-$E$23*R22*(SUM($G$23:R23)/$F$23)</f>
        <v>0</v>
      </c>
      <c r="S24" s="44">
        <f>-$E$23*S22*(SUM($G$23:S23)/$F$23)</f>
        <v>0</v>
      </c>
      <c r="T24" s="44">
        <f>-$E$23*T22*(SUM($G$23:T23)/$F$23)</f>
        <v>0</v>
      </c>
      <c r="U24" s="44">
        <f>-$E$23*U22*(SUM($G$23:U23)/$F$23)</f>
        <v>-117.81738958209549</v>
      </c>
      <c r="V24" s="44">
        <f>-$E$23*V22*(SUM($G$23:V23)/$F$23)</f>
        <v>-235.63477916419097</v>
      </c>
      <c r="W24" s="44">
        <f>-$E$23*W22*(SUM($G$23:W23)/$F$23)</f>
        <v>-400.57912457912465</v>
      </c>
      <c r="X24" s="44">
        <f>-$E$23*X22*(SUM($G$23:X23)/$F$23)</f>
        <v>-589.08694791047742</v>
      </c>
      <c r="Y24" s="44">
        <f>-$E$23*Y22*(SUM($G$23:Y23)/$F$23)</f>
        <v>-824.72172707466848</v>
      </c>
      <c r="Z24" s="44">
        <f>-$E$23*Z22*(SUM($G$23:Z23)/$F$23)</f>
        <v>-1060.3565062388593</v>
      </c>
      <c r="AA24" s="44">
        <f>-$E$23*AA22*(SUM($G$23:AA23)/$F$23)</f>
        <v>-1295.9912854030501</v>
      </c>
      <c r="AB24" s="44">
        <f>-$E$23*AB22*(SUM($G$23:AB23)/$F$23)</f>
        <v>-1531.6260645672412</v>
      </c>
      <c r="AC24" s="44">
        <f>-$E$23*AC22*(SUM($G$23:AC23)/$F$23)</f>
        <v>-1767.2608437314323</v>
      </c>
      <c r="AD24" s="44">
        <f>-$E$23*AD22*(SUM($G$23:AD23)/$F$23)</f>
        <v>-2002.8956228956231</v>
      </c>
      <c r="AE24" s="44">
        <f>-$E$23*AE22*(SUM($G$23:AE23)/$F$23)</f>
        <v>-2191.403446226976</v>
      </c>
      <c r="AF24" s="44">
        <f>-$E$23*AF22*(SUM($G$23:AF23)/$F$23)</f>
        <v>-2356.3477916419097</v>
      </c>
      <c r="AG24" s="44">
        <f>-$E$23*AG22*(SUM($G$23:AG23)/$F$23)</f>
        <v>-2356.3477916419097</v>
      </c>
      <c r="AH24" s="44">
        <f>-$E$23*AH22*(SUM($G$23:AH23)/$F$23)</f>
        <v>-2356.3477916419097</v>
      </c>
      <c r="AI24" s="44">
        <f>-$E$23*AI22*(SUM($G$23:AI23)/$F$23)</f>
        <v>-2356.3477916419097</v>
      </c>
      <c r="AJ24" s="44">
        <f>-$E$23*AJ22*(SUM($G$23:AJ23)/$F$23)</f>
        <v>-2356.3477916419097</v>
      </c>
      <c r="AK24" s="44">
        <f>-$E$23*AK22*(SUM($G$23:AK23)/$F$23)</f>
        <v>-2356.3477916419097</v>
      </c>
      <c r="AL24" s="44">
        <f>-$E$23*AL22*(SUM($G$23:AL23)/$F$23)</f>
        <v>-2356.3477916419097</v>
      </c>
      <c r="AM24" s="44">
        <f>-$E$23*AM22*(SUM($G$23:AM23)/$F$23)</f>
        <v>-2356.3477916419097</v>
      </c>
      <c r="AN24" s="44">
        <f>-$E$23*AN22*(SUM($G$23:AN23)/$F$23)</f>
        <v>-2356.3477916419097</v>
      </c>
      <c r="AO24" s="44">
        <f>-$E$23*AO22*(SUM($G$23:AO23)/$F$23)</f>
        <v>-2356.3477916419097</v>
      </c>
      <c r="AP24" s="44">
        <f>-$E$23*AP22*(SUM($G$23:AP23)/$F$23)</f>
        <v>-2356.3477916419097</v>
      </c>
      <c r="AQ24" s="44">
        <f>-$E$23*AQ22*(SUM($G$23:AQ23)/$F$23)</f>
        <v>-2356.3477916419097</v>
      </c>
      <c r="AR24" s="44">
        <f>-$E$23*AR22*(SUM($G$23:AR23)/$F$23)</f>
        <v>-2356.3477916419097</v>
      </c>
      <c r="AS24" s="44">
        <f>-$E$23*AS22*(SUM($G$23:AS23)/$F$23)</f>
        <v>-2356.3477916419097</v>
      </c>
      <c r="AT24" s="44">
        <f>-$E$23*AT22*(SUM($G$23:AT23)/$F$23)</f>
        <v>-2356.3477916419097</v>
      </c>
      <c r="AU24" s="44">
        <f>-$E$23*AU22*(SUM($G$23:AU23)/$F$23)</f>
        <v>-2356.3477916419097</v>
      </c>
      <c r="AV24" s="44">
        <f>-$E$23*AV22*(SUM($G$23:AV23)/$F$23)</f>
        <v>-2356.3477916419097</v>
      </c>
      <c r="AW24" s="44">
        <f>-$E$23*AW22*(SUM($G$23:AW23)/$F$23)</f>
        <v>-2356.3477916419097</v>
      </c>
      <c r="AX24" s="44">
        <f>-$E$23*AX22*(SUM($G$23:AX23)/$F$23)</f>
        <v>-2356.3477916419097</v>
      </c>
      <c r="AY24" s="44">
        <f>-$E$23*AY22*(SUM($G$23:AY23)/$F$23)</f>
        <v>-2356.3477916419097</v>
      </c>
      <c r="AZ24" s="44">
        <f>-$E$23*AZ22*(SUM($G$23:AZ23)/$F$23)</f>
        <v>-2356.3477916419097</v>
      </c>
      <c r="BA24" s="44">
        <f>-$E$23*BA22*(SUM($G$23:BA23)/$F$23)</f>
        <v>-2356.3477916419097</v>
      </c>
      <c r="BB24" s="44">
        <f>-$E$23*BB22*(SUM($G$23:BB23)/$F$23)</f>
        <v>-2356.3477916419097</v>
      </c>
      <c r="BC24" s="44">
        <f>-$E$23*BC22*(SUM($G$23:BC23)/$F$23)</f>
        <v>-2356.3477916419097</v>
      </c>
      <c r="BD24" s="44">
        <f>-$E$23*BD22*(SUM($G$23:BD23)/$F$23)</f>
        <v>-2356.3477916419097</v>
      </c>
      <c r="BE24" s="44">
        <f>-$E$23*BE22*(SUM($G$23:BE23)/$F$23)</f>
        <v>-2356.3477916419097</v>
      </c>
      <c r="BF24" s="44">
        <f>-$E$23*BF22*(SUM($G$23:BF23)/$F$23)</f>
        <v>-2356.3477916419097</v>
      </c>
      <c r="BG24" s="44">
        <f>-$E$23*BG22*(SUM($G$23:BG23)/$F$23)</f>
        <v>-2356.3477916419097</v>
      </c>
      <c r="BH24" s="44">
        <f>-$E$23*BH22*(SUM($G$23:BH23)/$F$23)</f>
        <v>-2356.3477916419097</v>
      </c>
      <c r="BI24" s="44">
        <f>-$E$23*BI22*(SUM($G$23:BI23)/$F$23)</f>
        <v>-2356.3477916419097</v>
      </c>
      <c r="BJ24" s="44">
        <f>-$E$23*BJ22*(SUM($G$23:BJ23)/$F$23)</f>
        <v>-2356.3477916419097</v>
      </c>
      <c r="BK24" s="44">
        <f>-$E$23*BK22*(SUM($G$23:BK23)/$F$23)</f>
        <v>-2356.3477916419097</v>
      </c>
      <c r="BL24" s="44">
        <f>-$E$23*BL22*(SUM($G$23:BL23)/$F$23)</f>
        <v>-2356.3477916419097</v>
      </c>
      <c r="BM24" s="44">
        <f>-$E$23*BM22*(SUM($G$23:BM23)/$F$23)</f>
        <v>-2356.3477916419097</v>
      </c>
      <c r="BN24" s="44">
        <f>-$E$23*BN22*(SUM($G$23:BN23)/$F$23)</f>
        <v>-2356.3477916419097</v>
      </c>
      <c r="BO24" s="44">
        <f>-$E$23*BO22*(SUM($G$23:BO23)/$F$23)</f>
        <v>-2356.3477916419097</v>
      </c>
      <c r="BP24" s="44">
        <f>-$E$23*BP22*(SUM($G$23:BP23)/$F$23)</f>
        <v>-2356.3477916419097</v>
      </c>
      <c r="BQ24" s="44">
        <f>-$E$23*BQ22*(SUM($G$23:BQ23)/$F$23)</f>
        <v>-2356.3477916419097</v>
      </c>
      <c r="BR24" s="44">
        <f>-$E$23*BR22*(SUM($G$23:BR23)/$F$23)</f>
        <v>-2356.3477916419097</v>
      </c>
      <c r="BS24" s="44">
        <f>-$E$23*BS22*(SUM($G$23:BS23)/$F$23)</f>
        <v>-2356.3477916419097</v>
      </c>
      <c r="BT24" s="44">
        <f>-$E$23*BT22*(SUM($G$23:BT23)/$F$23)</f>
        <v>-2356.3477916419097</v>
      </c>
      <c r="BU24" s="44">
        <f>-$E$23*BU22*(SUM($G$23:BU23)/$F$23)</f>
        <v>-2356.3477916419097</v>
      </c>
      <c r="BV24" s="44">
        <f>-$E$23*BV22*(SUM($G$23:BV23)/$F$23)</f>
        <v>-2356.3477916419097</v>
      </c>
      <c r="BW24" s="44">
        <f>-$E$23*BW22*(SUM($G$23:BW23)/$F$23)</f>
        <v>-2356.3477916419097</v>
      </c>
      <c r="BX24" s="44">
        <f>-$E$23*BX22*(SUM($G$23:BX23)/$F$23)</f>
        <v>-2356.3477916419097</v>
      </c>
      <c r="BY24" s="44">
        <f>-$E$23*BY22*(SUM($G$23:BY23)/$F$23)</f>
        <v>-2356.3477916419097</v>
      </c>
      <c r="BZ24" s="44">
        <f>-$E$23*BZ22*(SUM($G$23:BZ23)/$F$23)</f>
        <v>-2356.3477916419097</v>
      </c>
      <c r="CA24" s="44">
        <f>-$E$23*CA22*(SUM($G$23:CA23)/$F$23)</f>
        <v>-2356.3477916419097</v>
      </c>
      <c r="CB24" s="44">
        <f>-$E$23*CB22*(SUM($G$23:CB23)/$F$23)</f>
        <v>-2356.3477916419097</v>
      </c>
      <c r="CC24" s="44">
        <f>-$E$23*CC22*(SUM($G$23:CC23)/$F$23)</f>
        <v>-2356.3477916419097</v>
      </c>
      <c r="CD24" s="44">
        <f>-$E$23*CD22*(SUM($G$23:CD23)/$F$23)</f>
        <v>-2356.3477916419097</v>
      </c>
      <c r="CE24" s="44">
        <f>-$E$23*CE22*(SUM($G$23:CE23)/$F$23)</f>
        <v>-2356.3477916419097</v>
      </c>
      <c r="CF24" s="44">
        <f>-$E$23*CF22*(SUM($G$23:CF23)/$F$23)</f>
        <v>-2356.3477916419097</v>
      </c>
      <c r="CG24" s="44">
        <f>-$E$23*CG22*(SUM($G$23:CG23)/$F$23)</f>
        <v>-2356.3477916419097</v>
      </c>
      <c r="CH24" s="44">
        <f>-$E$23*CH22*(SUM($G$23:CH23)/$F$23)</f>
        <v>-2356.3477916419097</v>
      </c>
      <c r="CI24" s="44">
        <f>-$E$23*CI22*(SUM($G$23:CI23)/$F$23)</f>
        <v>-2356.3477916419097</v>
      </c>
      <c r="CJ24" s="44">
        <f>-$E$23*CJ22*(SUM($G$23:CJ23)/$F$23)</f>
        <v>-2356.3477916419097</v>
      </c>
      <c r="CK24" s="44">
        <f>-$E$23*CK22*(SUM($G$23:CK23)/$F$23)</f>
        <v>-2356.3477916419097</v>
      </c>
      <c r="CL24" s="44">
        <f>-$E$23*CL22*(SUM($G$23:CL23)/$F$23)</f>
        <v>-2356.3477916419097</v>
      </c>
      <c r="CM24" s="44">
        <f>-$E$23*CM22*(SUM($G$23:CM23)/$F$23)</f>
        <v>-2356.3477916419097</v>
      </c>
      <c r="CN24" s="44">
        <f>-$E$23*CN22*(SUM($G$23:CN23)/$F$23)</f>
        <v>-2356.3477916419097</v>
      </c>
      <c r="CO24" s="44">
        <f>-$E$23*CO22*(SUM($G$23:CO23)/$F$23)</f>
        <v>-2356.3477916419097</v>
      </c>
      <c r="CP24" s="44">
        <f>-$E$23*CP22*(SUM($G$23:CP23)/$F$23)</f>
        <v>-2356.3477916419097</v>
      </c>
      <c r="CQ24" s="44">
        <f>-$E$23*CQ22*(SUM($G$23:CQ23)/$F$23)</f>
        <v>-2356.3477916419097</v>
      </c>
      <c r="CR24" s="44">
        <f>-$E$23*CR22*(SUM($G$23:CR23)/$F$23)</f>
        <v>-2356.3477916419097</v>
      </c>
      <c r="CS24" s="44">
        <f>-$E$23*CS22*(SUM($G$23:CS23)/$F$23)</f>
        <v>-2356.3477916419097</v>
      </c>
      <c r="CT24" s="44">
        <f>-$E$23*CT22*(SUM($G$23:CT23)/$F$23)</f>
        <v>-2356.3477916419097</v>
      </c>
      <c r="CU24" s="44">
        <f>-$E$23*CU22*(SUM($G$23:CU23)/$F$23)</f>
        <v>-2356.3477916419097</v>
      </c>
      <c r="CV24" s="44">
        <f>-$E$23*CV22*(SUM($G$23:CV23)/$F$23)</f>
        <v>-2356.3477916419097</v>
      </c>
      <c r="CW24" s="44">
        <f>-$E$23*CW22*(SUM($G$23:CW23)/$F$23)</f>
        <v>-2356.3477916419097</v>
      </c>
      <c r="CX24" s="44">
        <f>-$E$23*CX22*(SUM($G$23:CX23)/$F$23)</f>
        <v>-2356.3477916419097</v>
      </c>
      <c r="CY24" s="44">
        <f>-$E$23*CY22*(SUM($G$23:CY23)/$F$23)</f>
        <v>-2356.3477916419097</v>
      </c>
      <c r="CZ24" s="44">
        <f>-$E$23*CZ22*(SUM($G$23:CZ23)/$F$23)</f>
        <v>-2356.3477916419097</v>
      </c>
      <c r="DA24" s="44">
        <f>-$E$23*DA22*(SUM($G$23:DA23)/$F$23)</f>
        <v>-2356.3477916419097</v>
      </c>
      <c r="DB24" s="44">
        <f>-$E$23*DB22*(SUM($G$23:DB23)/$F$23)</f>
        <v>-2356.3477916419097</v>
      </c>
      <c r="DC24" s="44">
        <f>-$E$23*DC22*(SUM($G$23:DC23)/$F$23)</f>
        <v>-2356.3477916419097</v>
      </c>
      <c r="DD24" s="44">
        <f>-$E$23*DD22*(SUM($G$23:DD23)/$F$23)</f>
        <v>-2356.3477916419097</v>
      </c>
      <c r="DE24" s="44">
        <f>-$E$23*DE22*(SUM($G$23:DE23)/$F$23)</f>
        <v>-2356.3477916419097</v>
      </c>
      <c r="DF24" s="44">
        <f>-$E$23*DF22*(SUM($G$23:DF23)/$F$23)</f>
        <v>-2356.3477916419097</v>
      </c>
      <c r="DG24" s="44">
        <f>-$E$23*DG22*(SUM($G$23:DG23)/$F$23)</f>
        <v>-2356.3477916419097</v>
      </c>
      <c r="DH24" s="44">
        <f>-$E$23*DH22*(SUM($G$23:DH23)/$F$23)</f>
        <v>-2356.3477916419097</v>
      </c>
      <c r="DI24" s="44">
        <f>-$E$23*DI22*(SUM($G$23:DI23)/$F$23)</f>
        <v>-2356.3477916419097</v>
      </c>
      <c r="DJ24" s="44">
        <f>-$E$23*DJ22*(SUM($G$23:DJ23)/$F$23)</f>
        <v>-2356.3477916419097</v>
      </c>
      <c r="DK24" s="44">
        <f>-$E$23*DK22*(SUM($G$23:DK23)/$F$23)</f>
        <v>-2356.3477916419097</v>
      </c>
    </row>
    <row r="25" spans="1:145" s="19" customFormat="1" ht="28.5" customHeight="1">
      <c r="A25" s="40"/>
      <c r="B25" s="40"/>
      <c r="C25" s="1968" t="s">
        <v>288</v>
      </c>
      <c r="D25" s="1968"/>
      <c r="E25" s="276">
        <f>SUM(E22,E24)</f>
        <v>114723</v>
      </c>
      <c r="F25" s="276">
        <f t="shared" ref="F25:BQ25" si="17">SUM(F22,F24)</f>
        <v>114723</v>
      </c>
      <c r="G25" s="276">
        <f t="shared" si="17"/>
        <v>114723</v>
      </c>
      <c r="H25" s="276">
        <f t="shared" si="17"/>
        <v>114723</v>
      </c>
      <c r="I25" s="276">
        <f t="shared" si="17"/>
        <v>114723</v>
      </c>
      <c r="J25" s="276">
        <f t="shared" si="17"/>
        <v>114723</v>
      </c>
      <c r="K25" s="276">
        <f t="shared" si="17"/>
        <v>114723</v>
      </c>
      <c r="L25" s="276">
        <f t="shared" si="17"/>
        <v>114723</v>
      </c>
      <c r="M25" s="276">
        <f t="shared" si="17"/>
        <v>114723</v>
      </c>
      <c r="N25" s="276">
        <f t="shared" si="17"/>
        <v>114723</v>
      </c>
      <c r="O25" s="276">
        <f t="shared" si="17"/>
        <v>114723</v>
      </c>
      <c r="P25" s="276">
        <f t="shared" si="17"/>
        <v>114723</v>
      </c>
      <c r="Q25" s="276">
        <f t="shared" si="17"/>
        <v>114723</v>
      </c>
      <c r="R25" s="276">
        <f t="shared" si="17"/>
        <v>114723</v>
      </c>
      <c r="S25" s="276">
        <f t="shared" si="17"/>
        <v>114723</v>
      </c>
      <c r="T25" s="276">
        <f t="shared" si="17"/>
        <v>114723</v>
      </c>
      <c r="U25" s="276">
        <f t="shared" si="17"/>
        <v>114605.18261041791</v>
      </c>
      <c r="V25" s="276">
        <f t="shared" si="17"/>
        <v>114487.36522083581</v>
      </c>
      <c r="W25" s="276">
        <f t="shared" si="17"/>
        <v>114322.42087542088</v>
      </c>
      <c r="X25" s="276">
        <f t="shared" si="17"/>
        <v>114133.91305208953</v>
      </c>
      <c r="Y25" s="276">
        <f t="shared" si="17"/>
        <v>113898.27827292534</v>
      </c>
      <c r="Z25" s="276">
        <f t="shared" si="17"/>
        <v>113662.64349376113</v>
      </c>
      <c r="AA25" s="276">
        <f t="shared" si="17"/>
        <v>113427.00871459694</v>
      </c>
      <c r="AB25" s="276">
        <f t="shared" si="17"/>
        <v>113191.37393543276</v>
      </c>
      <c r="AC25" s="276">
        <f t="shared" si="17"/>
        <v>112955.73915626857</v>
      </c>
      <c r="AD25" s="276">
        <f t="shared" si="17"/>
        <v>112720.10437710438</v>
      </c>
      <c r="AE25" s="276">
        <f t="shared" si="17"/>
        <v>112531.59655377302</v>
      </c>
      <c r="AF25" s="276">
        <f t="shared" si="17"/>
        <v>112366.65220835809</v>
      </c>
      <c r="AG25" s="276">
        <f t="shared" si="17"/>
        <v>112366.65220835809</v>
      </c>
      <c r="AH25" s="276">
        <f t="shared" si="17"/>
        <v>112366.65220835809</v>
      </c>
      <c r="AI25" s="276">
        <f t="shared" si="17"/>
        <v>112366.65220835809</v>
      </c>
      <c r="AJ25" s="276">
        <f t="shared" si="17"/>
        <v>112366.65220835809</v>
      </c>
      <c r="AK25" s="276">
        <f t="shared" si="17"/>
        <v>112366.65220835809</v>
      </c>
      <c r="AL25" s="276">
        <f t="shared" si="17"/>
        <v>112366.65220835809</v>
      </c>
      <c r="AM25" s="276">
        <f t="shared" si="17"/>
        <v>112366.65220835809</v>
      </c>
      <c r="AN25" s="276">
        <f t="shared" si="17"/>
        <v>112366.65220835809</v>
      </c>
      <c r="AO25" s="276">
        <f t="shared" si="17"/>
        <v>112366.65220835809</v>
      </c>
      <c r="AP25" s="276">
        <f t="shared" si="17"/>
        <v>112366.65220835809</v>
      </c>
      <c r="AQ25" s="276">
        <f t="shared" si="17"/>
        <v>112366.65220835809</v>
      </c>
      <c r="AR25" s="276">
        <f t="shared" si="17"/>
        <v>112366.65220835809</v>
      </c>
      <c r="AS25" s="276">
        <f t="shared" si="17"/>
        <v>112366.65220835809</v>
      </c>
      <c r="AT25" s="276">
        <f t="shared" si="17"/>
        <v>112366.65220835809</v>
      </c>
      <c r="AU25" s="276">
        <f t="shared" si="17"/>
        <v>112366.65220835809</v>
      </c>
      <c r="AV25" s="276">
        <f t="shared" si="17"/>
        <v>112366.65220835809</v>
      </c>
      <c r="AW25" s="276">
        <f t="shared" si="17"/>
        <v>112366.65220835809</v>
      </c>
      <c r="AX25" s="276">
        <f t="shared" si="17"/>
        <v>112366.65220835809</v>
      </c>
      <c r="AY25" s="276">
        <f t="shared" si="17"/>
        <v>112366.65220835809</v>
      </c>
      <c r="AZ25" s="276">
        <f t="shared" si="17"/>
        <v>112366.65220835809</v>
      </c>
      <c r="BA25" s="276">
        <f t="shared" si="17"/>
        <v>112366.65220835809</v>
      </c>
      <c r="BB25" s="276">
        <f t="shared" si="17"/>
        <v>112366.65220835809</v>
      </c>
      <c r="BC25" s="276">
        <f t="shared" si="17"/>
        <v>112366.65220835809</v>
      </c>
      <c r="BD25" s="276">
        <f t="shared" si="17"/>
        <v>112366.65220835809</v>
      </c>
      <c r="BE25" s="276">
        <f t="shared" si="17"/>
        <v>112366.65220835809</v>
      </c>
      <c r="BF25" s="276">
        <f t="shared" si="17"/>
        <v>112366.65220835809</v>
      </c>
      <c r="BG25" s="276">
        <f t="shared" si="17"/>
        <v>112366.65220835809</v>
      </c>
      <c r="BH25" s="276">
        <f t="shared" si="17"/>
        <v>112366.65220835809</v>
      </c>
      <c r="BI25" s="276">
        <f t="shared" si="17"/>
        <v>112366.65220835809</v>
      </c>
      <c r="BJ25" s="276">
        <f t="shared" si="17"/>
        <v>112366.65220835809</v>
      </c>
      <c r="BK25" s="276">
        <f t="shared" si="17"/>
        <v>112366.65220835809</v>
      </c>
      <c r="BL25" s="276">
        <f t="shared" si="17"/>
        <v>112366.65220835809</v>
      </c>
      <c r="BM25" s="276">
        <f t="shared" si="17"/>
        <v>112366.65220835809</v>
      </c>
      <c r="BN25" s="276">
        <f t="shared" si="17"/>
        <v>112366.65220835809</v>
      </c>
      <c r="BO25" s="276">
        <f t="shared" si="17"/>
        <v>112366.65220835809</v>
      </c>
      <c r="BP25" s="276">
        <f t="shared" si="17"/>
        <v>112366.65220835809</v>
      </c>
      <c r="BQ25" s="276">
        <f t="shared" si="17"/>
        <v>112366.65220835809</v>
      </c>
      <c r="BR25" s="276">
        <f t="shared" ref="BR25:DK25" si="18">SUM(BR22,BR24)</f>
        <v>112366.65220835809</v>
      </c>
      <c r="BS25" s="276">
        <f t="shared" si="18"/>
        <v>112366.65220835809</v>
      </c>
      <c r="BT25" s="276">
        <f t="shared" si="18"/>
        <v>112366.65220835809</v>
      </c>
      <c r="BU25" s="276">
        <f t="shared" si="18"/>
        <v>112366.65220835809</v>
      </c>
      <c r="BV25" s="276">
        <f t="shared" si="18"/>
        <v>112366.65220835809</v>
      </c>
      <c r="BW25" s="276">
        <f t="shared" si="18"/>
        <v>112366.65220835809</v>
      </c>
      <c r="BX25" s="276">
        <f t="shared" si="18"/>
        <v>112366.65220835809</v>
      </c>
      <c r="BY25" s="276">
        <f t="shared" si="18"/>
        <v>112366.65220835809</v>
      </c>
      <c r="BZ25" s="276">
        <f t="shared" si="18"/>
        <v>112366.65220835809</v>
      </c>
      <c r="CA25" s="276">
        <f t="shared" si="18"/>
        <v>112366.65220835809</v>
      </c>
      <c r="CB25" s="276">
        <f t="shared" si="18"/>
        <v>112366.65220835809</v>
      </c>
      <c r="CC25" s="276">
        <f t="shared" si="18"/>
        <v>112366.65220835809</v>
      </c>
      <c r="CD25" s="276">
        <f t="shared" si="18"/>
        <v>112366.65220835809</v>
      </c>
      <c r="CE25" s="276">
        <f t="shared" si="18"/>
        <v>112366.65220835809</v>
      </c>
      <c r="CF25" s="276">
        <f t="shared" si="18"/>
        <v>112366.65220835809</v>
      </c>
      <c r="CG25" s="276">
        <f t="shared" si="18"/>
        <v>112366.65220835809</v>
      </c>
      <c r="CH25" s="276">
        <f t="shared" si="18"/>
        <v>112366.65220835809</v>
      </c>
      <c r="CI25" s="276">
        <f t="shared" si="18"/>
        <v>112366.65220835809</v>
      </c>
      <c r="CJ25" s="276">
        <f t="shared" si="18"/>
        <v>112366.65220835809</v>
      </c>
      <c r="CK25" s="276">
        <f t="shared" si="18"/>
        <v>112366.65220835809</v>
      </c>
      <c r="CL25" s="276">
        <f t="shared" si="18"/>
        <v>112366.65220835809</v>
      </c>
      <c r="CM25" s="276">
        <f t="shared" si="18"/>
        <v>112366.65220835809</v>
      </c>
      <c r="CN25" s="276">
        <f t="shared" si="18"/>
        <v>112366.65220835809</v>
      </c>
      <c r="CO25" s="276">
        <f t="shared" si="18"/>
        <v>112366.65220835809</v>
      </c>
      <c r="CP25" s="276">
        <f t="shared" si="18"/>
        <v>112366.65220835809</v>
      </c>
      <c r="CQ25" s="276">
        <f t="shared" si="18"/>
        <v>112366.65220835809</v>
      </c>
      <c r="CR25" s="276">
        <f t="shared" si="18"/>
        <v>112366.65220835809</v>
      </c>
      <c r="CS25" s="276">
        <f t="shared" si="18"/>
        <v>112366.65220835809</v>
      </c>
      <c r="CT25" s="276">
        <f t="shared" si="18"/>
        <v>112366.65220835809</v>
      </c>
      <c r="CU25" s="276">
        <f t="shared" si="18"/>
        <v>112366.65220835809</v>
      </c>
      <c r="CV25" s="276">
        <f t="shared" si="18"/>
        <v>112366.65220835809</v>
      </c>
      <c r="CW25" s="276">
        <f t="shared" si="18"/>
        <v>112366.65220835809</v>
      </c>
      <c r="CX25" s="276">
        <f t="shared" si="18"/>
        <v>112366.65220835809</v>
      </c>
      <c r="CY25" s="276">
        <f t="shared" si="18"/>
        <v>112366.65220835809</v>
      </c>
      <c r="CZ25" s="276">
        <f t="shared" si="18"/>
        <v>112366.65220835809</v>
      </c>
      <c r="DA25" s="276">
        <f t="shared" si="18"/>
        <v>112366.65220835809</v>
      </c>
      <c r="DB25" s="276">
        <f t="shared" si="18"/>
        <v>112366.65220835809</v>
      </c>
      <c r="DC25" s="276">
        <f t="shared" si="18"/>
        <v>112366.65220835809</v>
      </c>
      <c r="DD25" s="276">
        <f t="shared" si="18"/>
        <v>112366.65220835809</v>
      </c>
      <c r="DE25" s="276">
        <f t="shared" si="18"/>
        <v>112366.65220835809</v>
      </c>
      <c r="DF25" s="276">
        <f t="shared" si="18"/>
        <v>112366.65220835809</v>
      </c>
      <c r="DG25" s="276">
        <f t="shared" si="18"/>
        <v>112366.65220835809</v>
      </c>
      <c r="DH25" s="276">
        <f t="shared" si="18"/>
        <v>112366.65220835809</v>
      </c>
      <c r="DI25" s="276">
        <f t="shared" si="18"/>
        <v>112366.65220835809</v>
      </c>
      <c r="DJ25" s="276">
        <f t="shared" si="18"/>
        <v>112366.65220835809</v>
      </c>
      <c r="DK25" s="276">
        <f t="shared" si="18"/>
        <v>112366.65220835809</v>
      </c>
    </row>
    <row r="26" spans="1:145" s="19" customFormat="1">
      <c r="A26" s="40"/>
      <c r="B26" s="40"/>
      <c r="C26" s="43" t="s">
        <v>267</v>
      </c>
      <c r="D26" s="218"/>
      <c r="E26" s="210">
        <f>F26</f>
        <v>1</v>
      </c>
      <c r="F26" s="219">
        <f>LOOKUP(F19,CPI!$15:$15,CPI!$25:$25)</f>
        <v>1</v>
      </c>
      <c r="G26" s="219">
        <f>LOOKUP(G19,CPI!$15:$15,CPI!$25:$25)</f>
        <v>1</v>
      </c>
      <c r="H26" s="219">
        <f>LOOKUP(H19,CPI!$15:$15,CPI!$25:$25)</f>
        <v>1</v>
      </c>
      <c r="I26" s="219">
        <f>LOOKUP(I19,CPI!$15:$15,CPI!$25:$25)</f>
        <v>1</v>
      </c>
      <c r="J26" s="219">
        <f>LOOKUP(J19,CPI!$15:$15,CPI!$25:$25)</f>
        <v>1</v>
      </c>
      <c r="K26" s="219">
        <f>LOOKUP(K19,CPI!$15:$15,CPI!$25:$25)</f>
        <v>1</v>
      </c>
      <c r="L26" s="219">
        <f>LOOKUP(L19,CPI!$15:$15,CPI!$25:$25)</f>
        <v>1</v>
      </c>
      <c r="M26" s="219">
        <f>LOOKUP(M19,CPI!$15:$15,CPI!$25:$25)</f>
        <v>1</v>
      </c>
      <c r="N26" s="219">
        <f>LOOKUP(N19,CPI!$15:$15,CPI!$25:$25)</f>
        <v>1</v>
      </c>
      <c r="O26" s="219">
        <f>LOOKUP(O19,CPI!$15:$15,CPI!$25:$25)</f>
        <v>1</v>
      </c>
      <c r="P26" s="219">
        <f>LOOKUP(P19,CPI!$15:$15,CPI!$25:$25)</f>
        <v>1</v>
      </c>
      <c r="Q26" s="219">
        <f>LOOKUP(Q19,CPI!$15:$15,CPI!$25:$25)</f>
        <v>1</v>
      </c>
      <c r="R26" s="219">
        <f>LOOKUP(R19,CPI!$15:$15,CPI!$25:$25)</f>
        <v>1</v>
      </c>
      <c r="S26" s="219">
        <f>LOOKUP(S19,CPI!$15:$15,CPI!$25:$25)</f>
        <v>1</v>
      </c>
      <c r="T26" s="219">
        <f>LOOKUP(T19,CPI!$15:$15,CPI!$25:$25)</f>
        <v>1</v>
      </c>
      <c r="U26" s="219">
        <f>LOOKUP(U19,CPI!$15:$15,CPI!$25:$25)</f>
        <v>1.0122722344290394</v>
      </c>
      <c r="V26" s="219">
        <f>LOOKUP(V19,CPI!$15:$15,CPI!$25:$25)</f>
        <v>1.0246950765959599</v>
      </c>
      <c r="W26" s="219">
        <f>LOOKUP(W19,CPI!$15:$15,CPI!$25:$25)</f>
        <v>1.037270374794228</v>
      </c>
      <c r="X26" s="219">
        <f>LOOKUP(X19,CPI!$15:$15,CPI!$25:$25)</f>
        <v>1.0500000000000003</v>
      </c>
      <c r="Y26" s="219">
        <f>LOOKUP(Y19,CPI!$15:$15,CPI!$25:$25)</f>
        <v>1.0500000000000003</v>
      </c>
      <c r="Z26" s="219">
        <f>LOOKUP(Z19,CPI!$15:$15,CPI!$25:$25)</f>
        <v>1.0500000000000003</v>
      </c>
      <c r="AA26" s="219">
        <f>LOOKUP(AA19,CPI!$15:$15,CPI!$25:$25)</f>
        <v>1.0500000000000003</v>
      </c>
      <c r="AB26" s="219">
        <f>LOOKUP(AB19,CPI!$15:$15,CPI!$25:$25)</f>
        <v>1.0500000000000003</v>
      </c>
      <c r="AC26" s="219">
        <f>LOOKUP(AC19,CPI!$15:$15,CPI!$25:$25)</f>
        <v>1.0500000000000003</v>
      </c>
      <c r="AD26" s="219">
        <f>LOOKUP(AD19,CPI!$15:$15,CPI!$25:$25)</f>
        <v>1.0500000000000003</v>
      </c>
      <c r="AE26" s="219">
        <f>LOOKUP(AE19,CPI!$15:$15,CPI!$25:$25)</f>
        <v>1.0500000000000003</v>
      </c>
      <c r="AF26" s="219">
        <f>LOOKUP(AF19,CPI!$15:$15,CPI!$25:$25)</f>
        <v>1.0500000000000003</v>
      </c>
      <c r="AG26" s="219">
        <f>LOOKUP(AG19,CPI!$15:$15,CPI!$25:$25)</f>
        <v>1.0500000000000003</v>
      </c>
      <c r="AH26" s="219">
        <f>LOOKUP(AH19,CPI!$15:$15,CPI!$25:$25)</f>
        <v>1.0500000000000003</v>
      </c>
      <c r="AI26" s="219">
        <f>LOOKUP(AI19,CPI!$15:$15,CPI!$25:$25)</f>
        <v>1.0500000000000003</v>
      </c>
      <c r="AJ26" s="219">
        <f>LOOKUP(AJ19,CPI!$15:$15,CPI!$25:$25)</f>
        <v>1.0500000000000003</v>
      </c>
      <c r="AK26" s="219">
        <f>LOOKUP(AK19,CPI!$15:$15,CPI!$25:$25)</f>
        <v>1.0500000000000003</v>
      </c>
      <c r="AL26" s="219">
        <f>LOOKUP(AL19,CPI!$15:$15,CPI!$25:$25)</f>
        <v>1.0500000000000003</v>
      </c>
      <c r="AM26" s="219">
        <f>LOOKUP(AM19,CPI!$15:$15,CPI!$25:$25)</f>
        <v>1.0500000000000003</v>
      </c>
      <c r="AN26" s="219">
        <f>LOOKUP(AN19,CPI!$15:$15,CPI!$25:$25)</f>
        <v>1.0500000000000003</v>
      </c>
      <c r="AO26" s="219">
        <f>LOOKUP(AO19,CPI!$15:$15,CPI!$25:$25)</f>
        <v>1.0628858461504915</v>
      </c>
      <c r="AP26" s="219">
        <f>LOOKUP(AP19,CPI!$15:$15,CPI!$25:$25)</f>
        <v>1.0759298304257583</v>
      </c>
      <c r="AQ26" s="219">
        <f>LOOKUP(AQ19,CPI!$15:$15,CPI!$25:$25)</f>
        <v>1.0891338935339399</v>
      </c>
      <c r="AR26" s="219">
        <f>LOOKUP(AR19,CPI!$15:$15,CPI!$25:$25)</f>
        <v>1.1025000000000007</v>
      </c>
      <c r="AS26" s="219">
        <f>LOOKUP(AS19,CPI!$15:$15,CPI!$25:$25)</f>
        <v>1.1025000000000007</v>
      </c>
      <c r="AT26" s="219">
        <f>LOOKUP(AT19,CPI!$15:$15,CPI!$25:$25)</f>
        <v>1.1025000000000007</v>
      </c>
      <c r="AU26" s="219">
        <f>LOOKUP(AU19,CPI!$15:$15,CPI!$25:$25)</f>
        <v>1.1025000000000007</v>
      </c>
      <c r="AV26" s="219">
        <f>LOOKUP(AV19,CPI!$15:$15,CPI!$25:$25)</f>
        <v>1.1025000000000007</v>
      </c>
      <c r="AW26" s="219">
        <f>LOOKUP(AW19,CPI!$15:$15,CPI!$25:$25)</f>
        <v>1.1025000000000007</v>
      </c>
      <c r="AX26" s="219">
        <f>LOOKUP(AX19,CPI!$15:$15,CPI!$25:$25)</f>
        <v>1.1025000000000007</v>
      </c>
      <c r="AY26" s="219">
        <f>LOOKUP(AY19,CPI!$15:$15,CPI!$25:$25)</f>
        <v>1.1025000000000007</v>
      </c>
      <c r="AZ26" s="219">
        <f>LOOKUP(AZ19,CPI!$15:$15,CPI!$25:$25)</f>
        <v>1.1025000000000007</v>
      </c>
      <c r="BA26" s="219">
        <f>LOOKUP(BA19,CPI!$15:$15,CPI!$25:$25)</f>
        <v>1.1025000000000007</v>
      </c>
      <c r="BB26" s="219">
        <f>LOOKUP(BB19,CPI!$15:$15,CPI!$25:$25)</f>
        <v>1.1025000000000007</v>
      </c>
      <c r="BC26" s="219">
        <f>LOOKUP(BC19,CPI!$15:$15,CPI!$25:$25)</f>
        <v>1.1025000000000007</v>
      </c>
      <c r="BD26" s="219">
        <f>LOOKUP(BD19,CPI!$15:$15,CPI!$25:$25)</f>
        <v>1.1025000000000007</v>
      </c>
      <c r="BE26" s="219">
        <f>LOOKUP(BE19,CPI!$15:$15,CPI!$25:$25)</f>
        <v>1.1025000000000007</v>
      </c>
      <c r="BF26" s="219">
        <f>LOOKUP(BF19,CPI!$15:$15,CPI!$25:$25)</f>
        <v>1.1025000000000007</v>
      </c>
      <c r="BG26" s="219">
        <f>LOOKUP(BG19,CPI!$15:$15,CPI!$25:$25)</f>
        <v>1.1025000000000007</v>
      </c>
      <c r="BH26" s="219">
        <f>LOOKUP(BH19,CPI!$15:$15,CPI!$25:$25)</f>
        <v>1.1025000000000007</v>
      </c>
      <c r="BI26" s="219">
        <f>LOOKUP(BI19,CPI!$15:$15,CPI!$25:$25)</f>
        <v>1.1160301384580167</v>
      </c>
      <c r="BJ26" s="219">
        <f>LOOKUP(BJ19,CPI!$15:$15,CPI!$25:$25)</f>
        <v>1.1297263219470468</v>
      </c>
      <c r="BK26" s="219">
        <f>LOOKUP(BK19,CPI!$15:$15,CPI!$25:$25)</f>
        <v>1.1435905882106374</v>
      </c>
      <c r="BL26" s="219">
        <f>LOOKUP(BL19,CPI!$15:$15,CPI!$25:$25)</f>
        <v>1.1576250000000015</v>
      </c>
      <c r="BM26" s="219">
        <f>LOOKUP(BM19,CPI!$15:$15,CPI!$25:$25)</f>
        <v>1.1576250000000015</v>
      </c>
      <c r="BN26" s="219">
        <f>LOOKUP(BN19,CPI!$15:$15,CPI!$25:$25)</f>
        <v>1.1576250000000015</v>
      </c>
      <c r="BO26" s="219">
        <f>LOOKUP(BO19,CPI!$15:$15,CPI!$25:$25)</f>
        <v>1.1576250000000015</v>
      </c>
      <c r="BP26" s="219">
        <f>LOOKUP(BP19,CPI!$15:$15,CPI!$25:$25)</f>
        <v>1.1576250000000015</v>
      </c>
      <c r="BQ26" s="219">
        <f>LOOKUP(BQ19,CPI!$15:$15,CPI!$25:$25)</f>
        <v>1.1576250000000015</v>
      </c>
      <c r="BR26" s="219">
        <f>LOOKUP(BR19,CPI!$15:$15,CPI!$25:$25)</f>
        <v>1.1576250000000015</v>
      </c>
      <c r="BS26" s="219">
        <f>LOOKUP(BS19,CPI!$15:$15,CPI!$25:$25)</f>
        <v>1.1576250000000015</v>
      </c>
      <c r="BT26" s="219">
        <f>LOOKUP(BT19,CPI!$15:$15,CPI!$25:$25)</f>
        <v>1.1576250000000015</v>
      </c>
      <c r="BU26" s="219">
        <f>LOOKUP(BU19,CPI!$15:$15,CPI!$25:$25)</f>
        <v>1.1576250000000015</v>
      </c>
      <c r="BV26" s="219">
        <f>LOOKUP(BV19,CPI!$15:$15,CPI!$25:$25)</f>
        <v>1.1576250000000015</v>
      </c>
      <c r="BW26" s="219">
        <f>LOOKUP(BW19,CPI!$15:$15,CPI!$25:$25)</f>
        <v>1.1576250000000015</v>
      </c>
      <c r="BX26" s="219">
        <f>LOOKUP(BX19,CPI!$15:$15,CPI!$25:$25)</f>
        <v>1.1576250000000015</v>
      </c>
      <c r="BY26" s="219">
        <f>LOOKUP(BY19,CPI!$15:$15,CPI!$25:$25)</f>
        <v>1.1576250000000015</v>
      </c>
      <c r="BZ26" s="219">
        <f>LOOKUP(BZ19,CPI!$15:$15,CPI!$25:$25)</f>
        <v>1.1576250000000015</v>
      </c>
      <c r="CA26" s="219">
        <f>LOOKUP(CA19,CPI!$15:$15,CPI!$25:$25)</f>
        <v>1.1576250000000015</v>
      </c>
      <c r="CB26" s="219">
        <f>LOOKUP(CB19,CPI!$15:$15,CPI!$25:$25)</f>
        <v>1.1576250000000015</v>
      </c>
      <c r="CC26" s="219">
        <f>LOOKUP(CC19,CPI!$15:$15,CPI!$25:$25)</f>
        <v>1.1576250000000015</v>
      </c>
      <c r="CD26" s="219">
        <f>LOOKUP(CD19,CPI!$15:$15,CPI!$25:$25)</f>
        <v>1.1576250000000015</v>
      </c>
      <c r="CE26" s="219">
        <f>LOOKUP(CE19,CPI!$15:$15,CPI!$25:$25)</f>
        <v>1.1576250000000015</v>
      </c>
      <c r="CF26" s="219">
        <f>LOOKUP(CF19,CPI!$15:$15,CPI!$25:$25)</f>
        <v>1.1576250000000015</v>
      </c>
      <c r="CG26" s="219">
        <f>LOOKUP(CG19,CPI!$15:$15,CPI!$25:$25)</f>
        <v>1.1576250000000015</v>
      </c>
      <c r="CH26" s="219">
        <f>LOOKUP(CH19,CPI!$15:$15,CPI!$25:$25)</f>
        <v>1.1576250000000015</v>
      </c>
      <c r="CI26" s="219">
        <f>LOOKUP(CI19,CPI!$15:$15,CPI!$25:$25)</f>
        <v>1.1576250000000015</v>
      </c>
      <c r="CJ26" s="219">
        <f>LOOKUP(CJ19,CPI!$15:$15,CPI!$25:$25)</f>
        <v>1.1576250000000015</v>
      </c>
      <c r="CK26" s="219">
        <f>LOOKUP(CK19,CPI!$15:$15,CPI!$25:$25)</f>
        <v>1.1576250000000015</v>
      </c>
      <c r="CL26" s="219">
        <f>LOOKUP(CL19,CPI!$15:$15,CPI!$25:$25)</f>
        <v>1.1576250000000015</v>
      </c>
      <c r="CM26" s="219">
        <f>LOOKUP(CM19,CPI!$15:$15,CPI!$25:$25)</f>
        <v>1.1576250000000015</v>
      </c>
      <c r="CN26" s="219">
        <f>LOOKUP(CN19,CPI!$15:$15,CPI!$25:$25)</f>
        <v>1.1576250000000015</v>
      </c>
      <c r="CO26" s="219">
        <f>LOOKUP(CO19,CPI!$15:$15,CPI!$25:$25)</f>
        <v>1.1576250000000015</v>
      </c>
      <c r="CP26" s="219">
        <f>LOOKUP(CP19,CPI!$15:$15,CPI!$25:$25)</f>
        <v>1.1576250000000015</v>
      </c>
      <c r="CQ26" s="219">
        <f>LOOKUP(CQ19,CPI!$15:$15,CPI!$25:$25)</f>
        <v>1.1576250000000015</v>
      </c>
      <c r="CR26" s="219">
        <f>LOOKUP(CR19,CPI!$15:$15,CPI!$25:$25)</f>
        <v>1.1576250000000015</v>
      </c>
      <c r="CS26" s="219">
        <f>LOOKUP(CS19,CPI!$15:$15,CPI!$25:$25)</f>
        <v>1.1576250000000015</v>
      </c>
      <c r="CT26" s="219">
        <f>LOOKUP(CT19,CPI!$15:$15,CPI!$25:$25)</f>
        <v>1.1576250000000015</v>
      </c>
      <c r="CU26" s="219">
        <f>LOOKUP(CU19,CPI!$15:$15,CPI!$25:$25)</f>
        <v>1.1576250000000015</v>
      </c>
      <c r="CV26" s="219">
        <f>LOOKUP(CV19,CPI!$15:$15,CPI!$25:$25)</f>
        <v>1.1576250000000015</v>
      </c>
      <c r="CW26" s="219">
        <f>LOOKUP(CW19,CPI!$15:$15,CPI!$25:$25)</f>
        <v>1.1576250000000015</v>
      </c>
      <c r="CX26" s="219">
        <f>LOOKUP(CX19,CPI!$15:$15,CPI!$25:$25)</f>
        <v>1.1576250000000015</v>
      </c>
      <c r="CY26" s="219">
        <f>LOOKUP(CY19,CPI!$15:$15,CPI!$25:$25)</f>
        <v>1.1576250000000015</v>
      </c>
      <c r="CZ26" s="219">
        <f>LOOKUP(CZ19,CPI!$15:$15,CPI!$25:$25)</f>
        <v>1.1576250000000015</v>
      </c>
      <c r="DA26" s="219">
        <f>LOOKUP(DA19,CPI!$15:$15,CPI!$25:$25)</f>
        <v>1.1576250000000015</v>
      </c>
      <c r="DB26" s="219">
        <f>LOOKUP(DB19,CPI!$15:$15,CPI!$25:$25)</f>
        <v>1.1576250000000015</v>
      </c>
      <c r="DC26" s="219">
        <f>LOOKUP(DC19,CPI!$15:$15,CPI!$25:$25)</f>
        <v>1.1576250000000015</v>
      </c>
      <c r="DD26" s="219">
        <f>LOOKUP(DD19,CPI!$15:$15,CPI!$25:$25)</f>
        <v>1.1576250000000015</v>
      </c>
      <c r="DE26" s="219">
        <f>LOOKUP(DE19,CPI!$15:$15,CPI!$25:$25)</f>
        <v>1.1576250000000015</v>
      </c>
      <c r="DF26" s="219">
        <f>LOOKUP(DF19,CPI!$15:$15,CPI!$25:$25)</f>
        <v>1.1576250000000015</v>
      </c>
      <c r="DG26" s="219">
        <f>LOOKUP(DG19,CPI!$15:$15,CPI!$25:$25)</f>
        <v>1.1576250000000015</v>
      </c>
      <c r="DH26" s="219">
        <f>LOOKUP(DH19,CPI!$15:$15,CPI!$25:$25)</f>
        <v>1.1576250000000015</v>
      </c>
      <c r="DI26" s="219">
        <f>LOOKUP(DI19,CPI!$15:$15,CPI!$25:$25)</f>
        <v>1.1576250000000015</v>
      </c>
      <c r="DJ26" s="219">
        <f>LOOKUP(DJ19,CPI!$15:$15,CPI!$25:$25)</f>
        <v>1.1576250000000015</v>
      </c>
      <c r="DK26" s="219">
        <f>LOOKUP(DK19,CPI!$15:$15,CPI!$25:$25)</f>
        <v>1.1576250000000015</v>
      </c>
    </row>
    <row r="27" spans="1:145" s="227" customFormat="1" ht="12.75">
      <c r="A27" s="114"/>
      <c r="B27" s="40"/>
      <c r="C27" s="224" t="s">
        <v>268</v>
      </c>
      <c r="D27" s="225"/>
      <c r="E27" s="226">
        <f t="shared" ref="E27:AJ27" si="19">$J$5*E26*E25*E21/365</f>
        <v>73120.967079041089</v>
      </c>
      <c r="F27" s="226">
        <f t="shared" si="19"/>
        <v>112779.79668123287</v>
      </c>
      <c r="G27" s="226">
        <f t="shared" si="19"/>
        <v>114019.13510630137</v>
      </c>
      <c r="H27" s="226">
        <f t="shared" si="19"/>
        <v>114019.13510630137</v>
      </c>
      <c r="I27" s="226">
        <f t="shared" si="19"/>
        <v>111540.45825616438</v>
      </c>
      <c r="J27" s="226">
        <f t="shared" si="19"/>
        <v>112779.79668123287</v>
      </c>
      <c r="K27" s="226">
        <f t="shared" si="19"/>
        <v>114019.13510630137</v>
      </c>
      <c r="L27" s="226">
        <f t="shared" si="19"/>
        <v>114019.13510630137</v>
      </c>
      <c r="M27" s="226">
        <f t="shared" si="19"/>
        <v>112779.79668123287</v>
      </c>
      <c r="N27" s="226">
        <f t="shared" si="19"/>
        <v>112779.79668123287</v>
      </c>
      <c r="O27" s="226">
        <f t="shared" si="19"/>
        <v>114019.13510630137</v>
      </c>
      <c r="P27" s="226">
        <f t="shared" si="19"/>
        <v>114019.13510630137</v>
      </c>
      <c r="Q27" s="226">
        <f t="shared" si="19"/>
        <v>111540.45825616438</v>
      </c>
      <c r="R27" s="226">
        <f t="shared" si="19"/>
        <v>112779.79668123287</v>
      </c>
      <c r="S27" s="226">
        <f t="shared" si="19"/>
        <v>114019.13510630137</v>
      </c>
      <c r="T27" s="226">
        <f t="shared" si="19"/>
        <v>114019.13510630137</v>
      </c>
      <c r="U27" s="226">
        <f t="shared" si="19"/>
        <v>112793.35412987016</v>
      </c>
      <c r="V27" s="226">
        <f t="shared" si="19"/>
        <v>115327.53839802173</v>
      </c>
      <c r="W27" s="226">
        <f t="shared" si="19"/>
        <v>117855.71143588562</v>
      </c>
      <c r="X27" s="226">
        <f t="shared" si="19"/>
        <v>119105.34552898639</v>
      </c>
      <c r="Y27" s="226">
        <f t="shared" si="19"/>
        <v>116275.5459742836</v>
      </c>
      <c r="Z27" s="226">
        <f t="shared" si="19"/>
        <v>117324.27076219879</v>
      </c>
      <c r="AA27" s="226">
        <f t="shared" si="19"/>
        <v>118367.64992983027</v>
      </c>
      <c r="AB27" s="226">
        <f t="shared" si="19"/>
        <v>118121.75139677823</v>
      </c>
      <c r="AC27" s="226">
        <f t="shared" si="19"/>
        <v>116594.59359346831</v>
      </c>
      <c r="AD27" s="226">
        <f t="shared" si="19"/>
        <v>116351.36787055814</v>
      </c>
      <c r="AE27" s="226">
        <f t="shared" si="19"/>
        <v>117433.23550423254</v>
      </c>
      <c r="AF27" s="226">
        <f t="shared" si="19"/>
        <v>117261.10653109611</v>
      </c>
      <c r="AG27" s="226">
        <f t="shared" si="19"/>
        <v>114711.95204128968</v>
      </c>
      <c r="AH27" s="226">
        <f t="shared" si="19"/>
        <v>115986.5292861929</v>
      </c>
      <c r="AI27" s="226">
        <f t="shared" si="19"/>
        <v>117261.10653109611</v>
      </c>
      <c r="AJ27" s="226">
        <f t="shared" si="19"/>
        <v>117261.10653109611</v>
      </c>
      <c r="AK27" s="226">
        <f t="shared" ref="AK27:BP27" si="20">$J$5*AK26*AK25*AK21/365</f>
        <v>114711.95204128968</v>
      </c>
      <c r="AL27" s="226">
        <f t="shared" si="20"/>
        <v>115986.5292861929</v>
      </c>
      <c r="AM27" s="226">
        <f t="shared" si="20"/>
        <v>117261.10653109611</v>
      </c>
      <c r="AN27" s="226">
        <f t="shared" si="20"/>
        <v>117261.10653109611</v>
      </c>
      <c r="AO27" s="226">
        <f t="shared" si="20"/>
        <v>116119.72400855309</v>
      </c>
      <c r="AP27" s="226">
        <f t="shared" si="20"/>
        <v>118850.82551101498</v>
      </c>
      <c r="AQ27" s="226">
        <f t="shared" si="20"/>
        <v>121631.47192029598</v>
      </c>
      <c r="AR27" s="226">
        <f t="shared" si="20"/>
        <v>123124.16185765096</v>
      </c>
      <c r="AS27" s="226">
        <f t="shared" si="20"/>
        <v>121785.85575050258</v>
      </c>
      <c r="AT27" s="226">
        <f t="shared" si="20"/>
        <v>121785.85575050258</v>
      </c>
      <c r="AU27" s="226">
        <f t="shared" si="20"/>
        <v>123124.16185765096</v>
      </c>
      <c r="AV27" s="226">
        <f t="shared" si="20"/>
        <v>123124.16185765096</v>
      </c>
      <c r="AW27" s="226">
        <f t="shared" si="20"/>
        <v>120447.54964335421</v>
      </c>
      <c r="AX27" s="226">
        <f t="shared" si="20"/>
        <v>121785.85575050258</v>
      </c>
      <c r="AY27" s="226">
        <f t="shared" si="20"/>
        <v>123124.16185765096</v>
      </c>
      <c r="AZ27" s="226">
        <f t="shared" si="20"/>
        <v>123124.16185765096</v>
      </c>
      <c r="BA27" s="226">
        <f t="shared" si="20"/>
        <v>120447.54964335421</v>
      </c>
      <c r="BB27" s="226">
        <f t="shared" si="20"/>
        <v>121785.85575050258</v>
      </c>
      <c r="BC27" s="226">
        <f t="shared" si="20"/>
        <v>123124.16185765096</v>
      </c>
      <c r="BD27" s="226">
        <f t="shared" si="20"/>
        <v>123124.16185765096</v>
      </c>
      <c r="BE27" s="226">
        <f t="shared" si="20"/>
        <v>120447.54964335421</v>
      </c>
      <c r="BF27" s="226">
        <f t="shared" si="20"/>
        <v>121785.85575050258</v>
      </c>
      <c r="BG27" s="226">
        <f t="shared" si="20"/>
        <v>123124.16185765096</v>
      </c>
      <c r="BH27" s="226">
        <f t="shared" si="20"/>
        <v>123124.16185765096</v>
      </c>
      <c r="BI27" s="226">
        <f t="shared" si="20"/>
        <v>123280.44032241394</v>
      </c>
      <c r="BJ27" s="226">
        <f t="shared" si="20"/>
        <v>124793.36678656581</v>
      </c>
      <c r="BK27" s="226">
        <f t="shared" si="20"/>
        <v>127713.04551631084</v>
      </c>
      <c r="BL27" s="226">
        <f t="shared" si="20"/>
        <v>129280.36995053361</v>
      </c>
      <c r="BM27" s="226">
        <f t="shared" si="20"/>
        <v>126469.92712552201</v>
      </c>
      <c r="BN27" s="226">
        <f t="shared" si="20"/>
        <v>127875.1485380278</v>
      </c>
      <c r="BO27" s="226">
        <f t="shared" si="20"/>
        <v>129280.36995053361</v>
      </c>
      <c r="BP27" s="226">
        <f t="shared" si="20"/>
        <v>129280.36995053361</v>
      </c>
      <c r="BQ27" s="226">
        <f t="shared" ref="BQ27:CV27" si="21">$J$5*BQ26*BQ25*BQ21/365</f>
        <v>126469.92712552201</v>
      </c>
      <c r="BR27" s="226">
        <f t="shared" si="21"/>
        <v>127875.1485380278</v>
      </c>
      <c r="BS27" s="226">
        <f t="shared" si="21"/>
        <v>129280.36995053361</v>
      </c>
      <c r="BT27" s="226">
        <f t="shared" si="21"/>
        <v>129280.36995053361</v>
      </c>
      <c r="BU27" s="226">
        <f t="shared" si="21"/>
        <v>126469.92712552201</v>
      </c>
      <c r="BV27" s="226">
        <f t="shared" si="21"/>
        <v>127875.1485380278</v>
      </c>
      <c r="BW27" s="226">
        <f t="shared" si="21"/>
        <v>129280.36995053361</v>
      </c>
      <c r="BX27" s="226">
        <f t="shared" si="21"/>
        <v>129280.36995053361</v>
      </c>
      <c r="BY27" s="226">
        <f t="shared" si="21"/>
        <v>127875.1485380278</v>
      </c>
      <c r="BZ27" s="226">
        <f t="shared" si="21"/>
        <v>127875.1485380278</v>
      </c>
      <c r="CA27" s="226">
        <f t="shared" si="21"/>
        <v>129280.36995053361</v>
      </c>
      <c r="CB27" s="226">
        <f t="shared" si="21"/>
        <v>129280.36995053361</v>
      </c>
      <c r="CC27" s="226">
        <f t="shared" si="21"/>
        <v>126469.92712552201</v>
      </c>
      <c r="CD27" s="226">
        <f t="shared" si="21"/>
        <v>127875.1485380278</v>
      </c>
      <c r="CE27" s="226">
        <f t="shared" si="21"/>
        <v>129280.36995053361</v>
      </c>
      <c r="CF27" s="226">
        <f t="shared" si="21"/>
        <v>129280.36995053361</v>
      </c>
      <c r="CG27" s="226">
        <f t="shared" si="21"/>
        <v>126469.92712552201</v>
      </c>
      <c r="CH27" s="226">
        <f t="shared" si="21"/>
        <v>127875.1485380278</v>
      </c>
      <c r="CI27" s="226">
        <f t="shared" si="21"/>
        <v>129280.36995053361</v>
      </c>
      <c r="CJ27" s="226">
        <f t="shared" si="21"/>
        <v>129280.36995053361</v>
      </c>
      <c r="CK27" s="226">
        <f t="shared" si="21"/>
        <v>126469.92712552201</v>
      </c>
      <c r="CL27" s="226">
        <f t="shared" si="21"/>
        <v>127875.1485380278</v>
      </c>
      <c r="CM27" s="226">
        <f t="shared" si="21"/>
        <v>129280.36995053361</v>
      </c>
      <c r="CN27" s="226">
        <f t="shared" si="21"/>
        <v>129280.36995053361</v>
      </c>
      <c r="CO27" s="226">
        <f t="shared" si="21"/>
        <v>127875.1485380278</v>
      </c>
      <c r="CP27" s="226">
        <f t="shared" si="21"/>
        <v>127875.1485380278</v>
      </c>
      <c r="CQ27" s="226">
        <f t="shared" si="21"/>
        <v>129280.36995053361</v>
      </c>
      <c r="CR27" s="226">
        <f t="shared" si="21"/>
        <v>129280.36995053361</v>
      </c>
      <c r="CS27" s="226">
        <f t="shared" si="21"/>
        <v>126469.92712552201</v>
      </c>
      <c r="CT27" s="226">
        <f t="shared" si="21"/>
        <v>127875.1485380278</v>
      </c>
      <c r="CU27" s="226">
        <f t="shared" si="21"/>
        <v>129280.36995053361</v>
      </c>
      <c r="CV27" s="226">
        <f t="shared" si="21"/>
        <v>129280.36995053361</v>
      </c>
      <c r="CW27" s="226">
        <f t="shared" ref="CW27:DK27" si="22">$J$5*CW26*CW25*CW21/365</f>
        <v>126469.92712552201</v>
      </c>
      <c r="CX27" s="226">
        <f t="shared" si="22"/>
        <v>127875.1485380278</v>
      </c>
      <c r="CY27" s="226">
        <f t="shared" si="22"/>
        <v>129280.36995053361</v>
      </c>
      <c r="CZ27" s="226">
        <f t="shared" si="22"/>
        <v>129280.36995053361</v>
      </c>
      <c r="DA27" s="226">
        <f t="shared" si="22"/>
        <v>126469.92712552201</v>
      </c>
      <c r="DB27" s="226">
        <f t="shared" si="22"/>
        <v>127875.1485380278</v>
      </c>
      <c r="DC27" s="226">
        <f t="shared" si="22"/>
        <v>129280.36995053361</v>
      </c>
      <c r="DD27" s="226">
        <f t="shared" si="22"/>
        <v>129280.36995053361</v>
      </c>
      <c r="DE27" s="226">
        <f t="shared" si="22"/>
        <v>127875.1485380278</v>
      </c>
      <c r="DF27" s="226">
        <f t="shared" si="22"/>
        <v>127875.1485380278</v>
      </c>
      <c r="DG27" s="226">
        <f t="shared" si="22"/>
        <v>129280.36995053361</v>
      </c>
      <c r="DH27" s="226">
        <f t="shared" si="22"/>
        <v>129280.36995053361</v>
      </c>
      <c r="DI27" s="226">
        <f t="shared" si="22"/>
        <v>126469.92712552201</v>
      </c>
      <c r="DJ27" s="226">
        <f t="shared" si="22"/>
        <v>127875.1485380278</v>
      </c>
      <c r="DK27" s="226">
        <f t="shared" si="22"/>
        <v>129280.36995053361</v>
      </c>
      <c r="DN27" s="263">
        <f>SUMIF($E$18:$DK$18,DN$18,$E27:$DK27)/$DO$17</f>
        <v>0.41393903397287674</v>
      </c>
      <c r="DO27" s="263">
        <f>SUMIF($E$18:$DK$18,DO$18,$E27:$DK27)/$DO$17</f>
        <v>0.45235852515000002</v>
      </c>
      <c r="DP27" s="263">
        <f>SUMIF($E$18:$DK$18,DP$18,$E27:$DK27)/$DO$17</f>
        <v>0.45359786357506854</v>
      </c>
      <c r="DQ27" s="263">
        <f>SUMIF($E$18:$DK$18,DQ$18,$E27:$DK27)/$DO$17</f>
        <v>0.45235852515000002</v>
      </c>
      <c r="DR27" s="263">
        <f>SUMIF($E$18:$DK$18,DR$18,$E27:$DK27)/$DO$17</f>
        <v>0.46508194949276394</v>
      </c>
      <c r="DS27" s="263">
        <f t="shared" ref="DS27:EG27" si="23">SUMIF($E$18:$DK$18,DS$18,$E27:$DK27)/$DO$17</f>
        <v>0.4700892180630909</v>
      </c>
      <c r="DT27" s="263">
        <f t="shared" si="23"/>
        <v>0.46764030349935509</v>
      </c>
      <c r="DU27" s="263">
        <f t="shared" si="23"/>
        <v>0.46522069438967484</v>
      </c>
      <c r="DV27" s="263">
        <f t="shared" si="23"/>
        <v>0.46522069438967484</v>
      </c>
      <c r="DW27" s="263">
        <f t="shared" si="23"/>
        <v>0.47972618329751504</v>
      </c>
      <c r="DX27" s="263">
        <f t="shared" si="23"/>
        <v>0.48982003521630707</v>
      </c>
      <c r="DY27" s="263">
        <f t="shared" si="23"/>
        <v>0.48848172910915871</v>
      </c>
      <c r="DZ27" s="263">
        <f t="shared" si="23"/>
        <v>0.48848172910915871</v>
      </c>
      <c r="EA27" s="263">
        <f t="shared" si="23"/>
        <v>0.48848172910915871</v>
      </c>
      <c r="EB27" s="263">
        <f t="shared" si="23"/>
        <v>0.50506722257582415</v>
      </c>
      <c r="EC27" s="263">
        <f t="shared" si="23"/>
        <v>0.51290581556461701</v>
      </c>
      <c r="ED27" s="263">
        <f t="shared" si="23"/>
        <v>0.51290581556461701</v>
      </c>
      <c r="EE27" s="263">
        <f t="shared" si="23"/>
        <v>0.51290581556461701</v>
      </c>
      <c r="EF27" s="263">
        <f t="shared" si="23"/>
        <v>0.51431103697712288</v>
      </c>
      <c r="EG27" s="263">
        <f t="shared" si="23"/>
        <v>0.51290581556461701</v>
      </c>
      <c r="EH27" s="263">
        <f t="shared" ref="EH27:EO27" si="24">SUMIF($E$18:$DK$18,EH$18,$E27:$DK27)/$DO$17</f>
        <v>0.51290581556461701</v>
      </c>
      <c r="EI27" s="263">
        <f t="shared" si="24"/>
        <v>0.51290581556461701</v>
      </c>
      <c r="EJ27" s="263">
        <f t="shared" si="24"/>
        <v>0.51431103697712288</v>
      </c>
      <c r="EK27" s="263">
        <f t="shared" si="24"/>
        <v>0.51290581556461701</v>
      </c>
      <c r="EL27" s="263">
        <f t="shared" si="24"/>
        <v>0.51290581556461701</v>
      </c>
      <c r="EM27" s="263">
        <f t="shared" si="24"/>
        <v>0.51290581556461701</v>
      </c>
      <c r="EN27" s="263">
        <f t="shared" si="24"/>
        <v>0.51431103697712288</v>
      </c>
      <c r="EO27" s="263">
        <f t="shared" si="24"/>
        <v>0.38362544561408346</v>
      </c>
    </row>
    <row r="28" spans="1:145" s="19" customFormat="1" ht="15" customHeight="1">
      <c r="B28" s="40"/>
    </row>
    <row r="29" spans="1:145" s="19" customFormat="1" ht="15" customHeight="1">
      <c r="B29" s="40"/>
    </row>
    <row r="30" spans="1:145">
      <c r="C30" s="6" t="s">
        <v>745</v>
      </c>
    </row>
    <row r="31" spans="1:145">
      <c r="C31" s="33" t="s">
        <v>7</v>
      </c>
      <c r="D31" s="33"/>
      <c r="E31" s="33">
        <f>E18</f>
        <v>2022</v>
      </c>
      <c r="F31" s="33">
        <f>E31+1</f>
        <v>2023</v>
      </c>
      <c r="G31" s="33">
        <f t="shared" ref="G31:AB31" si="25">F31+1</f>
        <v>2024</v>
      </c>
      <c r="H31" s="33">
        <f t="shared" si="25"/>
        <v>2025</v>
      </c>
      <c r="I31" s="33">
        <f t="shared" si="25"/>
        <v>2026</v>
      </c>
      <c r="J31" s="33">
        <f t="shared" si="25"/>
        <v>2027</v>
      </c>
      <c r="K31" s="33">
        <f t="shared" si="25"/>
        <v>2028</v>
      </c>
      <c r="L31" s="33">
        <f t="shared" si="25"/>
        <v>2029</v>
      </c>
      <c r="M31" s="33">
        <f t="shared" si="25"/>
        <v>2030</v>
      </c>
      <c r="N31" s="33">
        <f t="shared" si="25"/>
        <v>2031</v>
      </c>
      <c r="O31" s="33">
        <f t="shared" si="25"/>
        <v>2032</v>
      </c>
      <c r="P31" s="33">
        <f t="shared" si="25"/>
        <v>2033</v>
      </c>
      <c r="Q31" s="33">
        <f t="shared" si="25"/>
        <v>2034</v>
      </c>
      <c r="R31" s="33">
        <f t="shared" si="25"/>
        <v>2035</v>
      </c>
      <c r="S31" s="33">
        <f t="shared" si="25"/>
        <v>2036</v>
      </c>
      <c r="T31" s="33">
        <f t="shared" si="25"/>
        <v>2037</v>
      </c>
      <c r="U31" s="33">
        <f t="shared" si="25"/>
        <v>2038</v>
      </c>
      <c r="V31" s="33">
        <f t="shared" si="25"/>
        <v>2039</v>
      </c>
      <c r="W31" s="33">
        <f t="shared" si="25"/>
        <v>2040</v>
      </c>
      <c r="X31" s="33">
        <f t="shared" si="25"/>
        <v>2041</v>
      </c>
      <c r="Y31" s="33">
        <f t="shared" si="25"/>
        <v>2042</v>
      </c>
      <c r="Z31" s="33">
        <f t="shared" si="25"/>
        <v>2043</v>
      </c>
      <c r="AA31" s="33">
        <f t="shared" si="25"/>
        <v>2044</v>
      </c>
      <c r="AB31" s="33">
        <f t="shared" si="25"/>
        <v>2045</v>
      </c>
      <c r="AC31" s="19"/>
    </row>
    <row r="32" spans="1:145" outlineLevel="1">
      <c r="C32" s="43" t="s">
        <v>747</v>
      </c>
      <c r="D32" s="217"/>
      <c r="E32" s="217">
        <f t="shared" ref="E32:AB32" si="26">IF(E31&lt;$D$14,SUMIF(18:18,E31,27:27),0)</f>
        <v>413939.44791191071</v>
      </c>
      <c r="F32" s="217">
        <f t="shared" si="26"/>
        <v>452358.97750852513</v>
      </c>
      <c r="G32" s="217">
        <f t="shared" si="26"/>
        <v>453598.31717293209</v>
      </c>
      <c r="H32" s="217">
        <f t="shared" si="26"/>
        <v>0</v>
      </c>
      <c r="I32" s="217">
        <f t="shared" si="26"/>
        <v>0</v>
      </c>
      <c r="J32" s="217">
        <f t="shared" si="26"/>
        <v>0</v>
      </c>
      <c r="K32" s="217">
        <f t="shared" si="26"/>
        <v>0</v>
      </c>
      <c r="L32" s="217">
        <f t="shared" si="26"/>
        <v>0</v>
      </c>
      <c r="M32" s="217">
        <f t="shared" si="26"/>
        <v>0</v>
      </c>
      <c r="N32" s="217">
        <f t="shared" si="26"/>
        <v>0</v>
      </c>
      <c r="O32" s="217">
        <f t="shared" si="26"/>
        <v>0</v>
      </c>
      <c r="P32" s="217">
        <f t="shared" si="26"/>
        <v>0</v>
      </c>
      <c r="Q32" s="217">
        <f t="shared" si="26"/>
        <v>0</v>
      </c>
      <c r="R32" s="217">
        <f t="shared" si="26"/>
        <v>0</v>
      </c>
      <c r="S32" s="217">
        <f t="shared" si="26"/>
        <v>0</v>
      </c>
      <c r="T32" s="217">
        <f t="shared" si="26"/>
        <v>0</v>
      </c>
      <c r="U32" s="217">
        <f t="shared" si="26"/>
        <v>0</v>
      </c>
      <c r="V32" s="217">
        <f t="shared" si="26"/>
        <v>0</v>
      </c>
      <c r="W32" s="217">
        <f t="shared" si="26"/>
        <v>0</v>
      </c>
      <c r="X32" s="217">
        <f t="shared" si="26"/>
        <v>0</v>
      </c>
      <c r="Y32" s="217">
        <f t="shared" si="26"/>
        <v>0</v>
      </c>
      <c r="Z32" s="217">
        <f t="shared" si="26"/>
        <v>0</v>
      </c>
      <c r="AA32" s="217">
        <f t="shared" si="26"/>
        <v>0</v>
      </c>
      <c r="AB32" s="217">
        <f t="shared" si="26"/>
        <v>0</v>
      </c>
    </row>
    <row r="33" spans="3:28">
      <c r="C33" s="43" t="s">
        <v>746</v>
      </c>
      <c r="D33" s="217"/>
      <c r="E33" s="217">
        <f>IF(E31&gt;=$D$14,SUMIF(18:18,E31,27:27),0)</f>
        <v>0</v>
      </c>
      <c r="F33" s="217">
        <f t="shared" ref="F33:AB33" si="27">IF(F31&gt;=$D$14,SUMIF(18:18,F31,27:27),0)</f>
        <v>0</v>
      </c>
      <c r="G33" s="217">
        <f t="shared" si="27"/>
        <v>0</v>
      </c>
      <c r="H33" s="217">
        <f t="shared" si="27"/>
        <v>452358.97750852513</v>
      </c>
      <c r="I33" s="217">
        <f t="shared" si="27"/>
        <v>465082.41457471345</v>
      </c>
      <c r="J33" s="217">
        <f t="shared" si="27"/>
        <v>470089.68815230893</v>
      </c>
      <c r="K33" s="217">
        <f t="shared" si="27"/>
        <v>467640.77113965858</v>
      </c>
      <c r="L33" s="217">
        <f t="shared" si="27"/>
        <v>465221.15961036918</v>
      </c>
      <c r="M33" s="217">
        <f t="shared" si="27"/>
        <v>465221.15961036918</v>
      </c>
      <c r="N33" s="217">
        <f t="shared" si="27"/>
        <v>479726.66302369832</v>
      </c>
      <c r="O33" s="217">
        <f t="shared" si="27"/>
        <v>489820.52503634233</v>
      </c>
      <c r="P33" s="217">
        <f t="shared" si="27"/>
        <v>488482.21759088786</v>
      </c>
      <c r="Q33" s="217">
        <f t="shared" si="27"/>
        <v>488482.21759088786</v>
      </c>
      <c r="R33" s="217">
        <f t="shared" si="27"/>
        <v>488482.21759088786</v>
      </c>
      <c r="S33" s="217">
        <f t="shared" si="27"/>
        <v>505067.72764304676</v>
      </c>
      <c r="T33" s="217">
        <f t="shared" si="27"/>
        <v>512906.32847043261</v>
      </c>
      <c r="U33" s="217">
        <f t="shared" si="27"/>
        <v>512906.32847043261</v>
      </c>
      <c r="V33" s="217">
        <f t="shared" si="27"/>
        <v>512906.32847043261</v>
      </c>
      <c r="W33" s="217">
        <f t="shared" si="27"/>
        <v>514311.5512881598</v>
      </c>
      <c r="X33" s="217">
        <f t="shared" si="27"/>
        <v>512906.32847043261</v>
      </c>
      <c r="Y33" s="217">
        <f t="shared" si="27"/>
        <v>512906.32847043261</v>
      </c>
      <c r="Z33" s="217">
        <f t="shared" si="27"/>
        <v>512906.32847043261</v>
      </c>
      <c r="AA33" s="217">
        <f t="shared" si="27"/>
        <v>514311.5512881598</v>
      </c>
      <c r="AB33" s="217">
        <f t="shared" si="27"/>
        <v>512906.32847043261</v>
      </c>
    </row>
  </sheetData>
  <mergeCells count="1">
    <mergeCell ref="C25:D25"/>
  </mergeCells>
  <conditionalFormatting sqref="C5:E5 E26 E23:F23">
    <cfRule type="expression" dxfId="2123" priority="149">
      <formula>$A$1=1</formula>
    </cfRule>
  </conditionalFormatting>
  <conditionalFormatting sqref="DN27:EO27 C26:D26 C22:DK22 C7:E7 E25:DK25 C23:F23">
    <cfRule type="cellIs" dxfId="2122" priority="148" operator="equal">
      <formula>0</formula>
    </cfRule>
  </conditionalFormatting>
  <conditionalFormatting sqref="D27:DK27 DN27:EO27 D26 D22:DK22 E25:DK25 F26:DK26 D23:F23">
    <cfRule type="cellIs" dxfId="2121" priority="143" operator="equal">
      <formula>0</formula>
    </cfRule>
  </conditionalFormatting>
  <conditionalFormatting sqref="E27:DK27">
    <cfRule type="cellIs" dxfId="2120" priority="115" operator="equal">
      <formula>0</formula>
    </cfRule>
  </conditionalFormatting>
  <conditionalFormatting sqref="C27">
    <cfRule type="cellIs" dxfId="2119" priority="118" operator="equal">
      <formula>0</formula>
    </cfRule>
  </conditionalFormatting>
  <conditionalFormatting sqref="E27:DK27">
    <cfRule type="cellIs" dxfId="2118" priority="117" operator="equal">
      <formula>0</formula>
    </cfRule>
  </conditionalFormatting>
  <conditionalFormatting sqref="D27">
    <cfRule type="cellIs" dxfId="2117" priority="116" operator="equal">
      <formula>0</formula>
    </cfRule>
  </conditionalFormatting>
  <conditionalFormatting sqref="F5">
    <cfRule type="cellIs" dxfId="2116" priority="113" operator="equal">
      <formula>0</formula>
    </cfRule>
  </conditionalFormatting>
  <conditionalFormatting sqref="F5">
    <cfRule type="cellIs" dxfId="2115" priority="112" operator="equal">
      <formula>0</formula>
    </cfRule>
  </conditionalFormatting>
  <conditionalFormatting sqref="H5">
    <cfRule type="expression" dxfId="2114" priority="109">
      <formula>$A$1=1</formula>
    </cfRule>
  </conditionalFormatting>
  <conditionalFormatting sqref="I5:I6">
    <cfRule type="cellIs" dxfId="2113" priority="108" operator="equal">
      <formula>0</formula>
    </cfRule>
  </conditionalFormatting>
  <conditionalFormatting sqref="I5:I6">
    <cfRule type="cellIs" dxfId="2112" priority="107" operator="equal">
      <formula>0</formula>
    </cfRule>
  </conditionalFormatting>
  <conditionalFormatting sqref="J5:J6">
    <cfRule type="cellIs" dxfId="2111" priority="106" operator="equal">
      <formula>0</formula>
    </cfRule>
  </conditionalFormatting>
  <conditionalFormatting sqref="J5:J6">
    <cfRule type="cellIs" dxfId="2110" priority="105" operator="equal">
      <formula>0</formula>
    </cfRule>
  </conditionalFormatting>
  <conditionalFormatting sqref="D15">
    <cfRule type="expression" dxfId="2109" priority="80">
      <formula>$A$1=1</formula>
    </cfRule>
  </conditionalFormatting>
  <conditionalFormatting sqref="E19">
    <cfRule type="expression" dxfId="2108" priority="79" stopIfTrue="1">
      <formula>$A$1=1</formula>
    </cfRule>
  </conditionalFormatting>
  <conditionalFormatting sqref="E19">
    <cfRule type="expression" dxfId="2107" priority="78" stopIfTrue="1">
      <formula>$A$1=1</formula>
    </cfRule>
  </conditionalFormatting>
  <conditionalFormatting sqref="E20">
    <cfRule type="expression" dxfId="2106" priority="77" stopIfTrue="1">
      <formula>$A$1=1</formula>
    </cfRule>
  </conditionalFormatting>
  <conditionalFormatting sqref="E20">
    <cfRule type="expression" dxfId="2105" priority="76" stopIfTrue="1">
      <formula>$A$1=1</formula>
    </cfRule>
  </conditionalFormatting>
  <conditionalFormatting sqref="C24:F24">
    <cfRule type="cellIs" dxfId="2104" priority="65" operator="equal">
      <formula>0</formula>
    </cfRule>
  </conditionalFormatting>
  <conditionalFormatting sqref="D24:F24">
    <cfRule type="cellIs" dxfId="2103" priority="64" operator="equal">
      <formula>0</formula>
    </cfRule>
  </conditionalFormatting>
  <conditionalFormatting sqref="DN27:EO27">
    <cfRule type="cellIs" dxfId="2102" priority="58" operator="equal">
      <formula>0</formula>
    </cfRule>
  </conditionalFormatting>
  <conditionalFormatting sqref="DN27:EO27">
    <cfRule type="cellIs" dxfId="2101" priority="59" operator="equal">
      <formula>0</formula>
    </cfRule>
  </conditionalFormatting>
  <conditionalFormatting sqref="E21:F21">
    <cfRule type="cellIs" dxfId="2100" priority="57" operator="equal">
      <formula>0</formula>
    </cfRule>
  </conditionalFormatting>
  <conditionalFormatting sqref="E21:F21">
    <cfRule type="cellIs" dxfId="2099" priority="56" operator="equal">
      <formula>0</formula>
    </cfRule>
  </conditionalFormatting>
  <conditionalFormatting sqref="F21:DK21">
    <cfRule type="cellIs" dxfId="2098" priority="55" operator="equal">
      <formula>0</formula>
    </cfRule>
  </conditionalFormatting>
  <conditionalFormatting sqref="F21:DK21">
    <cfRule type="cellIs" dxfId="2097" priority="54" operator="equal">
      <formula>0</formula>
    </cfRule>
  </conditionalFormatting>
  <conditionalFormatting sqref="C25">
    <cfRule type="cellIs" dxfId="2096" priority="27" operator="equal">
      <formula>0</formula>
    </cfRule>
  </conditionalFormatting>
  <conditionalFormatting sqref="E25:DK25">
    <cfRule type="cellIs" dxfId="2095" priority="25" operator="equal">
      <formula>0</formula>
    </cfRule>
  </conditionalFormatting>
  <conditionalFormatting sqref="E25:DK25">
    <cfRule type="cellIs" dxfId="2094" priority="26" operator="equal">
      <formula>0</formula>
    </cfRule>
  </conditionalFormatting>
  <conditionalFormatting sqref="C6:E6">
    <cfRule type="expression" dxfId="2093" priority="23">
      <formula>$A$1=1</formula>
    </cfRule>
  </conditionalFormatting>
  <conditionalFormatting sqref="H6">
    <cfRule type="expression" dxfId="2092" priority="15">
      <formula>$A$1=1</formula>
    </cfRule>
  </conditionalFormatting>
  <conditionalFormatting sqref="L5:M6">
    <cfRule type="cellIs" dxfId="2091" priority="14" operator="equal">
      <formula>0</formula>
    </cfRule>
  </conditionalFormatting>
  <conditionalFormatting sqref="L5:M6">
    <cfRule type="cellIs" dxfId="2090" priority="13" operator="equal">
      <formula>0</formula>
    </cfRule>
  </conditionalFormatting>
  <conditionalFormatting sqref="F6">
    <cfRule type="cellIs" dxfId="2089" priority="12" operator="equal">
      <formula>0</formula>
    </cfRule>
  </conditionalFormatting>
  <conditionalFormatting sqref="F6">
    <cfRule type="cellIs" dxfId="2088" priority="11" operator="equal">
      <formula>0</formula>
    </cfRule>
  </conditionalFormatting>
  <conditionalFormatting sqref="C32">
    <cfRule type="cellIs" dxfId="2087" priority="8" operator="equal">
      <formula>0</formula>
    </cfRule>
  </conditionalFormatting>
  <conditionalFormatting sqref="C33">
    <cfRule type="cellIs" dxfId="2086" priority="7" operator="equal">
      <formula>0</formula>
    </cfRule>
  </conditionalFormatting>
  <conditionalFormatting sqref="D32:AB33">
    <cfRule type="cellIs" dxfId="2085" priority="6" operator="equal">
      <formula>0</formula>
    </cfRule>
  </conditionalFormatting>
  <conditionalFormatting sqref="D32:AB33">
    <cfRule type="cellIs" dxfId="2084" priority="5" operator="equal">
      <formula>0</formula>
    </cfRule>
  </conditionalFormatting>
  <conditionalFormatting sqref="G23:DK23">
    <cfRule type="cellIs" dxfId="2083" priority="4" operator="equal">
      <formula>0</formula>
    </cfRule>
  </conditionalFormatting>
  <conditionalFormatting sqref="G23:DK23">
    <cfRule type="cellIs" dxfId="2082" priority="3" operator="equal">
      <formula>0</formula>
    </cfRule>
  </conditionalFormatting>
  <conditionalFormatting sqref="G24:DK24">
    <cfRule type="cellIs" dxfId="2081" priority="2" operator="equal">
      <formula>0</formula>
    </cfRule>
  </conditionalFormatting>
  <conditionalFormatting sqref="G24:DK2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33CC"/>
  </sheetPr>
  <dimension ref="A2:AE76"/>
  <sheetViews>
    <sheetView showGridLines="0" zoomScale="70" zoomScaleNormal="70" workbookViewId="0">
      <selection activeCell="K93" sqref="K93"/>
    </sheetView>
  </sheetViews>
  <sheetFormatPr defaultColWidth="9.140625" defaultRowHeight="15" outlineLevelRow="1" outlineLevelCol="1"/>
  <cols>
    <col min="1" max="1" width="5.28515625" style="1483" customWidth="1"/>
    <col min="2" max="2" width="9.140625" style="1483"/>
    <col min="3" max="3" width="37.140625" style="1483" customWidth="1"/>
    <col min="4" max="4" width="30.140625" style="1483" customWidth="1" outlineLevel="1"/>
    <col min="5" max="5" width="10.7109375" style="1483" customWidth="1" outlineLevel="1"/>
    <col min="6" max="17" width="12.28515625" style="1483" customWidth="1" outlineLevel="1"/>
    <col min="18" max="18" width="13.42578125" style="1483" customWidth="1" outlineLevel="1"/>
    <col min="19" max="19" width="14.85546875" style="1483" customWidth="1" outlineLevel="1"/>
    <col min="20" max="30" width="13.42578125" style="1483" bestFit="1" customWidth="1"/>
    <col min="31" max="16384" width="9.140625" style="1483"/>
  </cols>
  <sheetData>
    <row r="2" spans="3:20">
      <c r="C2" s="1481" t="s">
        <v>1036</v>
      </c>
      <c r="D2" s="1482">
        <f>YEAR(Вводные!D9)</f>
        <v>2025</v>
      </c>
      <c r="E2" s="1530"/>
      <c r="F2" s="1530"/>
      <c r="G2" s="1530"/>
    </row>
    <row r="3" spans="3:20">
      <c r="H3" s="1545" t="str">
        <f>C2</f>
        <v>Год ввода 1 очереди</v>
      </c>
    </row>
    <row r="4" spans="3:20" hidden="1" outlineLevel="1">
      <c r="C4" s="1484"/>
      <c r="D4" s="1484"/>
      <c r="E4" s="1220">
        <f>F4-1</f>
        <v>2022</v>
      </c>
      <c r="F4" s="1220">
        <f>G4-1</f>
        <v>2023</v>
      </c>
      <c r="G4" s="1220">
        <f>H4-1</f>
        <v>2024</v>
      </c>
      <c r="H4" s="1531">
        <f>D2</f>
        <v>2025</v>
      </c>
      <c r="I4" s="1220">
        <f>H4+1</f>
        <v>2026</v>
      </c>
      <c r="J4" s="1220">
        <f t="shared" ref="J4:Q4" si="0">I4+1</f>
        <v>2027</v>
      </c>
      <c r="K4" s="1220">
        <f t="shared" si="0"/>
        <v>2028</v>
      </c>
      <c r="L4" s="1220">
        <f t="shared" si="0"/>
        <v>2029</v>
      </c>
      <c r="M4" s="1220">
        <f t="shared" si="0"/>
        <v>2030</v>
      </c>
      <c r="N4" s="1220">
        <f t="shared" si="0"/>
        <v>2031</v>
      </c>
      <c r="O4" s="1220">
        <f t="shared" si="0"/>
        <v>2032</v>
      </c>
      <c r="P4" s="1220">
        <f t="shared" si="0"/>
        <v>2033</v>
      </c>
      <c r="Q4" s="1220">
        <f t="shared" si="0"/>
        <v>2034</v>
      </c>
      <c r="R4" s="197"/>
    </row>
    <row r="5" spans="3:20" hidden="1" outlineLevel="1">
      <c r="C5" s="1485" t="s">
        <v>1037</v>
      </c>
      <c r="D5" s="1485"/>
      <c r="E5" s="1485"/>
      <c r="F5" s="1485"/>
      <c r="G5" s="1485"/>
      <c r="H5" s="1486"/>
      <c r="I5" s="1486"/>
      <c r="J5" s="1486"/>
      <c r="K5" s="1486"/>
      <c r="L5" s="1486"/>
      <c r="M5" s="1486"/>
      <c r="N5" s="1486"/>
      <c r="O5" s="1486"/>
      <c r="P5" s="1486"/>
      <c r="Q5" s="1486"/>
      <c r="R5" s="1487"/>
    </row>
    <row r="6" spans="3:20" hidden="1" outlineLevel="1">
      <c r="C6" s="1488" t="s">
        <v>1078</v>
      </c>
      <c r="D6" s="1481"/>
      <c r="E6" s="1526">
        <f>IFERROR(LOOKUP(E4,СВОД_PL!$D$3:$T$3,СВОД_PL!$D$32:$T$32),0)+IFERROR(LOOKUP(E4,Ресторан!$F$5:$V$5,Ресторан!$F$62:$V$62),0)+IFERROR(LOOKUP(E4,Retail!$D$21:$V$21,Retail!$D$49:$V$49),0)+IFERROR(LOOKUP(E4,Паркинг_PL!$D$9:$T$9,Паркинг_PL!$D$29:$T$29),0)+SUMIF(ПРОДАЖА_lease_back!$D$8:$CQ$8,E4,ПРОДАЖА_lease_back!$D$32:$CQ$32)</f>
        <v>0</v>
      </c>
      <c r="F6" s="1526">
        <f>IFERROR(LOOKUP(F4,СВОД_PL!$D$3:$T$3,СВОД_PL!$D$32:$T$32),0)+IFERROR(LOOKUP(F4,Ресторан!$F$5:$V$5,Ресторан!$F$62:$V$62),0)+IFERROR(LOOKUP(F4,Retail!$D$21:$V$21,Retail!$D$49:$V$49),0)+IFERROR(LOOKUP(F4,Паркинг_PL!$D$9:$T$9,Паркинг_PL!$D$29:$T$29),0)+SUMIF(ПРОДАЖА_lease_back!$D$8:$CQ$8,F4,ПРОДАЖА_lease_back!$D$32:$CQ$32)</f>
        <v>0</v>
      </c>
      <c r="G6" s="1526">
        <f>IFERROR(LOOKUP(G4,СВОД_PL!$D$3:$T$3,СВОД_PL!$D$32:$T$32),0)+IFERROR(LOOKUP(G4,Ресторан!$F$5:$V$5,Ресторан!$F$62:$V$62),0)+IFERROR(LOOKUP(G4,Retail!$D$21:$V$21,Retail!$D$49:$V$49),0)+IFERROR(LOOKUP(G4,Паркинг_PL!$D$9:$T$9,Паркинг_PL!$D$29:$T$29),0)+SUMIF(ПРОДАЖА_lease_back!$D$8:$CQ$8,G4,ПРОДАЖА_lease_back!$D$32:$CQ$32)</f>
        <v>0</v>
      </c>
      <c r="H6" s="1526">
        <f>IFERROR(LOOKUP(H4,СВОД_PL!$D$3:$T$3,СВОД_PL!$D$32:$T$32),0)+IFERROR(LOOKUP(H4,Ресторан!$F$5:$V$5,Ресторан!$F$62:$V$62),0)+IFERROR(LOOKUP(H4,Retail!$D$21:$V$21,Retail!$D$49:$V$49),0)+IFERROR(LOOKUP(H4,Паркинг_PL!$D$9:$T$9,Паркинг_PL!$D$29:$T$29),0)+SUMIF(ПРОДАЖА_lease_back!$D$8:$CQ$8,H4,ПРОДАЖА_lease_back!$D$32:$CQ$32)</f>
        <v>411493520.20684135</v>
      </c>
      <c r="I6" s="1526">
        <f>IFERROR(LOOKUP(I4,СВОД_PL!$D$3:$T$3,СВОД_PL!$D$32:$T$32),0)+IFERROR(LOOKUP(I4,Ресторан!$F$5:$V$5,Ресторан!$F$62:$V$62),0)+IFERROR(LOOKUP(I4,Retail!$D$21:$V$21,Retail!$D$49:$V$49),0)+IFERROR(LOOKUP(I4,Паркинг_PL!$D$9:$T$9,Паркинг_PL!$D$29:$T$29),0)+SUMIF(ПРОДАЖА_lease_back!$D$8:$CQ$8,I4,ПРОДАЖА_lease_back!$D$32:$CQ$32)</f>
        <v>2753509895.2233095</v>
      </c>
      <c r="J6" s="1526">
        <f>IFERROR(LOOKUP(J4,СВОД_PL!$D$3:$T$3,СВОД_PL!$D$32:$T$32),0)+IFERROR(LOOKUP(J4,Ресторан!$F$5:$V$5,Ресторан!$F$62:$V$62),0)+IFERROR(LOOKUP(J4,Retail!$D$21:$V$21,Retail!$D$49:$V$49),0)+IFERROR(LOOKUP(J4,Паркинг_PL!$D$9:$T$9,Паркинг_PL!$D$29:$T$29),0)+SUMIF(ПРОДАЖА_lease_back!$D$8:$CQ$8,J4,ПРОДАЖА_lease_back!$D$32:$CQ$32)</f>
        <v>4292427629.1658821</v>
      </c>
      <c r="K6" s="1526">
        <f>IFERROR(LOOKUP(K4,СВОД_PL!$D$3:$T$3,СВОД_PL!$D$32:$T$32),0)+IFERROR(LOOKUP(K4,Ресторан!$F$5:$V$5,Ресторан!$F$62:$V$62),0)+IFERROR(LOOKUP(K4,Retail!$D$21:$V$21,Retail!$D$49:$V$49),0)+IFERROR(LOOKUP(K4,Паркинг_PL!$D$9:$T$9,Паркинг_PL!$D$29:$T$29),0)+SUMIF(ПРОДАЖА_lease_back!$D$8:$CQ$8,K4,ПРОДАЖА_lease_back!$D$32:$CQ$32)</f>
        <v>4200961495.1790833</v>
      </c>
      <c r="L6" s="1526">
        <f>IFERROR(LOOKUP(L4,СВОД_PL!$D$3:$T$3,СВОД_PL!$D$32:$T$32),0)+IFERROR(LOOKUP(L4,Ресторан!$F$5:$V$5,Ресторан!$F$62:$V$62),0)+IFERROR(LOOKUP(L4,Retail!$D$21:$V$21,Retail!$D$49:$V$49),0)+IFERROR(LOOKUP(L4,Паркинг_PL!$D$9:$T$9,Паркинг_PL!$D$29:$T$29),0)+SUMIF(ПРОДАЖА_lease_back!$D$8:$CQ$8,L4,ПРОДАЖА_lease_back!$D$32:$CQ$32)</f>
        <v>2647119015.8299375</v>
      </c>
      <c r="M6" s="1526">
        <f>IFERROR(LOOKUP(M4,СВОД_PL!$D$3:$T$3,СВОД_PL!$D$32:$T$32),0)+IFERROR(LOOKUP(M4,Ресторан!$F$5:$V$5,Ресторан!$F$62:$V$62),0)+IFERROR(LOOKUP(M4,Retail!$D$21:$V$21,Retail!$D$49:$V$49),0)+IFERROR(LOOKUP(M4,Паркинг_PL!$D$9:$T$9,Паркинг_PL!$D$29:$T$29),0)+SUMIF(ПРОДАЖА_lease_back!$D$8:$CQ$8,M4,ПРОДАЖА_lease_back!$D$32:$CQ$32)</f>
        <v>2831243311.5511093</v>
      </c>
      <c r="N6" s="1526">
        <f>IFERROR(LOOKUP(N4,СВОД_PL!$D$3:$T$3,СВОД_PL!$D$32:$T$32),0)+IFERROR(LOOKUP(N4,Ресторан!$F$5:$V$5,Ресторан!$F$62:$V$62),0)+IFERROR(LOOKUP(N4,Retail!$D$21:$V$21,Retail!$D$49:$V$49),0)+IFERROR(LOOKUP(N4,Паркинг_PL!$D$9:$T$9,Паркинг_PL!$D$29:$T$29),0)+SUMIF(ПРОДАЖА_lease_back!$D$8:$CQ$8,N4,ПРОДАЖА_lease_back!$D$32:$CQ$32)</f>
        <v>2944493044.0131536</v>
      </c>
      <c r="O6" s="1526">
        <f>IFERROR(LOOKUP(O4,СВОД_PL!$D$3:$T$3,СВОД_PL!$D$32:$T$32),0)+IFERROR(LOOKUP(O4,Ресторан!$F$5:$V$5,Ресторан!$F$62:$V$62),0)+IFERROR(LOOKUP(O4,Retail!$D$21:$V$21,Retail!$D$49:$V$49),0)+IFERROR(LOOKUP(O4,Паркинг_PL!$D$9:$T$9,Паркинг_PL!$D$29:$T$29),0)+SUMIF(ПРОДАЖА_lease_back!$D$8:$CQ$8,O4,ПРОДАЖА_lease_back!$D$32:$CQ$32)</f>
        <v>3070892052.735343</v>
      </c>
      <c r="P6" s="1526">
        <f>IFERROR(LOOKUP(P4,СВОД_PL!$D$3:$T$3,СВОД_PL!$D$32:$T$32),0)+IFERROR(LOOKUP(P4,Ресторан!$F$5:$V$5,Ресторан!$F$62:$V$62),0)+IFERROR(LOOKUP(P4,Retail!$D$21:$V$21,Retail!$D$49:$V$49),0)+IFERROR(LOOKUP(P4,Паркинг_PL!$D$9:$T$9,Паркинг_PL!$D$29:$T$29),0)+SUMIF(ПРОДАЖА_lease_back!$D$8:$CQ$8,P4,ПРОДАЖА_lease_back!$D$32:$CQ$32)</f>
        <v>3184763676.4046268</v>
      </c>
      <c r="Q6" s="1526">
        <f>IFERROR(LOOKUP(Q4,СВОД_PL!$D$3:$T$3,СВОД_PL!$D$32:$T$32),0)+IFERROR(LOOKUP(Q4,Ресторан!$F$5:$V$5,Ресторан!$F$62:$V$62),0)+IFERROR(LOOKUP(Q4,Retail!$D$21:$V$21,Retail!$D$49:$V$49),0)+IFERROR(LOOKUP(Q4,Паркинг_PL!$D$9:$T$9,Паркинг_PL!$D$29:$T$29),0)+SUMIF(ПРОДАЖА_lease_back!$D$8:$CQ$8,Q4,ПРОДАЖА_lease_back!$D$32:$CQ$32)</f>
        <v>3312154223.4608126</v>
      </c>
      <c r="R6" s="1487"/>
    </row>
    <row r="7" spans="3:20" hidden="1" outlineLevel="1">
      <c r="C7" s="1488"/>
      <c r="D7" s="1481"/>
      <c r="E7" s="1481"/>
      <c r="F7" s="1481"/>
      <c r="G7" s="1481"/>
      <c r="H7" s="1489"/>
      <c r="I7" s="1489"/>
      <c r="J7" s="1489"/>
      <c r="K7" s="1489"/>
      <c r="L7" s="1489"/>
      <c r="M7" s="1489"/>
      <c r="N7" s="1489"/>
      <c r="O7" s="1489"/>
      <c r="P7" s="1489"/>
      <c r="Q7" s="1489"/>
      <c r="R7" s="1487"/>
      <c r="T7" s="1490"/>
    </row>
    <row r="8" spans="3:20" hidden="1" outlineLevel="1">
      <c r="C8" s="1485" t="s">
        <v>1038</v>
      </c>
      <c r="D8" s="1485"/>
      <c r="E8" s="1485"/>
      <c r="F8" s="1485"/>
      <c r="G8" s="1485"/>
      <c r="H8" s="1486"/>
      <c r="I8" s="1486"/>
      <c r="J8" s="1486"/>
      <c r="K8" s="1486"/>
      <c r="L8" s="1486"/>
      <c r="M8" s="1486"/>
      <c r="N8" s="1486"/>
      <c r="O8" s="1486"/>
      <c r="P8" s="1486"/>
      <c r="Q8" s="1486"/>
      <c r="R8" s="1487"/>
      <c r="T8" s="1490"/>
    </row>
    <row r="9" spans="3:20" hidden="1" outlineLevel="1">
      <c r="C9" s="1488" t="str">
        <f>C6</f>
        <v>Туристический комплекс "Лунная поляна" - Архыз</v>
      </c>
      <c r="D9" s="1481"/>
      <c r="E9" s="1526">
        <f>LOOKUP(E$4,CF_15!$D$5:$T$5,CF_15!$D$24:$T$24)</f>
        <v>0</v>
      </c>
      <c r="F9" s="1526">
        <f>LOOKUP(F$4,CF_15!$D$5:$T$5,CF_15!$D$24:$T$24)</f>
        <v>0</v>
      </c>
      <c r="G9" s="1526">
        <f>LOOKUP(G$4,CF_15!$D$5:$T$5,CF_15!$D$24:$T$24)</f>
        <v>0</v>
      </c>
      <c r="H9" s="1526">
        <f>LOOKUP(H$4,CF_15!$D$5:$T$5,CF_15!$D$24:$T$24)</f>
        <v>104282558.85244972</v>
      </c>
      <c r="I9" s="1526">
        <f>LOOKUP(I$4,CF_15!$D$5:$T$5,CF_15!$D$24:$T$24)</f>
        <v>1438746070.8654373</v>
      </c>
      <c r="J9" s="1526">
        <f>LOOKUP(J$4,CF_15!$D$5:$T$5,CF_15!$D$24:$T$24)</f>
        <v>2414139490.2444201</v>
      </c>
      <c r="K9" s="1526">
        <f>LOOKUP(K$4,CF_15!$D$5:$T$5,CF_15!$D$24:$T$24)</f>
        <v>2288577930.3890333</v>
      </c>
      <c r="L9" s="1526">
        <f>LOOKUP(L$4,CF_15!$D$5:$T$5,CF_15!$D$24:$T$24)</f>
        <v>973791704.08877683</v>
      </c>
      <c r="M9" s="1526">
        <f>LOOKUP(M$4,CF_15!$D$5:$T$5,CF_15!$D$24:$T$24)</f>
        <v>1066373103.2532104</v>
      </c>
      <c r="N9" s="1526">
        <f>LOOKUP(N$4,CF_15!$D$5:$T$5,CF_15!$D$24:$T$24)</f>
        <v>1099561626.4175639</v>
      </c>
      <c r="O9" s="1526">
        <f>LOOKUP(O$4,CF_15!$D$5:$T$5,CF_15!$D$24:$T$24)</f>
        <v>1147948216.5158894</v>
      </c>
      <c r="P9" s="1526">
        <f>LOOKUP(P$4,CF_15!$D$5:$T$5,CF_15!$D$24:$T$24)</f>
        <v>1191635181.5641251</v>
      </c>
      <c r="Q9" s="1526">
        <f>LOOKUP(Q$4,CF_15!$D$5:$T$5,CF_15!$D$24:$T$24)</f>
        <v>1240421572.8171225</v>
      </c>
      <c r="R9" s="1487"/>
    </row>
    <row r="10" spans="3:20" hidden="1" outlineLevel="1">
      <c r="C10" s="1488"/>
      <c r="D10" s="1481"/>
      <c r="E10" s="1481"/>
      <c r="F10" s="1481"/>
      <c r="G10" s="1481"/>
      <c r="H10" s="1489"/>
      <c r="I10" s="1489"/>
      <c r="J10" s="1489"/>
      <c r="K10" s="1489"/>
      <c r="L10" s="1489"/>
      <c r="M10" s="1489"/>
      <c r="N10" s="1489"/>
      <c r="O10" s="1489"/>
      <c r="P10" s="1489"/>
      <c r="Q10" s="1489"/>
      <c r="R10" s="1487"/>
    </row>
    <row r="11" spans="3:20" hidden="1" outlineLevel="1">
      <c r="C11" s="1485" t="s">
        <v>727</v>
      </c>
      <c r="D11" s="1485"/>
      <c r="E11" s="1485"/>
      <c r="F11" s="1485"/>
      <c r="G11" s="1485"/>
      <c r="H11" s="1486"/>
      <c r="I11" s="1486"/>
      <c r="J11" s="1486"/>
      <c r="K11" s="1486"/>
      <c r="L11" s="1486"/>
      <c r="M11" s="1486"/>
      <c r="N11" s="1486"/>
      <c r="O11" s="1486"/>
      <c r="P11" s="1486"/>
      <c r="Q11" s="1486"/>
      <c r="R11" s="1487"/>
    </row>
    <row r="12" spans="3:20" hidden="1" outlineLevel="1">
      <c r="C12" s="1488" t="str">
        <f>C9</f>
        <v>Туристический комплекс "Лунная поляна" - Архыз</v>
      </c>
      <c r="D12" s="1481"/>
      <c r="E12" s="1489">
        <f>E6-E9</f>
        <v>0</v>
      </c>
      <c r="F12" s="1489">
        <f>F6-F9</f>
        <v>0</v>
      </c>
      <c r="G12" s="1489">
        <f>G6-G9</f>
        <v>0</v>
      </c>
      <c r="H12" s="1526">
        <f t="shared" ref="H12:Q12" si="1">H6-H9</f>
        <v>307210961.35439163</v>
      </c>
      <c r="I12" s="1489">
        <f t="shared" si="1"/>
        <v>1314763824.3578722</v>
      </c>
      <c r="J12" s="1489">
        <f t="shared" si="1"/>
        <v>1878288138.9214621</v>
      </c>
      <c r="K12" s="1489">
        <f t="shared" si="1"/>
        <v>1912383564.79005</v>
      </c>
      <c r="L12" s="1489">
        <f t="shared" si="1"/>
        <v>1673327311.7411606</v>
      </c>
      <c r="M12" s="1489">
        <f t="shared" si="1"/>
        <v>1764870208.2978988</v>
      </c>
      <c r="N12" s="1489">
        <f t="shared" si="1"/>
        <v>1844931417.5955896</v>
      </c>
      <c r="O12" s="1489">
        <f t="shared" si="1"/>
        <v>1922943836.2194536</v>
      </c>
      <c r="P12" s="1489">
        <f t="shared" si="1"/>
        <v>1993128494.8405018</v>
      </c>
      <c r="Q12" s="1489">
        <f t="shared" si="1"/>
        <v>2071732650.6436901</v>
      </c>
      <c r="R12" s="1487"/>
    </row>
    <row r="13" spans="3:20" hidden="1" outlineLevel="1">
      <c r="C13" s="1488"/>
      <c r="D13" s="1481"/>
      <c r="E13" s="1481"/>
      <c r="F13" s="1481"/>
      <c r="G13" s="1481"/>
      <c r="H13" s="1489"/>
      <c r="I13" s="1489"/>
      <c r="J13" s="1489"/>
      <c r="K13" s="1489"/>
      <c r="L13" s="1489"/>
      <c r="M13" s="1489"/>
      <c r="N13" s="1489"/>
      <c r="O13" s="1489"/>
      <c r="P13" s="1489"/>
      <c r="Q13" s="1489"/>
      <c r="R13" s="1487"/>
    </row>
    <row r="14" spans="3:20" hidden="1" outlineLevel="1">
      <c r="C14" s="1485" t="s">
        <v>1039</v>
      </c>
      <c r="D14" s="1485"/>
      <c r="E14" s="1485"/>
      <c r="F14" s="1485"/>
      <c r="G14" s="1485"/>
      <c r="H14" s="1486"/>
      <c r="I14" s="1486"/>
      <c r="J14" s="1486"/>
      <c r="K14" s="1486"/>
      <c r="L14" s="1486"/>
      <c r="M14" s="1486"/>
      <c r="N14" s="1486"/>
      <c r="O14" s="1486"/>
      <c r="P14" s="1486"/>
      <c r="Q14" s="1486"/>
      <c r="R14" s="1487"/>
    </row>
    <row r="15" spans="3:20" hidden="1" outlineLevel="1">
      <c r="C15" s="1488" t="str">
        <f>C12</f>
        <v>Туристический комплекс "Лунная поляна" - Архыз</v>
      </c>
      <c r="D15" s="1491"/>
      <c r="E15" s="1491"/>
      <c r="F15" s="1491"/>
      <c r="G15" s="1491"/>
      <c r="H15" s="1492">
        <f t="shared" ref="H15:Q15" si="2">H20/H6</f>
        <v>0.29676722759021296</v>
      </c>
      <c r="I15" s="1492">
        <f t="shared" si="2"/>
        <v>0.14008499003890459</v>
      </c>
      <c r="J15" s="1492">
        <f t="shared" si="2"/>
        <v>0.12526065488508187</v>
      </c>
      <c r="K15" s="1492">
        <f t="shared" si="2"/>
        <v>0.13284751996204136</v>
      </c>
      <c r="L15" s="1492">
        <f t="shared" si="2"/>
        <v>0.22129917961777357</v>
      </c>
      <c r="M15" s="1492">
        <f t="shared" si="2"/>
        <v>0.21682215506509558</v>
      </c>
      <c r="N15" s="1492">
        <f t="shared" si="2"/>
        <v>0.21682215506509564</v>
      </c>
      <c r="O15" s="1492">
        <f t="shared" si="2"/>
        <v>0.21681472435988589</v>
      </c>
      <c r="P15" s="1492">
        <f t="shared" si="2"/>
        <v>0.21682215506509564</v>
      </c>
      <c r="Q15" s="1492">
        <f t="shared" si="2"/>
        <v>0.21682215506509558</v>
      </c>
      <c r="R15" s="1487"/>
    </row>
    <row r="16" spans="3:20" hidden="1" outlineLevel="1">
      <c r="C16" s="1485" t="s">
        <v>1040</v>
      </c>
      <c r="D16" s="1485"/>
      <c r="E16" s="1485"/>
      <c r="F16" s="1485"/>
      <c r="G16" s="1485"/>
      <c r="H16" s="1486"/>
      <c r="I16" s="1486"/>
      <c r="J16" s="1486"/>
      <c r="K16" s="1486"/>
      <c r="L16" s="1486"/>
      <c r="M16" s="1486"/>
      <c r="N16" s="1486"/>
      <c r="O16" s="1486"/>
      <c r="P16" s="1486"/>
      <c r="Q16" s="1486"/>
      <c r="R16" s="1487"/>
    </row>
    <row r="17" spans="3:18" hidden="1" outlineLevel="1">
      <c r="C17" s="1488" t="str">
        <f>C14</f>
        <v>Доля расходов на персонал в выручке</v>
      </c>
      <c r="D17" s="1491"/>
      <c r="E17" s="1491"/>
      <c r="F17" s="1491"/>
      <c r="G17" s="1491"/>
      <c r="H17" s="1492">
        <f>H20/H12</f>
        <v>0.39750466788276234</v>
      </c>
      <c r="I17" s="1492">
        <f t="shared" ref="I17:Q17" si="3">I20/I12</f>
        <v>0.29337999654255015</v>
      </c>
      <c r="J17" s="1492">
        <f t="shared" si="3"/>
        <v>0.28625655709292624</v>
      </c>
      <c r="K17" s="1492">
        <f t="shared" si="3"/>
        <v>0.29182812818820669</v>
      </c>
      <c r="L17" s="1492">
        <f t="shared" si="3"/>
        <v>0.35008408841676086</v>
      </c>
      <c r="M17" s="1492">
        <f t="shared" si="3"/>
        <v>0.34783083392641811</v>
      </c>
      <c r="N17" s="1492">
        <f t="shared" si="3"/>
        <v>0.34604610300861605</v>
      </c>
      <c r="O17" s="1492">
        <f t="shared" si="3"/>
        <v>0.34624756137536628</v>
      </c>
      <c r="P17" s="1492">
        <f t="shared" si="3"/>
        <v>0.34645399204246835</v>
      </c>
      <c r="Q17" s="1492">
        <f t="shared" si="3"/>
        <v>0.34664145318924328</v>
      </c>
      <c r="R17" s="1487"/>
    </row>
    <row r="18" spans="3:18" hidden="1" outlineLevel="1">
      <c r="C18" s="1488"/>
      <c r="D18" s="1491"/>
      <c r="E18" s="1491"/>
      <c r="F18" s="1491"/>
      <c r="G18" s="1491"/>
      <c r="H18" s="1493"/>
      <c r="I18" s="1493"/>
      <c r="J18" s="1493"/>
      <c r="K18" s="1493"/>
      <c r="L18" s="1493"/>
      <c r="M18" s="1493"/>
      <c r="N18" s="1493"/>
      <c r="O18" s="1493"/>
      <c r="P18" s="1493"/>
      <c r="Q18" s="1493"/>
      <c r="R18" s="1487"/>
    </row>
    <row r="19" spans="3:18" hidden="1" outlineLevel="1">
      <c r="C19" s="1485" t="s">
        <v>25</v>
      </c>
      <c r="D19" s="1485"/>
      <c r="E19" s="1485"/>
      <c r="F19" s="1485"/>
      <c r="G19" s="1485"/>
      <c r="H19" s="1486"/>
      <c r="I19" s="1486"/>
      <c r="J19" s="1486"/>
      <c r="K19" s="1486"/>
      <c r="L19" s="1486"/>
      <c r="M19" s="1486"/>
      <c r="N19" s="1486"/>
      <c r="O19" s="1486"/>
      <c r="P19" s="1486"/>
      <c r="Q19" s="1486"/>
      <c r="R19" s="1487"/>
    </row>
    <row r="20" spans="3:18" hidden="1" outlineLevel="1">
      <c r="C20" s="1488" t="str">
        <f>C15</f>
        <v>Туристический комплекс "Лунная поляна" - Архыз</v>
      </c>
      <c r="D20" s="1491"/>
      <c r="E20" s="1543"/>
      <c r="F20" s="1543"/>
      <c r="G20" s="1543"/>
      <c r="H20" s="1526">
        <f>LOOKUP(H4,СВОД_PL!120:120,СВОД_PL!124:124)</f>
        <v>122117791.16312158</v>
      </c>
      <c r="I20" s="1489">
        <f>LOOKUP(I4,СВОД_PL!120:120,СВОД_PL!124:124)</f>
        <v>385725406.24438256</v>
      </c>
      <c r="J20" s="1489">
        <f>LOOKUP(J4,СВОД_PL!120:120,СВОД_PL!124:124)</f>
        <v>537672295.87613773</v>
      </c>
      <c r="K20" s="1489">
        <f>LOOKUP(K4,СВОД_PL!120:120,СВОД_PL!124:124)</f>
        <v>558087316.09057045</v>
      </c>
      <c r="L20" s="1489">
        <f>LOOKUP(L4,СВОД_PL!120:120,СВОД_PL!124:124)</f>
        <v>585805266.55377328</v>
      </c>
      <c r="M20" s="1489">
        <f>LOOKUP(M4,СВОД_PL!120:120,СВОД_PL!124:124)</f>
        <v>613876276.32414937</v>
      </c>
      <c r="N20" s="1489">
        <f>LOOKUP(N4,СВОД_PL!120:120,СВОД_PL!124:124)</f>
        <v>638431327.37711549</v>
      </c>
      <c r="O20" s="1489">
        <f>LOOKUP(O4,СВОД_PL!120:120,СВОД_PL!124:124)</f>
        <v>665814613.9527775</v>
      </c>
      <c r="P20" s="1489">
        <f>LOOKUP(P4,СВОД_PL!120:120,СВОД_PL!124:124)</f>
        <v>690527323.69108808</v>
      </c>
      <c r="Q20" s="1489">
        <f>LOOKUP(Q4,СВОД_PL!120:120,СВОД_PL!124:124)</f>
        <v>718148416.6387316</v>
      </c>
      <c r="R20" s="1487"/>
    </row>
    <row r="21" spans="3:18" hidden="1" outlineLevel="1">
      <c r="C21" s="1488"/>
      <c r="D21" s="1491"/>
      <c r="E21" s="1491"/>
      <c r="F21" s="1491"/>
      <c r="G21" s="1491"/>
      <c r="H21" s="1489"/>
      <c r="I21" s="1489"/>
      <c r="J21" s="1489"/>
      <c r="K21" s="1489"/>
      <c r="L21" s="1489"/>
      <c r="M21" s="1489"/>
      <c r="N21" s="1489"/>
      <c r="O21" s="1489"/>
      <c r="P21" s="1489"/>
      <c r="Q21" s="1489"/>
      <c r="R21" s="1487"/>
    </row>
    <row r="22" spans="3:18" hidden="1" outlineLevel="1">
      <c r="C22" s="1494" t="s">
        <v>1041</v>
      </c>
      <c r="D22" s="1485"/>
      <c r="E22" s="1485"/>
      <c r="F22" s="1485"/>
      <c r="G22" s="1485"/>
      <c r="H22" s="1486"/>
      <c r="I22" s="1486"/>
      <c r="J22" s="1486"/>
      <c r="K22" s="1486"/>
      <c r="L22" s="1486"/>
      <c r="M22" s="1486"/>
      <c r="N22" s="1486"/>
      <c r="O22" s="1486"/>
      <c r="P22" s="1486"/>
      <c r="Q22" s="1486"/>
      <c r="R22" s="1486"/>
    </row>
    <row r="23" spans="3:18" hidden="1" outlineLevel="1">
      <c r="C23" s="1488" t="str">
        <f>C20</f>
        <v>Туристический комплекс "Лунная поляна" - Архыз</v>
      </c>
      <c r="D23" s="1491"/>
      <c r="E23" s="1491"/>
      <c r="F23" s="1491"/>
      <c r="G23" s="1491"/>
      <c r="H23" s="1526">
        <f t="shared" ref="H23:Q23" si="4">$E$59*H20</f>
        <v>12211779.116312159</v>
      </c>
      <c r="I23" s="1489">
        <f t="shared" si="4"/>
        <v>38572540.624438256</v>
      </c>
      <c r="J23" s="1489">
        <f t="shared" si="4"/>
        <v>53767229.587613776</v>
      </c>
      <c r="K23" s="1489">
        <f t="shared" si="4"/>
        <v>55808731.609057046</v>
      </c>
      <c r="L23" s="1489">
        <f t="shared" si="4"/>
        <v>58580526.655377328</v>
      </c>
      <c r="M23" s="1489">
        <f t="shared" si="4"/>
        <v>61387627.632414937</v>
      </c>
      <c r="N23" s="1489">
        <f t="shared" si="4"/>
        <v>63843132.737711549</v>
      </c>
      <c r="O23" s="1489">
        <f t="shared" si="4"/>
        <v>66581461.395277753</v>
      </c>
      <c r="P23" s="1489">
        <f t="shared" si="4"/>
        <v>69052732.369108811</v>
      </c>
      <c r="Q23" s="1489">
        <f t="shared" si="4"/>
        <v>71814841.663873166</v>
      </c>
      <c r="R23" s="1495">
        <f>SUM(H23:Q23)</f>
        <v>551620603.39118481</v>
      </c>
    </row>
    <row r="24" spans="3:18" hidden="1" outlineLevel="1">
      <c r="C24" s="1488"/>
      <c r="D24" s="1491"/>
      <c r="E24" s="1491"/>
      <c r="F24" s="1491"/>
      <c r="G24" s="1491"/>
      <c r="H24" s="1489"/>
      <c r="I24" s="1489"/>
      <c r="J24" s="1489"/>
      <c r="K24" s="1489"/>
      <c r="L24" s="1489"/>
      <c r="M24" s="1489"/>
      <c r="N24" s="1489"/>
      <c r="O24" s="1489"/>
      <c r="P24" s="1489"/>
      <c r="Q24" s="1489"/>
      <c r="R24" s="1489"/>
    </row>
    <row r="25" spans="3:18" hidden="1" outlineLevel="1">
      <c r="C25" s="1494" t="s">
        <v>1042</v>
      </c>
      <c r="D25" s="1485"/>
      <c r="E25" s="1485"/>
      <c r="F25" s="1485"/>
      <c r="G25" s="1485"/>
      <c r="H25" s="1486"/>
      <c r="I25" s="1486"/>
      <c r="J25" s="1486"/>
      <c r="K25" s="1486"/>
      <c r="L25" s="1486"/>
      <c r="M25" s="1486"/>
      <c r="N25" s="1486"/>
      <c r="O25" s="1486"/>
      <c r="P25" s="1486"/>
      <c r="Q25" s="1486"/>
      <c r="R25" s="1486"/>
    </row>
    <row r="26" spans="3:18" hidden="1" outlineLevel="1">
      <c r="C26" s="1488" t="str">
        <f>C23</f>
        <v>Туристический комплекс "Лунная поляна" - Архыз</v>
      </c>
      <c r="D26" s="1481"/>
      <c r="E26" s="1481"/>
      <c r="F26" s="1481"/>
      <c r="G26" s="1481"/>
      <c r="H26" s="1526">
        <f t="shared" ref="H26:Q26" si="5">$E$62*H20</f>
        <v>28181028.729951136</v>
      </c>
      <c r="I26" s="1489">
        <f t="shared" si="5"/>
        <v>89013555.28716521</v>
      </c>
      <c r="J26" s="1489">
        <f t="shared" si="5"/>
        <v>124078222.12526256</v>
      </c>
      <c r="K26" s="1489">
        <f t="shared" si="5"/>
        <v>128789380.6362855</v>
      </c>
      <c r="L26" s="1489">
        <f t="shared" si="5"/>
        <v>135185830.74317846</v>
      </c>
      <c r="M26" s="1489">
        <f t="shared" si="5"/>
        <v>141663756.07480371</v>
      </c>
      <c r="N26" s="1489">
        <f t="shared" si="5"/>
        <v>147330306.3177959</v>
      </c>
      <c r="O26" s="1489">
        <f t="shared" si="5"/>
        <v>153649526.29679483</v>
      </c>
      <c r="P26" s="1489">
        <f t="shared" si="5"/>
        <v>159352459.31332803</v>
      </c>
      <c r="Q26" s="1489">
        <f t="shared" si="5"/>
        <v>165726557.68586114</v>
      </c>
      <c r="R26" s="1495">
        <f>SUM(H26:Q26)</f>
        <v>1272970623.2104263</v>
      </c>
    </row>
    <row r="27" spans="3:18" hidden="1" outlineLevel="1">
      <c r="C27" s="1488"/>
      <c r="D27" s="1481"/>
      <c r="E27" s="1481"/>
      <c r="F27" s="1481"/>
      <c r="G27" s="1481"/>
      <c r="H27" s="1489"/>
      <c r="I27" s="1489"/>
      <c r="J27" s="1489"/>
      <c r="K27" s="1489"/>
      <c r="L27" s="1489"/>
      <c r="M27" s="1489"/>
      <c r="N27" s="1489"/>
      <c r="O27" s="1489"/>
      <c r="P27" s="1489"/>
      <c r="Q27" s="1489"/>
      <c r="R27" s="1489"/>
    </row>
    <row r="28" spans="3:18" hidden="1" outlineLevel="1">
      <c r="C28" s="1494" t="s">
        <v>104</v>
      </c>
      <c r="D28" s="1485"/>
      <c r="E28" s="1485"/>
      <c r="F28" s="1485"/>
      <c r="G28" s="1485"/>
      <c r="H28" s="1486"/>
      <c r="I28" s="1486"/>
      <c r="J28" s="1486"/>
      <c r="K28" s="1486"/>
      <c r="L28" s="1486"/>
      <c r="M28" s="1486"/>
      <c r="N28" s="1486"/>
      <c r="O28" s="1486"/>
      <c r="P28" s="1486"/>
      <c r="Q28" s="1486"/>
      <c r="R28" s="1486"/>
    </row>
    <row r="29" spans="3:18" hidden="1" outlineLevel="1">
      <c r="C29" s="1488" t="str">
        <f>C26</f>
        <v>Туристический комплекс "Лунная поляна" - Архыз</v>
      </c>
      <c r="D29" s="1481"/>
      <c r="E29" s="1489">
        <f>-LOOKUP(E4,CF_15!5:5,CF_15!34:34)</f>
        <v>0</v>
      </c>
      <c r="F29" s="1489">
        <f>-LOOKUP(F4,CF_15!5:5,CF_15!34:34)</f>
        <v>0</v>
      </c>
      <c r="G29" s="1489">
        <f>-LOOKUP(G4,CF_15!5:5,CF_15!34:34)</f>
        <v>0</v>
      </c>
      <c r="H29" s="1526">
        <f>-LOOKUP(H4,CF_15!5:5,CF_15!34:34)</f>
        <v>0</v>
      </c>
      <c r="I29" s="1526">
        <f>-LOOKUP(I4,CF_15!5:5,CF_15!34:34)</f>
        <v>51717309.890050016</v>
      </c>
      <c r="J29" s="1526">
        <f>-LOOKUP(J4,CF_15!5:5,CF_15!34:34)</f>
        <v>196635963.14657626</v>
      </c>
      <c r="K29" s="1526">
        <f>-LOOKUP(K4,CF_15!5:5,CF_15!34:34)</f>
        <v>191044746.10549614</v>
      </c>
      <c r="L29" s="1489">
        <f>-LOOKUP(L4,CF_15!5:5,CF_15!34:34)</f>
        <v>77573294.184490606</v>
      </c>
      <c r="M29" s="1489">
        <f>-LOOKUP(M4,CF_15!5:5,CF_15!34:34)</f>
        <v>94869031.054977804</v>
      </c>
      <c r="N29" s="1489">
        <f>-LOOKUP(N4,CF_15!5:5,CF_15!34:34)</f>
        <v>103529892.14545262</v>
      </c>
      <c r="O29" s="1489">
        <f>-LOOKUP(O4,CF_15!5:5,CF_15!34:34)</f>
        <v>114932713.61069307</v>
      </c>
      <c r="P29" s="1489">
        <f>-LOOKUP(P4,CF_15!5:5,CF_15!34:34)</f>
        <v>126035513.19316959</v>
      </c>
      <c r="Q29" s="1489">
        <f>-LOOKUP(Q4,CF_15!5:5,CF_15!34:34)</f>
        <v>138279643.83738419</v>
      </c>
      <c r="R29" s="1495">
        <f>SUM(H29:Q29)</f>
        <v>1094618107.1682904</v>
      </c>
    </row>
    <row r="30" spans="3:18" hidden="1" outlineLevel="1">
      <c r="C30" s="1496" t="s">
        <v>1043</v>
      </c>
      <c r="D30" s="1481"/>
      <c r="E30" s="1489">
        <f>E29*IF(E4&lt;=$N$55,$N$60,$Q$60)</f>
        <v>0</v>
      </c>
      <c r="F30" s="1489">
        <f>F29*IF(F4&lt;=$N$55,$N$60,$Q$60)</f>
        <v>0</v>
      </c>
      <c r="G30" s="1489">
        <f>G29*IF(G4&lt;=$N$55,$N$60,$Q$60)</f>
        <v>0</v>
      </c>
      <c r="H30" s="1526">
        <f>H29*IF(H4&lt;=$N$55,$N$60,$Q$60)</f>
        <v>0</v>
      </c>
      <c r="I30" s="1526">
        <f t="shared" ref="I30:Q30" si="6">I29*IF(I4&lt;=$N$55,$N$60,$Q$60)</f>
        <v>6673201.2761354856</v>
      </c>
      <c r="J30" s="1489">
        <f t="shared" si="6"/>
        <v>25372382.341493711</v>
      </c>
      <c r="K30" s="1526">
        <f t="shared" si="6"/>
        <v>24650934.981354341</v>
      </c>
      <c r="L30" s="1489">
        <f t="shared" si="6"/>
        <v>10009457.31412782</v>
      </c>
      <c r="M30" s="1489">
        <f t="shared" si="6"/>
        <v>12241165.297416491</v>
      </c>
      <c r="N30" s="1489">
        <f t="shared" si="6"/>
        <v>13358695.760703564</v>
      </c>
      <c r="O30" s="1489">
        <f t="shared" si="6"/>
        <v>14830027.562670073</v>
      </c>
      <c r="P30" s="1489">
        <f t="shared" si="6"/>
        <v>16262646.863634786</v>
      </c>
      <c r="Q30" s="1489">
        <f t="shared" si="6"/>
        <v>17842534.688694734</v>
      </c>
      <c r="R30" s="1495">
        <f>SUM(H30:Q30)</f>
        <v>141241046.08623099</v>
      </c>
    </row>
    <row r="31" spans="3:18" hidden="1" outlineLevel="1">
      <c r="C31" s="1481"/>
      <c r="D31" s="1481"/>
      <c r="E31" s="1481"/>
      <c r="F31" s="1481"/>
      <c r="G31" s="1481"/>
      <c r="H31" s="1489"/>
      <c r="I31" s="1489"/>
      <c r="J31" s="1489"/>
      <c r="K31" s="1489"/>
      <c r="L31" s="1489"/>
      <c r="M31" s="1489"/>
      <c r="N31" s="1489"/>
      <c r="O31" s="1489"/>
      <c r="P31" s="1489"/>
      <c r="Q31" s="1489"/>
      <c r="R31" s="1489"/>
    </row>
    <row r="32" spans="3:18" hidden="1" outlineLevel="1">
      <c r="C32" s="1494" t="s">
        <v>22</v>
      </c>
      <c r="D32" s="1485"/>
      <c r="E32" s="1485"/>
      <c r="F32" s="1485"/>
      <c r="G32" s="1485"/>
      <c r="H32" s="1486"/>
      <c r="I32" s="1486"/>
      <c r="J32" s="1486"/>
      <c r="K32" s="1486"/>
      <c r="L32" s="1486"/>
      <c r="M32" s="1486"/>
      <c r="N32" s="1486"/>
      <c r="O32" s="1486"/>
      <c r="P32" s="1486"/>
      <c r="Q32" s="1486"/>
      <c r="R32" s="1486"/>
    </row>
    <row r="33" spans="3:20" hidden="1" outlineLevel="1">
      <c r="C33" s="1488" t="str">
        <f>C29</f>
        <v>Туристический комплекс "Лунная поляна" - Архыз</v>
      </c>
      <c r="D33" s="1481"/>
      <c r="E33" s="1526">
        <f>LOOKUP(E4,Амортизация!295:295,Амортизация!298:298)+LOOKUP(E4,Амортизация!295:295,Амортизация!314:314)</f>
        <v>0</v>
      </c>
      <c r="F33" s="1526">
        <f>LOOKUP(F4,Амортизация!295:295,Амортизация!298:298)+LOOKUP(F4,Амортизация!295:295,Амортизация!314:314)</f>
        <v>0</v>
      </c>
      <c r="G33" s="1526">
        <f>LOOKUP(G4,Амортизация!295:295,Амортизация!298:298)+LOOKUP(G4,Амортизация!295:295,Амортизация!314:314)</f>
        <v>0</v>
      </c>
      <c r="H33" s="1526">
        <f>LOOKUP(H4,Амортизация!295:295,Амортизация!298:298)+LOOKUP(H4,Амортизация!295:295,Амортизация!314:314)</f>
        <v>0</v>
      </c>
      <c r="I33" s="1526">
        <f>LOOKUP(I4,Амортизация!295:295,Амортизация!298:298)+LOOKUP(I4,Амортизация!295:295,Амортизация!314:314)</f>
        <v>0</v>
      </c>
      <c r="J33" s="1526">
        <f>LOOKUP(J4,Амортизация!295:295,Амортизация!298:298)+LOOKUP(J4,Амортизация!295:295,Амортизация!314:314)</f>
        <v>0</v>
      </c>
      <c r="K33" s="1526">
        <f>LOOKUP(K4,Амортизация!295:295,Амортизация!298:298)+LOOKUP(K4,Амортизация!295:295,Амортизация!314:314)</f>
        <v>0</v>
      </c>
      <c r="L33" s="1526">
        <f>LOOKUP(L4,Амортизация!295:295,Амортизация!298:298)+LOOKUP(L4,Амортизация!295:295,Амортизация!314:314)</f>
        <v>0</v>
      </c>
      <c r="M33" s="1526">
        <f>LOOKUP(M4,Амортизация!295:295,Амортизация!298:298)+LOOKUP(M4,Амортизация!295:295,Амортизация!314:314)</f>
        <v>0</v>
      </c>
      <c r="N33" s="1526">
        <f>LOOKUP(N4,Амортизация!295:295,Амортизация!298:298)+LOOKUP(N4,Амортизация!295:295,Амортизация!314:314)</f>
        <v>0</v>
      </c>
      <c r="O33" s="1526">
        <f>LOOKUP(O4,Амортизация!295:295,Амортизация!298:298)+LOOKUP(O4,Амортизация!295:295,Амортизация!314:314)</f>
        <v>0</v>
      </c>
      <c r="P33" s="1526">
        <f>LOOKUP(P4,Амортизация!295:295,Амортизация!298:298)+LOOKUP(P4,Амортизация!295:295,Амортизация!314:314)</f>
        <v>0</v>
      </c>
      <c r="Q33" s="1526">
        <f>LOOKUP(Q4,Амортизация!295:295,Амортизация!298:298)+LOOKUP(Q4,Амортизация!295:295,Амортизация!314:314)</f>
        <v>0</v>
      </c>
      <c r="R33" s="1495">
        <f>SUM(H33:Q33)</f>
        <v>0</v>
      </c>
      <c r="S33" s="1546" t="s">
        <v>1085</v>
      </c>
    </row>
    <row r="34" spans="3:20" ht="15.75" hidden="1" customHeight="1" outlineLevel="1"/>
    <row r="35" spans="3:20" hidden="1" outlineLevel="1">
      <c r="C35" s="1494" t="s">
        <v>1044</v>
      </c>
      <c r="D35" s="1494"/>
      <c r="E35" s="1486"/>
      <c r="F35" s="1486"/>
      <c r="G35" s="1486"/>
      <c r="H35" s="1486"/>
      <c r="I35" s="1486"/>
      <c r="J35" s="1486"/>
      <c r="K35" s="1486"/>
      <c r="L35" s="1486"/>
      <c r="M35" s="1486"/>
      <c r="N35" s="1486"/>
      <c r="O35" s="1486"/>
      <c r="P35" s="1486"/>
      <c r="Q35" s="1486"/>
      <c r="R35" s="1486"/>
    </row>
    <row r="36" spans="3:20" hidden="1" outlineLevel="1">
      <c r="C36" s="1488" t="str">
        <f>C33</f>
        <v>Туристический комплекс "Лунная поляна" - Архыз</v>
      </c>
      <c r="D36" s="1481"/>
      <c r="E36" s="1489">
        <f>LOOKUP(E4,Земля!31:31,Земля!32:32)</f>
        <v>413939.44791191071</v>
      </c>
      <c r="F36" s="1489">
        <f>LOOKUP(F4,Земля!31:31,Земля!32:32)</f>
        <v>452358.97750852513</v>
      </c>
      <c r="G36" s="1489">
        <f>LOOKUP(G4,Земля!31:31,Земля!32:32)</f>
        <v>453598.31717293209</v>
      </c>
      <c r="H36" s="1489">
        <f>LOOKUP(H4,Земля!31:31,Земля!33:33)</f>
        <v>452358.97750852513</v>
      </c>
      <c r="I36" s="1489">
        <f>LOOKUP(I4,Земля!31:31,Земля!33:33)</f>
        <v>465082.41457471345</v>
      </c>
      <c r="J36" s="1489">
        <f>LOOKUP(J4,Земля!31:31,Земля!33:33)</f>
        <v>470089.68815230893</v>
      </c>
      <c r="K36" s="1489">
        <f>LOOKUP(K4,Земля!31:31,Земля!33:33)</f>
        <v>467640.77113965858</v>
      </c>
      <c r="L36" s="1489">
        <f>LOOKUP(L4,Земля!31:31,Земля!33:33)</f>
        <v>465221.15961036918</v>
      </c>
      <c r="M36" s="1489">
        <f>LOOKUP(M4,Земля!31:31,Земля!33:33)</f>
        <v>465221.15961036918</v>
      </c>
      <c r="N36" s="1489">
        <f>LOOKUP(N4,Земля!31:31,Земля!33:33)</f>
        <v>479726.66302369832</v>
      </c>
      <c r="O36" s="1489">
        <f>LOOKUP(O4,Земля!31:31,Земля!33:33)</f>
        <v>489820.52503634233</v>
      </c>
      <c r="P36" s="1489">
        <f>LOOKUP(P4,Земля!31:31,Земля!33:33)</f>
        <v>488482.21759088786</v>
      </c>
      <c r="Q36" s="1489">
        <f>LOOKUP(Q4,Земля!31:31,Земля!33:33)</f>
        <v>488482.21759088786</v>
      </c>
      <c r="R36" s="1495">
        <f>SUM(H36:Q36)</f>
        <v>4732125.7938377606</v>
      </c>
    </row>
    <row r="37" spans="3:20" hidden="1" outlineLevel="1"/>
    <row r="38" spans="3:20" hidden="1" outlineLevel="1">
      <c r="C38" s="1494" t="s">
        <v>1045</v>
      </c>
      <c r="D38" s="1486"/>
      <c r="E38" s="1486"/>
      <c r="F38" s="1486"/>
      <c r="G38" s="1486"/>
      <c r="H38" s="1486"/>
      <c r="I38" s="1486"/>
      <c r="J38" s="1486"/>
      <c r="K38" s="1486"/>
      <c r="L38" s="1486"/>
      <c r="M38" s="1486"/>
      <c r="N38" s="1486"/>
      <c r="O38" s="1486"/>
      <c r="P38" s="1486"/>
      <c r="Q38" s="1486"/>
      <c r="R38" s="1486"/>
    </row>
    <row r="39" spans="3:20" hidden="1" outlineLevel="1">
      <c r="C39" s="1488" t="str">
        <f>C36</f>
        <v>Туристический комплекс "Лунная поляна" - Архыз</v>
      </c>
      <c r="D39" s="1481"/>
      <c r="E39" s="1481"/>
      <c r="F39" s="1481"/>
      <c r="G39" s="1481"/>
      <c r="H39" s="1526">
        <f>H74</f>
        <v>47962419.847599894</v>
      </c>
      <c r="I39" s="1489">
        <f t="shared" ref="I39:Q39" si="7">I74</f>
        <v>376926980.49958909</v>
      </c>
      <c r="J39" s="1489">
        <f t="shared" si="7"/>
        <v>603912880.93826365</v>
      </c>
      <c r="K39" s="1489">
        <f t="shared" si="7"/>
        <v>583847107.26546764</v>
      </c>
      <c r="L39" s="1489">
        <f t="shared" si="7"/>
        <v>327504413.68319905</v>
      </c>
      <c r="M39" s="1489">
        <f t="shared" si="7"/>
        <v>352766078.78602684</v>
      </c>
      <c r="N39" s="1489">
        <f t="shared" si="7"/>
        <v>365430268.28415847</v>
      </c>
      <c r="O39" s="1489">
        <f t="shared" si="7"/>
        <v>381348548.28599644</v>
      </c>
      <c r="P39" s="1489">
        <f t="shared" si="7"/>
        <v>395719243.46232343</v>
      </c>
      <c r="Q39" s="1489">
        <f t="shared" si="7"/>
        <v>411772209.99890304</v>
      </c>
      <c r="R39" s="1495">
        <f>SUM(H39:Q39)</f>
        <v>3847190151.051528</v>
      </c>
    </row>
    <row r="40" spans="3:20" collapsed="1"/>
    <row r="41" spans="3:20" ht="15.75" thickBot="1">
      <c r="C41" s="1497" t="s">
        <v>1046</v>
      </c>
    </row>
    <row r="42" spans="3:20" s="1500" customFormat="1" ht="18.75" customHeight="1" thickTop="1">
      <c r="C42" s="1498"/>
      <c r="D42" s="1498"/>
      <c r="E42" s="1498"/>
      <c r="F42" s="1499">
        <f t="shared" ref="F42:Q42" si="8">F4</f>
        <v>2023</v>
      </c>
      <c r="G42" s="1499">
        <f t="shared" si="8"/>
        <v>2024</v>
      </c>
      <c r="H42" s="1499">
        <f t="shared" si="8"/>
        <v>2025</v>
      </c>
      <c r="I42" s="1499">
        <f t="shared" si="8"/>
        <v>2026</v>
      </c>
      <c r="J42" s="1499">
        <f t="shared" si="8"/>
        <v>2027</v>
      </c>
      <c r="K42" s="1499">
        <f t="shared" si="8"/>
        <v>2028</v>
      </c>
      <c r="L42" s="1499">
        <f t="shared" si="8"/>
        <v>2029</v>
      </c>
      <c r="M42" s="1499">
        <f t="shared" si="8"/>
        <v>2030</v>
      </c>
      <c r="N42" s="1499">
        <f t="shared" si="8"/>
        <v>2031</v>
      </c>
      <c r="O42" s="1499">
        <f t="shared" si="8"/>
        <v>2032</v>
      </c>
      <c r="P42" s="1499">
        <f t="shared" si="8"/>
        <v>2033</v>
      </c>
      <c r="Q42" s="1499">
        <f t="shared" si="8"/>
        <v>2034</v>
      </c>
      <c r="S42" s="1499" t="s">
        <v>1089</v>
      </c>
      <c r="T42" s="1499" t="s">
        <v>1047</v>
      </c>
    </row>
    <row r="43" spans="3:20" s="1500" customFormat="1" ht="16.5" customHeight="1">
      <c r="C43" s="1501" t="s">
        <v>1048</v>
      </c>
      <c r="D43" s="1502"/>
      <c r="E43" s="1502"/>
      <c r="F43" s="1503">
        <f>F44+F45+F46+F47</f>
        <v>0</v>
      </c>
      <c r="G43" s="1503">
        <f>G44+G45+G46+G47</f>
        <v>0</v>
      </c>
      <c r="H43" s="1503">
        <f>H44+H45+H46+H47</f>
        <v>88355227.693863183</v>
      </c>
      <c r="I43" s="1503">
        <f t="shared" ref="I43:Q43" si="9">I44+I45+I46+I47</f>
        <v>511186277.68732804</v>
      </c>
      <c r="J43" s="1503">
        <f t="shared" si="9"/>
        <v>807130714.99263382</v>
      </c>
      <c r="K43" s="1503">
        <f t="shared" si="9"/>
        <v>793096154.49216461</v>
      </c>
      <c r="L43" s="1503">
        <f t="shared" si="9"/>
        <v>531280228.39588261</v>
      </c>
      <c r="M43" s="1503">
        <f t="shared" si="9"/>
        <v>568058627.79066205</v>
      </c>
      <c r="N43" s="1503">
        <f t="shared" si="9"/>
        <v>589962403.10036945</v>
      </c>
      <c r="O43" s="1503">
        <f t="shared" si="9"/>
        <v>616409563.54073906</v>
      </c>
      <c r="P43" s="1503">
        <f t="shared" si="9"/>
        <v>640387082.00839496</v>
      </c>
      <c r="Q43" s="1503">
        <f t="shared" si="9"/>
        <v>667156144.03733206</v>
      </c>
      <c r="R43" s="1504"/>
      <c r="S43" s="1503">
        <f>SUM(F43:G43)</f>
        <v>0</v>
      </c>
      <c r="T43" s="1503">
        <f t="shared" ref="T43:T52" si="10">SUM(H43:Q43)</f>
        <v>5813022423.7393703</v>
      </c>
    </row>
    <row r="44" spans="3:20" s="1500" customFormat="1" ht="16.5" customHeight="1">
      <c r="C44" s="1505" t="str">
        <f>C28</f>
        <v>Налог на прибыль</v>
      </c>
      <c r="D44" s="1506"/>
      <c r="E44" s="1506"/>
      <c r="F44" s="1547">
        <f>F30</f>
        <v>0</v>
      </c>
      <c r="G44" s="1547">
        <f>G30</f>
        <v>0</v>
      </c>
      <c r="H44" s="1547">
        <f>H30</f>
        <v>0</v>
      </c>
      <c r="I44" s="1507">
        <f t="shared" ref="I44:Q44" si="11">I30</f>
        <v>6673201.2761354856</v>
      </c>
      <c r="J44" s="1507">
        <f t="shared" si="11"/>
        <v>25372382.341493711</v>
      </c>
      <c r="K44" s="1507">
        <f t="shared" si="11"/>
        <v>24650934.981354341</v>
      </c>
      <c r="L44" s="1507">
        <f t="shared" si="11"/>
        <v>10009457.31412782</v>
      </c>
      <c r="M44" s="1507">
        <f t="shared" si="11"/>
        <v>12241165.297416491</v>
      </c>
      <c r="N44" s="1507">
        <f t="shared" si="11"/>
        <v>13358695.760703564</v>
      </c>
      <c r="O44" s="1507">
        <f t="shared" si="11"/>
        <v>14830027.562670073</v>
      </c>
      <c r="P44" s="1507">
        <f t="shared" si="11"/>
        <v>16262646.863634786</v>
      </c>
      <c r="Q44" s="1507">
        <f t="shared" si="11"/>
        <v>17842534.688694734</v>
      </c>
      <c r="R44" s="1504"/>
      <c r="S44" s="1507">
        <f t="shared" ref="S44:S52" si="12">SUM(F44:G44)</f>
        <v>0</v>
      </c>
      <c r="T44" s="1507">
        <f t="shared" si="10"/>
        <v>141241046.08623099</v>
      </c>
    </row>
    <row r="45" spans="3:20" s="1500" customFormat="1" ht="16.5" customHeight="1">
      <c r="C45" s="1505" t="s">
        <v>1045</v>
      </c>
      <c r="D45" s="1508"/>
      <c r="E45" s="1508"/>
      <c r="F45" s="1547">
        <f>F39</f>
        <v>0</v>
      </c>
      <c r="G45" s="1547">
        <f>G39</f>
        <v>0</v>
      </c>
      <c r="H45" s="1547">
        <f>H39</f>
        <v>47962419.847599894</v>
      </c>
      <c r="I45" s="1507">
        <f t="shared" ref="I45:Q45" si="13">I39</f>
        <v>376926980.49958909</v>
      </c>
      <c r="J45" s="1507">
        <f t="shared" si="13"/>
        <v>603912880.93826365</v>
      </c>
      <c r="K45" s="1507">
        <f t="shared" si="13"/>
        <v>583847107.26546764</v>
      </c>
      <c r="L45" s="1507">
        <f t="shared" si="13"/>
        <v>327504413.68319905</v>
      </c>
      <c r="M45" s="1507">
        <f t="shared" si="13"/>
        <v>352766078.78602684</v>
      </c>
      <c r="N45" s="1507">
        <f t="shared" si="13"/>
        <v>365430268.28415847</v>
      </c>
      <c r="O45" s="1507">
        <f t="shared" si="13"/>
        <v>381348548.28599644</v>
      </c>
      <c r="P45" s="1507">
        <f t="shared" si="13"/>
        <v>395719243.46232343</v>
      </c>
      <c r="Q45" s="1507">
        <f t="shared" si="13"/>
        <v>411772209.99890304</v>
      </c>
      <c r="R45" s="1504"/>
      <c r="S45" s="1507">
        <f t="shared" si="12"/>
        <v>0</v>
      </c>
      <c r="T45" s="1507">
        <f t="shared" si="10"/>
        <v>3847190151.051528</v>
      </c>
    </row>
    <row r="46" spans="3:20" s="1500" customFormat="1" ht="16.5" customHeight="1">
      <c r="C46" s="1505" t="str">
        <f>C22</f>
        <v>НДФЛ</v>
      </c>
      <c r="D46" s="1508"/>
      <c r="E46" s="1508"/>
      <c r="F46" s="1507">
        <f>F23</f>
        <v>0</v>
      </c>
      <c r="G46" s="1507">
        <f>G23</f>
        <v>0</v>
      </c>
      <c r="H46" s="1507">
        <f t="shared" ref="H46:Q46" si="14">H23</f>
        <v>12211779.116312159</v>
      </c>
      <c r="I46" s="1507">
        <f t="shared" si="14"/>
        <v>38572540.624438256</v>
      </c>
      <c r="J46" s="1507">
        <f t="shared" si="14"/>
        <v>53767229.587613776</v>
      </c>
      <c r="K46" s="1507">
        <f t="shared" si="14"/>
        <v>55808731.609057046</v>
      </c>
      <c r="L46" s="1507">
        <f t="shared" si="14"/>
        <v>58580526.655377328</v>
      </c>
      <c r="M46" s="1507">
        <f t="shared" si="14"/>
        <v>61387627.632414937</v>
      </c>
      <c r="N46" s="1507">
        <f t="shared" si="14"/>
        <v>63843132.737711549</v>
      </c>
      <c r="O46" s="1507">
        <f t="shared" si="14"/>
        <v>66581461.395277753</v>
      </c>
      <c r="P46" s="1507">
        <f t="shared" si="14"/>
        <v>69052732.369108811</v>
      </c>
      <c r="Q46" s="1507">
        <f t="shared" si="14"/>
        <v>71814841.663873166</v>
      </c>
      <c r="R46" s="1504"/>
      <c r="S46" s="1507">
        <f t="shared" si="12"/>
        <v>0</v>
      </c>
      <c r="T46" s="1507">
        <f t="shared" si="10"/>
        <v>551620603.39118481</v>
      </c>
    </row>
    <row r="47" spans="3:20" s="1500" customFormat="1" ht="16.5" customHeight="1">
      <c r="C47" s="1505" t="str">
        <f>C25</f>
        <v>Социальные отчисления</v>
      </c>
      <c r="D47" s="1508"/>
      <c r="E47" s="1508"/>
      <c r="F47" s="1507">
        <f>F26</f>
        <v>0</v>
      </c>
      <c r="G47" s="1507">
        <f>G26</f>
        <v>0</v>
      </c>
      <c r="H47" s="1507">
        <f t="shared" ref="H47:Q47" si="15">H26</f>
        <v>28181028.729951136</v>
      </c>
      <c r="I47" s="1507">
        <f t="shared" si="15"/>
        <v>89013555.28716521</v>
      </c>
      <c r="J47" s="1507">
        <f t="shared" si="15"/>
        <v>124078222.12526256</v>
      </c>
      <c r="K47" s="1507">
        <f t="shared" si="15"/>
        <v>128789380.6362855</v>
      </c>
      <c r="L47" s="1507">
        <f t="shared" si="15"/>
        <v>135185830.74317846</v>
      </c>
      <c r="M47" s="1507">
        <f t="shared" si="15"/>
        <v>141663756.07480371</v>
      </c>
      <c r="N47" s="1507">
        <f t="shared" si="15"/>
        <v>147330306.3177959</v>
      </c>
      <c r="O47" s="1507">
        <f t="shared" si="15"/>
        <v>153649526.29679483</v>
      </c>
      <c r="P47" s="1507">
        <f t="shared" si="15"/>
        <v>159352459.31332803</v>
      </c>
      <c r="Q47" s="1507">
        <f t="shared" si="15"/>
        <v>165726557.68586114</v>
      </c>
      <c r="R47" s="1504"/>
      <c r="S47" s="1507">
        <f t="shared" si="12"/>
        <v>0</v>
      </c>
      <c r="T47" s="1507">
        <f t="shared" si="10"/>
        <v>1272970623.2104263</v>
      </c>
    </row>
    <row r="48" spans="3:20" s="1500" customFormat="1" ht="16.5" customHeight="1">
      <c r="C48" s="1501" t="s">
        <v>1049</v>
      </c>
      <c r="D48" s="1502"/>
      <c r="E48" s="1502"/>
      <c r="F48" s="1503">
        <f>F50+F49</f>
        <v>0</v>
      </c>
      <c r="G48" s="1503">
        <f>G50+G49</f>
        <v>0</v>
      </c>
      <c r="H48" s="1503">
        <f>H50+H49</f>
        <v>0</v>
      </c>
      <c r="I48" s="1503">
        <f t="shared" ref="I48:Q48" si="16">I50+I49</f>
        <v>45044108.613914534</v>
      </c>
      <c r="J48" s="1503">
        <f t="shared" si="16"/>
        <v>171263580.80508256</v>
      </c>
      <c r="K48" s="1503">
        <f t="shared" si="16"/>
        <v>166393811.12414181</v>
      </c>
      <c r="L48" s="1503">
        <f t="shared" si="16"/>
        <v>67563836.870362788</v>
      </c>
      <c r="M48" s="1503">
        <f t="shared" si="16"/>
        <v>82627865.757561311</v>
      </c>
      <c r="N48" s="1503">
        <f t="shared" si="16"/>
        <v>90171196.384749055</v>
      </c>
      <c r="O48" s="1503">
        <f t="shared" si="16"/>
        <v>100102686.048023</v>
      </c>
      <c r="P48" s="1503">
        <f t="shared" si="16"/>
        <v>109772866.32953481</v>
      </c>
      <c r="Q48" s="1503">
        <f t="shared" si="16"/>
        <v>120437109.14868946</v>
      </c>
      <c r="R48" s="1504"/>
      <c r="S48" s="1503">
        <f>SUM(F48:G48)</f>
        <v>0</v>
      </c>
      <c r="T48" s="1503">
        <f t="shared" si="10"/>
        <v>953377061.08205938</v>
      </c>
    </row>
    <row r="49" spans="3:21" s="1500" customFormat="1" ht="16.5" customHeight="1">
      <c r="C49" s="1505" t="str">
        <f>C44</f>
        <v>Налог на прибыль</v>
      </c>
      <c r="D49" s="1506"/>
      <c r="E49" s="1506"/>
      <c r="F49" s="1507">
        <f>F29-F30</f>
        <v>0</v>
      </c>
      <c r="G49" s="1507">
        <f>G29-G30</f>
        <v>0</v>
      </c>
      <c r="H49" s="1507">
        <f>H29-H30</f>
        <v>0</v>
      </c>
      <c r="I49" s="1507">
        <f t="shared" ref="I49:Q49" si="17">I29-I30</f>
        <v>45044108.613914534</v>
      </c>
      <c r="J49" s="1507">
        <f t="shared" si="17"/>
        <v>171263580.80508256</v>
      </c>
      <c r="K49" s="1507">
        <f t="shared" si="17"/>
        <v>166393811.12414181</v>
      </c>
      <c r="L49" s="1507">
        <f t="shared" si="17"/>
        <v>67563836.870362788</v>
      </c>
      <c r="M49" s="1507">
        <f t="shared" si="17"/>
        <v>82627865.757561311</v>
      </c>
      <c r="N49" s="1507">
        <f t="shared" si="17"/>
        <v>90171196.384749055</v>
      </c>
      <c r="O49" s="1507">
        <f t="shared" si="17"/>
        <v>100102686.048023</v>
      </c>
      <c r="P49" s="1507">
        <f t="shared" si="17"/>
        <v>109772866.32953481</v>
      </c>
      <c r="Q49" s="1507">
        <f t="shared" si="17"/>
        <v>120437109.14868946</v>
      </c>
      <c r="R49" s="1504"/>
      <c r="S49" s="1507">
        <f>SUM(F49:G49)</f>
        <v>0</v>
      </c>
      <c r="T49" s="1507">
        <f t="shared" si="10"/>
        <v>953377061.08205938</v>
      </c>
    </row>
    <row r="50" spans="3:21" s="1500" customFormat="1" ht="16.5" customHeight="1">
      <c r="C50" s="1505" t="str">
        <f>C32</f>
        <v>Налог на имущество</v>
      </c>
      <c r="D50" s="1508"/>
      <c r="E50" s="1508"/>
      <c r="F50" s="1507">
        <f>F33</f>
        <v>0</v>
      </c>
      <c r="G50" s="1507">
        <f>G33</f>
        <v>0</v>
      </c>
      <c r="H50" s="1507">
        <f>H33</f>
        <v>0</v>
      </c>
      <c r="I50" s="1507">
        <f t="shared" ref="I50:Q50" si="18">I33</f>
        <v>0</v>
      </c>
      <c r="J50" s="1507">
        <f t="shared" si="18"/>
        <v>0</v>
      </c>
      <c r="K50" s="1507">
        <f t="shared" si="18"/>
        <v>0</v>
      </c>
      <c r="L50" s="1507">
        <f t="shared" si="18"/>
        <v>0</v>
      </c>
      <c r="M50" s="1507">
        <f t="shared" si="18"/>
        <v>0</v>
      </c>
      <c r="N50" s="1507">
        <f t="shared" si="18"/>
        <v>0</v>
      </c>
      <c r="O50" s="1507">
        <f t="shared" si="18"/>
        <v>0</v>
      </c>
      <c r="P50" s="1507">
        <f t="shared" si="18"/>
        <v>0</v>
      </c>
      <c r="Q50" s="1507">
        <f t="shared" si="18"/>
        <v>0</v>
      </c>
      <c r="R50" s="1504"/>
      <c r="S50" s="1507">
        <f t="shared" si="12"/>
        <v>0</v>
      </c>
      <c r="T50" s="1507">
        <f t="shared" si="10"/>
        <v>0</v>
      </c>
      <c r="U50" s="1546" t="str">
        <f>S33</f>
        <v>10 лет - льгота по НнИ</v>
      </c>
    </row>
    <row r="51" spans="3:21" s="1500" customFormat="1" ht="16.5" customHeight="1">
      <c r="C51" s="1501" t="s">
        <v>1050</v>
      </c>
      <c r="D51" s="1502"/>
      <c r="E51" s="1502"/>
      <c r="F51" s="1503">
        <f>F52</f>
        <v>452358.97750852513</v>
      </c>
      <c r="G51" s="1503">
        <f>G52</f>
        <v>453598.31717293209</v>
      </c>
      <c r="H51" s="1503">
        <f>H52</f>
        <v>452358.97750852513</v>
      </c>
      <c r="I51" s="1503">
        <f t="shared" ref="I51:Q51" si="19">I52</f>
        <v>465082.41457471345</v>
      </c>
      <c r="J51" s="1503">
        <f t="shared" si="19"/>
        <v>470089.68815230893</v>
      </c>
      <c r="K51" s="1503">
        <f t="shared" si="19"/>
        <v>467640.77113965858</v>
      </c>
      <c r="L51" s="1503">
        <f t="shared" si="19"/>
        <v>465221.15961036918</v>
      </c>
      <c r="M51" s="1503">
        <f t="shared" si="19"/>
        <v>465221.15961036918</v>
      </c>
      <c r="N51" s="1503">
        <f t="shared" si="19"/>
        <v>479726.66302369832</v>
      </c>
      <c r="O51" s="1503">
        <f t="shared" si="19"/>
        <v>489820.52503634233</v>
      </c>
      <c r="P51" s="1503">
        <f t="shared" si="19"/>
        <v>488482.21759088786</v>
      </c>
      <c r="Q51" s="1503">
        <f t="shared" si="19"/>
        <v>488482.21759088786</v>
      </c>
      <c r="R51" s="1504"/>
      <c r="S51" s="1503">
        <f t="shared" si="12"/>
        <v>905957.29468145722</v>
      </c>
      <c r="T51" s="1503">
        <f t="shared" si="10"/>
        <v>4732125.7938377606</v>
      </c>
    </row>
    <row r="52" spans="3:21" s="1500" customFormat="1" ht="16.5" customHeight="1">
      <c r="C52" s="1505" t="str">
        <f>C35</f>
        <v>Налог на землю / Арендные платежи за землю</v>
      </c>
      <c r="D52" s="1508"/>
      <c r="E52" s="1508"/>
      <c r="F52" s="1507">
        <f>F36</f>
        <v>452358.97750852513</v>
      </c>
      <c r="G52" s="1507">
        <f>G36</f>
        <v>453598.31717293209</v>
      </c>
      <c r="H52" s="1507">
        <f>H36</f>
        <v>452358.97750852513</v>
      </c>
      <c r="I52" s="1507">
        <f t="shared" ref="I52:Q52" si="20">I36</f>
        <v>465082.41457471345</v>
      </c>
      <c r="J52" s="1507">
        <f t="shared" si="20"/>
        <v>470089.68815230893</v>
      </c>
      <c r="K52" s="1507">
        <f t="shared" si="20"/>
        <v>467640.77113965858</v>
      </c>
      <c r="L52" s="1507">
        <f t="shared" si="20"/>
        <v>465221.15961036918</v>
      </c>
      <c r="M52" s="1507">
        <f t="shared" si="20"/>
        <v>465221.15961036918</v>
      </c>
      <c r="N52" s="1507">
        <f t="shared" si="20"/>
        <v>479726.66302369832</v>
      </c>
      <c r="O52" s="1507">
        <f t="shared" si="20"/>
        <v>489820.52503634233</v>
      </c>
      <c r="P52" s="1507">
        <f t="shared" si="20"/>
        <v>488482.21759088786</v>
      </c>
      <c r="Q52" s="1507">
        <f t="shared" si="20"/>
        <v>488482.21759088786</v>
      </c>
      <c r="R52" s="1504"/>
      <c r="S52" s="1507">
        <f t="shared" si="12"/>
        <v>905957.29468145722</v>
      </c>
      <c r="T52" s="1507">
        <f t="shared" si="10"/>
        <v>4732125.7938377606</v>
      </c>
    </row>
    <row r="54" spans="3:21">
      <c r="C54" s="1509" t="s">
        <v>1051</v>
      </c>
      <c r="D54" s="1487"/>
      <c r="E54" s="1487"/>
      <c r="F54" s="1487"/>
      <c r="G54" s="1487"/>
      <c r="H54" s="1487"/>
      <c r="I54" s="1487"/>
      <c r="J54" s="1487"/>
      <c r="K54" s="1487"/>
    </row>
    <row r="55" spans="3:21" ht="15.75" hidden="1" outlineLevel="1" thickTop="1">
      <c r="C55" s="1510" t="s">
        <v>1052</v>
      </c>
      <c r="D55" s="1487"/>
      <c r="E55" s="1487"/>
      <c r="F55" s="1487"/>
      <c r="G55" s="1487"/>
      <c r="H55" s="1487"/>
      <c r="I55" s="1510" t="s">
        <v>1053</v>
      </c>
      <c r="L55" s="1499" t="str">
        <f>Вводные!H25</f>
        <v>2017-2024 гг.</v>
      </c>
      <c r="M55" s="1499"/>
      <c r="N55" s="1499">
        <v>2024</v>
      </c>
      <c r="O55" s="1499" t="str">
        <f>Вводные!E25</f>
        <v>с 2025 г.</v>
      </c>
      <c r="P55" s="1499"/>
      <c r="Q55" s="1499">
        <v>2025</v>
      </c>
    </row>
    <row r="56" spans="3:21" hidden="1" outlineLevel="1">
      <c r="C56" s="1481" t="s">
        <v>1054</v>
      </c>
      <c r="D56" s="1511">
        <v>30000</v>
      </c>
      <c r="E56" s="1549" t="s">
        <v>1086</v>
      </c>
      <c r="F56" s="1487"/>
      <c r="G56" s="1487"/>
      <c r="H56" s="1487"/>
      <c r="I56" s="1481" t="s">
        <v>1055</v>
      </c>
      <c r="J56" s="1511">
        <v>100000</v>
      </c>
      <c r="L56" s="1512" t="s">
        <v>1056</v>
      </c>
      <c r="M56" s="1512" t="s">
        <v>1057</v>
      </c>
      <c r="N56" s="1512" t="s">
        <v>69</v>
      </c>
      <c r="O56" s="1512" t="s">
        <v>1056</v>
      </c>
      <c r="P56" s="1512" t="s">
        <v>1057</v>
      </c>
      <c r="Q56" s="1512" t="s">
        <v>69</v>
      </c>
    </row>
    <row r="57" spans="3:21" hidden="1" outlineLevel="1">
      <c r="C57" s="1481" t="s">
        <v>1058</v>
      </c>
      <c r="D57" s="1513">
        <v>0.13</v>
      </c>
      <c r="E57" s="1487"/>
      <c r="F57" s="1487"/>
      <c r="G57" s="1487"/>
      <c r="H57" s="1487"/>
      <c r="I57" s="1481" t="s">
        <v>1059</v>
      </c>
      <c r="J57" s="1481"/>
      <c r="K57" s="1481"/>
      <c r="L57" s="1548">
        <f>Вводные!D27</f>
        <v>0</v>
      </c>
      <c r="M57" s="1548">
        <f>Вводные!F27</f>
        <v>0.13500000000000001</v>
      </c>
      <c r="N57" s="1514">
        <f>L57+M57</f>
        <v>0.13500000000000001</v>
      </c>
      <c r="O57" s="1513">
        <f>Вводные!E27</f>
        <v>0.02</v>
      </c>
      <c r="P57" s="1513">
        <f>Вводные!G27</f>
        <v>0.13500000000000001</v>
      </c>
      <c r="Q57" s="1514">
        <f>O57+P57</f>
        <v>0.155</v>
      </c>
    </row>
    <row r="58" spans="3:21" ht="15.75" hidden="1" outlineLevel="1" thickBot="1">
      <c r="C58" s="1481" t="s">
        <v>1060</v>
      </c>
      <c r="D58" s="1489">
        <f>D56-D57*D56</f>
        <v>26100</v>
      </c>
      <c r="E58" s="788"/>
      <c r="F58" s="788"/>
      <c r="G58" s="788"/>
      <c r="H58" s="1487"/>
      <c r="I58" s="1481" t="s">
        <v>104</v>
      </c>
      <c r="J58" s="1481"/>
      <c r="K58" s="1481"/>
      <c r="L58" s="1481"/>
      <c r="M58" s="1481"/>
      <c r="N58" s="1515">
        <f>N57*$J$56</f>
        <v>13500</v>
      </c>
      <c r="O58" s="1481"/>
      <c r="P58" s="1481"/>
      <c r="Q58" s="1515">
        <f>Q57*$J$56</f>
        <v>15500</v>
      </c>
    </row>
    <row r="59" spans="3:21" ht="15.75" hidden="1" outlineLevel="1" thickBot="1">
      <c r="C59" s="1481" t="s">
        <v>1041</v>
      </c>
      <c r="D59" s="1489">
        <f>D56-D58</f>
        <v>3900</v>
      </c>
      <c r="E59" s="1550">
        <f>D59/D62</f>
        <v>0.1</v>
      </c>
      <c r="F59" s="1516" t="s">
        <v>1061</v>
      </c>
      <c r="G59" s="1487"/>
      <c r="I59" s="1481" t="s">
        <v>1062</v>
      </c>
      <c r="J59" s="1481"/>
      <c r="K59" s="1481"/>
      <c r="L59" s="1481"/>
      <c r="M59" s="1481"/>
      <c r="N59" s="1515">
        <f>L57*$J$56</f>
        <v>0</v>
      </c>
      <c r="O59" s="1481"/>
      <c r="P59" s="1481"/>
      <c r="Q59" s="1515">
        <f>O57*$J$56</f>
        <v>2000</v>
      </c>
    </row>
    <row r="60" spans="3:21" ht="15.75" hidden="1" outlineLevel="1" thickBot="1">
      <c r="C60" s="1481" t="s">
        <v>1063</v>
      </c>
      <c r="D60" s="1517">
        <f>Вводные!D33</f>
        <v>0.3</v>
      </c>
      <c r="E60" s="1487"/>
      <c r="F60" s="1518"/>
      <c r="G60" s="1487"/>
      <c r="I60" s="1481" t="s">
        <v>1064</v>
      </c>
      <c r="J60" s="1481"/>
      <c r="K60" s="1481"/>
      <c r="L60" s="1481"/>
      <c r="M60" s="1481"/>
      <c r="N60" s="1550">
        <f>N59/$N$58</f>
        <v>0</v>
      </c>
      <c r="O60" s="1481"/>
      <c r="P60" s="1481"/>
      <c r="Q60" s="1550">
        <f>Q59/$Q$58</f>
        <v>0.12903225806451613</v>
      </c>
    </row>
    <row r="61" spans="3:21" ht="15.75" hidden="1" outlineLevel="1" thickBot="1">
      <c r="C61" s="1481" t="s">
        <v>1063</v>
      </c>
      <c r="D61" s="1489">
        <f>D60*D56</f>
        <v>9000</v>
      </c>
      <c r="E61" s="1487"/>
      <c r="F61" s="1518"/>
      <c r="G61" s="1487"/>
      <c r="I61" s="1481" t="s">
        <v>1065</v>
      </c>
      <c r="J61" s="1481"/>
      <c r="K61" s="1481"/>
      <c r="L61" s="1481"/>
      <c r="M61" s="1481"/>
      <c r="N61" s="1515">
        <f>M57*$J$56</f>
        <v>13500</v>
      </c>
      <c r="O61" s="1481"/>
      <c r="P61" s="1481"/>
      <c r="Q61" s="1515">
        <f>P57*$J$56</f>
        <v>13500</v>
      </c>
    </row>
    <row r="62" spans="3:21" ht="15.75" hidden="1" outlineLevel="1" thickBot="1">
      <c r="C62" s="1481" t="s">
        <v>1066</v>
      </c>
      <c r="D62" s="1489">
        <f>D61+D56</f>
        <v>39000</v>
      </c>
      <c r="E62" s="1550">
        <f>D61/D62</f>
        <v>0.23076923076923078</v>
      </c>
      <c r="F62" s="1516" t="s">
        <v>1067</v>
      </c>
      <c r="G62" s="1487"/>
      <c r="I62" s="1481" t="s">
        <v>1068</v>
      </c>
      <c r="J62" s="1481"/>
      <c r="K62" s="1481"/>
      <c r="L62" s="1481"/>
      <c r="M62" s="1481"/>
      <c r="N62" s="1519">
        <f>N61/$N$58</f>
        <v>1</v>
      </c>
      <c r="O62" s="1481"/>
      <c r="P62" s="1481"/>
      <c r="Q62" s="1519">
        <f>Q61/$Q$58</f>
        <v>0.87096774193548387</v>
      </c>
    </row>
    <row r="63" spans="3:21" hidden="1" outlineLevel="1">
      <c r="C63" s="1520"/>
      <c r="D63" s="198"/>
      <c r="E63" s="198"/>
      <c r="F63" s="198"/>
      <c r="G63" s="198"/>
      <c r="H63" s="1521"/>
      <c r="I63" s="1516"/>
      <c r="J63" s="1487"/>
      <c r="K63" s="1487"/>
      <c r="L63" s="1520"/>
      <c r="M63" s="1520"/>
      <c r="N63" s="1520"/>
      <c r="O63" s="1520"/>
      <c r="P63" s="1520"/>
      <c r="Q63" s="1522"/>
    </row>
    <row r="64" spans="3:21" hidden="1" outlineLevel="1">
      <c r="C64" s="1520"/>
      <c r="D64" s="198"/>
      <c r="E64" s="198"/>
      <c r="F64" s="198"/>
      <c r="G64" s="198"/>
      <c r="H64" s="1521"/>
      <c r="I64" s="1516"/>
      <c r="J64" s="1487"/>
      <c r="K64" s="1487"/>
      <c r="L64" s="1520"/>
      <c r="M64" s="1520"/>
      <c r="N64" s="1520"/>
      <c r="O64" s="1520"/>
      <c r="P64" s="1520"/>
      <c r="Q64" s="1522"/>
    </row>
    <row r="65" spans="1:31" hidden="1" outlineLevel="1">
      <c r="C65" s="1510" t="s">
        <v>1069</v>
      </c>
      <c r="D65" s="198"/>
      <c r="E65" s="198"/>
      <c r="F65" s="1551">
        <f>F4</f>
        <v>2023</v>
      </c>
      <c r="G65" s="1551">
        <f t="shared" ref="G65:Q65" si="21">G4</f>
        <v>2024</v>
      </c>
      <c r="H65" s="1551">
        <f t="shared" si="21"/>
        <v>2025</v>
      </c>
      <c r="I65" s="1551">
        <f t="shared" si="21"/>
        <v>2026</v>
      </c>
      <c r="J65" s="1551">
        <f t="shared" si="21"/>
        <v>2027</v>
      </c>
      <c r="K65" s="1551">
        <f t="shared" si="21"/>
        <v>2028</v>
      </c>
      <c r="L65" s="1551">
        <f t="shared" si="21"/>
        <v>2029</v>
      </c>
      <c r="M65" s="1551">
        <f t="shared" si="21"/>
        <v>2030</v>
      </c>
      <c r="N65" s="1551">
        <f t="shared" si="21"/>
        <v>2031</v>
      </c>
      <c r="O65" s="1551">
        <f t="shared" si="21"/>
        <v>2032</v>
      </c>
      <c r="P65" s="1551">
        <f t="shared" si="21"/>
        <v>2033</v>
      </c>
      <c r="Q65" s="1551">
        <f t="shared" si="21"/>
        <v>2034</v>
      </c>
    </row>
    <row r="66" spans="1:31" s="1487" customFormat="1" hidden="1" outlineLevel="1">
      <c r="A66" s="1523"/>
      <c r="C66" s="1485" t="s">
        <v>1070</v>
      </c>
      <c r="D66" s="1485"/>
      <c r="E66" s="1485"/>
      <c r="F66" s="1485"/>
      <c r="G66" s="1485"/>
      <c r="H66" s="1486"/>
      <c r="I66" s="1486"/>
      <c r="J66" s="1486"/>
      <c r="K66" s="1486"/>
      <c r="L66" s="1486"/>
      <c r="M66" s="1486"/>
      <c r="N66" s="1486"/>
      <c r="O66" s="1486"/>
      <c r="P66" s="1486"/>
      <c r="Q66" s="1486"/>
    </row>
    <row r="67" spans="1:31" s="1487" customFormat="1" hidden="1" outlineLevel="1">
      <c r="A67" s="1523"/>
      <c r="C67" s="1505" t="str">
        <f>C33</f>
        <v>Туристический комплекс "Лунная поляна" - Архыз</v>
      </c>
      <c r="D67" s="1481"/>
      <c r="E67" s="1543"/>
      <c r="F67" s="1526">
        <f>F12-F20</f>
        <v>0</v>
      </c>
      <c r="G67" s="1526">
        <f>G12-G20</f>
        <v>0</v>
      </c>
      <c r="H67" s="1526">
        <f t="shared" ref="H67:Q67" si="22">H12-H20</f>
        <v>185093170.19127005</v>
      </c>
      <c r="I67" s="1489">
        <f t="shared" si="22"/>
        <v>929038418.11348963</v>
      </c>
      <c r="J67" s="1489">
        <f t="shared" si="22"/>
        <v>1340615843.0453243</v>
      </c>
      <c r="K67" s="1489">
        <f t="shared" si="22"/>
        <v>1354296248.6994796</v>
      </c>
      <c r="L67" s="1489">
        <f t="shared" si="22"/>
        <v>1087522045.1873875</v>
      </c>
      <c r="M67" s="1489">
        <f t="shared" si="22"/>
        <v>1150993931.9737494</v>
      </c>
      <c r="N67" s="1489">
        <f t="shared" si="22"/>
        <v>1206500090.2184741</v>
      </c>
      <c r="O67" s="1489">
        <f t="shared" si="22"/>
        <v>1257129222.2666759</v>
      </c>
      <c r="P67" s="1489">
        <f t="shared" si="22"/>
        <v>1302601171.1494136</v>
      </c>
      <c r="Q67" s="1489">
        <f t="shared" si="22"/>
        <v>1353584234.0049586</v>
      </c>
    </row>
    <row r="68" spans="1:31" s="1487" customFormat="1" hidden="1" outlineLevel="1">
      <c r="A68" s="1523"/>
      <c r="C68" s="1524" t="s">
        <v>1071</v>
      </c>
      <c r="D68" s="1481"/>
      <c r="E68" s="1543"/>
      <c r="F68" s="1543"/>
      <c r="G68" s="1543"/>
      <c r="H68" s="1526">
        <f>LOOKUP(H42,СВОД_PL!127:127,СВОД_PL!130:130)</f>
        <v>13411749.222428242</v>
      </c>
      <c r="I68" s="1526">
        <f>LOOKUP(I42,СВОД_PL!127:127,СВОД_PL!130:130)</f>
        <v>60163425.388124645</v>
      </c>
      <c r="J68" s="1526">
        <f>LOOKUP(J42,СВОД_PL!127:127,СВОД_PL!130:130)</f>
        <v>67752618.570758834</v>
      </c>
      <c r="K68" s="1526">
        <f>LOOKUP(K42,СВОД_PL!127:127,СВОД_PL!130:130)</f>
        <v>72570289.847733706</v>
      </c>
      <c r="L68" s="1526">
        <f>LOOKUP(L42,СВОД_PL!127:127,СВОД_PL!130:130)</f>
        <v>77925097.773445487</v>
      </c>
      <c r="M68" s="1526">
        <f>LOOKUP(M42,СВОД_PL!127:127,СВОД_PL!130:130)</f>
        <v>83581014.352775469</v>
      </c>
      <c r="N68" s="1526">
        <f>LOOKUP(N42,СВОД_PL!127:127,СВОД_PL!130:130)</f>
        <v>89158387.626113743</v>
      </c>
      <c r="O68" s="1526">
        <f>LOOKUP(O42,СВОД_PL!127:127,СВОД_PL!130:130)</f>
        <v>92979910.961315364</v>
      </c>
      <c r="P68" s="1526">
        <f>LOOKUP(P42,СВОД_PL!127:127,СВОД_PL!130:130)</f>
        <v>96433712.056404635</v>
      </c>
      <c r="Q68" s="1526">
        <f>LOOKUP(Q42,СВОД_PL!127:127,СВОД_PL!130:130)</f>
        <v>100291060.53866084</v>
      </c>
    </row>
    <row r="69" spans="1:31" s="1487" customFormat="1" hidden="1" outlineLevel="1">
      <c r="A69" s="1523"/>
      <c r="C69" s="1524" t="s">
        <v>1072</v>
      </c>
      <c r="D69" s="1481"/>
      <c r="E69" s="1543"/>
      <c r="F69" s="1526">
        <f t="shared" ref="F69:Q69" si="23">F67-F68</f>
        <v>0</v>
      </c>
      <c r="G69" s="1526">
        <f t="shared" si="23"/>
        <v>0</v>
      </c>
      <c r="H69" s="1526">
        <f t="shared" si="23"/>
        <v>171681420.96884182</v>
      </c>
      <c r="I69" s="1489">
        <f t="shared" si="23"/>
        <v>868874992.72536492</v>
      </c>
      <c r="J69" s="1489">
        <f t="shared" si="23"/>
        <v>1272863224.4745655</v>
      </c>
      <c r="K69" s="1489">
        <f t="shared" si="23"/>
        <v>1281725958.8517458</v>
      </c>
      <c r="L69" s="1489">
        <f t="shared" si="23"/>
        <v>1009596947.413942</v>
      </c>
      <c r="M69" s="1489">
        <f t="shared" si="23"/>
        <v>1067412917.6209739</v>
      </c>
      <c r="N69" s="1489">
        <f t="shared" si="23"/>
        <v>1117341702.5923605</v>
      </c>
      <c r="O69" s="1489">
        <f t="shared" si="23"/>
        <v>1164149311.3053606</v>
      </c>
      <c r="P69" s="1489">
        <f t="shared" si="23"/>
        <v>1206167459.093009</v>
      </c>
      <c r="Q69" s="1489">
        <f t="shared" si="23"/>
        <v>1253293173.4662979</v>
      </c>
    </row>
    <row r="70" spans="1:31" s="1487" customFormat="1" hidden="1" outlineLevel="1">
      <c r="A70" s="1523"/>
      <c r="C70" s="1524" t="s">
        <v>1073</v>
      </c>
      <c r="D70" s="1481"/>
      <c r="E70" s="1543"/>
      <c r="F70" s="1489">
        <f>F6*1.2</f>
        <v>0</v>
      </c>
      <c r="G70" s="1489">
        <f>G6*1.2</f>
        <v>0</v>
      </c>
      <c r="H70" s="1489">
        <f t="shared" ref="H70:Q70" si="24">H6*1.2</f>
        <v>493792224.2482096</v>
      </c>
      <c r="I70" s="1489">
        <f t="shared" si="24"/>
        <v>3304211874.2679715</v>
      </c>
      <c r="J70" s="1489">
        <f t="shared" si="24"/>
        <v>5150913154.9990587</v>
      </c>
      <c r="K70" s="1489">
        <f t="shared" si="24"/>
        <v>5041153794.2149</v>
      </c>
      <c r="L70" s="1489">
        <f t="shared" si="24"/>
        <v>3176542818.9959249</v>
      </c>
      <c r="M70" s="1489">
        <f t="shared" si="24"/>
        <v>3397491973.861331</v>
      </c>
      <c r="N70" s="1489">
        <f t="shared" si="24"/>
        <v>3533391652.815784</v>
      </c>
      <c r="O70" s="1489">
        <f t="shared" si="24"/>
        <v>3685070463.2824116</v>
      </c>
      <c r="P70" s="1489">
        <f t="shared" si="24"/>
        <v>3821716411.6855521</v>
      </c>
      <c r="Q70" s="1489">
        <f t="shared" si="24"/>
        <v>3974585068.1529751</v>
      </c>
    </row>
    <row r="71" spans="1:31" s="1487" customFormat="1" hidden="1" outlineLevel="1">
      <c r="A71" s="1523"/>
      <c r="C71" s="1524" t="s">
        <v>1074</v>
      </c>
      <c r="D71" s="1481"/>
      <c r="E71" s="1543"/>
      <c r="F71" s="1489">
        <f>F70-F6</f>
        <v>0</v>
      </c>
      <c r="G71" s="1489">
        <f>G70-G6</f>
        <v>0</v>
      </c>
      <c r="H71" s="1489">
        <f t="shared" ref="H71:Q71" si="25">H70-H6</f>
        <v>82298704.041368246</v>
      </c>
      <c r="I71" s="1489">
        <f t="shared" si="25"/>
        <v>550701979.044662</v>
      </c>
      <c r="J71" s="1489">
        <f t="shared" si="25"/>
        <v>858485525.83317661</v>
      </c>
      <c r="K71" s="1489">
        <f t="shared" si="25"/>
        <v>840192299.03581667</v>
      </c>
      <c r="L71" s="1489">
        <f t="shared" si="25"/>
        <v>529423803.16598749</v>
      </c>
      <c r="M71" s="1489">
        <f t="shared" si="25"/>
        <v>566248662.31022167</v>
      </c>
      <c r="N71" s="1489">
        <f t="shared" si="25"/>
        <v>588898608.80263042</v>
      </c>
      <c r="O71" s="1489">
        <f t="shared" si="25"/>
        <v>614178410.5470686</v>
      </c>
      <c r="P71" s="1489">
        <f t="shared" si="25"/>
        <v>636952735.28092527</v>
      </c>
      <c r="Q71" s="1489">
        <f t="shared" si="25"/>
        <v>662430844.69216251</v>
      </c>
    </row>
    <row r="72" spans="1:31" s="1487" customFormat="1" hidden="1" outlineLevel="1">
      <c r="A72" s="1523"/>
      <c r="C72" s="1524" t="s">
        <v>1075</v>
      </c>
      <c r="D72" s="1481"/>
      <c r="E72" s="1543"/>
      <c r="F72" s="1489">
        <f>F69*1.2</f>
        <v>0</v>
      </c>
      <c r="G72" s="1489">
        <f>G69*1.2</f>
        <v>0</v>
      </c>
      <c r="H72" s="1489">
        <f>H69*1.2</f>
        <v>206017705.16261017</v>
      </c>
      <c r="I72" s="1489">
        <f t="shared" ref="I72:Q72" si="26">I69*1.2</f>
        <v>1042649991.2704378</v>
      </c>
      <c r="J72" s="1489">
        <f t="shared" si="26"/>
        <v>1527435869.3694785</v>
      </c>
      <c r="K72" s="1489">
        <f t="shared" si="26"/>
        <v>1538071150.6220949</v>
      </c>
      <c r="L72" s="1489">
        <f t="shared" si="26"/>
        <v>1211516336.8967304</v>
      </c>
      <c r="M72" s="1489">
        <f t="shared" si="26"/>
        <v>1280895501.1451688</v>
      </c>
      <c r="N72" s="1489">
        <f t="shared" si="26"/>
        <v>1340810043.1108325</v>
      </c>
      <c r="O72" s="1489">
        <f t="shared" si="26"/>
        <v>1396979173.5664327</v>
      </c>
      <c r="P72" s="1489">
        <f t="shared" si="26"/>
        <v>1447400950.9116108</v>
      </c>
      <c r="Q72" s="1489">
        <f t="shared" si="26"/>
        <v>1503951808.1595573</v>
      </c>
    </row>
    <row r="73" spans="1:31" s="1487" customFormat="1" hidden="1" outlineLevel="1">
      <c r="A73" s="1523"/>
      <c r="C73" s="1524" t="s">
        <v>1076</v>
      </c>
      <c r="D73" s="1481"/>
      <c r="E73" s="1543"/>
      <c r="F73" s="1489">
        <f>F72-F69</f>
        <v>0</v>
      </c>
      <c r="G73" s="1489">
        <f>G72-G69</f>
        <v>0</v>
      </c>
      <c r="H73" s="1489">
        <f>H72-H69</f>
        <v>34336284.193768352</v>
      </c>
      <c r="I73" s="1489">
        <f t="shared" ref="I73:Q73" si="27">I72-I69</f>
        <v>173774998.54507291</v>
      </c>
      <c r="J73" s="1489">
        <f t="shared" si="27"/>
        <v>254572644.89491296</v>
      </c>
      <c r="K73" s="1489">
        <f t="shared" si="27"/>
        <v>256345191.77034903</v>
      </c>
      <c r="L73" s="1489">
        <f t="shared" si="27"/>
        <v>201919389.48278844</v>
      </c>
      <c r="M73" s="1489">
        <f t="shared" si="27"/>
        <v>213482583.52419484</v>
      </c>
      <c r="N73" s="1489">
        <f t="shared" si="27"/>
        <v>223468340.51847196</v>
      </c>
      <c r="O73" s="1489">
        <f t="shared" si="27"/>
        <v>232829862.26107216</v>
      </c>
      <c r="P73" s="1489">
        <f t="shared" si="27"/>
        <v>241233491.81860185</v>
      </c>
      <c r="Q73" s="1489">
        <f t="shared" si="27"/>
        <v>250658634.69325948</v>
      </c>
    </row>
    <row r="74" spans="1:31" s="1487" customFormat="1" hidden="1" outlineLevel="1">
      <c r="A74" s="1523"/>
      <c r="C74" s="1524" t="s">
        <v>1077</v>
      </c>
      <c r="D74" s="1481"/>
      <c r="E74" s="1543"/>
      <c r="F74" s="1526">
        <f>F71-F73</f>
        <v>0</v>
      </c>
      <c r="G74" s="1526">
        <f>G71-G73</f>
        <v>0</v>
      </c>
      <c r="H74" s="1526">
        <f>H71-H73</f>
        <v>47962419.847599894</v>
      </c>
      <c r="I74" s="1489">
        <f t="shared" ref="I74:Q74" si="28">I71-I73</f>
        <v>376926980.49958909</v>
      </c>
      <c r="J74" s="1489">
        <f t="shared" si="28"/>
        <v>603912880.93826365</v>
      </c>
      <c r="K74" s="1489">
        <f t="shared" si="28"/>
        <v>583847107.26546764</v>
      </c>
      <c r="L74" s="1489">
        <f t="shared" si="28"/>
        <v>327504413.68319905</v>
      </c>
      <c r="M74" s="1489">
        <f t="shared" si="28"/>
        <v>352766078.78602684</v>
      </c>
      <c r="N74" s="1489">
        <f t="shared" si="28"/>
        <v>365430268.28415847</v>
      </c>
      <c r="O74" s="1489">
        <f t="shared" si="28"/>
        <v>381348548.28599644</v>
      </c>
      <c r="P74" s="1489">
        <f t="shared" si="28"/>
        <v>395719243.46232343</v>
      </c>
      <c r="Q74" s="1489">
        <f t="shared" si="28"/>
        <v>411772209.99890304</v>
      </c>
      <c r="R74" s="1495">
        <f>SUM(H74:Q74)</f>
        <v>3847190151.051528</v>
      </c>
    </row>
    <row r="75" spans="1:31" collapsed="1"/>
    <row r="76" spans="1:31" ht="15.75">
      <c r="S76" s="1525"/>
      <c r="T76" s="1525"/>
      <c r="U76" s="1525"/>
      <c r="V76" s="1525"/>
      <c r="W76" s="1525"/>
      <c r="X76" s="1525"/>
      <c r="Y76" s="1525"/>
      <c r="Z76" s="1525"/>
      <c r="AA76" s="1525"/>
      <c r="AB76" s="1525"/>
      <c r="AC76" s="1525"/>
      <c r="AD76" s="1525"/>
      <c r="AE76" s="1525"/>
    </row>
  </sheetData>
  <conditionalFormatting sqref="C7:G7 C6:D6 I62:M62 L63:P64 C62:C64">
    <cfRule type="cellIs" dxfId="2079" priority="59" operator="equal">
      <formula>0</formula>
    </cfRule>
  </conditionalFormatting>
  <conditionalFormatting sqref="C15:G15 C18:G18">
    <cfRule type="cellIs" dxfId="2078" priority="52" operator="equal">
      <formula>0</formula>
    </cfRule>
  </conditionalFormatting>
  <conditionalFormatting sqref="C5:G5">
    <cfRule type="cellIs" dxfId="2077" priority="58" operator="equal">
      <formula>0</formula>
    </cfRule>
  </conditionalFormatting>
  <conditionalFormatting sqref="C8:G8">
    <cfRule type="cellIs" dxfId="2076" priority="57" operator="equal">
      <formula>0</formula>
    </cfRule>
  </conditionalFormatting>
  <conditionalFormatting sqref="C10:G10 C9:D9">
    <cfRule type="cellIs" dxfId="2075" priority="56" operator="equal">
      <formula>0</formula>
    </cfRule>
  </conditionalFormatting>
  <conditionalFormatting sqref="C11:G11">
    <cfRule type="cellIs" dxfId="2074" priority="55" operator="equal">
      <formula>0</formula>
    </cfRule>
  </conditionalFormatting>
  <conditionalFormatting sqref="C13:G13 C12:D12">
    <cfRule type="cellIs" dxfId="2073" priority="54" operator="equal">
      <formula>0</formula>
    </cfRule>
  </conditionalFormatting>
  <conditionalFormatting sqref="C14:G14">
    <cfRule type="cellIs" dxfId="2072" priority="53" operator="equal">
      <formula>0</formula>
    </cfRule>
  </conditionalFormatting>
  <conditionalFormatting sqref="D19:G19">
    <cfRule type="cellIs" dxfId="2071" priority="51" operator="equal">
      <formula>0</formula>
    </cfRule>
  </conditionalFormatting>
  <conditionalFormatting sqref="C21:G21 C20:D20">
    <cfRule type="cellIs" dxfId="2070" priority="50" operator="equal">
      <formula>0</formula>
    </cfRule>
  </conditionalFormatting>
  <conditionalFormatting sqref="C31:G31 D29:D30">
    <cfRule type="cellIs" dxfId="2069" priority="47" operator="equal">
      <formula>0</formula>
    </cfRule>
  </conditionalFormatting>
  <conditionalFormatting sqref="D26:G27">
    <cfRule type="cellIs" dxfId="2068" priority="49" operator="equal">
      <formula>0</formula>
    </cfRule>
  </conditionalFormatting>
  <conditionalFormatting sqref="D28:G28">
    <cfRule type="cellIs" dxfId="2067" priority="48" operator="equal">
      <formula>0</formula>
    </cfRule>
  </conditionalFormatting>
  <conditionalFormatting sqref="D32:G32">
    <cfRule type="cellIs" dxfId="2066" priority="46" operator="equal">
      <formula>0</formula>
    </cfRule>
  </conditionalFormatting>
  <conditionalFormatting sqref="D33">
    <cfRule type="cellIs" dxfId="2065" priority="45" operator="equal">
      <formula>0</formula>
    </cfRule>
  </conditionalFormatting>
  <conditionalFormatting sqref="C19">
    <cfRule type="cellIs" dxfId="2064" priority="44" operator="equal">
      <formula>0</formula>
    </cfRule>
  </conditionalFormatting>
  <conditionalFormatting sqref="D22:G22">
    <cfRule type="cellIs" dxfId="2063" priority="43" operator="equal">
      <formula>0</formula>
    </cfRule>
  </conditionalFormatting>
  <conditionalFormatting sqref="C22">
    <cfRule type="cellIs" dxfId="2062" priority="42" operator="equal">
      <formula>0</formula>
    </cfRule>
  </conditionalFormatting>
  <conditionalFormatting sqref="C23:G24">
    <cfRule type="cellIs" dxfId="2061" priority="41" operator="equal">
      <formula>0</formula>
    </cfRule>
  </conditionalFormatting>
  <conditionalFormatting sqref="D25:G25">
    <cfRule type="cellIs" dxfId="2060" priority="40" operator="equal">
      <formula>0</formula>
    </cfRule>
  </conditionalFormatting>
  <conditionalFormatting sqref="C25">
    <cfRule type="cellIs" dxfId="2059" priority="39" operator="equal">
      <formula>0</formula>
    </cfRule>
  </conditionalFormatting>
  <conditionalFormatting sqref="C26:C27">
    <cfRule type="cellIs" dxfId="2058" priority="38" operator="equal">
      <formula>0</formula>
    </cfRule>
  </conditionalFormatting>
  <conditionalFormatting sqref="C28">
    <cfRule type="cellIs" dxfId="2057" priority="37" operator="equal">
      <formula>0</formula>
    </cfRule>
  </conditionalFormatting>
  <conditionalFormatting sqref="C32">
    <cfRule type="cellIs" dxfId="2056" priority="36" operator="equal">
      <formula>0</formula>
    </cfRule>
  </conditionalFormatting>
  <conditionalFormatting sqref="C2">
    <cfRule type="cellIs" dxfId="2055" priority="35" operator="equal">
      <formula>0</formula>
    </cfRule>
  </conditionalFormatting>
  <conditionalFormatting sqref="C29:C30">
    <cfRule type="cellIs" dxfId="2054" priority="34" operator="equal">
      <formula>0</formula>
    </cfRule>
  </conditionalFormatting>
  <conditionalFormatting sqref="C33">
    <cfRule type="cellIs" dxfId="2053" priority="33" operator="equal">
      <formula>0</formula>
    </cfRule>
  </conditionalFormatting>
  <conditionalFormatting sqref="C16:G16">
    <cfRule type="cellIs" dxfId="2052" priority="32" operator="equal">
      <formula>0</formula>
    </cfRule>
  </conditionalFormatting>
  <conditionalFormatting sqref="C60:C61">
    <cfRule type="cellIs" dxfId="2051" priority="28" operator="equal">
      <formula>0</formula>
    </cfRule>
  </conditionalFormatting>
  <conditionalFormatting sqref="C17:G17">
    <cfRule type="cellIs" dxfId="2050" priority="31" operator="equal">
      <formula>0</formula>
    </cfRule>
  </conditionalFormatting>
  <conditionalFormatting sqref="C58:C59">
    <cfRule type="cellIs" dxfId="2049" priority="29" operator="equal">
      <formula>0</formula>
    </cfRule>
  </conditionalFormatting>
  <conditionalFormatting sqref="C56:C57">
    <cfRule type="cellIs" dxfId="2048" priority="30" operator="equal">
      <formula>0</formula>
    </cfRule>
  </conditionalFormatting>
  <conditionalFormatting sqref="D35">
    <cfRule type="cellIs" dxfId="2047" priority="23" operator="equal">
      <formula>0</formula>
    </cfRule>
  </conditionalFormatting>
  <conditionalFormatting sqref="D36">
    <cfRule type="cellIs" dxfId="2046" priority="26" operator="equal">
      <formula>0</formula>
    </cfRule>
  </conditionalFormatting>
  <conditionalFormatting sqref="C35">
    <cfRule type="cellIs" dxfId="2045" priority="25" operator="equal">
      <formula>0</formula>
    </cfRule>
  </conditionalFormatting>
  <conditionalFormatting sqref="C36">
    <cfRule type="cellIs" dxfId="2044" priority="24" operator="equal">
      <formula>0</formula>
    </cfRule>
  </conditionalFormatting>
  <conditionalFormatting sqref="D39:G39">
    <cfRule type="cellIs" dxfId="2043" priority="22" operator="equal">
      <formula>0</formula>
    </cfRule>
  </conditionalFormatting>
  <conditionalFormatting sqref="C38">
    <cfRule type="cellIs" dxfId="2042" priority="21" operator="equal">
      <formula>0</formula>
    </cfRule>
  </conditionalFormatting>
  <conditionalFormatting sqref="C39">
    <cfRule type="cellIs" dxfId="2041" priority="20" operator="equal">
      <formula>0</formula>
    </cfRule>
  </conditionalFormatting>
  <conditionalFormatting sqref="I56">
    <cfRule type="cellIs" dxfId="2040" priority="18" operator="equal">
      <formula>0</formula>
    </cfRule>
  </conditionalFormatting>
  <conditionalFormatting sqref="L56:N56">
    <cfRule type="cellIs" dxfId="2039" priority="16" operator="equal">
      <formula>0</formula>
    </cfRule>
  </conditionalFormatting>
  <conditionalFormatting sqref="I57:K57">
    <cfRule type="cellIs" dxfId="2038" priority="17" operator="equal">
      <formula>0</formula>
    </cfRule>
  </conditionalFormatting>
  <conditionalFormatting sqref="I58:M58">
    <cfRule type="cellIs" dxfId="2037" priority="15" operator="equal">
      <formula>0</formula>
    </cfRule>
  </conditionalFormatting>
  <conditionalFormatting sqref="I59:M59">
    <cfRule type="cellIs" dxfId="2036" priority="14" operator="equal">
      <formula>0</formula>
    </cfRule>
  </conditionalFormatting>
  <conditionalFormatting sqref="I60:M60">
    <cfRule type="cellIs" dxfId="2035" priority="13" operator="equal">
      <formula>0</formula>
    </cfRule>
  </conditionalFormatting>
  <conditionalFormatting sqref="I61:M61">
    <cfRule type="cellIs" dxfId="2034" priority="12" operator="equal">
      <formula>0</formula>
    </cfRule>
  </conditionalFormatting>
  <conditionalFormatting sqref="C71:D71 C74:D74 D67 C68:D69">
    <cfRule type="cellIs" dxfId="2033" priority="10" operator="equal">
      <formula>0</formula>
    </cfRule>
  </conditionalFormatting>
  <conditionalFormatting sqref="C66:G66">
    <cfRule type="cellIs" dxfId="2032" priority="9" operator="equal">
      <formula>0</formula>
    </cfRule>
  </conditionalFormatting>
  <conditionalFormatting sqref="C70:D72">
    <cfRule type="cellIs" dxfId="2031" priority="8" operator="equal">
      <formula>0</formula>
    </cfRule>
  </conditionalFormatting>
  <conditionalFormatting sqref="C73:D73">
    <cfRule type="cellIs" dxfId="2030" priority="7" operator="equal">
      <formula>0</formula>
    </cfRule>
  </conditionalFormatting>
  <conditionalFormatting sqref="O62:P62">
    <cfRule type="cellIs" dxfId="2029" priority="6" operator="equal">
      <formula>0</formula>
    </cfRule>
  </conditionalFormatting>
  <conditionalFormatting sqref="O56:Q56">
    <cfRule type="cellIs" dxfId="2028" priority="5" operator="equal">
      <formula>0</formula>
    </cfRule>
  </conditionalFormatting>
  <conditionalFormatting sqref="O58:P58">
    <cfRule type="cellIs" dxfId="2027" priority="4" operator="equal">
      <formula>0</formula>
    </cfRule>
  </conditionalFormatting>
  <conditionalFormatting sqref="O59:P59">
    <cfRule type="cellIs" dxfId="2026" priority="3" operator="equal">
      <formula>0</formula>
    </cfRule>
  </conditionalFormatting>
  <conditionalFormatting sqref="O60:P60">
    <cfRule type="cellIs" dxfId="2025" priority="2" operator="equal">
      <formula>0</formula>
    </cfRule>
  </conditionalFormatting>
  <conditionalFormatting sqref="O61:P61">
    <cfRule type="cellIs" dxfId="2024" priority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B3:XFD50"/>
  <sheetViews>
    <sheetView showGridLines="0" zoomScale="85" zoomScaleNormal="85" workbookViewId="0">
      <selection activeCell="Q55" sqref="Q55"/>
    </sheetView>
  </sheetViews>
  <sheetFormatPr defaultRowHeight="15" outlineLevelRow="1"/>
  <cols>
    <col min="1" max="1" width="5.85546875" customWidth="1"/>
    <col min="2" max="2" width="8.28515625" style="19" customWidth="1"/>
    <col min="3" max="3" width="5.85546875" style="19" customWidth="1"/>
    <col min="4" max="4" width="44.28515625" customWidth="1"/>
    <col min="5" max="5" width="8.7109375" style="19"/>
  </cols>
  <sheetData>
    <row r="3" spans="2:21">
      <c r="D3" s="20" t="s">
        <v>1091</v>
      </c>
    </row>
    <row r="5" spans="2:21" ht="25.5">
      <c r="B5" s="316" t="s">
        <v>501</v>
      </c>
      <c r="D5" s="316" t="s">
        <v>1090</v>
      </c>
      <c r="E5" s="316"/>
      <c r="F5" s="316">
        <f>YEAR(Вводные!D9)</f>
        <v>2025</v>
      </c>
      <c r="G5" s="316">
        <f>F5+1</f>
        <v>2026</v>
      </c>
      <c r="H5" s="316">
        <f t="shared" ref="H5:U5" si="0">G5+1</f>
        <v>2027</v>
      </c>
      <c r="I5" s="316">
        <f t="shared" si="0"/>
        <v>2028</v>
      </c>
      <c r="J5" s="316">
        <f t="shared" si="0"/>
        <v>2029</v>
      </c>
      <c r="K5" s="316">
        <f t="shared" si="0"/>
        <v>2030</v>
      </c>
      <c r="L5" s="316">
        <f t="shared" si="0"/>
        <v>2031</v>
      </c>
      <c r="M5" s="316">
        <f t="shared" si="0"/>
        <v>2032</v>
      </c>
      <c r="N5" s="316">
        <f t="shared" si="0"/>
        <v>2033</v>
      </c>
      <c r="O5" s="316">
        <f t="shared" si="0"/>
        <v>2034</v>
      </c>
      <c r="P5" s="316">
        <f t="shared" si="0"/>
        <v>2035</v>
      </c>
      <c r="Q5" s="316">
        <f t="shared" si="0"/>
        <v>2036</v>
      </c>
      <c r="R5" s="316">
        <f t="shared" si="0"/>
        <v>2037</v>
      </c>
      <c r="S5" s="316">
        <f t="shared" si="0"/>
        <v>2038</v>
      </c>
      <c r="T5" s="316">
        <f t="shared" si="0"/>
        <v>2039</v>
      </c>
      <c r="U5" s="316">
        <f t="shared" si="0"/>
        <v>2040</v>
      </c>
    </row>
    <row r="6" spans="2:21" hidden="1" outlineLevel="1">
      <c r="D6" s="1552" t="s">
        <v>1092</v>
      </c>
      <c r="E6" s="1552"/>
      <c r="F6" s="1552"/>
      <c r="G6" s="1552"/>
      <c r="H6" s="1552"/>
      <c r="I6" s="1552"/>
      <c r="J6" s="1552"/>
      <c r="K6" s="1552"/>
      <c r="L6" s="1552"/>
      <c r="M6" s="1552"/>
      <c r="N6" s="1552"/>
      <c r="O6" s="1552"/>
      <c r="P6" s="1552"/>
      <c r="Q6" s="1552"/>
      <c r="R6" s="1552"/>
      <c r="S6" s="1552"/>
      <c r="T6" s="1552"/>
      <c r="U6" s="1552"/>
    </row>
    <row r="7" spans="2:21" hidden="1" outlineLevel="1">
      <c r="B7" s="1562">
        <f>Объекты!F5</f>
        <v>125</v>
      </c>
      <c r="D7" s="1505" t="str">
        <f>Объекты!C5</f>
        <v>Гостиница 5*</v>
      </c>
      <c r="E7" s="1554"/>
      <c r="F7" s="1554">
        <f>IFERROR(LOOKUP(F$5,Отель5_PL!$D$3:$T$3,Отель5_PL!$D$9:$T$9),0)</f>
        <v>0</v>
      </c>
      <c r="G7" s="1555">
        <f>IFERROR(LOOKUP(G$5,Отель5_PL!$D$3:$T$3,Отель5_PL!$D$9:$T$9),0)</f>
        <v>10964.481435916334</v>
      </c>
      <c r="H7" s="1554">
        <f>IFERROR(LOOKUP(H$5,Отель5_PL!$D$3:$T$3,Отель5_PL!$D$9:$T$9),0)</f>
        <v>23203.130237430167</v>
      </c>
      <c r="I7" s="1554">
        <f>IFERROR(LOOKUP(I$5,Отель5_PL!$D$3:$T$3,Отель5_PL!$D$9:$T$9),0)</f>
        <v>24635.329895921022</v>
      </c>
      <c r="J7" s="1554">
        <f>IFERROR(LOOKUP(J$5,Отель5_PL!$D$3:$T$3,Отель5_PL!$D$9:$T$9),0)</f>
        <v>25932.910265363127</v>
      </c>
      <c r="K7" s="1554">
        <f>IFERROR(LOOKUP(K$5,Отель5_PL!$D$3:$T$3,Отель5_PL!$D$9:$T$9),0)</f>
        <v>27297.800279329611</v>
      </c>
      <c r="L7" s="1554">
        <f>IFERROR(LOOKUP(L$5,Отель5_PL!$D$3:$T$3,Отель5_PL!$D$9:$T$9),0)</f>
        <v>27297.800279329611</v>
      </c>
      <c r="M7" s="1554">
        <f>IFERROR(LOOKUP(M$5,Отель5_PL!$D$3:$T$3,Отель5_PL!$D$9:$T$9),0)</f>
        <v>27372.588773245581</v>
      </c>
      <c r="N7" s="1554">
        <f>IFERROR(LOOKUP(N$5,Отель5_PL!$D$3:$T$3,Отель5_PL!$D$9:$T$9),0)</f>
        <v>27297.800279329611</v>
      </c>
      <c r="O7" s="1554">
        <f>IFERROR(LOOKUP(O$5,Отель5_PL!$D$3:$T$3,Отель5_PL!$D$9:$T$9),0)</f>
        <v>27297.800279329611</v>
      </c>
      <c r="P7" s="1554">
        <f>IFERROR(LOOKUP(P$5,Отель5_PL!$D$3:$T$3,Отель5_PL!$D$9:$T$9),0)</f>
        <v>27297.800279329611</v>
      </c>
      <c r="Q7" s="1554">
        <f>IFERROR(LOOKUP(Q$5,Отель5_PL!$D$3:$T$3,Отель5_PL!$D$9:$T$9),0)</f>
        <v>27372.588773245581</v>
      </c>
      <c r="R7" s="1554">
        <f>IFERROR(LOOKUP(R$5,Отель5_PL!$D$3:$T$3,Отель5_PL!$D$9:$T$9),0)</f>
        <v>27297.800279329611</v>
      </c>
      <c r="S7" s="1554">
        <f>IFERROR(LOOKUP(S$5,Отель5_PL!$D$3:$T$3,Отель5_PL!$D$9:$T$9),0)</f>
        <v>27297.800279329611</v>
      </c>
      <c r="T7" s="1554">
        <f>IFERROR(LOOKUP(T$5,Отель5_PL!$D$3:$T$3,Отель5_PL!$D$9:$T$9),0)</f>
        <v>27297.800279329611</v>
      </c>
      <c r="U7" s="1554">
        <f>IFERROR(LOOKUP(U$5,Отель5_PL!$D$3:$T$3,Отель5_PL!$D$9:$T$9),0)</f>
        <v>27372.588773245581</v>
      </c>
    </row>
    <row r="8" spans="2:21" hidden="1" outlineLevel="1">
      <c r="B8" s="1562">
        <f>Объекты!F6</f>
        <v>160</v>
      </c>
      <c r="D8" s="1505" t="str">
        <f>Объекты!C6</f>
        <v>Гостиница 4*</v>
      </c>
      <c r="E8" s="1554"/>
      <c r="F8" s="1554">
        <f>IFERROR(LOOKUP(F$5,Отель4_PL!$D$3:$T$3,Отель4_PL!$D$9:$T$9),0)</f>
        <v>0</v>
      </c>
      <c r="G8" s="1554">
        <f>IFERROR(LOOKUP(G$5,Отель4_PL!$D$3:$T$3,Отель4_PL!$D$9:$T$9),0)</f>
        <v>13407.671114942152</v>
      </c>
      <c r="H8" s="1554">
        <f>IFERROR(LOOKUP(H$5,Отель4_PL!$D$3:$T$3,Отель4_PL!$D$9:$T$9),0)</f>
        <v>29955.381202794946</v>
      </c>
      <c r="I8" s="1554">
        <f>IFERROR(LOOKUP(I$5,Отель4_PL!$D$3:$T$3,Отель4_PL!$D$9:$T$9),0)</f>
        <v>31804.359607415485</v>
      </c>
      <c r="J8" s="1554">
        <f>IFERROR(LOOKUP(J$5,Отель4_PL!$D$3:$T$3,Отель4_PL!$D$9:$T$9),0)</f>
        <v>33479.543697241403</v>
      </c>
      <c r="K8" s="1554">
        <f>IFERROR(LOOKUP(K$5,Отель4_PL!$D$3:$T$3,Отель4_PL!$D$9:$T$9),0)</f>
        <v>35241.624944464638</v>
      </c>
      <c r="L8" s="1554">
        <f>IFERROR(LOOKUP(L$5,Отель4_PL!$D$3:$T$3,Отель4_PL!$D$9:$T$9),0)</f>
        <v>35241.624944464638</v>
      </c>
      <c r="M8" s="1554">
        <f>IFERROR(LOOKUP(M$5,Отель4_PL!$D$3:$T$3,Отель4_PL!$D$9:$T$9),0)</f>
        <v>35338.177341572766</v>
      </c>
      <c r="N8" s="1554">
        <f>IFERROR(LOOKUP(N$5,Отель4_PL!$D$3:$T$3,Отель4_PL!$D$9:$T$9),0)</f>
        <v>35241.624944464638</v>
      </c>
      <c r="O8" s="1554">
        <f>IFERROR(LOOKUP(O$5,Отель4_PL!$D$3:$T$3,Отель4_PL!$D$9:$T$9),0)</f>
        <v>35241.624944464638</v>
      </c>
      <c r="P8" s="1554">
        <f>IFERROR(LOOKUP(P$5,Отель4_PL!$D$3:$T$3,Отель4_PL!$D$9:$T$9),0)</f>
        <v>35241.624944464638</v>
      </c>
      <c r="Q8" s="1554">
        <f>IFERROR(LOOKUP(Q$5,Отель4_PL!$D$3:$T$3,Отель4_PL!$D$9:$T$9),0)</f>
        <v>35338.177341572766</v>
      </c>
      <c r="R8" s="1554">
        <f>IFERROR(LOOKUP(R$5,Отель4_PL!$D$3:$T$3,Отель4_PL!$D$9:$T$9),0)</f>
        <v>35241.624944464638</v>
      </c>
      <c r="S8" s="1554">
        <f>IFERROR(LOOKUP(S$5,Отель4_PL!$D$3:$T$3,Отель4_PL!$D$9:$T$9),0)</f>
        <v>35241.624944464638</v>
      </c>
      <c r="T8" s="1554">
        <f>IFERROR(LOOKUP(T$5,Отель4_PL!$D$3:$T$3,Отель4_PL!$D$9:$T$9),0)</f>
        <v>35241.624944464638</v>
      </c>
      <c r="U8" s="1554">
        <f>IFERROR(LOOKUP(U$5,Отель4_PL!$D$3:$T$3,Отель4_PL!$D$9:$T$9),0)</f>
        <v>35338.177341572766</v>
      </c>
    </row>
    <row r="9" spans="2:21" hidden="1" outlineLevel="1">
      <c r="B9" s="1562">
        <f>Объекты!F7</f>
        <v>160</v>
      </c>
      <c r="D9" s="1505" t="str">
        <f>Объекты!C7</f>
        <v>Гостиница 3*</v>
      </c>
      <c r="E9" s="1554"/>
      <c r="F9" s="1554">
        <f>IFERROR(LOOKUP(F$5,Отель3_PL!$D$3:$T$3,Отель3_PL!$D$9:$T$9),0)</f>
        <v>13056.220270862073</v>
      </c>
      <c r="G9" s="1554">
        <f>IFERROR(LOOKUP(G$5,Отель3_PL!$D$3:$T$3,Отель3_PL!$D$9:$T$9),0)</f>
        <v>33329.756521739131</v>
      </c>
      <c r="H9" s="1554">
        <f>IFERROR(LOOKUP(H$5,Отель3_PL!$D$3:$T$3,Отель3_PL!$D$9:$T$9),0)</f>
        <v>35290.330434782612</v>
      </c>
      <c r="I9" s="1554">
        <f>IFERROR(LOOKUP(I$5,Отель3_PL!$D$3:$T$3,Отель3_PL!$D$9:$T$9),0)</f>
        <v>37352.961620011913</v>
      </c>
      <c r="J9" s="1554">
        <f>IFERROR(LOOKUP(J$5,Отель3_PL!$D$3:$T$3,Отель3_PL!$D$9:$T$9),0)</f>
        <v>39211.478260869568</v>
      </c>
      <c r="K9" s="1554">
        <f>IFERROR(LOOKUP(K$5,Отель3_PL!$D$3:$T$3,Отель3_PL!$D$9:$T$9),0)</f>
        <v>39211.478260869568</v>
      </c>
      <c r="L9" s="1554">
        <f>IFERROR(LOOKUP(L$5,Отель3_PL!$D$3:$T$3,Отель3_PL!$D$9:$T$9),0)</f>
        <v>39211.478260869568</v>
      </c>
      <c r="M9" s="1554">
        <f>IFERROR(LOOKUP(M$5,Отель3_PL!$D$3:$T$3,Отель3_PL!$D$9:$T$9),0)</f>
        <v>39318.906968433599</v>
      </c>
      <c r="N9" s="1554">
        <f>IFERROR(LOOKUP(N$5,Отель3_PL!$D$3:$T$3,Отель3_PL!$D$9:$T$9),0)</f>
        <v>39211.478260869568</v>
      </c>
      <c r="O9" s="1554">
        <f>IFERROR(LOOKUP(O$5,Отель3_PL!$D$3:$T$3,Отель3_PL!$D$9:$T$9),0)</f>
        <v>39211.478260869568</v>
      </c>
      <c r="P9" s="1554">
        <f>IFERROR(LOOKUP(P$5,Отель3_PL!$D$3:$T$3,Отель3_PL!$D$9:$T$9),0)</f>
        <v>39211.478260869568</v>
      </c>
      <c r="Q9" s="1554">
        <f>IFERROR(LOOKUP(Q$5,Отель3_PL!$D$3:$T$3,Отель3_PL!$D$9:$T$9),0)</f>
        <v>39318.906968433599</v>
      </c>
      <c r="R9" s="1554">
        <f>IFERROR(LOOKUP(R$5,Отель3_PL!$D$3:$T$3,Отель3_PL!$D$9:$T$9),0)</f>
        <v>39211.478260869568</v>
      </c>
      <c r="S9" s="1554">
        <f>IFERROR(LOOKUP(S$5,Отель3_PL!$D$3:$T$3,Отель3_PL!$D$9:$T$9),0)</f>
        <v>39211.478260869568</v>
      </c>
      <c r="T9" s="1554">
        <f>IFERROR(LOOKUP(T$5,Отель3_PL!$D$3:$T$3,Отель3_PL!$D$9:$T$9),0)</f>
        <v>39211.478260869568</v>
      </c>
      <c r="U9" s="1554">
        <f>IFERROR(LOOKUP(U$5,Отель3_PL!$D$3:$T$3,Отель3_PL!$D$9:$T$9),0)</f>
        <v>39318.906968433599</v>
      </c>
    </row>
    <row r="10" spans="2:21" hidden="1" outlineLevel="1">
      <c r="B10" s="1562">
        <f>Объекты!F8</f>
        <v>0</v>
      </c>
      <c r="D10" s="1505" t="str">
        <f>Объекты!C8</f>
        <v>Гостиница 2*</v>
      </c>
      <c r="E10" s="1554"/>
      <c r="F10" s="1554">
        <f>IFERROR(LOOKUP(F$5,Отель2_PL!$D$3:$T$3,Отель2_PL!$D$9:$T$9),0)</f>
        <v>0</v>
      </c>
      <c r="G10" s="1554">
        <f>IFERROR(LOOKUP(G$5,Отель2_PL!$D$3:$T$3,Отель2_PL!$D$9:$T$9),0)</f>
        <v>0</v>
      </c>
      <c r="H10" s="1554">
        <f>IFERROR(LOOKUP(H$5,Отель2_PL!$D$3:$T$3,Отель2_PL!$D$9:$T$9),0)</f>
        <v>0</v>
      </c>
      <c r="I10" s="1554">
        <f>IFERROR(LOOKUP(I$5,Отель2_PL!$D$3:$T$3,Отель2_PL!$D$9:$T$9),0)</f>
        <v>0</v>
      </c>
      <c r="J10" s="1554">
        <f>IFERROR(LOOKUP(J$5,Отель2_PL!$D$3:$T$3,Отель2_PL!$D$9:$T$9),0)</f>
        <v>0</v>
      </c>
      <c r="K10" s="1554">
        <f>IFERROR(LOOKUP(K$5,Отель2_PL!$D$3:$T$3,Отель2_PL!$D$9:$T$9),0)</f>
        <v>0</v>
      </c>
      <c r="L10" s="1554">
        <f>IFERROR(LOOKUP(L$5,Отель2_PL!$D$3:$T$3,Отель2_PL!$D$9:$T$9),0)</f>
        <v>0</v>
      </c>
      <c r="M10" s="1554">
        <f>IFERROR(LOOKUP(M$5,Отель2_PL!$D$3:$T$3,Отель2_PL!$D$9:$T$9),0)</f>
        <v>0</v>
      </c>
      <c r="N10" s="1554">
        <f>IFERROR(LOOKUP(N$5,Отель2_PL!$D$3:$T$3,Отель2_PL!$D$9:$T$9),0)</f>
        <v>0</v>
      </c>
      <c r="O10" s="1554">
        <f>IFERROR(LOOKUP(O$5,Отель2_PL!$D$3:$T$3,Отель2_PL!$D$9:$T$9),0)</f>
        <v>0</v>
      </c>
      <c r="P10" s="1554">
        <f>IFERROR(LOOKUP(P$5,Отель2_PL!$D$3:$T$3,Отель2_PL!$D$9:$T$9),0)</f>
        <v>0</v>
      </c>
      <c r="Q10" s="1554">
        <f>IFERROR(LOOKUP(Q$5,Отель2_PL!$D$3:$T$3,Отель2_PL!$D$9:$T$9),0)</f>
        <v>0</v>
      </c>
      <c r="R10" s="1554">
        <f>IFERROR(LOOKUP(R$5,Отель2_PL!$D$3:$T$3,Отель2_PL!$D$9:$T$9),0)</f>
        <v>0</v>
      </c>
      <c r="S10" s="1554">
        <f>IFERROR(LOOKUP(S$5,Отель2_PL!$D$3:$T$3,Отель2_PL!$D$9:$T$9),0)</f>
        <v>0</v>
      </c>
      <c r="T10" s="1554">
        <f>IFERROR(LOOKUP(T$5,Отель2_PL!$D$3:$T$3,Отель2_PL!$D$9:$T$9),0)</f>
        <v>0</v>
      </c>
      <c r="U10" s="1554">
        <f>IFERROR(LOOKUP(U$5,Отель2_PL!$D$3:$T$3,Отель2_PL!$D$9:$T$9),0)</f>
        <v>0</v>
      </c>
    </row>
    <row r="11" spans="2:21" hidden="1" outlineLevel="1">
      <c r="B11" s="1562">
        <f>Объекты!F9</f>
        <v>101</v>
      </c>
      <c r="D11" s="1505" t="str">
        <f>Объекты!C9</f>
        <v>Хостел в составе МФЦ</v>
      </c>
      <c r="E11" s="1554"/>
      <c r="F11" s="1554">
        <f>IFERROR(LOOKUP(F$5,Хостел_PL!$D$3:$T$3,Хостел_PL!$D$9:$T$9),0)</f>
        <v>7209.0561017357868</v>
      </c>
      <c r="G11" s="1554">
        <f>IFERROR(LOOKUP(G$5,Хостел_PL!$D$3:$T$3,Хостел_PL!$D$9:$T$9),0)</f>
        <v>21039.40880434783</v>
      </c>
      <c r="H11" s="1554">
        <f>IFERROR(LOOKUP(H$5,Хостел_PL!$D$3:$T$3,Хостел_PL!$D$9:$T$9),0)</f>
        <v>22277.021086956527</v>
      </c>
      <c r="I11" s="1554">
        <f>IFERROR(LOOKUP(I$5,Хостел_PL!$D$3:$T$3,Хостел_PL!$D$9:$T$9),0)</f>
        <v>23579.057022632522</v>
      </c>
      <c r="J11" s="1554">
        <f>IFERROR(LOOKUP(J$5,Хостел_PL!$D$3:$T$3,Хостел_PL!$D$9:$T$9),0)</f>
        <v>24752.245652173915</v>
      </c>
      <c r="K11" s="1554">
        <f>IFERROR(LOOKUP(K$5,Хостел_PL!$D$3:$T$3,Хостел_PL!$D$9:$T$9),0)</f>
        <v>24752.245652173915</v>
      </c>
      <c r="L11" s="1554">
        <f>IFERROR(LOOKUP(L$5,Хостел_PL!$D$3:$T$3,Хостел_PL!$D$9:$T$9),0)</f>
        <v>24752.245652173915</v>
      </c>
      <c r="M11" s="1554">
        <f>IFERROR(LOOKUP(M$5,Хостел_PL!$D$3:$T$3,Хостел_PL!$D$9:$T$9),0)</f>
        <v>24820.060023823709</v>
      </c>
      <c r="N11" s="1554">
        <f>IFERROR(LOOKUP(N$5,Хостел_PL!$D$3:$T$3,Хостел_PL!$D$9:$T$9),0)</f>
        <v>24752.245652173915</v>
      </c>
      <c r="O11" s="1554">
        <f>IFERROR(LOOKUP(O$5,Хостел_PL!$D$3:$T$3,Хостел_PL!$D$9:$T$9),0)</f>
        <v>24752.245652173915</v>
      </c>
      <c r="P11" s="1554">
        <f>IFERROR(LOOKUP(P$5,Хостел_PL!$D$3:$T$3,Хостел_PL!$D$9:$T$9),0)</f>
        <v>24752.245652173915</v>
      </c>
      <c r="Q11" s="1554">
        <f>IFERROR(LOOKUP(Q$5,Хостел_PL!$D$3:$T$3,Хостел_PL!$D$9:$T$9),0)</f>
        <v>24820.060023823709</v>
      </c>
      <c r="R11" s="1554">
        <f>IFERROR(LOOKUP(R$5,Хостел_PL!$D$3:$T$3,Хостел_PL!$D$9:$T$9),0)</f>
        <v>24752.245652173915</v>
      </c>
      <c r="S11" s="1554">
        <f>IFERROR(LOOKUP(S$5,Хостел_PL!$D$3:$T$3,Хостел_PL!$D$9:$T$9),0)</f>
        <v>24752.245652173915</v>
      </c>
      <c r="T11" s="1554">
        <f>IFERROR(LOOKUP(T$5,Хостел_PL!$D$3:$T$3,Хостел_PL!$D$9:$T$9),0)</f>
        <v>24752.245652173915</v>
      </c>
      <c r="U11" s="1554">
        <f>IFERROR(LOOKUP(U$5,Хостел_PL!$D$3:$T$3,Хостел_PL!$D$9:$T$9),0)</f>
        <v>24820.060023823709</v>
      </c>
    </row>
    <row r="12" spans="2:21" hidden="1" outlineLevel="1">
      <c r="B12" s="1562">
        <f>Объекты!F10</f>
        <v>13</v>
      </c>
      <c r="D12" s="1505" t="str">
        <f>Объекты!C10</f>
        <v>Шале</v>
      </c>
      <c r="E12" s="1554"/>
      <c r="F12" s="1554">
        <f>IFERROR(LOOKUP(F$5,Шале_PL!$D$3:$T$3,Шале_PL!$D$9:$T$9),0)</f>
        <v>0</v>
      </c>
      <c r="G12" s="1554">
        <f>IFERROR(LOOKUP(G$5,Шале_PL!$D$3:$T$3,Шале_PL!$D$9:$T$9),0)</f>
        <v>393.19457888143825</v>
      </c>
      <c r="H12" s="1554">
        <f>IFERROR(LOOKUP(H$5,Шале_PL!$D$3:$T$3,Шале_PL!$D$9:$T$9),0)</f>
        <v>1681.357954545455</v>
      </c>
      <c r="I12" s="1554">
        <f>IFERROR(LOOKUP(I$5,Шале_PL!$D$3:$T$3,Шале_PL!$D$9:$T$9),0)</f>
        <v>1785.1387920298885</v>
      </c>
      <c r="J12" s="1554">
        <f>IFERROR(LOOKUP(J$5,Шале_PL!$D$3:$T$3,Шале_PL!$D$9:$T$9),0)</f>
        <v>1879.1647727272732</v>
      </c>
      <c r="K12" s="1554">
        <f>IFERROR(LOOKUP(K$5,Шале_PL!$D$3:$T$3,Шале_PL!$D$9:$T$9),0)</f>
        <v>1978.0681818181824</v>
      </c>
      <c r="L12" s="1554">
        <f>IFERROR(LOOKUP(L$5,Шале_PL!$D$3:$T$3,Шале_PL!$D$9:$T$9),0)</f>
        <v>1978.0681818181824</v>
      </c>
      <c r="M12" s="1554">
        <f>IFERROR(LOOKUP(M$5,Шале_PL!$D$3:$T$3,Шале_PL!$D$9:$T$9),0)</f>
        <v>1983.487546699876</v>
      </c>
      <c r="N12" s="1554">
        <f>IFERROR(LOOKUP(N$5,Шале_PL!$D$3:$T$3,Шале_PL!$D$9:$T$9),0)</f>
        <v>1978.0681818181824</v>
      </c>
      <c r="O12" s="1554">
        <f>IFERROR(LOOKUP(O$5,Шале_PL!$D$3:$T$3,Шале_PL!$D$9:$T$9),0)</f>
        <v>1978.0681818181824</v>
      </c>
      <c r="P12" s="1554">
        <f>IFERROR(LOOKUP(P$5,Шале_PL!$D$3:$T$3,Шале_PL!$D$9:$T$9),0)</f>
        <v>1978.0681818181824</v>
      </c>
      <c r="Q12" s="1554">
        <f>IFERROR(LOOKUP(Q$5,Шале_PL!$D$3:$T$3,Шале_PL!$D$9:$T$9),0)</f>
        <v>1983.487546699876</v>
      </c>
      <c r="R12" s="1554">
        <f>IFERROR(LOOKUP(R$5,Шале_PL!$D$3:$T$3,Шале_PL!$D$9:$T$9),0)</f>
        <v>1978.0681818181824</v>
      </c>
      <c r="S12" s="1554">
        <f>IFERROR(LOOKUP(S$5,Шале_PL!$D$3:$T$3,Шале_PL!$D$9:$T$9),0)</f>
        <v>1978.0681818181824</v>
      </c>
      <c r="T12" s="1554">
        <f>IFERROR(LOOKUP(T$5,Шале_PL!$D$3:$T$3,Шале_PL!$D$9:$T$9),0)</f>
        <v>1978.0681818181824</v>
      </c>
      <c r="U12" s="1554">
        <f>IFERROR(LOOKUP(U$5,Шале_PL!$D$3:$T$3,Шале_PL!$D$9:$T$9),0)</f>
        <v>1983.487546699876</v>
      </c>
    </row>
    <row r="13" spans="2:21" hidden="1" outlineLevel="1">
      <c r="B13" s="1562">
        <f>Объекты!F13</f>
        <v>385</v>
      </c>
      <c r="D13" s="1505" t="str">
        <f>Объекты!C13</f>
        <v>Туристские резиденции</v>
      </c>
      <c r="E13" s="1555"/>
      <c r="F13" s="1555">
        <f>IFERROR(LOOKUP(F$5,Резиденции_PL!$D$3:$V$3,Резиденции_PL!$D$9:$V$9),0)</f>
        <v>31416.530026761862</v>
      </c>
      <c r="G13" s="1555">
        <f>IFERROR(LOOKUP(G$5,Резиденции_PL!$D$3:$V$3,Резиденции_PL!$D$9:$V$9),0)</f>
        <v>80199.726630434787</v>
      </c>
      <c r="H13" s="1555">
        <f>IFERROR(LOOKUP(H$5,Резиденции_PL!$D$3:$V$3,Резиденции_PL!$D$9:$V$9),0)</f>
        <v>84917.35760869566</v>
      </c>
      <c r="I13" s="1555">
        <f>IFERROR(LOOKUP(I$5,Резиденции_PL!$D$3:$V$3,Резиденции_PL!$D$9:$V$9),0)</f>
        <v>89880.563898153676</v>
      </c>
      <c r="J13" s="1555">
        <f>IFERROR(LOOKUP(J$5,Резиденции_PL!$D$3:$V$3,Резиденции_PL!$D$9:$V$9),0)</f>
        <v>94352.619565217406</v>
      </c>
      <c r="K13" s="1555">
        <f>IFERROR(LOOKUP(K$5,Резиденции_PL!$D$3:$V$3,Резиденции_PL!$D$9:$V$9),0)</f>
        <v>94352.619565217406</v>
      </c>
      <c r="L13" s="1555">
        <f>IFERROR(LOOKUP(L$5,Резиденции_PL!$D$3:$V$3,Резиденции_PL!$D$9:$V$9),0)</f>
        <v>94352.619565217406</v>
      </c>
      <c r="M13" s="1555">
        <f>IFERROR(LOOKUP(M$5,Резиденции_PL!$D$3:$V$3,Резиденции_PL!$D$9:$V$9),0)</f>
        <v>94611.119892793344</v>
      </c>
      <c r="N13" s="1555">
        <f>IFERROR(LOOKUP(N$5,Резиденции_PL!$D$3:$V$3,Резиденции_PL!$D$9:$V$9),0)</f>
        <v>94352.619565217406</v>
      </c>
      <c r="O13" s="1555">
        <f>IFERROR(LOOKUP(O$5,Резиденции_PL!$D$3:$V$3,Резиденции_PL!$D$9:$V$9),0)</f>
        <v>94352.619565217406</v>
      </c>
      <c r="P13" s="1555">
        <f>IFERROR(LOOKUP(P$5,Резиденции_PL!$D$3:$V$3,Резиденции_PL!$D$9:$V$9),0)</f>
        <v>94352.619565217406</v>
      </c>
      <c r="Q13" s="1555">
        <f>IFERROR(LOOKUP(Q$5,Резиденции_PL!$D$3:$V$3,Резиденции_PL!$D$9:$V$9),0)</f>
        <v>94611.119892793344</v>
      </c>
      <c r="R13" s="1555">
        <f>IFERROR(LOOKUP(R$5,Резиденции_PL!$D$3:$V$3,Резиденции_PL!$D$9:$V$9),0)</f>
        <v>94352.619565217406</v>
      </c>
      <c r="S13" s="1555">
        <f>IFERROR(LOOKUP(S$5,Резиденции_PL!$D$3:$V$3,Резиденции_PL!$D$9:$V$9),0)</f>
        <v>94352.619565217406</v>
      </c>
      <c r="T13" s="1555">
        <f>IFERROR(LOOKUP(T$5,Резиденции_PL!$D$3:$V$3,Резиденции_PL!$D$9:$V$9),0)</f>
        <v>94352.619565217406</v>
      </c>
      <c r="U13" s="1555">
        <f>IFERROR(LOOKUP(U$5,Резиденции_PL!$D$3:$V$3,Резиденции_PL!$D$9:$V$9),0)</f>
        <v>94611.119892793344</v>
      </c>
    </row>
    <row r="14" spans="2:21" hidden="1" outlineLevel="1">
      <c r="D14" s="1552" t="s">
        <v>41</v>
      </c>
      <c r="E14" s="1552"/>
      <c r="F14" s="1552"/>
      <c r="G14" s="1552"/>
      <c r="H14" s="1552"/>
      <c r="I14" s="1552"/>
      <c r="J14" s="1552"/>
      <c r="K14" s="1552"/>
      <c r="L14" s="1552"/>
      <c r="M14" s="1552"/>
      <c r="N14" s="1552"/>
      <c r="O14" s="1552"/>
      <c r="P14" s="1552"/>
      <c r="Q14" s="1552"/>
      <c r="R14" s="1552"/>
      <c r="S14" s="1552"/>
      <c r="T14" s="1552"/>
      <c r="U14" s="1552"/>
    </row>
    <row r="15" spans="2:21" hidden="1" outlineLevel="1">
      <c r="D15" s="1505" t="str">
        <f>D7</f>
        <v>Гостиница 5*</v>
      </c>
      <c r="E15" s="1556"/>
      <c r="F15" s="1556">
        <f>'К дв.загр'!G7</f>
        <v>2.1679999999999997</v>
      </c>
      <c r="G15" s="1553">
        <f>F15</f>
        <v>2.1679999999999997</v>
      </c>
      <c r="H15" s="1553">
        <f t="shared" ref="H15:U15" si="1">G15</f>
        <v>2.1679999999999997</v>
      </c>
      <c r="I15" s="1553">
        <f t="shared" si="1"/>
        <v>2.1679999999999997</v>
      </c>
      <c r="J15" s="1553">
        <f t="shared" si="1"/>
        <v>2.1679999999999997</v>
      </c>
      <c r="K15" s="1553">
        <f t="shared" si="1"/>
        <v>2.1679999999999997</v>
      </c>
      <c r="L15" s="1553">
        <f t="shared" si="1"/>
        <v>2.1679999999999997</v>
      </c>
      <c r="M15" s="1553">
        <f t="shared" si="1"/>
        <v>2.1679999999999997</v>
      </c>
      <c r="N15" s="1553">
        <f t="shared" si="1"/>
        <v>2.1679999999999997</v>
      </c>
      <c r="O15" s="1553">
        <f t="shared" si="1"/>
        <v>2.1679999999999997</v>
      </c>
      <c r="P15" s="1553">
        <f t="shared" si="1"/>
        <v>2.1679999999999997</v>
      </c>
      <c r="Q15" s="1553">
        <f t="shared" si="1"/>
        <v>2.1679999999999997</v>
      </c>
      <c r="R15" s="1553">
        <f t="shared" si="1"/>
        <v>2.1679999999999997</v>
      </c>
      <c r="S15" s="1553">
        <f t="shared" si="1"/>
        <v>2.1679999999999997</v>
      </c>
      <c r="T15" s="1553">
        <f t="shared" si="1"/>
        <v>2.1679999999999997</v>
      </c>
      <c r="U15" s="1553">
        <f t="shared" si="1"/>
        <v>2.1679999999999997</v>
      </c>
    </row>
    <row r="16" spans="2:21" hidden="1" outlineLevel="1">
      <c r="D16" s="1505" t="str">
        <f t="shared" ref="D16:D21" si="2">D8</f>
        <v>Гостиница 4*</v>
      </c>
      <c r="E16" s="1556"/>
      <c r="F16" s="1556">
        <f>'К дв.загр'!G8</f>
        <v>2.2029999999999998</v>
      </c>
      <c r="G16" s="1553">
        <f t="shared" ref="G16:U21" si="3">F16</f>
        <v>2.2029999999999998</v>
      </c>
      <c r="H16" s="1553">
        <f t="shared" si="3"/>
        <v>2.2029999999999998</v>
      </c>
      <c r="I16" s="1553">
        <f t="shared" si="3"/>
        <v>2.2029999999999998</v>
      </c>
      <c r="J16" s="1553">
        <f t="shared" si="3"/>
        <v>2.2029999999999998</v>
      </c>
      <c r="K16" s="1553">
        <f t="shared" si="3"/>
        <v>2.2029999999999998</v>
      </c>
      <c r="L16" s="1553">
        <f t="shared" si="3"/>
        <v>2.2029999999999998</v>
      </c>
      <c r="M16" s="1553">
        <f t="shared" si="3"/>
        <v>2.2029999999999998</v>
      </c>
      <c r="N16" s="1553">
        <f t="shared" si="3"/>
        <v>2.2029999999999998</v>
      </c>
      <c r="O16" s="1553">
        <f t="shared" si="3"/>
        <v>2.2029999999999998</v>
      </c>
      <c r="P16" s="1553">
        <f t="shared" si="3"/>
        <v>2.2029999999999998</v>
      </c>
      <c r="Q16" s="1553">
        <f t="shared" si="3"/>
        <v>2.2029999999999998</v>
      </c>
      <c r="R16" s="1553">
        <f t="shared" si="3"/>
        <v>2.2029999999999998</v>
      </c>
      <c r="S16" s="1553">
        <f t="shared" si="3"/>
        <v>2.2029999999999998</v>
      </c>
      <c r="T16" s="1553">
        <f t="shared" si="3"/>
        <v>2.2029999999999998</v>
      </c>
      <c r="U16" s="1553">
        <f t="shared" si="3"/>
        <v>2.2029999999999998</v>
      </c>
    </row>
    <row r="17" spans="4:21" hidden="1" outlineLevel="1">
      <c r="D17" s="1505" t="str">
        <f t="shared" si="2"/>
        <v>Гостиница 3*</v>
      </c>
      <c r="E17" s="1556"/>
      <c r="F17" s="1556">
        <f>'К дв.загр'!G9</f>
        <v>2.4619999999999997</v>
      </c>
      <c r="G17" s="1553">
        <f t="shared" si="3"/>
        <v>2.4619999999999997</v>
      </c>
      <c r="H17" s="1553">
        <f t="shared" si="3"/>
        <v>2.4619999999999997</v>
      </c>
      <c r="I17" s="1553">
        <f t="shared" si="3"/>
        <v>2.4619999999999997</v>
      </c>
      <c r="J17" s="1553">
        <f t="shared" si="3"/>
        <v>2.4619999999999997</v>
      </c>
      <c r="K17" s="1553">
        <f t="shared" si="3"/>
        <v>2.4619999999999997</v>
      </c>
      <c r="L17" s="1553">
        <f t="shared" si="3"/>
        <v>2.4619999999999997</v>
      </c>
      <c r="M17" s="1553">
        <f t="shared" si="3"/>
        <v>2.4619999999999997</v>
      </c>
      <c r="N17" s="1553">
        <f t="shared" si="3"/>
        <v>2.4619999999999997</v>
      </c>
      <c r="O17" s="1553">
        <f t="shared" si="3"/>
        <v>2.4619999999999997</v>
      </c>
      <c r="P17" s="1553">
        <f t="shared" si="3"/>
        <v>2.4619999999999997</v>
      </c>
      <c r="Q17" s="1553">
        <f t="shared" si="3"/>
        <v>2.4619999999999997</v>
      </c>
      <c r="R17" s="1553">
        <f t="shared" si="3"/>
        <v>2.4619999999999997</v>
      </c>
      <c r="S17" s="1553">
        <f t="shared" si="3"/>
        <v>2.4619999999999997</v>
      </c>
      <c r="T17" s="1553">
        <f t="shared" si="3"/>
        <v>2.4619999999999997</v>
      </c>
      <c r="U17" s="1553">
        <f t="shared" si="3"/>
        <v>2.4619999999999997</v>
      </c>
    </row>
    <row r="18" spans="4:21" hidden="1" outlineLevel="1">
      <c r="D18" s="1505" t="str">
        <f t="shared" si="2"/>
        <v>Гостиница 2*</v>
      </c>
      <c r="E18" s="1556"/>
      <c r="F18" s="1556">
        <f>'К дв.загр'!G10</f>
        <v>2.6279999999999997</v>
      </c>
      <c r="G18" s="1553">
        <f t="shared" si="3"/>
        <v>2.6279999999999997</v>
      </c>
      <c r="H18" s="1553">
        <f t="shared" si="3"/>
        <v>2.6279999999999997</v>
      </c>
      <c r="I18" s="1553">
        <f t="shared" si="3"/>
        <v>2.6279999999999997</v>
      </c>
      <c r="J18" s="1553">
        <f t="shared" si="3"/>
        <v>2.6279999999999997</v>
      </c>
      <c r="K18" s="1553">
        <f t="shared" si="3"/>
        <v>2.6279999999999997</v>
      </c>
      <c r="L18" s="1553">
        <f t="shared" si="3"/>
        <v>2.6279999999999997</v>
      </c>
      <c r="M18" s="1553">
        <f t="shared" si="3"/>
        <v>2.6279999999999997</v>
      </c>
      <c r="N18" s="1553">
        <f t="shared" si="3"/>
        <v>2.6279999999999997</v>
      </c>
      <c r="O18" s="1553">
        <f t="shared" si="3"/>
        <v>2.6279999999999997</v>
      </c>
      <c r="P18" s="1553">
        <f t="shared" si="3"/>
        <v>2.6279999999999997</v>
      </c>
      <c r="Q18" s="1553">
        <f t="shared" si="3"/>
        <v>2.6279999999999997</v>
      </c>
      <c r="R18" s="1553">
        <f t="shared" si="3"/>
        <v>2.6279999999999997</v>
      </c>
      <c r="S18" s="1553">
        <f t="shared" si="3"/>
        <v>2.6279999999999997</v>
      </c>
      <c r="T18" s="1553">
        <f t="shared" si="3"/>
        <v>2.6279999999999997</v>
      </c>
      <c r="U18" s="1553">
        <f t="shared" si="3"/>
        <v>2.6279999999999997</v>
      </c>
    </row>
    <row r="19" spans="4:21" hidden="1" outlineLevel="1">
      <c r="D19" s="1505" t="str">
        <f t="shared" si="2"/>
        <v>Хостел в составе МФЦ</v>
      </c>
      <c r="E19" s="1556"/>
      <c r="F19" s="1556">
        <f>'К дв.загр'!G11</f>
        <v>4.25</v>
      </c>
      <c r="G19" s="1553">
        <f t="shared" si="3"/>
        <v>4.25</v>
      </c>
      <c r="H19" s="1553">
        <f t="shared" si="3"/>
        <v>4.25</v>
      </c>
      <c r="I19" s="1553">
        <f t="shared" si="3"/>
        <v>4.25</v>
      </c>
      <c r="J19" s="1553">
        <f t="shared" si="3"/>
        <v>4.25</v>
      </c>
      <c r="K19" s="1553">
        <f t="shared" si="3"/>
        <v>4.25</v>
      </c>
      <c r="L19" s="1553">
        <f t="shared" si="3"/>
        <v>4.25</v>
      </c>
      <c r="M19" s="1553">
        <f t="shared" si="3"/>
        <v>4.25</v>
      </c>
      <c r="N19" s="1553">
        <f t="shared" si="3"/>
        <v>4.25</v>
      </c>
      <c r="O19" s="1553">
        <f t="shared" si="3"/>
        <v>4.25</v>
      </c>
      <c r="P19" s="1553">
        <f t="shared" si="3"/>
        <v>4.25</v>
      </c>
      <c r="Q19" s="1553">
        <f t="shared" si="3"/>
        <v>4.25</v>
      </c>
      <c r="R19" s="1553">
        <f t="shared" si="3"/>
        <v>4.25</v>
      </c>
      <c r="S19" s="1553">
        <f t="shared" si="3"/>
        <v>4.25</v>
      </c>
      <c r="T19" s="1553">
        <f t="shared" si="3"/>
        <v>4.25</v>
      </c>
      <c r="U19" s="1553">
        <f t="shared" si="3"/>
        <v>4.25</v>
      </c>
    </row>
    <row r="20" spans="4:21" hidden="1" outlineLevel="1">
      <c r="D20" s="1505" t="str">
        <f t="shared" si="2"/>
        <v>Шале</v>
      </c>
      <c r="E20" s="1556"/>
      <c r="F20" s="1556">
        <f>'К дв.загр'!G12</f>
        <v>4.8</v>
      </c>
      <c r="G20" s="1553">
        <f t="shared" si="3"/>
        <v>4.8</v>
      </c>
      <c r="H20" s="1553">
        <f t="shared" si="3"/>
        <v>4.8</v>
      </c>
      <c r="I20" s="1553">
        <f t="shared" si="3"/>
        <v>4.8</v>
      </c>
      <c r="J20" s="1553">
        <f t="shared" si="3"/>
        <v>4.8</v>
      </c>
      <c r="K20" s="1553">
        <f t="shared" si="3"/>
        <v>4.8</v>
      </c>
      <c r="L20" s="1553">
        <f t="shared" si="3"/>
        <v>4.8</v>
      </c>
      <c r="M20" s="1553">
        <f t="shared" si="3"/>
        <v>4.8</v>
      </c>
      <c r="N20" s="1553">
        <f t="shared" si="3"/>
        <v>4.8</v>
      </c>
      <c r="O20" s="1553">
        <f t="shared" si="3"/>
        <v>4.8</v>
      </c>
      <c r="P20" s="1553">
        <f t="shared" si="3"/>
        <v>4.8</v>
      </c>
      <c r="Q20" s="1553">
        <f t="shared" si="3"/>
        <v>4.8</v>
      </c>
      <c r="R20" s="1553">
        <f t="shared" si="3"/>
        <v>4.8</v>
      </c>
      <c r="S20" s="1553">
        <f t="shared" si="3"/>
        <v>4.8</v>
      </c>
      <c r="T20" s="1553">
        <f t="shared" si="3"/>
        <v>4.8</v>
      </c>
      <c r="U20" s="1553">
        <f t="shared" si="3"/>
        <v>4.8</v>
      </c>
    </row>
    <row r="21" spans="4:21" hidden="1" outlineLevel="1">
      <c r="D21" s="1505" t="str">
        <f t="shared" si="2"/>
        <v>Туристские резиденции</v>
      </c>
      <c r="E21" s="1557"/>
      <c r="F21" s="1557">
        <f>'К дв.загр'!G13</f>
        <v>2.4619999999999997</v>
      </c>
      <c r="G21" s="1553">
        <f t="shared" si="3"/>
        <v>2.4619999999999997</v>
      </c>
      <c r="H21" s="1553">
        <f t="shared" si="3"/>
        <v>2.4619999999999997</v>
      </c>
      <c r="I21" s="1553">
        <f t="shared" si="3"/>
        <v>2.4619999999999997</v>
      </c>
      <c r="J21" s="1553">
        <f t="shared" si="3"/>
        <v>2.4619999999999997</v>
      </c>
      <c r="K21" s="1553">
        <f t="shared" si="3"/>
        <v>2.4619999999999997</v>
      </c>
      <c r="L21" s="1553">
        <f t="shared" si="3"/>
        <v>2.4619999999999997</v>
      </c>
      <c r="M21" s="1553">
        <f t="shared" si="3"/>
        <v>2.4619999999999997</v>
      </c>
      <c r="N21" s="1553">
        <f t="shared" si="3"/>
        <v>2.4619999999999997</v>
      </c>
      <c r="O21" s="1553">
        <f t="shared" si="3"/>
        <v>2.4619999999999997</v>
      </c>
      <c r="P21" s="1553">
        <f t="shared" si="3"/>
        <v>2.4619999999999997</v>
      </c>
      <c r="Q21" s="1553">
        <f t="shared" si="3"/>
        <v>2.4619999999999997</v>
      </c>
      <c r="R21" s="1553">
        <f t="shared" si="3"/>
        <v>2.4619999999999997</v>
      </c>
      <c r="S21" s="1553">
        <f t="shared" si="3"/>
        <v>2.4619999999999997</v>
      </c>
      <c r="T21" s="1553">
        <f t="shared" si="3"/>
        <v>2.4619999999999997</v>
      </c>
      <c r="U21" s="1553">
        <f t="shared" si="3"/>
        <v>2.4619999999999997</v>
      </c>
    </row>
    <row r="22" spans="4:21" hidden="1" outlineLevel="1">
      <c r="D22" s="1552" t="s">
        <v>1093</v>
      </c>
      <c r="E22" s="1552"/>
      <c r="F22" s="1552"/>
      <c r="G22" s="1552"/>
      <c r="H22" s="1552"/>
      <c r="I22" s="1552"/>
      <c r="J22" s="1552"/>
      <c r="K22" s="1552"/>
      <c r="L22" s="1552"/>
      <c r="M22" s="1552"/>
      <c r="N22" s="1552"/>
      <c r="O22" s="1552"/>
      <c r="P22" s="1552"/>
      <c r="Q22" s="1552"/>
      <c r="R22" s="1552"/>
      <c r="S22" s="1552"/>
      <c r="T22" s="1552"/>
      <c r="U22" s="1552"/>
    </row>
    <row r="23" spans="4:21" hidden="1" outlineLevel="1">
      <c r="D23" s="1505" t="str">
        <f>D15</f>
        <v>Гостиница 5*</v>
      </c>
      <c r="E23" s="1557"/>
      <c r="F23" s="1557">
        <f>'К дв.загр'!O7</f>
        <v>3.25</v>
      </c>
      <c r="G23" s="1553">
        <f>F23</f>
        <v>3.25</v>
      </c>
      <c r="H23" s="1553">
        <f t="shared" ref="H23:U23" si="4">G23</f>
        <v>3.25</v>
      </c>
      <c r="I23" s="1553">
        <f t="shared" si="4"/>
        <v>3.25</v>
      </c>
      <c r="J23" s="1553">
        <f t="shared" si="4"/>
        <v>3.25</v>
      </c>
      <c r="K23" s="1553">
        <f t="shared" si="4"/>
        <v>3.25</v>
      </c>
      <c r="L23" s="1553">
        <f t="shared" si="4"/>
        <v>3.25</v>
      </c>
      <c r="M23" s="1553">
        <f t="shared" si="4"/>
        <v>3.25</v>
      </c>
      <c r="N23" s="1553">
        <f t="shared" si="4"/>
        <v>3.25</v>
      </c>
      <c r="O23" s="1553">
        <f t="shared" si="4"/>
        <v>3.25</v>
      </c>
      <c r="P23" s="1553">
        <f t="shared" si="4"/>
        <v>3.25</v>
      </c>
      <c r="Q23" s="1553">
        <f t="shared" si="4"/>
        <v>3.25</v>
      </c>
      <c r="R23" s="1553">
        <f t="shared" si="4"/>
        <v>3.25</v>
      </c>
      <c r="S23" s="1553">
        <f t="shared" si="4"/>
        <v>3.25</v>
      </c>
      <c r="T23" s="1553">
        <f t="shared" si="4"/>
        <v>3.25</v>
      </c>
      <c r="U23" s="1553">
        <f t="shared" si="4"/>
        <v>3.25</v>
      </c>
    </row>
    <row r="24" spans="4:21" hidden="1" outlineLevel="1">
      <c r="D24" s="1505" t="str">
        <f t="shared" ref="D24:D29" si="5">D16</f>
        <v>Гостиница 4*</v>
      </c>
      <c r="E24" s="1557"/>
      <c r="F24" s="1557">
        <f>'К дв.загр'!O8</f>
        <v>3.25</v>
      </c>
      <c r="G24" s="1553">
        <f t="shared" ref="G24:U29" si="6">F24</f>
        <v>3.25</v>
      </c>
      <c r="H24" s="1553">
        <f t="shared" si="6"/>
        <v>3.25</v>
      </c>
      <c r="I24" s="1553">
        <f t="shared" si="6"/>
        <v>3.25</v>
      </c>
      <c r="J24" s="1553">
        <f t="shared" si="6"/>
        <v>3.25</v>
      </c>
      <c r="K24" s="1553">
        <f t="shared" si="6"/>
        <v>3.25</v>
      </c>
      <c r="L24" s="1553">
        <f t="shared" si="6"/>
        <v>3.25</v>
      </c>
      <c r="M24" s="1553">
        <f t="shared" si="6"/>
        <v>3.25</v>
      </c>
      <c r="N24" s="1553">
        <f t="shared" si="6"/>
        <v>3.25</v>
      </c>
      <c r="O24" s="1553">
        <f t="shared" si="6"/>
        <v>3.25</v>
      </c>
      <c r="P24" s="1553">
        <f t="shared" si="6"/>
        <v>3.25</v>
      </c>
      <c r="Q24" s="1553">
        <f t="shared" si="6"/>
        <v>3.25</v>
      </c>
      <c r="R24" s="1553">
        <f t="shared" si="6"/>
        <v>3.25</v>
      </c>
      <c r="S24" s="1553">
        <f t="shared" si="6"/>
        <v>3.25</v>
      </c>
      <c r="T24" s="1553">
        <f t="shared" si="6"/>
        <v>3.25</v>
      </c>
      <c r="U24" s="1553">
        <f t="shared" si="6"/>
        <v>3.25</v>
      </c>
    </row>
    <row r="25" spans="4:21" hidden="1" outlineLevel="1">
      <c r="D25" s="1505" t="str">
        <f t="shared" si="5"/>
        <v>Гостиница 3*</v>
      </c>
      <c r="E25" s="1557"/>
      <c r="F25" s="1557">
        <f>'К дв.загр'!O9</f>
        <v>3.25</v>
      </c>
      <c r="G25" s="1553">
        <f t="shared" si="6"/>
        <v>3.25</v>
      </c>
      <c r="H25" s="1553">
        <f t="shared" si="6"/>
        <v>3.25</v>
      </c>
      <c r="I25" s="1553">
        <f t="shared" si="6"/>
        <v>3.25</v>
      </c>
      <c r="J25" s="1553">
        <f t="shared" si="6"/>
        <v>3.25</v>
      </c>
      <c r="K25" s="1553">
        <f t="shared" si="6"/>
        <v>3.25</v>
      </c>
      <c r="L25" s="1553">
        <f t="shared" si="6"/>
        <v>3.25</v>
      </c>
      <c r="M25" s="1553">
        <f t="shared" si="6"/>
        <v>3.25</v>
      </c>
      <c r="N25" s="1553">
        <f t="shared" si="6"/>
        <v>3.25</v>
      </c>
      <c r="O25" s="1553">
        <f t="shared" si="6"/>
        <v>3.25</v>
      </c>
      <c r="P25" s="1553">
        <f t="shared" si="6"/>
        <v>3.25</v>
      </c>
      <c r="Q25" s="1553">
        <f t="shared" si="6"/>
        <v>3.25</v>
      </c>
      <c r="R25" s="1553">
        <f t="shared" si="6"/>
        <v>3.25</v>
      </c>
      <c r="S25" s="1553">
        <f t="shared" si="6"/>
        <v>3.25</v>
      </c>
      <c r="T25" s="1553">
        <f t="shared" si="6"/>
        <v>3.25</v>
      </c>
      <c r="U25" s="1553">
        <f t="shared" si="6"/>
        <v>3.25</v>
      </c>
    </row>
    <row r="26" spans="4:21" hidden="1" outlineLevel="1">
      <c r="D26" s="1505" t="str">
        <f t="shared" si="5"/>
        <v>Гостиница 2*</v>
      </c>
      <c r="E26" s="1557"/>
      <c r="F26" s="1557">
        <f>'К дв.загр'!O10</f>
        <v>3.5</v>
      </c>
      <c r="G26" s="1553">
        <f t="shared" si="6"/>
        <v>3.5</v>
      </c>
      <c r="H26" s="1553">
        <f t="shared" si="6"/>
        <v>3.5</v>
      </c>
      <c r="I26" s="1553">
        <f t="shared" si="6"/>
        <v>3.5</v>
      </c>
      <c r="J26" s="1553">
        <f t="shared" si="6"/>
        <v>3.5</v>
      </c>
      <c r="K26" s="1553">
        <f t="shared" si="6"/>
        <v>3.5</v>
      </c>
      <c r="L26" s="1553">
        <f t="shared" si="6"/>
        <v>3.5</v>
      </c>
      <c r="M26" s="1553">
        <f t="shared" si="6"/>
        <v>3.5</v>
      </c>
      <c r="N26" s="1553">
        <f t="shared" si="6"/>
        <v>3.5</v>
      </c>
      <c r="O26" s="1553">
        <f t="shared" si="6"/>
        <v>3.5</v>
      </c>
      <c r="P26" s="1553">
        <f t="shared" si="6"/>
        <v>3.5</v>
      </c>
      <c r="Q26" s="1553">
        <f t="shared" si="6"/>
        <v>3.5</v>
      </c>
      <c r="R26" s="1553">
        <f t="shared" si="6"/>
        <v>3.5</v>
      </c>
      <c r="S26" s="1553">
        <f t="shared" si="6"/>
        <v>3.5</v>
      </c>
      <c r="T26" s="1553">
        <f t="shared" si="6"/>
        <v>3.5</v>
      </c>
      <c r="U26" s="1553">
        <f t="shared" si="6"/>
        <v>3.5</v>
      </c>
    </row>
    <row r="27" spans="4:21" hidden="1" outlineLevel="1">
      <c r="D27" s="1505" t="str">
        <f t="shared" si="5"/>
        <v>Хостел в составе МФЦ</v>
      </c>
      <c r="E27" s="1557"/>
      <c r="F27" s="1557">
        <f>'К дв.загр'!O11</f>
        <v>4</v>
      </c>
      <c r="G27" s="1553">
        <f t="shared" si="6"/>
        <v>4</v>
      </c>
      <c r="H27" s="1553">
        <f t="shared" si="6"/>
        <v>4</v>
      </c>
      <c r="I27" s="1553">
        <f t="shared" si="6"/>
        <v>4</v>
      </c>
      <c r="J27" s="1553">
        <f t="shared" si="6"/>
        <v>4</v>
      </c>
      <c r="K27" s="1553">
        <f t="shared" si="6"/>
        <v>4</v>
      </c>
      <c r="L27" s="1553">
        <f t="shared" si="6"/>
        <v>4</v>
      </c>
      <c r="M27" s="1553">
        <f t="shared" si="6"/>
        <v>4</v>
      </c>
      <c r="N27" s="1553">
        <f t="shared" si="6"/>
        <v>4</v>
      </c>
      <c r="O27" s="1553">
        <f t="shared" si="6"/>
        <v>4</v>
      </c>
      <c r="P27" s="1553">
        <f t="shared" si="6"/>
        <v>4</v>
      </c>
      <c r="Q27" s="1553">
        <f t="shared" si="6"/>
        <v>4</v>
      </c>
      <c r="R27" s="1553">
        <f t="shared" si="6"/>
        <v>4</v>
      </c>
      <c r="S27" s="1553">
        <f t="shared" si="6"/>
        <v>4</v>
      </c>
      <c r="T27" s="1553">
        <f t="shared" si="6"/>
        <v>4</v>
      </c>
      <c r="U27" s="1553">
        <f t="shared" si="6"/>
        <v>4</v>
      </c>
    </row>
    <row r="28" spans="4:21" hidden="1" outlineLevel="1">
      <c r="D28" s="1505" t="str">
        <f t="shared" si="5"/>
        <v>Шале</v>
      </c>
      <c r="E28" s="1557"/>
      <c r="F28" s="1557">
        <f>'К дв.загр'!O12</f>
        <v>3</v>
      </c>
      <c r="G28" s="1553">
        <f t="shared" si="6"/>
        <v>3</v>
      </c>
      <c r="H28" s="1553">
        <f t="shared" si="6"/>
        <v>3</v>
      </c>
      <c r="I28" s="1553">
        <f t="shared" si="6"/>
        <v>3</v>
      </c>
      <c r="J28" s="1553">
        <f t="shared" si="6"/>
        <v>3</v>
      </c>
      <c r="K28" s="1553">
        <f t="shared" si="6"/>
        <v>3</v>
      </c>
      <c r="L28" s="1553">
        <f t="shared" si="6"/>
        <v>3</v>
      </c>
      <c r="M28" s="1553">
        <f t="shared" si="6"/>
        <v>3</v>
      </c>
      <c r="N28" s="1553">
        <f t="shared" si="6"/>
        <v>3</v>
      </c>
      <c r="O28" s="1553">
        <f t="shared" si="6"/>
        <v>3</v>
      </c>
      <c r="P28" s="1553">
        <f t="shared" si="6"/>
        <v>3</v>
      </c>
      <c r="Q28" s="1553">
        <f t="shared" si="6"/>
        <v>3</v>
      </c>
      <c r="R28" s="1553">
        <f t="shared" si="6"/>
        <v>3</v>
      </c>
      <c r="S28" s="1553">
        <f t="shared" si="6"/>
        <v>3</v>
      </c>
      <c r="T28" s="1553">
        <f t="shared" si="6"/>
        <v>3</v>
      </c>
      <c r="U28" s="1553">
        <f t="shared" si="6"/>
        <v>3</v>
      </c>
    </row>
    <row r="29" spans="4:21" hidden="1" outlineLevel="1">
      <c r="D29" s="1505" t="str">
        <f t="shared" si="5"/>
        <v>Туристские резиденции</v>
      </c>
      <c r="E29" s="1557"/>
      <c r="F29" s="1557">
        <f>'К дв.загр'!O13</f>
        <v>3</v>
      </c>
      <c r="G29" s="1553">
        <f t="shared" si="6"/>
        <v>3</v>
      </c>
      <c r="H29" s="1553">
        <f t="shared" si="6"/>
        <v>3</v>
      </c>
      <c r="I29" s="1553">
        <f t="shared" si="6"/>
        <v>3</v>
      </c>
      <c r="J29" s="1553">
        <f t="shared" si="6"/>
        <v>3</v>
      </c>
      <c r="K29" s="1553">
        <f t="shared" si="6"/>
        <v>3</v>
      </c>
      <c r="L29" s="1553">
        <f t="shared" si="6"/>
        <v>3</v>
      </c>
      <c r="M29" s="1553">
        <f t="shared" si="6"/>
        <v>3</v>
      </c>
      <c r="N29" s="1553">
        <f t="shared" si="6"/>
        <v>3</v>
      </c>
      <c r="O29" s="1553">
        <f t="shared" si="6"/>
        <v>3</v>
      </c>
      <c r="P29" s="1553">
        <f t="shared" si="6"/>
        <v>3</v>
      </c>
      <c r="Q29" s="1553">
        <f t="shared" si="6"/>
        <v>3</v>
      </c>
      <c r="R29" s="1553">
        <f t="shared" si="6"/>
        <v>3</v>
      </c>
      <c r="S29" s="1553">
        <f t="shared" si="6"/>
        <v>3</v>
      </c>
      <c r="T29" s="1553">
        <f t="shared" si="6"/>
        <v>3</v>
      </c>
      <c r="U29" s="1553">
        <f t="shared" si="6"/>
        <v>3</v>
      </c>
    </row>
    <row r="30" spans="4:21" s="19" customFormat="1" hidden="1" outlineLevel="1">
      <c r="D30" s="1552" t="s">
        <v>1096</v>
      </c>
      <c r="E30" s="1552"/>
      <c r="F30" s="1552"/>
      <c r="G30" s="1552"/>
      <c r="H30" s="1552"/>
      <c r="I30" s="1552"/>
      <c r="J30" s="1552"/>
      <c r="K30" s="1552"/>
      <c r="L30" s="1552"/>
      <c r="M30" s="1552"/>
      <c r="N30" s="1552"/>
      <c r="O30" s="1552"/>
      <c r="P30" s="1552"/>
      <c r="Q30" s="1552"/>
      <c r="R30" s="1552"/>
      <c r="S30" s="1552"/>
      <c r="T30" s="1552"/>
      <c r="U30" s="1552"/>
    </row>
    <row r="31" spans="4:21" hidden="1" outlineLevel="1">
      <c r="D31" s="1505" t="str">
        <f>D23</f>
        <v>Гостиница 5*</v>
      </c>
      <c r="E31" s="1554"/>
      <c r="F31" s="1554">
        <f>F7*F15/F23</f>
        <v>0</v>
      </c>
      <c r="G31" s="1554">
        <f t="shared" ref="G31:U31" si="7">G7*G15/G23</f>
        <v>7314.1525394051096</v>
      </c>
      <c r="H31" s="1554">
        <f t="shared" si="7"/>
        <v>15478.27272453803</v>
      </c>
      <c r="I31" s="1554">
        <f t="shared" si="7"/>
        <v>16433.660065955926</v>
      </c>
      <c r="J31" s="1554">
        <f t="shared" si="7"/>
        <v>17299.245986248385</v>
      </c>
      <c r="K31" s="1554">
        <f t="shared" si="7"/>
        <v>18209.732617103567</v>
      </c>
      <c r="L31" s="1554">
        <f t="shared" si="7"/>
        <v>18209.732617103567</v>
      </c>
      <c r="M31" s="1554">
        <f t="shared" si="7"/>
        <v>18259.622295506586</v>
      </c>
      <c r="N31" s="1554">
        <f t="shared" si="7"/>
        <v>18209.732617103567</v>
      </c>
      <c r="O31" s="1554">
        <f t="shared" si="7"/>
        <v>18209.732617103567</v>
      </c>
      <c r="P31" s="1554">
        <f t="shared" si="7"/>
        <v>18209.732617103567</v>
      </c>
      <c r="Q31" s="1554">
        <f t="shared" si="7"/>
        <v>18259.622295506586</v>
      </c>
      <c r="R31" s="1554">
        <f t="shared" si="7"/>
        <v>18209.732617103567</v>
      </c>
      <c r="S31" s="1554">
        <f t="shared" si="7"/>
        <v>18209.732617103567</v>
      </c>
      <c r="T31" s="1554">
        <f t="shared" si="7"/>
        <v>18209.732617103567</v>
      </c>
      <c r="U31" s="1554">
        <f t="shared" si="7"/>
        <v>18259.622295506586</v>
      </c>
    </row>
    <row r="32" spans="4:21" hidden="1" outlineLevel="1">
      <c r="D32" s="1505" t="str">
        <f t="shared" ref="D32:D37" si="8">D24</f>
        <v>Гостиница 4*</v>
      </c>
      <c r="E32" s="1554"/>
      <c r="F32" s="1554">
        <f t="shared" ref="F32:U32" si="9">F8*F16/F24</f>
        <v>0</v>
      </c>
      <c r="G32" s="1554">
        <f t="shared" si="9"/>
        <v>9088.3382972977106</v>
      </c>
      <c r="H32" s="1554">
        <f t="shared" si="9"/>
        <v>20305.139935309926</v>
      </c>
      <c r="I32" s="1554">
        <f t="shared" si="9"/>
        <v>21558.462835426555</v>
      </c>
      <c r="J32" s="1554">
        <f t="shared" si="9"/>
        <v>22693.979927699322</v>
      </c>
      <c r="K32" s="1554">
        <f t="shared" si="9"/>
        <v>23888.399923894031</v>
      </c>
      <c r="L32" s="1554">
        <f t="shared" si="9"/>
        <v>23888.399923894031</v>
      </c>
      <c r="M32" s="1554">
        <f t="shared" si="9"/>
        <v>23953.847594918399</v>
      </c>
      <c r="N32" s="1554">
        <f t="shared" si="9"/>
        <v>23888.399923894031</v>
      </c>
      <c r="O32" s="1554">
        <f t="shared" si="9"/>
        <v>23888.399923894031</v>
      </c>
      <c r="P32" s="1554">
        <f t="shared" si="9"/>
        <v>23888.399923894031</v>
      </c>
      <c r="Q32" s="1554">
        <f t="shared" si="9"/>
        <v>23953.847594918399</v>
      </c>
      <c r="R32" s="1554">
        <f t="shared" si="9"/>
        <v>23888.399923894031</v>
      </c>
      <c r="S32" s="1554">
        <f t="shared" si="9"/>
        <v>23888.399923894031</v>
      </c>
      <c r="T32" s="1554">
        <f t="shared" si="9"/>
        <v>23888.399923894031</v>
      </c>
      <c r="U32" s="1554">
        <f t="shared" si="9"/>
        <v>23953.847594918399</v>
      </c>
    </row>
    <row r="33" spans="2:16384" hidden="1" outlineLevel="1">
      <c r="D33" s="1505" t="str">
        <f t="shared" si="8"/>
        <v>Гостиница 3*</v>
      </c>
      <c r="E33" s="1554"/>
      <c r="F33" s="1554">
        <f t="shared" ref="F33:U33" si="10">F9*F17/F25</f>
        <v>9890.5890174961296</v>
      </c>
      <c r="G33" s="1554">
        <f t="shared" si="10"/>
        <v>25248.572478929764</v>
      </c>
      <c r="H33" s="1554">
        <f t="shared" si="10"/>
        <v>26733.782624749161</v>
      </c>
      <c r="I33" s="1554">
        <f t="shared" si="10"/>
        <v>28296.305079529022</v>
      </c>
      <c r="J33" s="1554">
        <f t="shared" si="10"/>
        <v>29704.202916387956</v>
      </c>
      <c r="K33" s="1554">
        <f t="shared" si="10"/>
        <v>29704.202916387956</v>
      </c>
      <c r="L33" s="1554">
        <f t="shared" si="10"/>
        <v>29704.202916387956</v>
      </c>
      <c r="M33" s="1554">
        <f t="shared" si="10"/>
        <v>29785.584294241078</v>
      </c>
      <c r="N33" s="1554">
        <f t="shared" si="10"/>
        <v>29704.202916387956</v>
      </c>
      <c r="O33" s="1554">
        <f t="shared" si="10"/>
        <v>29704.202916387956</v>
      </c>
      <c r="P33" s="1554">
        <f t="shared" si="10"/>
        <v>29704.202916387956</v>
      </c>
      <c r="Q33" s="1554">
        <f t="shared" si="10"/>
        <v>29785.584294241078</v>
      </c>
      <c r="R33" s="1554">
        <f t="shared" si="10"/>
        <v>29704.202916387956</v>
      </c>
      <c r="S33" s="1554">
        <f t="shared" si="10"/>
        <v>29704.202916387956</v>
      </c>
      <c r="T33" s="1554">
        <f t="shared" si="10"/>
        <v>29704.202916387956</v>
      </c>
      <c r="U33" s="1554">
        <f t="shared" si="10"/>
        <v>29785.584294241078</v>
      </c>
    </row>
    <row r="34" spans="2:16384" hidden="1" outlineLevel="1">
      <c r="D34" s="1505" t="str">
        <f t="shared" si="8"/>
        <v>Гостиница 2*</v>
      </c>
      <c r="E34" s="1554"/>
      <c r="F34" s="1554">
        <f t="shared" ref="F34:U34" si="11">F10*F18/F26</f>
        <v>0</v>
      </c>
      <c r="G34" s="1554">
        <f t="shared" si="11"/>
        <v>0</v>
      </c>
      <c r="H34" s="1554">
        <f t="shared" si="11"/>
        <v>0</v>
      </c>
      <c r="I34" s="1554">
        <f t="shared" si="11"/>
        <v>0</v>
      </c>
      <c r="J34" s="1554">
        <f t="shared" si="11"/>
        <v>0</v>
      </c>
      <c r="K34" s="1554">
        <f t="shared" si="11"/>
        <v>0</v>
      </c>
      <c r="L34" s="1554">
        <f t="shared" si="11"/>
        <v>0</v>
      </c>
      <c r="M34" s="1554">
        <f t="shared" si="11"/>
        <v>0</v>
      </c>
      <c r="N34" s="1554">
        <f t="shared" si="11"/>
        <v>0</v>
      </c>
      <c r="O34" s="1554">
        <f t="shared" si="11"/>
        <v>0</v>
      </c>
      <c r="P34" s="1554">
        <f t="shared" si="11"/>
        <v>0</v>
      </c>
      <c r="Q34" s="1554">
        <f t="shared" si="11"/>
        <v>0</v>
      </c>
      <c r="R34" s="1554">
        <f t="shared" si="11"/>
        <v>0</v>
      </c>
      <c r="S34" s="1554">
        <f t="shared" si="11"/>
        <v>0</v>
      </c>
      <c r="T34" s="1554">
        <f t="shared" si="11"/>
        <v>0</v>
      </c>
      <c r="U34" s="1554">
        <f t="shared" si="11"/>
        <v>0</v>
      </c>
    </row>
    <row r="35" spans="2:16384" hidden="1" outlineLevel="1">
      <c r="D35" s="1505" t="str">
        <f t="shared" si="8"/>
        <v>Хостел в составе МФЦ</v>
      </c>
      <c r="E35" s="1554"/>
      <c r="F35" s="1554">
        <f t="shared" ref="F35:U35" si="12">F11*F19/F27</f>
        <v>7659.6221080942732</v>
      </c>
      <c r="G35" s="1554">
        <f t="shared" si="12"/>
        <v>22354.371854619571</v>
      </c>
      <c r="H35" s="1554">
        <f t="shared" si="12"/>
        <v>23669.334904891311</v>
      </c>
      <c r="I35" s="1554">
        <f t="shared" si="12"/>
        <v>25052.748086547053</v>
      </c>
      <c r="J35" s="1554">
        <f t="shared" si="12"/>
        <v>26299.261005434786</v>
      </c>
      <c r="K35" s="1554">
        <f t="shared" si="12"/>
        <v>26299.261005434786</v>
      </c>
      <c r="L35" s="1554">
        <f t="shared" si="12"/>
        <v>26299.261005434786</v>
      </c>
      <c r="M35" s="1554">
        <f t="shared" si="12"/>
        <v>26371.31377531269</v>
      </c>
      <c r="N35" s="1554">
        <f t="shared" si="12"/>
        <v>26299.261005434786</v>
      </c>
      <c r="O35" s="1554">
        <f t="shared" si="12"/>
        <v>26299.261005434786</v>
      </c>
      <c r="P35" s="1554">
        <f t="shared" si="12"/>
        <v>26299.261005434786</v>
      </c>
      <c r="Q35" s="1554">
        <f t="shared" si="12"/>
        <v>26371.31377531269</v>
      </c>
      <c r="R35" s="1554">
        <f t="shared" si="12"/>
        <v>26299.261005434786</v>
      </c>
      <c r="S35" s="1554">
        <f t="shared" si="12"/>
        <v>26299.261005434786</v>
      </c>
      <c r="T35" s="1554">
        <f t="shared" si="12"/>
        <v>26299.261005434786</v>
      </c>
      <c r="U35" s="1554">
        <f t="shared" si="12"/>
        <v>26371.31377531269</v>
      </c>
    </row>
    <row r="36" spans="2:16384" hidden="1" outlineLevel="1">
      <c r="D36" s="1505" t="str">
        <f t="shared" si="8"/>
        <v>Шале</v>
      </c>
      <c r="E36" s="1554"/>
      <c r="F36" s="1554">
        <f t="shared" ref="F36:U36" si="13">F12*F20/F28</f>
        <v>0</v>
      </c>
      <c r="G36" s="1554">
        <f t="shared" si="13"/>
        <v>629.11132621030117</v>
      </c>
      <c r="H36" s="1554">
        <f t="shared" si="13"/>
        <v>2690.172727272728</v>
      </c>
      <c r="I36" s="1554">
        <f t="shared" si="13"/>
        <v>2856.2220672478215</v>
      </c>
      <c r="J36" s="1554">
        <f t="shared" si="13"/>
        <v>3006.6636363636371</v>
      </c>
      <c r="K36" s="1554">
        <f t="shared" si="13"/>
        <v>3164.9090909090919</v>
      </c>
      <c r="L36" s="1554">
        <f t="shared" si="13"/>
        <v>3164.9090909090919</v>
      </c>
      <c r="M36" s="1554">
        <f t="shared" si="13"/>
        <v>3173.5800747198014</v>
      </c>
      <c r="N36" s="1554">
        <f t="shared" si="13"/>
        <v>3164.9090909090919</v>
      </c>
      <c r="O36" s="1554">
        <f t="shared" si="13"/>
        <v>3164.9090909090919</v>
      </c>
      <c r="P36" s="1554">
        <f t="shared" si="13"/>
        <v>3164.9090909090919</v>
      </c>
      <c r="Q36" s="1554">
        <f t="shared" si="13"/>
        <v>3173.5800747198014</v>
      </c>
      <c r="R36" s="1554">
        <f t="shared" si="13"/>
        <v>3164.9090909090919</v>
      </c>
      <c r="S36" s="1554">
        <f t="shared" si="13"/>
        <v>3164.9090909090919</v>
      </c>
      <c r="T36" s="1554">
        <f t="shared" si="13"/>
        <v>3164.9090909090919</v>
      </c>
      <c r="U36" s="1554">
        <f t="shared" si="13"/>
        <v>3173.5800747198014</v>
      </c>
    </row>
    <row r="37" spans="2:16384" hidden="1" outlineLevel="1">
      <c r="D37" s="1505" t="str">
        <f t="shared" si="8"/>
        <v>Туристские резиденции</v>
      </c>
      <c r="E37" s="1554"/>
      <c r="F37" s="1554">
        <f t="shared" ref="F37:U37" si="14">F13*F21/F29</f>
        <v>25782.498975295897</v>
      </c>
      <c r="G37" s="1554">
        <f t="shared" si="14"/>
        <v>65817.242321376805</v>
      </c>
      <c r="H37" s="1554">
        <f t="shared" si="14"/>
        <v>69688.844810869559</v>
      </c>
      <c r="I37" s="1554">
        <f t="shared" si="14"/>
        <v>73761.982772418109</v>
      </c>
      <c r="J37" s="1554">
        <f t="shared" si="14"/>
        <v>77432.049789855068</v>
      </c>
      <c r="K37" s="1554">
        <f t="shared" si="14"/>
        <v>77432.049789855068</v>
      </c>
      <c r="L37" s="1554">
        <f t="shared" si="14"/>
        <v>77432.049789855068</v>
      </c>
      <c r="M37" s="1554">
        <f t="shared" si="14"/>
        <v>77644.19239201906</v>
      </c>
      <c r="N37" s="1554">
        <f t="shared" si="14"/>
        <v>77432.049789855068</v>
      </c>
      <c r="O37" s="1554">
        <f t="shared" si="14"/>
        <v>77432.049789855068</v>
      </c>
      <c r="P37" s="1554">
        <f t="shared" si="14"/>
        <v>77432.049789855068</v>
      </c>
      <c r="Q37" s="1554">
        <f t="shared" si="14"/>
        <v>77644.19239201906</v>
      </c>
      <c r="R37" s="1554">
        <f t="shared" si="14"/>
        <v>77432.049789855068</v>
      </c>
      <c r="S37" s="1554">
        <f t="shared" si="14"/>
        <v>77432.049789855068</v>
      </c>
      <c r="T37" s="1554">
        <f t="shared" si="14"/>
        <v>77432.049789855068</v>
      </c>
      <c r="U37" s="1554">
        <f t="shared" si="14"/>
        <v>77644.19239201906</v>
      </c>
    </row>
    <row r="38" spans="2:16384" collapsed="1">
      <c r="B38" s="1563">
        <f>SUM(B7:B13)</f>
        <v>944</v>
      </c>
      <c r="D38" s="1501" t="s">
        <v>1095</v>
      </c>
      <c r="E38" s="1560"/>
      <c r="F38" s="1560">
        <f>SUM(F31:F37)</f>
        <v>43332.710100886296</v>
      </c>
      <c r="G38" s="1560">
        <f t="shared" ref="G38:U38" si="15">SUM(G31:G37)</f>
        <v>130451.78881783926</v>
      </c>
      <c r="H38" s="1560">
        <f t="shared" si="15"/>
        <v>158565.54772763071</v>
      </c>
      <c r="I38" s="1560">
        <f t="shared" si="15"/>
        <v>167959.38090712449</v>
      </c>
      <c r="J38" s="1560">
        <f t="shared" si="15"/>
        <v>176435.40326198918</v>
      </c>
      <c r="K38" s="1560">
        <f t="shared" si="15"/>
        <v>178698.55534358451</v>
      </c>
      <c r="L38" s="1560">
        <f t="shared" si="15"/>
        <v>178698.55534358451</v>
      </c>
      <c r="M38" s="1560">
        <f t="shared" si="15"/>
        <v>179188.14042671764</v>
      </c>
      <c r="N38" s="1560">
        <f t="shared" si="15"/>
        <v>178698.55534358451</v>
      </c>
      <c r="O38" s="1560">
        <f t="shared" si="15"/>
        <v>178698.55534358451</v>
      </c>
      <c r="P38" s="1560">
        <f t="shared" si="15"/>
        <v>178698.55534358451</v>
      </c>
      <c r="Q38" s="1560">
        <f t="shared" si="15"/>
        <v>179188.14042671764</v>
      </c>
      <c r="R38" s="1560">
        <f t="shared" si="15"/>
        <v>178698.55534358451</v>
      </c>
      <c r="S38" s="1560">
        <f t="shared" si="15"/>
        <v>178698.55534358451</v>
      </c>
      <c r="T38" s="1560">
        <f t="shared" si="15"/>
        <v>178698.55534358451</v>
      </c>
      <c r="U38" s="1560">
        <f t="shared" si="15"/>
        <v>179188.14042671764</v>
      </c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  <c r="AZB38" s="19"/>
      <c r="AZC38" s="19"/>
      <c r="AZD38" s="19"/>
      <c r="AZE38" s="19"/>
      <c r="AZF38" s="19"/>
      <c r="AZG38" s="19"/>
      <c r="AZH38" s="19"/>
      <c r="AZI38" s="19"/>
      <c r="AZJ38" s="19"/>
      <c r="AZK38" s="19"/>
      <c r="AZL38" s="19"/>
      <c r="AZM38" s="19"/>
      <c r="AZN38" s="19"/>
      <c r="AZO38" s="19"/>
      <c r="AZP38" s="19"/>
      <c r="AZQ38" s="19"/>
      <c r="AZR38" s="19"/>
      <c r="AZS38" s="19"/>
      <c r="AZT38" s="19"/>
      <c r="AZU38" s="19"/>
      <c r="AZV38" s="19"/>
      <c r="AZW38" s="19"/>
      <c r="AZX38" s="19"/>
      <c r="AZY38" s="19"/>
      <c r="AZZ38" s="19"/>
      <c r="BAA38" s="19"/>
      <c r="BAB38" s="19"/>
      <c r="BAC38" s="19"/>
      <c r="BAD38" s="19"/>
      <c r="BAE38" s="19"/>
      <c r="BAF38" s="19"/>
      <c r="BAG38" s="19"/>
      <c r="BAH38" s="19"/>
      <c r="BAI38" s="19"/>
      <c r="BAJ38" s="19"/>
      <c r="BAK38" s="19"/>
      <c r="BAL38" s="19"/>
      <c r="BAM38" s="19"/>
      <c r="BAN38" s="19"/>
      <c r="BAO38" s="19"/>
      <c r="BAP38" s="19"/>
      <c r="BAQ38" s="19"/>
      <c r="BAR38" s="19"/>
      <c r="BAS38" s="19"/>
      <c r="BAT38" s="19"/>
      <c r="BAU38" s="19"/>
      <c r="BAV38" s="19"/>
      <c r="BAW38" s="19"/>
      <c r="BAX38" s="19"/>
      <c r="BAY38" s="19"/>
      <c r="BAZ38" s="19"/>
      <c r="BBA38" s="19"/>
      <c r="BBB38" s="19"/>
      <c r="BBC38" s="19"/>
      <c r="BBD38" s="19"/>
      <c r="BBE38" s="19"/>
      <c r="BBF38" s="19"/>
      <c r="BBG38" s="19"/>
      <c r="BBH38" s="19"/>
      <c r="BBI38" s="19"/>
      <c r="BBJ38" s="19"/>
      <c r="BBK38" s="19"/>
      <c r="BBL38" s="19"/>
      <c r="BBM38" s="19"/>
      <c r="BBN38" s="19"/>
      <c r="BBO38" s="19"/>
      <c r="BBP38" s="19"/>
      <c r="BBQ38" s="19"/>
      <c r="BBR38" s="19"/>
      <c r="BBS38" s="19"/>
      <c r="BBT38" s="19"/>
      <c r="BBU38" s="19"/>
      <c r="BBV38" s="19"/>
      <c r="BBW38" s="19"/>
      <c r="BBX38" s="19"/>
      <c r="BBY38" s="19"/>
      <c r="BBZ38" s="19"/>
      <c r="BCA38" s="19"/>
      <c r="BCB38" s="19"/>
      <c r="BCC38" s="19"/>
      <c r="BCD38" s="19"/>
      <c r="BCE38" s="19"/>
      <c r="BCF38" s="19"/>
      <c r="BCG38" s="19"/>
      <c r="BCH38" s="19"/>
      <c r="BCI38" s="19"/>
      <c r="BCJ38" s="19"/>
      <c r="BCK38" s="19"/>
      <c r="BCL38" s="19"/>
      <c r="BCM38" s="19"/>
      <c r="BCN38" s="19"/>
      <c r="BCO38" s="19"/>
      <c r="BCP38" s="19"/>
      <c r="BCQ38" s="19"/>
      <c r="BCR38" s="19"/>
      <c r="BCS38" s="19"/>
      <c r="BCT38" s="19"/>
      <c r="BCU38" s="19"/>
      <c r="BCV38" s="19"/>
      <c r="BCW38" s="19"/>
      <c r="BCX38" s="19"/>
      <c r="BCY38" s="19"/>
      <c r="BCZ38" s="19"/>
      <c r="BDA38" s="19"/>
      <c r="BDB38" s="19"/>
      <c r="BDC38" s="19"/>
      <c r="BDD38" s="19"/>
      <c r="BDE38" s="19"/>
      <c r="BDF38" s="19"/>
      <c r="BDG38" s="19"/>
      <c r="BDH38" s="19"/>
      <c r="BDI38" s="19"/>
      <c r="BDJ38" s="19"/>
      <c r="BDK38" s="19"/>
      <c r="BDL38" s="19"/>
      <c r="BDM38" s="19"/>
      <c r="BDN38" s="19"/>
      <c r="BDO38" s="19"/>
      <c r="BDP38" s="19"/>
      <c r="BDQ38" s="19"/>
      <c r="BDR38" s="19"/>
      <c r="BDS38" s="19"/>
      <c r="BDT38" s="19"/>
      <c r="BDU38" s="19"/>
      <c r="BDV38" s="19"/>
      <c r="BDW38" s="19"/>
      <c r="BDX38" s="19"/>
      <c r="BDY38" s="19"/>
      <c r="BDZ38" s="19"/>
      <c r="BEA38" s="19"/>
      <c r="BEB38" s="19"/>
      <c r="BEC38" s="19"/>
      <c r="BED38" s="19"/>
      <c r="BEE38" s="19"/>
      <c r="BEF38" s="19"/>
      <c r="BEG38" s="19"/>
      <c r="BEH38" s="19"/>
      <c r="BEI38" s="19"/>
      <c r="BEJ38" s="19"/>
      <c r="BEK38" s="19"/>
      <c r="BEL38" s="19"/>
      <c r="BEM38" s="19"/>
      <c r="BEN38" s="19"/>
      <c r="BEO38" s="19"/>
      <c r="BEP38" s="19"/>
      <c r="BEQ38" s="19"/>
      <c r="BER38" s="19"/>
      <c r="BES38" s="19"/>
      <c r="BET38" s="19"/>
      <c r="BEU38" s="19"/>
      <c r="BEV38" s="19"/>
      <c r="BEW38" s="19"/>
      <c r="BEX38" s="19"/>
      <c r="BEY38" s="19"/>
      <c r="BEZ38" s="19"/>
      <c r="BFA38" s="19"/>
      <c r="BFB38" s="19"/>
      <c r="BFC38" s="19"/>
      <c r="BFD38" s="19"/>
      <c r="BFE38" s="19"/>
      <c r="BFF38" s="19"/>
      <c r="BFG38" s="19"/>
      <c r="BFH38" s="19"/>
      <c r="BFI38" s="19"/>
      <c r="BFJ38" s="19"/>
      <c r="BFK38" s="19"/>
      <c r="BFL38" s="19"/>
      <c r="BFM38" s="19"/>
      <c r="BFN38" s="19"/>
      <c r="BFO38" s="19"/>
      <c r="BFP38" s="19"/>
      <c r="BFQ38" s="19"/>
      <c r="BFR38" s="19"/>
      <c r="BFS38" s="19"/>
      <c r="BFT38" s="19"/>
      <c r="BFU38" s="19"/>
      <c r="BFV38" s="19"/>
      <c r="BFW38" s="19"/>
      <c r="BFX38" s="19"/>
      <c r="BFY38" s="19"/>
      <c r="BFZ38" s="19"/>
      <c r="BGA38" s="19"/>
      <c r="BGB38" s="19"/>
      <c r="BGC38" s="19"/>
      <c r="BGD38" s="19"/>
      <c r="BGE38" s="19"/>
      <c r="BGF38" s="19"/>
      <c r="BGG38" s="19"/>
      <c r="BGH38" s="19"/>
      <c r="BGI38" s="19"/>
      <c r="BGJ38" s="19"/>
      <c r="BGK38" s="19"/>
      <c r="BGL38" s="19"/>
      <c r="BGM38" s="19"/>
      <c r="BGN38" s="19"/>
      <c r="BGO38" s="19"/>
      <c r="BGP38" s="19"/>
      <c r="BGQ38" s="19"/>
      <c r="BGR38" s="19"/>
      <c r="BGS38" s="19"/>
      <c r="BGT38" s="19"/>
      <c r="BGU38" s="19"/>
      <c r="BGV38" s="19"/>
      <c r="BGW38" s="19"/>
      <c r="BGX38" s="19"/>
      <c r="BGY38" s="19"/>
      <c r="BGZ38" s="19"/>
      <c r="BHA38" s="19"/>
      <c r="BHB38" s="19"/>
      <c r="BHC38" s="19"/>
      <c r="BHD38" s="19"/>
      <c r="BHE38" s="19"/>
      <c r="BHF38" s="19"/>
      <c r="BHG38" s="19"/>
      <c r="BHH38" s="19"/>
      <c r="BHI38" s="19"/>
      <c r="BHJ38" s="19"/>
      <c r="BHK38" s="19"/>
      <c r="BHL38" s="19"/>
      <c r="BHM38" s="19"/>
      <c r="BHN38" s="19"/>
      <c r="BHO38" s="19"/>
      <c r="BHP38" s="19"/>
      <c r="BHQ38" s="19"/>
      <c r="BHR38" s="19"/>
      <c r="BHS38" s="19"/>
      <c r="BHT38" s="19"/>
      <c r="BHU38" s="19"/>
      <c r="BHV38" s="19"/>
      <c r="BHW38" s="19"/>
      <c r="BHX38" s="19"/>
      <c r="BHY38" s="19"/>
      <c r="BHZ38" s="19"/>
      <c r="BIA38" s="19"/>
      <c r="BIB38" s="19"/>
      <c r="BIC38" s="19"/>
      <c r="BID38" s="19"/>
      <c r="BIE38" s="19"/>
      <c r="BIF38" s="19"/>
      <c r="BIG38" s="19"/>
      <c r="BIH38" s="19"/>
      <c r="BII38" s="19"/>
      <c r="BIJ38" s="19"/>
      <c r="BIK38" s="19"/>
      <c r="BIL38" s="19"/>
      <c r="BIM38" s="19"/>
      <c r="BIN38" s="19"/>
      <c r="BIO38" s="19"/>
      <c r="BIP38" s="19"/>
      <c r="BIQ38" s="19"/>
      <c r="BIR38" s="19"/>
      <c r="BIS38" s="19"/>
      <c r="BIT38" s="19"/>
      <c r="BIU38" s="19"/>
      <c r="BIV38" s="19"/>
      <c r="BIW38" s="19"/>
      <c r="BIX38" s="19"/>
      <c r="BIY38" s="19"/>
      <c r="BIZ38" s="19"/>
      <c r="BJA38" s="19"/>
      <c r="BJB38" s="19"/>
      <c r="BJC38" s="19"/>
      <c r="BJD38" s="19"/>
      <c r="BJE38" s="19"/>
      <c r="BJF38" s="19"/>
      <c r="BJG38" s="19"/>
      <c r="BJH38" s="19"/>
      <c r="BJI38" s="19"/>
      <c r="BJJ38" s="19"/>
      <c r="BJK38" s="19"/>
      <c r="BJL38" s="19"/>
      <c r="BJM38" s="19"/>
      <c r="BJN38" s="19"/>
      <c r="BJO38" s="19"/>
      <c r="BJP38" s="19"/>
      <c r="BJQ38" s="19"/>
      <c r="BJR38" s="19"/>
      <c r="BJS38" s="19"/>
      <c r="BJT38" s="19"/>
      <c r="BJU38" s="19"/>
      <c r="BJV38" s="19"/>
      <c r="BJW38" s="19"/>
      <c r="BJX38" s="19"/>
      <c r="BJY38" s="19"/>
      <c r="BJZ38" s="19"/>
      <c r="BKA38" s="19"/>
      <c r="BKB38" s="19"/>
      <c r="BKC38" s="19"/>
      <c r="BKD38" s="19"/>
      <c r="BKE38" s="19"/>
      <c r="BKF38" s="19"/>
      <c r="BKG38" s="19"/>
      <c r="BKH38" s="19"/>
      <c r="BKI38" s="19"/>
      <c r="BKJ38" s="19"/>
      <c r="BKK38" s="19"/>
      <c r="BKL38" s="19"/>
      <c r="BKM38" s="19"/>
      <c r="BKN38" s="19"/>
      <c r="BKO38" s="19"/>
      <c r="BKP38" s="19"/>
      <c r="BKQ38" s="19"/>
      <c r="BKR38" s="19"/>
      <c r="BKS38" s="19"/>
      <c r="BKT38" s="19"/>
      <c r="BKU38" s="19"/>
      <c r="BKV38" s="19"/>
      <c r="BKW38" s="19"/>
      <c r="BKX38" s="19"/>
      <c r="BKY38" s="19"/>
      <c r="BKZ38" s="19"/>
      <c r="BLA38" s="19"/>
      <c r="BLB38" s="19"/>
      <c r="BLC38" s="19"/>
      <c r="BLD38" s="19"/>
      <c r="BLE38" s="19"/>
      <c r="BLF38" s="19"/>
      <c r="BLG38" s="19"/>
      <c r="BLH38" s="19"/>
      <c r="BLI38" s="19"/>
      <c r="BLJ38" s="19"/>
      <c r="BLK38" s="19"/>
      <c r="BLL38" s="19"/>
      <c r="BLM38" s="19"/>
      <c r="BLN38" s="19"/>
      <c r="BLO38" s="19"/>
      <c r="BLP38" s="19"/>
      <c r="BLQ38" s="19"/>
      <c r="BLR38" s="19"/>
      <c r="BLS38" s="19"/>
      <c r="BLT38" s="19"/>
      <c r="BLU38" s="19"/>
      <c r="BLV38" s="19"/>
      <c r="BLW38" s="19"/>
      <c r="BLX38" s="19"/>
      <c r="BLY38" s="19"/>
      <c r="BLZ38" s="19"/>
      <c r="BMA38" s="19"/>
      <c r="BMB38" s="19"/>
      <c r="BMC38" s="19"/>
      <c r="BMD38" s="19"/>
      <c r="BME38" s="19"/>
      <c r="BMF38" s="19"/>
      <c r="BMG38" s="19"/>
      <c r="BMH38" s="19"/>
      <c r="BMI38" s="19"/>
      <c r="BMJ38" s="19"/>
      <c r="BMK38" s="19"/>
      <c r="BML38" s="19"/>
      <c r="BMM38" s="19"/>
      <c r="BMN38" s="19"/>
      <c r="BMO38" s="19"/>
      <c r="BMP38" s="19"/>
      <c r="BMQ38" s="19"/>
      <c r="BMR38" s="19"/>
      <c r="BMS38" s="19"/>
      <c r="BMT38" s="19"/>
      <c r="BMU38" s="19"/>
      <c r="BMV38" s="19"/>
      <c r="BMW38" s="19"/>
      <c r="BMX38" s="19"/>
      <c r="BMY38" s="19"/>
      <c r="BMZ38" s="19"/>
      <c r="BNA38" s="19"/>
      <c r="BNB38" s="19"/>
      <c r="BNC38" s="19"/>
      <c r="BND38" s="19"/>
      <c r="BNE38" s="19"/>
      <c r="BNF38" s="19"/>
      <c r="BNG38" s="19"/>
      <c r="BNH38" s="19"/>
      <c r="BNI38" s="19"/>
      <c r="BNJ38" s="19"/>
      <c r="BNK38" s="19"/>
      <c r="BNL38" s="19"/>
      <c r="BNM38" s="19"/>
      <c r="BNN38" s="19"/>
      <c r="BNO38" s="19"/>
      <c r="BNP38" s="19"/>
      <c r="BNQ38" s="19"/>
      <c r="BNR38" s="19"/>
      <c r="BNS38" s="19"/>
      <c r="BNT38" s="19"/>
      <c r="BNU38" s="19"/>
      <c r="BNV38" s="19"/>
      <c r="BNW38" s="19"/>
      <c r="BNX38" s="19"/>
      <c r="BNY38" s="19"/>
      <c r="BNZ38" s="19"/>
      <c r="BOA38" s="19"/>
      <c r="BOB38" s="19"/>
      <c r="BOC38" s="19"/>
      <c r="BOD38" s="19"/>
      <c r="BOE38" s="19"/>
      <c r="BOF38" s="19"/>
      <c r="BOG38" s="19"/>
      <c r="BOH38" s="19"/>
      <c r="BOI38" s="19"/>
      <c r="BOJ38" s="19"/>
      <c r="BOK38" s="19"/>
      <c r="BOL38" s="19"/>
      <c r="BOM38" s="19"/>
      <c r="BON38" s="19"/>
      <c r="BOO38" s="19"/>
      <c r="BOP38" s="19"/>
      <c r="BOQ38" s="19"/>
      <c r="BOR38" s="19"/>
      <c r="BOS38" s="19"/>
      <c r="BOT38" s="19"/>
      <c r="BOU38" s="19"/>
      <c r="BOV38" s="19"/>
      <c r="BOW38" s="19"/>
      <c r="BOX38" s="19"/>
      <c r="BOY38" s="19"/>
      <c r="BOZ38" s="19"/>
      <c r="BPA38" s="19"/>
      <c r="BPB38" s="19"/>
      <c r="BPC38" s="19"/>
      <c r="BPD38" s="19"/>
      <c r="BPE38" s="19"/>
      <c r="BPF38" s="19"/>
      <c r="BPG38" s="19"/>
      <c r="BPH38" s="19"/>
      <c r="BPI38" s="19"/>
      <c r="BPJ38" s="19"/>
      <c r="BPK38" s="19"/>
      <c r="BPL38" s="19"/>
      <c r="BPM38" s="19"/>
      <c r="BPN38" s="19"/>
      <c r="BPO38" s="19"/>
      <c r="BPP38" s="19"/>
      <c r="BPQ38" s="19"/>
      <c r="BPR38" s="19"/>
      <c r="BPS38" s="19"/>
      <c r="BPT38" s="19"/>
      <c r="BPU38" s="19"/>
      <c r="BPV38" s="19"/>
      <c r="BPW38" s="19"/>
      <c r="BPX38" s="19"/>
      <c r="BPY38" s="19"/>
      <c r="BPZ38" s="19"/>
      <c r="BQA38" s="19"/>
      <c r="BQB38" s="19"/>
      <c r="BQC38" s="19"/>
      <c r="BQD38" s="19"/>
      <c r="BQE38" s="19"/>
      <c r="BQF38" s="19"/>
      <c r="BQG38" s="19"/>
      <c r="BQH38" s="19"/>
      <c r="BQI38" s="19"/>
      <c r="BQJ38" s="19"/>
      <c r="BQK38" s="19"/>
      <c r="BQL38" s="19"/>
      <c r="BQM38" s="19"/>
      <c r="BQN38" s="19"/>
      <c r="BQO38" s="19"/>
      <c r="BQP38" s="19"/>
      <c r="BQQ38" s="19"/>
      <c r="BQR38" s="19"/>
      <c r="BQS38" s="19"/>
      <c r="BQT38" s="19"/>
      <c r="BQU38" s="19"/>
      <c r="BQV38" s="19"/>
      <c r="BQW38" s="19"/>
      <c r="BQX38" s="19"/>
      <c r="BQY38" s="19"/>
      <c r="BQZ38" s="19"/>
      <c r="BRA38" s="19"/>
      <c r="BRB38" s="19"/>
      <c r="BRC38" s="19"/>
      <c r="BRD38" s="19"/>
      <c r="BRE38" s="19"/>
      <c r="BRF38" s="19"/>
      <c r="BRG38" s="19"/>
      <c r="BRH38" s="19"/>
      <c r="BRI38" s="19"/>
      <c r="BRJ38" s="19"/>
      <c r="BRK38" s="19"/>
      <c r="BRL38" s="19"/>
      <c r="BRM38" s="19"/>
      <c r="BRN38" s="19"/>
      <c r="BRO38" s="19"/>
      <c r="BRP38" s="19"/>
      <c r="BRQ38" s="19"/>
      <c r="BRR38" s="19"/>
      <c r="BRS38" s="19"/>
      <c r="BRT38" s="19"/>
      <c r="BRU38" s="19"/>
      <c r="BRV38" s="19"/>
      <c r="BRW38" s="19"/>
      <c r="BRX38" s="19"/>
      <c r="BRY38" s="19"/>
      <c r="BRZ38" s="19"/>
      <c r="BSA38" s="19"/>
      <c r="BSB38" s="19"/>
      <c r="BSC38" s="19"/>
      <c r="BSD38" s="19"/>
      <c r="BSE38" s="19"/>
      <c r="BSF38" s="19"/>
      <c r="BSG38" s="19"/>
      <c r="BSH38" s="19"/>
      <c r="BSI38" s="19"/>
      <c r="BSJ38" s="19"/>
      <c r="BSK38" s="19"/>
      <c r="BSL38" s="19"/>
      <c r="BSM38" s="19"/>
      <c r="BSN38" s="19"/>
      <c r="BSO38" s="19"/>
      <c r="BSP38" s="19"/>
      <c r="BSQ38" s="19"/>
      <c r="BSR38" s="19"/>
      <c r="BSS38" s="19"/>
      <c r="BST38" s="19"/>
      <c r="BSU38" s="19"/>
      <c r="BSV38" s="19"/>
      <c r="BSW38" s="19"/>
      <c r="BSX38" s="19"/>
      <c r="BSY38" s="19"/>
      <c r="BSZ38" s="19"/>
      <c r="BTA38" s="19"/>
      <c r="BTB38" s="19"/>
      <c r="BTC38" s="19"/>
      <c r="BTD38" s="19"/>
      <c r="BTE38" s="19"/>
      <c r="BTF38" s="19"/>
      <c r="BTG38" s="19"/>
      <c r="BTH38" s="19"/>
      <c r="BTI38" s="19"/>
      <c r="BTJ38" s="19"/>
      <c r="BTK38" s="19"/>
      <c r="BTL38" s="19"/>
      <c r="BTM38" s="19"/>
      <c r="BTN38" s="19"/>
      <c r="BTO38" s="19"/>
      <c r="BTP38" s="19"/>
      <c r="BTQ38" s="19"/>
      <c r="BTR38" s="19"/>
      <c r="BTS38" s="19"/>
      <c r="BTT38" s="19"/>
      <c r="BTU38" s="19"/>
      <c r="BTV38" s="19"/>
      <c r="BTW38" s="19"/>
      <c r="BTX38" s="19"/>
      <c r="BTY38" s="19"/>
      <c r="BTZ38" s="19"/>
      <c r="BUA38" s="19"/>
      <c r="BUB38" s="19"/>
      <c r="BUC38" s="19"/>
      <c r="BUD38" s="19"/>
      <c r="BUE38" s="19"/>
      <c r="BUF38" s="19"/>
      <c r="BUG38" s="19"/>
      <c r="BUH38" s="19"/>
      <c r="BUI38" s="19"/>
      <c r="BUJ38" s="19"/>
      <c r="BUK38" s="19"/>
      <c r="BUL38" s="19"/>
      <c r="BUM38" s="19"/>
      <c r="BUN38" s="19"/>
      <c r="BUO38" s="19"/>
      <c r="BUP38" s="19"/>
      <c r="BUQ38" s="19"/>
      <c r="BUR38" s="19"/>
      <c r="BUS38" s="19"/>
      <c r="BUT38" s="19"/>
      <c r="BUU38" s="19"/>
      <c r="BUV38" s="19"/>
      <c r="BUW38" s="19"/>
      <c r="BUX38" s="19"/>
      <c r="BUY38" s="19"/>
      <c r="BUZ38" s="19"/>
      <c r="BVA38" s="19"/>
      <c r="BVB38" s="19"/>
      <c r="BVC38" s="19"/>
      <c r="BVD38" s="19"/>
      <c r="BVE38" s="19"/>
      <c r="BVF38" s="19"/>
      <c r="BVG38" s="19"/>
      <c r="BVH38" s="19"/>
      <c r="BVI38" s="19"/>
      <c r="BVJ38" s="19"/>
      <c r="BVK38" s="19"/>
      <c r="BVL38" s="19"/>
      <c r="BVM38" s="19"/>
      <c r="BVN38" s="19"/>
      <c r="BVO38" s="19"/>
      <c r="BVP38" s="19"/>
      <c r="BVQ38" s="19"/>
      <c r="BVR38" s="19"/>
      <c r="BVS38" s="19"/>
      <c r="BVT38" s="19"/>
      <c r="BVU38" s="19"/>
      <c r="BVV38" s="19"/>
      <c r="BVW38" s="19"/>
      <c r="BVX38" s="19"/>
      <c r="BVY38" s="19"/>
      <c r="BVZ38" s="19"/>
      <c r="BWA38" s="19"/>
      <c r="BWB38" s="19"/>
      <c r="BWC38" s="19"/>
      <c r="BWD38" s="19"/>
      <c r="BWE38" s="19"/>
      <c r="BWF38" s="19"/>
      <c r="BWG38" s="19"/>
      <c r="BWH38" s="19"/>
      <c r="BWI38" s="19"/>
      <c r="BWJ38" s="19"/>
      <c r="BWK38" s="19"/>
      <c r="BWL38" s="19"/>
      <c r="BWM38" s="19"/>
      <c r="BWN38" s="19"/>
      <c r="BWO38" s="19"/>
      <c r="BWP38" s="19"/>
      <c r="BWQ38" s="19"/>
      <c r="BWR38" s="19"/>
      <c r="BWS38" s="19"/>
      <c r="BWT38" s="19"/>
      <c r="BWU38" s="19"/>
      <c r="BWV38" s="19"/>
      <c r="BWW38" s="19"/>
      <c r="BWX38" s="19"/>
      <c r="BWY38" s="19"/>
      <c r="BWZ38" s="19"/>
      <c r="BXA38" s="19"/>
      <c r="BXB38" s="19"/>
      <c r="BXC38" s="19"/>
      <c r="BXD38" s="19"/>
      <c r="BXE38" s="19"/>
      <c r="BXF38" s="19"/>
      <c r="BXG38" s="19"/>
      <c r="BXH38" s="19"/>
      <c r="BXI38" s="19"/>
      <c r="BXJ38" s="19"/>
      <c r="BXK38" s="19"/>
      <c r="BXL38" s="19"/>
      <c r="BXM38" s="19"/>
      <c r="BXN38" s="19"/>
      <c r="BXO38" s="19"/>
      <c r="BXP38" s="19"/>
      <c r="BXQ38" s="19"/>
      <c r="BXR38" s="19"/>
      <c r="BXS38" s="19"/>
      <c r="BXT38" s="19"/>
      <c r="BXU38" s="19"/>
      <c r="BXV38" s="19"/>
      <c r="BXW38" s="19"/>
      <c r="BXX38" s="19"/>
      <c r="BXY38" s="19"/>
      <c r="BXZ38" s="19"/>
      <c r="BYA38" s="19"/>
      <c r="BYB38" s="19"/>
      <c r="BYC38" s="19"/>
      <c r="BYD38" s="19"/>
      <c r="BYE38" s="19"/>
      <c r="BYF38" s="19"/>
      <c r="BYG38" s="19"/>
      <c r="BYH38" s="19"/>
      <c r="BYI38" s="19"/>
      <c r="BYJ38" s="19"/>
      <c r="BYK38" s="19"/>
      <c r="BYL38" s="19"/>
      <c r="BYM38" s="19"/>
      <c r="BYN38" s="19"/>
      <c r="BYO38" s="19"/>
      <c r="BYP38" s="19"/>
      <c r="BYQ38" s="19"/>
      <c r="BYR38" s="19"/>
      <c r="BYS38" s="19"/>
      <c r="BYT38" s="19"/>
      <c r="BYU38" s="19"/>
      <c r="BYV38" s="19"/>
      <c r="BYW38" s="19"/>
      <c r="BYX38" s="19"/>
      <c r="BYY38" s="19"/>
      <c r="BYZ38" s="19"/>
      <c r="BZA38" s="19"/>
      <c r="BZB38" s="19"/>
      <c r="BZC38" s="19"/>
      <c r="BZD38" s="19"/>
      <c r="BZE38" s="19"/>
      <c r="BZF38" s="19"/>
      <c r="BZG38" s="19"/>
      <c r="BZH38" s="19"/>
      <c r="BZI38" s="19"/>
      <c r="BZJ38" s="19"/>
      <c r="BZK38" s="19"/>
      <c r="BZL38" s="19"/>
      <c r="BZM38" s="19"/>
      <c r="BZN38" s="19"/>
      <c r="BZO38" s="19"/>
      <c r="BZP38" s="19"/>
      <c r="BZQ38" s="19"/>
      <c r="BZR38" s="19"/>
      <c r="BZS38" s="19"/>
      <c r="BZT38" s="19"/>
      <c r="BZU38" s="19"/>
      <c r="BZV38" s="19"/>
      <c r="BZW38" s="19"/>
      <c r="BZX38" s="19"/>
      <c r="BZY38" s="19"/>
      <c r="BZZ38" s="19"/>
      <c r="CAA38" s="19"/>
      <c r="CAB38" s="19"/>
      <c r="CAC38" s="19"/>
      <c r="CAD38" s="19"/>
      <c r="CAE38" s="19"/>
      <c r="CAF38" s="19"/>
      <c r="CAG38" s="19"/>
      <c r="CAH38" s="19"/>
      <c r="CAI38" s="19"/>
      <c r="CAJ38" s="19"/>
      <c r="CAK38" s="19"/>
      <c r="CAL38" s="19"/>
      <c r="CAM38" s="19"/>
      <c r="CAN38" s="19"/>
      <c r="CAO38" s="19"/>
      <c r="CAP38" s="19"/>
      <c r="CAQ38" s="19"/>
      <c r="CAR38" s="19"/>
      <c r="CAS38" s="19"/>
      <c r="CAT38" s="19"/>
      <c r="CAU38" s="19"/>
      <c r="CAV38" s="19"/>
      <c r="CAW38" s="19"/>
      <c r="CAX38" s="19"/>
      <c r="CAY38" s="19"/>
      <c r="CAZ38" s="19"/>
      <c r="CBA38" s="19"/>
      <c r="CBB38" s="19"/>
      <c r="CBC38" s="19"/>
      <c r="CBD38" s="19"/>
      <c r="CBE38" s="19"/>
      <c r="CBF38" s="19"/>
      <c r="CBG38" s="19"/>
      <c r="CBH38" s="19"/>
      <c r="CBI38" s="19"/>
      <c r="CBJ38" s="19"/>
      <c r="CBK38" s="19"/>
      <c r="CBL38" s="19"/>
      <c r="CBM38" s="19"/>
      <c r="CBN38" s="19"/>
      <c r="CBO38" s="19"/>
      <c r="CBP38" s="19"/>
      <c r="CBQ38" s="19"/>
      <c r="CBR38" s="19"/>
      <c r="CBS38" s="19"/>
      <c r="CBT38" s="19"/>
      <c r="CBU38" s="19"/>
      <c r="CBV38" s="19"/>
      <c r="CBW38" s="19"/>
      <c r="CBX38" s="19"/>
      <c r="CBY38" s="19"/>
      <c r="CBZ38" s="19"/>
      <c r="CCA38" s="19"/>
      <c r="CCB38" s="19"/>
      <c r="CCC38" s="19"/>
      <c r="CCD38" s="19"/>
      <c r="CCE38" s="19"/>
      <c r="CCF38" s="19"/>
      <c r="CCG38" s="19"/>
      <c r="CCH38" s="19"/>
      <c r="CCI38" s="19"/>
      <c r="CCJ38" s="19"/>
      <c r="CCK38" s="19"/>
      <c r="CCL38" s="19"/>
      <c r="CCM38" s="19"/>
      <c r="CCN38" s="19"/>
      <c r="CCO38" s="19"/>
      <c r="CCP38" s="19"/>
      <c r="CCQ38" s="19"/>
      <c r="CCR38" s="19"/>
      <c r="CCS38" s="19"/>
      <c r="CCT38" s="19"/>
      <c r="CCU38" s="19"/>
      <c r="CCV38" s="19"/>
      <c r="CCW38" s="19"/>
      <c r="CCX38" s="19"/>
      <c r="CCY38" s="19"/>
      <c r="CCZ38" s="19"/>
      <c r="CDA38" s="19"/>
      <c r="CDB38" s="19"/>
      <c r="CDC38" s="19"/>
      <c r="CDD38" s="19"/>
      <c r="CDE38" s="19"/>
      <c r="CDF38" s="19"/>
      <c r="CDG38" s="19"/>
      <c r="CDH38" s="19"/>
      <c r="CDI38" s="19"/>
      <c r="CDJ38" s="19"/>
      <c r="CDK38" s="19"/>
      <c r="CDL38" s="19"/>
      <c r="CDM38" s="19"/>
      <c r="CDN38" s="19"/>
      <c r="CDO38" s="19"/>
      <c r="CDP38" s="19"/>
      <c r="CDQ38" s="19"/>
      <c r="CDR38" s="19"/>
      <c r="CDS38" s="19"/>
      <c r="CDT38" s="19"/>
      <c r="CDU38" s="19"/>
      <c r="CDV38" s="19"/>
      <c r="CDW38" s="19"/>
      <c r="CDX38" s="19"/>
      <c r="CDY38" s="19"/>
      <c r="CDZ38" s="19"/>
      <c r="CEA38" s="19"/>
      <c r="CEB38" s="19"/>
      <c r="CEC38" s="19"/>
      <c r="CED38" s="19"/>
      <c r="CEE38" s="19"/>
      <c r="CEF38" s="19"/>
      <c r="CEG38" s="19"/>
      <c r="CEH38" s="19"/>
      <c r="CEI38" s="19"/>
      <c r="CEJ38" s="19"/>
      <c r="CEK38" s="19"/>
      <c r="CEL38" s="19"/>
      <c r="CEM38" s="19"/>
      <c r="CEN38" s="19"/>
      <c r="CEO38" s="19"/>
      <c r="CEP38" s="19"/>
      <c r="CEQ38" s="19"/>
      <c r="CER38" s="19"/>
      <c r="CES38" s="19"/>
      <c r="CET38" s="19"/>
      <c r="CEU38" s="19"/>
      <c r="CEV38" s="19"/>
      <c r="CEW38" s="19"/>
      <c r="CEX38" s="19"/>
      <c r="CEY38" s="19"/>
      <c r="CEZ38" s="19"/>
      <c r="CFA38" s="19"/>
      <c r="CFB38" s="19"/>
      <c r="CFC38" s="19"/>
      <c r="CFD38" s="19"/>
      <c r="CFE38" s="19"/>
      <c r="CFF38" s="19"/>
      <c r="CFG38" s="19"/>
      <c r="CFH38" s="19"/>
      <c r="CFI38" s="19"/>
      <c r="CFJ38" s="19"/>
      <c r="CFK38" s="19"/>
      <c r="CFL38" s="19"/>
      <c r="CFM38" s="19"/>
      <c r="CFN38" s="19"/>
      <c r="CFO38" s="19"/>
      <c r="CFP38" s="19"/>
      <c r="CFQ38" s="19"/>
      <c r="CFR38" s="19"/>
      <c r="CFS38" s="19"/>
      <c r="CFT38" s="19"/>
      <c r="CFU38" s="19"/>
      <c r="CFV38" s="19"/>
      <c r="CFW38" s="19"/>
      <c r="CFX38" s="19"/>
      <c r="CFY38" s="19"/>
      <c r="CFZ38" s="19"/>
      <c r="CGA38" s="19"/>
      <c r="CGB38" s="19"/>
      <c r="CGC38" s="19"/>
      <c r="CGD38" s="19"/>
      <c r="CGE38" s="19"/>
      <c r="CGF38" s="19"/>
      <c r="CGG38" s="19"/>
      <c r="CGH38" s="19"/>
      <c r="CGI38" s="19"/>
      <c r="CGJ38" s="19"/>
      <c r="CGK38" s="19"/>
      <c r="CGL38" s="19"/>
      <c r="CGM38" s="19"/>
      <c r="CGN38" s="19"/>
      <c r="CGO38" s="19"/>
      <c r="CGP38" s="19"/>
      <c r="CGQ38" s="19"/>
      <c r="CGR38" s="19"/>
      <c r="CGS38" s="19"/>
      <c r="CGT38" s="19"/>
      <c r="CGU38" s="19"/>
      <c r="CGV38" s="19"/>
      <c r="CGW38" s="19"/>
      <c r="CGX38" s="19"/>
      <c r="CGY38" s="19"/>
      <c r="CGZ38" s="19"/>
      <c r="CHA38" s="19"/>
      <c r="CHB38" s="19"/>
      <c r="CHC38" s="19"/>
      <c r="CHD38" s="19"/>
      <c r="CHE38" s="19"/>
      <c r="CHF38" s="19"/>
      <c r="CHG38" s="19"/>
      <c r="CHH38" s="19"/>
      <c r="CHI38" s="19"/>
      <c r="CHJ38" s="19"/>
      <c r="CHK38" s="19"/>
      <c r="CHL38" s="19"/>
      <c r="CHM38" s="19"/>
      <c r="CHN38" s="19"/>
      <c r="CHO38" s="19"/>
      <c r="CHP38" s="19"/>
      <c r="CHQ38" s="19"/>
      <c r="CHR38" s="19"/>
      <c r="CHS38" s="19"/>
      <c r="CHT38" s="19"/>
      <c r="CHU38" s="19"/>
      <c r="CHV38" s="19"/>
      <c r="CHW38" s="19"/>
      <c r="CHX38" s="19"/>
      <c r="CHY38" s="19"/>
      <c r="CHZ38" s="19"/>
      <c r="CIA38" s="19"/>
      <c r="CIB38" s="19"/>
      <c r="CIC38" s="19"/>
      <c r="CID38" s="19"/>
      <c r="CIE38" s="19"/>
      <c r="CIF38" s="19"/>
      <c r="CIG38" s="19"/>
      <c r="CIH38" s="19"/>
      <c r="CII38" s="19"/>
      <c r="CIJ38" s="19"/>
      <c r="CIK38" s="19"/>
      <c r="CIL38" s="19"/>
      <c r="CIM38" s="19"/>
      <c r="CIN38" s="19"/>
      <c r="CIO38" s="19"/>
      <c r="CIP38" s="19"/>
      <c r="CIQ38" s="19"/>
      <c r="CIR38" s="19"/>
      <c r="CIS38" s="19"/>
      <c r="CIT38" s="19"/>
      <c r="CIU38" s="19"/>
      <c r="CIV38" s="19"/>
      <c r="CIW38" s="19"/>
      <c r="CIX38" s="19"/>
      <c r="CIY38" s="19"/>
      <c r="CIZ38" s="19"/>
      <c r="CJA38" s="19"/>
      <c r="CJB38" s="19"/>
      <c r="CJC38" s="19"/>
      <c r="CJD38" s="19"/>
      <c r="CJE38" s="19"/>
      <c r="CJF38" s="19"/>
      <c r="CJG38" s="19"/>
      <c r="CJH38" s="19"/>
      <c r="CJI38" s="19"/>
      <c r="CJJ38" s="19"/>
      <c r="CJK38" s="19"/>
      <c r="CJL38" s="19"/>
      <c r="CJM38" s="19"/>
      <c r="CJN38" s="19"/>
      <c r="CJO38" s="19"/>
      <c r="CJP38" s="19"/>
      <c r="CJQ38" s="19"/>
      <c r="CJR38" s="19"/>
      <c r="CJS38" s="19"/>
      <c r="CJT38" s="19"/>
      <c r="CJU38" s="19"/>
      <c r="CJV38" s="19"/>
      <c r="CJW38" s="19"/>
      <c r="CJX38" s="19"/>
      <c r="CJY38" s="19"/>
      <c r="CJZ38" s="19"/>
      <c r="CKA38" s="19"/>
      <c r="CKB38" s="19"/>
      <c r="CKC38" s="19"/>
      <c r="CKD38" s="19"/>
      <c r="CKE38" s="19"/>
      <c r="CKF38" s="19"/>
      <c r="CKG38" s="19"/>
      <c r="CKH38" s="19"/>
      <c r="CKI38" s="19"/>
      <c r="CKJ38" s="19"/>
      <c r="CKK38" s="19"/>
      <c r="CKL38" s="19"/>
      <c r="CKM38" s="19"/>
      <c r="CKN38" s="19"/>
      <c r="CKO38" s="19"/>
      <c r="CKP38" s="19"/>
      <c r="CKQ38" s="19"/>
      <c r="CKR38" s="19"/>
      <c r="CKS38" s="19"/>
      <c r="CKT38" s="19"/>
      <c r="CKU38" s="19"/>
      <c r="CKV38" s="19"/>
      <c r="CKW38" s="19"/>
      <c r="CKX38" s="19"/>
      <c r="CKY38" s="19"/>
      <c r="CKZ38" s="19"/>
      <c r="CLA38" s="19"/>
      <c r="CLB38" s="19"/>
      <c r="CLC38" s="19"/>
      <c r="CLD38" s="19"/>
      <c r="CLE38" s="19"/>
      <c r="CLF38" s="19"/>
      <c r="CLG38" s="19"/>
      <c r="CLH38" s="19"/>
      <c r="CLI38" s="19"/>
      <c r="CLJ38" s="19"/>
      <c r="CLK38" s="19"/>
      <c r="CLL38" s="19"/>
      <c r="CLM38" s="19"/>
      <c r="CLN38" s="19"/>
      <c r="CLO38" s="19"/>
      <c r="CLP38" s="19"/>
      <c r="CLQ38" s="19"/>
      <c r="CLR38" s="19"/>
      <c r="CLS38" s="19"/>
      <c r="CLT38" s="19"/>
      <c r="CLU38" s="19"/>
      <c r="CLV38" s="19"/>
      <c r="CLW38" s="19"/>
      <c r="CLX38" s="19"/>
      <c r="CLY38" s="19"/>
      <c r="CLZ38" s="19"/>
      <c r="CMA38" s="19"/>
      <c r="CMB38" s="19"/>
      <c r="CMC38" s="19"/>
      <c r="CMD38" s="19"/>
      <c r="CME38" s="19"/>
      <c r="CMF38" s="19"/>
      <c r="CMG38" s="19"/>
      <c r="CMH38" s="19"/>
      <c r="CMI38" s="19"/>
      <c r="CMJ38" s="19"/>
      <c r="CMK38" s="19"/>
      <c r="CML38" s="19"/>
      <c r="CMM38" s="19"/>
      <c r="CMN38" s="19"/>
      <c r="CMO38" s="19"/>
      <c r="CMP38" s="19"/>
      <c r="CMQ38" s="19"/>
      <c r="CMR38" s="19"/>
      <c r="CMS38" s="19"/>
      <c r="CMT38" s="19"/>
      <c r="CMU38" s="19"/>
      <c r="CMV38" s="19"/>
      <c r="CMW38" s="19"/>
      <c r="CMX38" s="19"/>
      <c r="CMY38" s="19"/>
      <c r="CMZ38" s="19"/>
      <c r="CNA38" s="19"/>
      <c r="CNB38" s="19"/>
      <c r="CNC38" s="19"/>
      <c r="CND38" s="19"/>
      <c r="CNE38" s="19"/>
      <c r="CNF38" s="19"/>
      <c r="CNG38" s="19"/>
      <c r="CNH38" s="19"/>
      <c r="CNI38" s="19"/>
      <c r="CNJ38" s="19"/>
      <c r="CNK38" s="19"/>
      <c r="CNL38" s="19"/>
      <c r="CNM38" s="19"/>
      <c r="CNN38" s="19"/>
      <c r="CNO38" s="19"/>
      <c r="CNP38" s="19"/>
      <c r="CNQ38" s="19"/>
      <c r="CNR38" s="19"/>
      <c r="CNS38" s="19"/>
      <c r="CNT38" s="19"/>
      <c r="CNU38" s="19"/>
      <c r="CNV38" s="19"/>
      <c r="CNW38" s="19"/>
      <c r="CNX38" s="19"/>
      <c r="CNY38" s="19"/>
      <c r="CNZ38" s="19"/>
      <c r="COA38" s="19"/>
      <c r="COB38" s="19"/>
      <c r="COC38" s="19"/>
      <c r="COD38" s="19"/>
      <c r="COE38" s="19"/>
      <c r="COF38" s="19"/>
      <c r="COG38" s="19"/>
      <c r="COH38" s="19"/>
      <c r="COI38" s="19"/>
      <c r="COJ38" s="19"/>
      <c r="COK38" s="19"/>
      <c r="COL38" s="19"/>
      <c r="COM38" s="19"/>
      <c r="CON38" s="19"/>
      <c r="COO38" s="19"/>
      <c r="COP38" s="19"/>
      <c r="COQ38" s="19"/>
      <c r="COR38" s="19"/>
      <c r="COS38" s="19"/>
      <c r="COT38" s="19"/>
      <c r="COU38" s="19"/>
      <c r="COV38" s="19"/>
      <c r="COW38" s="19"/>
      <c r="COX38" s="19"/>
      <c r="COY38" s="19"/>
      <c r="COZ38" s="19"/>
      <c r="CPA38" s="19"/>
      <c r="CPB38" s="19"/>
      <c r="CPC38" s="19"/>
      <c r="CPD38" s="19"/>
      <c r="CPE38" s="19"/>
      <c r="CPF38" s="19"/>
      <c r="CPG38" s="19"/>
      <c r="CPH38" s="19"/>
      <c r="CPI38" s="19"/>
      <c r="CPJ38" s="19"/>
      <c r="CPK38" s="19"/>
      <c r="CPL38" s="19"/>
      <c r="CPM38" s="19"/>
      <c r="CPN38" s="19"/>
      <c r="CPO38" s="19"/>
      <c r="CPP38" s="19"/>
      <c r="CPQ38" s="19"/>
      <c r="CPR38" s="19"/>
      <c r="CPS38" s="19"/>
      <c r="CPT38" s="19"/>
      <c r="CPU38" s="19"/>
      <c r="CPV38" s="19"/>
      <c r="CPW38" s="19"/>
      <c r="CPX38" s="19"/>
      <c r="CPY38" s="19"/>
      <c r="CPZ38" s="19"/>
      <c r="CQA38" s="19"/>
      <c r="CQB38" s="19"/>
      <c r="CQC38" s="19"/>
      <c r="CQD38" s="19"/>
      <c r="CQE38" s="19"/>
      <c r="CQF38" s="19"/>
      <c r="CQG38" s="19"/>
      <c r="CQH38" s="19"/>
      <c r="CQI38" s="19"/>
      <c r="CQJ38" s="19"/>
      <c r="CQK38" s="19"/>
      <c r="CQL38" s="19"/>
      <c r="CQM38" s="19"/>
      <c r="CQN38" s="19"/>
      <c r="CQO38" s="19"/>
      <c r="CQP38" s="19"/>
      <c r="CQQ38" s="19"/>
      <c r="CQR38" s="19"/>
      <c r="CQS38" s="19"/>
      <c r="CQT38" s="19"/>
      <c r="CQU38" s="19"/>
      <c r="CQV38" s="19"/>
      <c r="CQW38" s="19"/>
      <c r="CQX38" s="19"/>
      <c r="CQY38" s="19"/>
      <c r="CQZ38" s="19"/>
      <c r="CRA38" s="19"/>
      <c r="CRB38" s="19"/>
      <c r="CRC38" s="19"/>
      <c r="CRD38" s="19"/>
      <c r="CRE38" s="19"/>
      <c r="CRF38" s="19"/>
      <c r="CRG38" s="19"/>
      <c r="CRH38" s="19"/>
      <c r="CRI38" s="19"/>
      <c r="CRJ38" s="19"/>
      <c r="CRK38" s="19"/>
      <c r="CRL38" s="19"/>
      <c r="CRM38" s="19"/>
      <c r="CRN38" s="19"/>
      <c r="CRO38" s="19"/>
      <c r="CRP38" s="19"/>
      <c r="CRQ38" s="19"/>
      <c r="CRR38" s="19"/>
      <c r="CRS38" s="19"/>
      <c r="CRT38" s="19"/>
      <c r="CRU38" s="19"/>
      <c r="CRV38" s="19"/>
      <c r="CRW38" s="19"/>
      <c r="CRX38" s="19"/>
      <c r="CRY38" s="19"/>
      <c r="CRZ38" s="19"/>
      <c r="CSA38" s="19"/>
      <c r="CSB38" s="19"/>
      <c r="CSC38" s="19"/>
      <c r="CSD38" s="19"/>
      <c r="CSE38" s="19"/>
      <c r="CSF38" s="19"/>
      <c r="CSG38" s="19"/>
      <c r="CSH38" s="19"/>
      <c r="CSI38" s="19"/>
      <c r="CSJ38" s="19"/>
      <c r="CSK38" s="19"/>
      <c r="CSL38" s="19"/>
      <c r="CSM38" s="19"/>
      <c r="CSN38" s="19"/>
      <c r="CSO38" s="19"/>
      <c r="CSP38" s="19"/>
      <c r="CSQ38" s="19"/>
      <c r="CSR38" s="19"/>
      <c r="CSS38" s="19"/>
      <c r="CST38" s="19"/>
      <c r="CSU38" s="19"/>
      <c r="CSV38" s="19"/>
      <c r="CSW38" s="19"/>
      <c r="CSX38" s="19"/>
      <c r="CSY38" s="19"/>
      <c r="CSZ38" s="19"/>
      <c r="CTA38" s="19"/>
      <c r="CTB38" s="19"/>
      <c r="CTC38" s="19"/>
      <c r="CTD38" s="19"/>
      <c r="CTE38" s="19"/>
      <c r="CTF38" s="19"/>
      <c r="CTG38" s="19"/>
      <c r="CTH38" s="19"/>
      <c r="CTI38" s="19"/>
      <c r="CTJ38" s="19"/>
      <c r="CTK38" s="19"/>
      <c r="CTL38" s="19"/>
      <c r="CTM38" s="19"/>
      <c r="CTN38" s="19"/>
      <c r="CTO38" s="19"/>
      <c r="CTP38" s="19"/>
      <c r="CTQ38" s="19"/>
      <c r="CTR38" s="19"/>
      <c r="CTS38" s="19"/>
      <c r="CTT38" s="19"/>
      <c r="CTU38" s="19"/>
      <c r="CTV38" s="19"/>
      <c r="CTW38" s="19"/>
      <c r="CTX38" s="19"/>
      <c r="CTY38" s="19"/>
      <c r="CTZ38" s="19"/>
      <c r="CUA38" s="19"/>
      <c r="CUB38" s="19"/>
      <c r="CUC38" s="19"/>
      <c r="CUD38" s="19"/>
      <c r="CUE38" s="19"/>
      <c r="CUF38" s="19"/>
      <c r="CUG38" s="19"/>
      <c r="CUH38" s="19"/>
      <c r="CUI38" s="19"/>
      <c r="CUJ38" s="19"/>
      <c r="CUK38" s="19"/>
      <c r="CUL38" s="19"/>
      <c r="CUM38" s="19"/>
      <c r="CUN38" s="19"/>
      <c r="CUO38" s="19"/>
      <c r="CUP38" s="19"/>
      <c r="CUQ38" s="19"/>
      <c r="CUR38" s="19"/>
      <c r="CUS38" s="19"/>
      <c r="CUT38" s="19"/>
      <c r="CUU38" s="19"/>
      <c r="CUV38" s="19"/>
      <c r="CUW38" s="19"/>
      <c r="CUX38" s="19"/>
      <c r="CUY38" s="19"/>
      <c r="CUZ38" s="19"/>
      <c r="CVA38" s="19"/>
      <c r="CVB38" s="19"/>
      <c r="CVC38" s="19"/>
      <c r="CVD38" s="19"/>
      <c r="CVE38" s="19"/>
      <c r="CVF38" s="19"/>
      <c r="CVG38" s="19"/>
      <c r="CVH38" s="19"/>
      <c r="CVI38" s="19"/>
      <c r="CVJ38" s="19"/>
      <c r="CVK38" s="19"/>
      <c r="CVL38" s="19"/>
      <c r="CVM38" s="19"/>
      <c r="CVN38" s="19"/>
      <c r="CVO38" s="19"/>
      <c r="CVP38" s="19"/>
      <c r="CVQ38" s="19"/>
      <c r="CVR38" s="19"/>
      <c r="CVS38" s="19"/>
      <c r="CVT38" s="19"/>
      <c r="CVU38" s="19"/>
      <c r="CVV38" s="19"/>
      <c r="CVW38" s="19"/>
      <c r="CVX38" s="19"/>
      <c r="CVY38" s="19"/>
      <c r="CVZ38" s="19"/>
      <c r="CWA38" s="19"/>
      <c r="CWB38" s="19"/>
      <c r="CWC38" s="19"/>
      <c r="CWD38" s="19"/>
      <c r="CWE38" s="19"/>
      <c r="CWF38" s="19"/>
      <c r="CWG38" s="19"/>
      <c r="CWH38" s="19"/>
      <c r="CWI38" s="19"/>
      <c r="CWJ38" s="19"/>
      <c r="CWK38" s="19"/>
      <c r="CWL38" s="19"/>
      <c r="CWM38" s="19"/>
      <c r="CWN38" s="19"/>
      <c r="CWO38" s="19"/>
      <c r="CWP38" s="19"/>
      <c r="CWQ38" s="19"/>
      <c r="CWR38" s="19"/>
      <c r="CWS38" s="19"/>
      <c r="CWT38" s="19"/>
      <c r="CWU38" s="19"/>
      <c r="CWV38" s="19"/>
      <c r="CWW38" s="19"/>
      <c r="CWX38" s="19"/>
      <c r="CWY38" s="19"/>
      <c r="CWZ38" s="19"/>
      <c r="CXA38" s="19"/>
      <c r="CXB38" s="19"/>
      <c r="CXC38" s="19"/>
      <c r="CXD38" s="19"/>
      <c r="CXE38" s="19"/>
      <c r="CXF38" s="19"/>
      <c r="CXG38" s="19"/>
      <c r="CXH38" s="19"/>
      <c r="CXI38" s="19"/>
      <c r="CXJ38" s="19"/>
      <c r="CXK38" s="19"/>
      <c r="CXL38" s="19"/>
      <c r="CXM38" s="19"/>
      <c r="CXN38" s="19"/>
      <c r="CXO38" s="19"/>
      <c r="CXP38" s="19"/>
      <c r="CXQ38" s="19"/>
      <c r="CXR38" s="19"/>
      <c r="CXS38" s="19"/>
      <c r="CXT38" s="19"/>
      <c r="CXU38" s="19"/>
      <c r="CXV38" s="19"/>
      <c r="CXW38" s="19"/>
      <c r="CXX38" s="19"/>
      <c r="CXY38" s="19"/>
      <c r="CXZ38" s="19"/>
      <c r="CYA38" s="19"/>
      <c r="CYB38" s="19"/>
      <c r="CYC38" s="19"/>
      <c r="CYD38" s="19"/>
      <c r="CYE38" s="19"/>
      <c r="CYF38" s="19"/>
      <c r="CYG38" s="19"/>
      <c r="CYH38" s="19"/>
      <c r="CYI38" s="19"/>
      <c r="CYJ38" s="19"/>
      <c r="CYK38" s="19"/>
      <c r="CYL38" s="19"/>
      <c r="CYM38" s="19"/>
      <c r="CYN38" s="19"/>
      <c r="CYO38" s="19"/>
      <c r="CYP38" s="19"/>
      <c r="CYQ38" s="19"/>
      <c r="CYR38" s="19"/>
      <c r="CYS38" s="19"/>
      <c r="CYT38" s="19"/>
      <c r="CYU38" s="19"/>
      <c r="CYV38" s="19"/>
      <c r="CYW38" s="19"/>
      <c r="CYX38" s="19"/>
      <c r="CYY38" s="19"/>
      <c r="CYZ38" s="19"/>
      <c r="CZA38" s="19"/>
      <c r="CZB38" s="19"/>
      <c r="CZC38" s="19"/>
      <c r="CZD38" s="19"/>
      <c r="CZE38" s="19"/>
      <c r="CZF38" s="19"/>
      <c r="CZG38" s="19"/>
      <c r="CZH38" s="19"/>
      <c r="CZI38" s="19"/>
      <c r="CZJ38" s="19"/>
      <c r="CZK38" s="19"/>
      <c r="CZL38" s="19"/>
      <c r="CZM38" s="19"/>
      <c r="CZN38" s="19"/>
      <c r="CZO38" s="19"/>
      <c r="CZP38" s="19"/>
      <c r="CZQ38" s="19"/>
      <c r="CZR38" s="19"/>
      <c r="CZS38" s="19"/>
      <c r="CZT38" s="19"/>
      <c r="CZU38" s="19"/>
      <c r="CZV38" s="19"/>
      <c r="CZW38" s="19"/>
      <c r="CZX38" s="19"/>
      <c r="CZY38" s="19"/>
      <c r="CZZ38" s="19"/>
      <c r="DAA38" s="19"/>
      <c r="DAB38" s="19"/>
      <c r="DAC38" s="19"/>
      <c r="DAD38" s="19"/>
      <c r="DAE38" s="19"/>
      <c r="DAF38" s="19"/>
      <c r="DAG38" s="19"/>
      <c r="DAH38" s="19"/>
      <c r="DAI38" s="19"/>
      <c r="DAJ38" s="19"/>
      <c r="DAK38" s="19"/>
      <c r="DAL38" s="19"/>
      <c r="DAM38" s="19"/>
      <c r="DAN38" s="19"/>
      <c r="DAO38" s="19"/>
      <c r="DAP38" s="19"/>
      <c r="DAQ38" s="19"/>
      <c r="DAR38" s="19"/>
      <c r="DAS38" s="19"/>
      <c r="DAT38" s="19"/>
      <c r="DAU38" s="19"/>
      <c r="DAV38" s="19"/>
      <c r="DAW38" s="19"/>
      <c r="DAX38" s="19"/>
      <c r="DAY38" s="19"/>
      <c r="DAZ38" s="19"/>
      <c r="DBA38" s="19"/>
      <c r="DBB38" s="19"/>
      <c r="DBC38" s="19"/>
      <c r="DBD38" s="19"/>
      <c r="DBE38" s="19"/>
      <c r="DBF38" s="19"/>
      <c r="DBG38" s="19"/>
      <c r="DBH38" s="19"/>
      <c r="DBI38" s="19"/>
      <c r="DBJ38" s="19"/>
      <c r="DBK38" s="19"/>
      <c r="DBL38" s="19"/>
      <c r="DBM38" s="19"/>
      <c r="DBN38" s="19"/>
      <c r="DBO38" s="19"/>
      <c r="DBP38" s="19"/>
      <c r="DBQ38" s="19"/>
      <c r="DBR38" s="19"/>
      <c r="DBS38" s="19"/>
      <c r="DBT38" s="19"/>
      <c r="DBU38" s="19"/>
      <c r="DBV38" s="19"/>
      <c r="DBW38" s="19"/>
      <c r="DBX38" s="19"/>
      <c r="DBY38" s="19"/>
      <c r="DBZ38" s="19"/>
      <c r="DCA38" s="19"/>
      <c r="DCB38" s="19"/>
      <c r="DCC38" s="19"/>
      <c r="DCD38" s="19"/>
      <c r="DCE38" s="19"/>
      <c r="DCF38" s="19"/>
      <c r="DCG38" s="19"/>
      <c r="DCH38" s="19"/>
      <c r="DCI38" s="19"/>
      <c r="DCJ38" s="19"/>
      <c r="DCK38" s="19"/>
      <c r="DCL38" s="19"/>
      <c r="DCM38" s="19"/>
      <c r="DCN38" s="19"/>
      <c r="DCO38" s="19"/>
      <c r="DCP38" s="19"/>
      <c r="DCQ38" s="19"/>
      <c r="DCR38" s="19"/>
      <c r="DCS38" s="19"/>
      <c r="DCT38" s="19"/>
      <c r="DCU38" s="19"/>
      <c r="DCV38" s="19"/>
      <c r="DCW38" s="19"/>
      <c r="DCX38" s="19"/>
      <c r="DCY38" s="19"/>
      <c r="DCZ38" s="19"/>
      <c r="DDA38" s="19"/>
      <c r="DDB38" s="19"/>
      <c r="DDC38" s="19"/>
      <c r="DDD38" s="19"/>
      <c r="DDE38" s="19"/>
      <c r="DDF38" s="19"/>
      <c r="DDG38" s="19"/>
      <c r="DDH38" s="19"/>
      <c r="DDI38" s="19"/>
      <c r="DDJ38" s="19"/>
      <c r="DDK38" s="19"/>
      <c r="DDL38" s="19"/>
      <c r="DDM38" s="19"/>
      <c r="DDN38" s="19"/>
      <c r="DDO38" s="19"/>
      <c r="DDP38" s="19"/>
      <c r="DDQ38" s="19"/>
      <c r="DDR38" s="19"/>
      <c r="DDS38" s="19"/>
      <c r="DDT38" s="19"/>
      <c r="DDU38" s="19"/>
      <c r="DDV38" s="19"/>
      <c r="DDW38" s="19"/>
      <c r="DDX38" s="19"/>
      <c r="DDY38" s="19"/>
      <c r="DDZ38" s="19"/>
      <c r="DEA38" s="19"/>
      <c r="DEB38" s="19"/>
      <c r="DEC38" s="19"/>
      <c r="DED38" s="19"/>
      <c r="DEE38" s="19"/>
      <c r="DEF38" s="19"/>
      <c r="DEG38" s="19"/>
      <c r="DEH38" s="19"/>
      <c r="DEI38" s="19"/>
      <c r="DEJ38" s="19"/>
      <c r="DEK38" s="19"/>
      <c r="DEL38" s="19"/>
      <c r="DEM38" s="19"/>
      <c r="DEN38" s="19"/>
      <c r="DEO38" s="19"/>
      <c r="DEP38" s="19"/>
      <c r="DEQ38" s="19"/>
      <c r="DER38" s="19"/>
      <c r="DES38" s="19"/>
      <c r="DET38" s="19"/>
      <c r="DEU38" s="19"/>
      <c r="DEV38" s="19"/>
      <c r="DEW38" s="19"/>
      <c r="DEX38" s="19"/>
      <c r="DEY38" s="19"/>
      <c r="DEZ38" s="19"/>
      <c r="DFA38" s="19"/>
      <c r="DFB38" s="19"/>
      <c r="DFC38" s="19"/>
      <c r="DFD38" s="19"/>
      <c r="DFE38" s="19"/>
      <c r="DFF38" s="19"/>
      <c r="DFG38" s="19"/>
      <c r="DFH38" s="19"/>
      <c r="DFI38" s="19"/>
      <c r="DFJ38" s="19"/>
      <c r="DFK38" s="19"/>
      <c r="DFL38" s="19"/>
      <c r="DFM38" s="19"/>
      <c r="DFN38" s="19"/>
      <c r="DFO38" s="19"/>
      <c r="DFP38" s="19"/>
      <c r="DFQ38" s="19"/>
      <c r="DFR38" s="19"/>
      <c r="DFS38" s="19"/>
      <c r="DFT38" s="19"/>
      <c r="DFU38" s="19"/>
      <c r="DFV38" s="19"/>
      <c r="DFW38" s="19"/>
      <c r="DFX38" s="19"/>
      <c r="DFY38" s="19"/>
      <c r="DFZ38" s="19"/>
      <c r="DGA38" s="19"/>
      <c r="DGB38" s="19"/>
      <c r="DGC38" s="19"/>
      <c r="DGD38" s="19"/>
      <c r="DGE38" s="19"/>
      <c r="DGF38" s="19"/>
      <c r="DGG38" s="19"/>
      <c r="DGH38" s="19"/>
      <c r="DGI38" s="19"/>
      <c r="DGJ38" s="19"/>
      <c r="DGK38" s="19"/>
      <c r="DGL38" s="19"/>
      <c r="DGM38" s="19"/>
      <c r="DGN38" s="19"/>
      <c r="DGO38" s="19"/>
      <c r="DGP38" s="19"/>
      <c r="DGQ38" s="19"/>
      <c r="DGR38" s="19"/>
      <c r="DGS38" s="19"/>
      <c r="DGT38" s="19"/>
      <c r="DGU38" s="19"/>
      <c r="DGV38" s="19"/>
      <c r="DGW38" s="19"/>
      <c r="DGX38" s="19"/>
      <c r="DGY38" s="19"/>
      <c r="DGZ38" s="19"/>
      <c r="DHA38" s="19"/>
      <c r="DHB38" s="19"/>
      <c r="DHC38" s="19"/>
      <c r="DHD38" s="19"/>
      <c r="DHE38" s="19"/>
      <c r="DHF38" s="19"/>
      <c r="DHG38" s="19"/>
      <c r="DHH38" s="19"/>
      <c r="DHI38" s="19"/>
      <c r="DHJ38" s="19"/>
      <c r="DHK38" s="19"/>
      <c r="DHL38" s="19"/>
      <c r="DHM38" s="19"/>
      <c r="DHN38" s="19"/>
      <c r="DHO38" s="19"/>
      <c r="DHP38" s="19"/>
      <c r="DHQ38" s="19"/>
      <c r="DHR38" s="19"/>
      <c r="DHS38" s="19"/>
      <c r="DHT38" s="19"/>
      <c r="DHU38" s="19"/>
      <c r="DHV38" s="19"/>
      <c r="DHW38" s="19"/>
      <c r="DHX38" s="19"/>
      <c r="DHY38" s="19"/>
      <c r="DHZ38" s="19"/>
      <c r="DIA38" s="19"/>
      <c r="DIB38" s="19"/>
      <c r="DIC38" s="19"/>
      <c r="DID38" s="19"/>
      <c r="DIE38" s="19"/>
      <c r="DIF38" s="19"/>
      <c r="DIG38" s="19"/>
      <c r="DIH38" s="19"/>
      <c r="DII38" s="19"/>
      <c r="DIJ38" s="19"/>
      <c r="DIK38" s="19"/>
      <c r="DIL38" s="19"/>
      <c r="DIM38" s="19"/>
      <c r="DIN38" s="19"/>
      <c r="DIO38" s="19"/>
      <c r="DIP38" s="19"/>
      <c r="DIQ38" s="19"/>
      <c r="DIR38" s="19"/>
      <c r="DIS38" s="19"/>
      <c r="DIT38" s="19"/>
      <c r="DIU38" s="19"/>
      <c r="DIV38" s="19"/>
      <c r="DIW38" s="19"/>
      <c r="DIX38" s="19"/>
      <c r="DIY38" s="19"/>
      <c r="DIZ38" s="19"/>
      <c r="DJA38" s="19"/>
      <c r="DJB38" s="19"/>
      <c r="DJC38" s="19"/>
      <c r="DJD38" s="19"/>
      <c r="DJE38" s="19"/>
      <c r="DJF38" s="19"/>
      <c r="DJG38" s="19"/>
      <c r="DJH38" s="19"/>
      <c r="DJI38" s="19"/>
      <c r="DJJ38" s="19"/>
      <c r="DJK38" s="19"/>
      <c r="DJL38" s="19"/>
      <c r="DJM38" s="19"/>
      <c r="DJN38" s="19"/>
      <c r="DJO38" s="19"/>
      <c r="DJP38" s="19"/>
      <c r="DJQ38" s="19"/>
      <c r="DJR38" s="19"/>
      <c r="DJS38" s="19"/>
      <c r="DJT38" s="19"/>
      <c r="DJU38" s="19"/>
      <c r="DJV38" s="19"/>
      <c r="DJW38" s="19"/>
      <c r="DJX38" s="19"/>
      <c r="DJY38" s="19"/>
      <c r="DJZ38" s="19"/>
      <c r="DKA38" s="19"/>
      <c r="DKB38" s="19"/>
      <c r="DKC38" s="19"/>
      <c r="DKD38" s="19"/>
      <c r="DKE38" s="19"/>
      <c r="DKF38" s="19"/>
      <c r="DKG38" s="19"/>
      <c r="DKH38" s="19"/>
      <c r="DKI38" s="19"/>
      <c r="DKJ38" s="19"/>
      <c r="DKK38" s="19"/>
      <c r="DKL38" s="19"/>
      <c r="DKM38" s="19"/>
      <c r="DKN38" s="19"/>
      <c r="DKO38" s="19"/>
      <c r="DKP38" s="19"/>
      <c r="DKQ38" s="19"/>
      <c r="DKR38" s="19"/>
      <c r="DKS38" s="19"/>
      <c r="DKT38" s="19"/>
      <c r="DKU38" s="19"/>
      <c r="DKV38" s="19"/>
      <c r="DKW38" s="19"/>
      <c r="DKX38" s="19"/>
      <c r="DKY38" s="19"/>
      <c r="DKZ38" s="19"/>
      <c r="DLA38" s="19"/>
      <c r="DLB38" s="19"/>
      <c r="DLC38" s="19"/>
      <c r="DLD38" s="19"/>
      <c r="DLE38" s="19"/>
      <c r="DLF38" s="19"/>
      <c r="DLG38" s="19"/>
      <c r="DLH38" s="19"/>
      <c r="DLI38" s="19"/>
      <c r="DLJ38" s="19"/>
      <c r="DLK38" s="19"/>
      <c r="DLL38" s="19"/>
      <c r="DLM38" s="19"/>
      <c r="DLN38" s="19"/>
      <c r="DLO38" s="19"/>
      <c r="DLP38" s="19"/>
      <c r="DLQ38" s="19"/>
      <c r="DLR38" s="19"/>
      <c r="DLS38" s="19"/>
      <c r="DLT38" s="19"/>
      <c r="DLU38" s="19"/>
      <c r="DLV38" s="19"/>
      <c r="DLW38" s="19"/>
      <c r="DLX38" s="19"/>
      <c r="DLY38" s="19"/>
      <c r="DLZ38" s="19"/>
      <c r="DMA38" s="19"/>
      <c r="DMB38" s="19"/>
      <c r="DMC38" s="19"/>
      <c r="DMD38" s="19"/>
      <c r="DME38" s="19"/>
      <c r="DMF38" s="19"/>
      <c r="DMG38" s="19"/>
      <c r="DMH38" s="19"/>
      <c r="DMI38" s="19"/>
      <c r="DMJ38" s="19"/>
      <c r="DMK38" s="19"/>
      <c r="DML38" s="19"/>
      <c r="DMM38" s="19"/>
      <c r="DMN38" s="19"/>
      <c r="DMO38" s="19"/>
      <c r="DMP38" s="19"/>
      <c r="DMQ38" s="19"/>
      <c r="DMR38" s="19"/>
      <c r="DMS38" s="19"/>
      <c r="DMT38" s="19"/>
      <c r="DMU38" s="19"/>
      <c r="DMV38" s="19"/>
      <c r="DMW38" s="19"/>
      <c r="DMX38" s="19"/>
      <c r="DMY38" s="19"/>
      <c r="DMZ38" s="19"/>
      <c r="DNA38" s="19"/>
      <c r="DNB38" s="19"/>
      <c r="DNC38" s="19"/>
      <c r="DND38" s="19"/>
      <c r="DNE38" s="19"/>
      <c r="DNF38" s="19"/>
      <c r="DNG38" s="19"/>
      <c r="DNH38" s="19"/>
      <c r="DNI38" s="19"/>
      <c r="DNJ38" s="19"/>
      <c r="DNK38" s="19"/>
      <c r="DNL38" s="19"/>
      <c r="DNM38" s="19"/>
      <c r="DNN38" s="19"/>
      <c r="DNO38" s="19"/>
      <c r="DNP38" s="19"/>
      <c r="DNQ38" s="19"/>
      <c r="DNR38" s="19"/>
      <c r="DNS38" s="19"/>
      <c r="DNT38" s="19"/>
      <c r="DNU38" s="19"/>
      <c r="DNV38" s="19"/>
      <c r="DNW38" s="19"/>
      <c r="DNX38" s="19"/>
      <c r="DNY38" s="19"/>
      <c r="DNZ38" s="19"/>
      <c r="DOA38" s="19"/>
      <c r="DOB38" s="19"/>
      <c r="DOC38" s="19"/>
      <c r="DOD38" s="19"/>
      <c r="DOE38" s="19"/>
      <c r="DOF38" s="19"/>
      <c r="DOG38" s="19"/>
      <c r="DOH38" s="19"/>
      <c r="DOI38" s="19"/>
      <c r="DOJ38" s="19"/>
      <c r="DOK38" s="19"/>
      <c r="DOL38" s="19"/>
      <c r="DOM38" s="19"/>
      <c r="DON38" s="19"/>
      <c r="DOO38" s="19"/>
      <c r="DOP38" s="19"/>
      <c r="DOQ38" s="19"/>
      <c r="DOR38" s="19"/>
      <c r="DOS38" s="19"/>
      <c r="DOT38" s="19"/>
      <c r="DOU38" s="19"/>
      <c r="DOV38" s="19"/>
      <c r="DOW38" s="19"/>
      <c r="DOX38" s="19"/>
      <c r="DOY38" s="19"/>
      <c r="DOZ38" s="19"/>
      <c r="DPA38" s="19"/>
      <c r="DPB38" s="19"/>
      <c r="DPC38" s="19"/>
      <c r="DPD38" s="19"/>
      <c r="DPE38" s="19"/>
      <c r="DPF38" s="19"/>
      <c r="DPG38" s="19"/>
      <c r="DPH38" s="19"/>
      <c r="DPI38" s="19"/>
      <c r="DPJ38" s="19"/>
      <c r="DPK38" s="19"/>
      <c r="DPL38" s="19"/>
      <c r="DPM38" s="19"/>
      <c r="DPN38" s="19"/>
      <c r="DPO38" s="19"/>
      <c r="DPP38" s="19"/>
      <c r="DPQ38" s="19"/>
      <c r="DPR38" s="19"/>
      <c r="DPS38" s="19"/>
      <c r="DPT38" s="19"/>
      <c r="DPU38" s="19"/>
      <c r="DPV38" s="19"/>
      <c r="DPW38" s="19"/>
      <c r="DPX38" s="19"/>
      <c r="DPY38" s="19"/>
      <c r="DPZ38" s="19"/>
      <c r="DQA38" s="19"/>
      <c r="DQB38" s="19"/>
      <c r="DQC38" s="19"/>
      <c r="DQD38" s="19"/>
      <c r="DQE38" s="19"/>
      <c r="DQF38" s="19"/>
      <c r="DQG38" s="19"/>
      <c r="DQH38" s="19"/>
      <c r="DQI38" s="19"/>
      <c r="DQJ38" s="19"/>
      <c r="DQK38" s="19"/>
      <c r="DQL38" s="19"/>
      <c r="DQM38" s="19"/>
      <c r="DQN38" s="19"/>
      <c r="DQO38" s="19"/>
      <c r="DQP38" s="19"/>
      <c r="DQQ38" s="19"/>
      <c r="DQR38" s="19"/>
      <c r="DQS38" s="19"/>
      <c r="DQT38" s="19"/>
      <c r="DQU38" s="19"/>
      <c r="DQV38" s="19"/>
      <c r="DQW38" s="19"/>
      <c r="DQX38" s="19"/>
      <c r="DQY38" s="19"/>
      <c r="DQZ38" s="19"/>
      <c r="DRA38" s="19"/>
      <c r="DRB38" s="19"/>
      <c r="DRC38" s="19"/>
      <c r="DRD38" s="19"/>
      <c r="DRE38" s="19"/>
      <c r="DRF38" s="19"/>
      <c r="DRG38" s="19"/>
      <c r="DRH38" s="19"/>
      <c r="DRI38" s="19"/>
      <c r="DRJ38" s="19"/>
      <c r="DRK38" s="19"/>
      <c r="DRL38" s="19"/>
      <c r="DRM38" s="19"/>
      <c r="DRN38" s="19"/>
      <c r="DRO38" s="19"/>
      <c r="DRP38" s="19"/>
      <c r="DRQ38" s="19"/>
      <c r="DRR38" s="19"/>
      <c r="DRS38" s="19"/>
      <c r="DRT38" s="19"/>
      <c r="DRU38" s="19"/>
      <c r="DRV38" s="19"/>
      <c r="DRW38" s="19"/>
      <c r="DRX38" s="19"/>
      <c r="DRY38" s="19"/>
      <c r="DRZ38" s="19"/>
      <c r="DSA38" s="19"/>
      <c r="DSB38" s="19"/>
      <c r="DSC38" s="19"/>
      <c r="DSD38" s="19"/>
      <c r="DSE38" s="19"/>
      <c r="DSF38" s="19"/>
      <c r="DSG38" s="19"/>
      <c r="DSH38" s="19"/>
      <c r="DSI38" s="19"/>
      <c r="DSJ38" s="19"/>
      <c r="DSK38" s="19"/>
      <c r="DSL38" s="19"/>
      <c r="DSM38" s="19"/>
      <c r="DSN38" s="19"/>
      <c r="DSO38" s="19"/>
      <c r="DSP38" s="19"/>
      <c r="DSQ38" s="19"/>
      <c r="DSR38" s="19"/>
      <c r="DSS38" s="19"/>
      <c r="DST38" s="19"/>
      <c r="DSU38" s="19"/>
      <c r="DSV38" s="19"/>
      <c r="DSW38" s="19"/>
      <c r="DSX38" s="19"/>
      <c r="DSY38" s="19"/>
      <c r="DSZ38" s="19"/>
      <c r="DTA38" s="19"/>
      <c r="DTB38" s="19"/>
      <c r="DTC38" s="19"/>
      <c r="DTD38" s="19"/>
      <c r="DTE38" s="19"/>
      <c r="DTF38" s="19"/>
      <c r="DTG38" s="19"/>
      <c r="DTH38" s="19"/>
      <c r="DTI38" s="19"/>
      <c r="DTJ38" s="19"/>
      <c r="DTK38" s="19"/>
      <c r="DTL38" s="19"/>
      <c r="DTM38" s="19"/>
      <c r="DTN38" s="19"/>
      <c r="DTO38" s="19"/>
      <c r="DTP38" s="19"/>
      <c r="DTQ38" s="19"/>
      <c r="DTR38" s="19"/>
      <c r="DTS38" s="19"/>
      <c r="DTT38" s="19"/>
      <c r="DTU38" s="19"/>
      <c r="DTV38" s="19"/>
      <c r="DTW38" s="19"/>
      <c r="DTX38" s="19"/>
      <c r="DTY38" s="19"/>
      <c r="DTZ38" s="19"/>
      <c r="DUA38" s="19"/>
      <c r="DUB38" s="19"/>
      <c r="DUC38" s="19"/>
      <c r="DUD38" s="19"/>
      <c r="DUE38" s="19"/>
      <c r="DUF38" s="19"/>
      <c r="DUG38" s="19"/>
      <c r="DUH38" s="19"/>
      <c r="DUI38" s="19"/>
      <c r="DUJ38" s="19"/>
      <c r="DUK38" s="19"/>
      <c r="DUL38" s="19"/>
      <c r="DUM38" s="19"/>
      <c r="DUN38" s="19"/>
      <c r="DUO38" s="19"/>
      <c r="DUP38" s="19"/>
      <c r="DUQ38" s="19"/>
      <c r="DUR38" s="19"/>
      <c r="DUS38" s="19"/>
      <c r="DUT38" s="19"/>
      <c r="DUU38" s="19"/>
      <c r="DUV38" s="19"/>
      <c r="DUW38" s="19"/>
      <c r="DUX38" s="19"/>
      <c r="DUY38" s="19"/>
      <c r="DUZ38" s="19"/>
      <c r="DVA38" s="19"/>
      <c r="DVB38" s="19"/>
      <c r="DVC38" s="19"/>
      <c r="DVD38" s="19"/>
      <c r="DVE38" s="19"/>
      <c r="DVF38" s="19"/>
      <c r="DVG38" s="19"/>
      <c r="DVH38" s="19"/>
      <c r="DVI38" s="19"/>
      <c r="DVJ38" s="19"/>
      <c r="DVK38" s="19"/>
      <c r="DVL38" s="19"/>
      <c r="DVM38" s="19"/>
      <c r="DVN38" s="19"/>
      <c r="DVO38" s="19"/>
      <c r="DVP38" s="19"/>
      <c r="DVQ38" s="19"/>
      <c r="DVR38" s="19"/>
      <c r="DVS38" s="19"/>
      <c r="DVT38" s="19"/>
      <c r="DVU38" s="19"/>
      <c r="DVV38" s="19"/>
      <c r="DVW38" s="19"/>
      <c r="DVX38" s="19"/>
      <c r="DVY38" s="19"/>
      <c r="DVZ38" s="19"/>
      <c r="DWA38" s="19"/>
      <c r="DWB38" s="19"/>
      <c r="DWC38" s="19"/>
      <c r="DWD38" s="19"/>
      <c r="DWE38" s="19"/>
      <c r="DWF38" s="19"/>
      <c r="DWG38" s="19"/>
      <c r="DWH38" s="19"/>
      <c r="DWI38" s="19"/>
      <c r="DWJ38" s="19"/>
      <c r="DWK38" s="19"/>
      <c r="DWL38" s="19"/>
      <c r="DWM38" s="19"/>
      <c r="DWN38" s="19"/>
      <c r="DWO38" s="19"/>
      <c r="DWP38" s="19"/>
      <c r="DWQ38" s="19"/>
      <c r="DWR38" s="19"/>
      <c r="DWS38" s="19"/>
      <c r="DWT38" s="19"/>
      <c r="DWU38" s="19"/>
      <c r="DWV38" s="19"/>
      <c r="DWW38" s="19"/>
      <c r="DWX38" s="19"/>
      <c r="DWY38" s="19"/>
      <c r="DWZ38" s="19"/>
      <c r="DXA38" s="19"/>
      <c r="DXB38" s="19"/>
      <c r="DXC38" s="19"/>
      <c r="DXD38" s="19"/>
      <c r="DXE38" s="19"/>
      <c r="DXF38" s="19"/>
      <c r="DXG38" s="19"/>
      <c r="DXH38" s="19"/>
      <c r="DXI38" s="19"/>
      <c r="DXJ38" s="19"/>
      <c r="DXK38" s="19"/>
      <c r="DXL38" s="19"/>
      <c r="DXM38" s="19"/>
      <c r="DXN38" s="19"/>
      <c r="DXO38" s="19"/>
      <c r="DXP38" s="19"/>
      <c r="DXQ38" s="19"/>
      <c r="DXR38" s="19"/>
      <c r="DXS38" s="19"/>
      <c r="DXT38" s="19"/>
      <c r="DXU38" s="19"/>
      <c r="DXV38" s="19"/>
      <c r="DXW38" s="19"/>
      <c r="DXX38" s="19"/>
      <c r="DXY38" s="19"/>
      <c r="DXZ38" s="19"/>
      <c r="DYA38" s="19"/>
      <c r="DYB38" s="19"/>
      <c r="DYC38" s="19"/>
      <c r="DYD38" s="19"/>
      <c r="DYE38" s="19"/>
      <c r="DYF38" s="19"/>
      <c r="DYG38" s="19"/>
      <c r="DYH38" s="19"/>
      <c r="DYI38" s="19"/>
      <c r="DYJ38" s="19"/>
      <c r="DYK38" s="19"/>
      <c r="DYL38" s="19"/>
      <c r="DYM38" s="19"/>
      <c r="DYN38" s="19"/>
      <c r="DYO38" s="19"/>
      <c r="DYP38" s="19"/>
      <c r="DYQ38" s="19"/>
      <c r="DYR38" s="19"/>
      <c r="DYS38" s="19"/>
      <c r="DYT38" s="19"/>
      <c r="DYU38" s="19"/>
      <c r="DYV38" s="19"/>
      <c r="DYW38" s="19"/>
      <c r="DYX38" s="19"/>
      <c r="DYY38" s="19"/>
      <c r="DYZ38" s="19"/>
      <c r="DZA38" s="19"/>
      <c r="DZB38" s="19"/>
      <c r="DZC38" s="19"/>
      <c r="DZD38" s="19"/>
      <c r="DZE38" s="19"/>
      <c r="DZF38" s="19"/>
      <c r="DZG38" s="19"/>
      <c r="DZH38" s="19"/>
      <c r="DZI38" s="19"/>
      <c r="DZJ38" s="19"/>
      <c r="DZK38" s="19"/>
      <c r="DZL38" s="19"/>
      <c r="DZM38" s="19"/>
      <c r="DZN38" s="19"/>
      <c r="DZO38" s="19"/>
      <c r="DZP38" s="19"/>
      <c r="DZQ38" s="19"/>
      <c r="DZR38" s="19"/>
      <c r="DZS38" s="19"/>
      <c r="DZT38" s="19"/>
      <c r="DZU38" s="19"/>
      <c r="DZV38" s="19"/>
      <c r="DZW38" s="19"/>
      <c r="DZX38" s="19"/>
      <c r="DZY38" s="19"/>
      <c r="DZZ38" s="19"/>
      <c r="EAA38" s="19"/>
      <c r="EAB38" s="19"/>
      <c r="EAC38" s="19"/>
      <c r="EAD38" s="19"/>
      <c r="EAE38" s="19"/>
      <c r="EAF38" s="19"/>
      <c r="EAG38" s="19"/>
      <c r="EAH38" s="19"/>
      <c r="EAI38" s="19"/>
      <c r="EAJ38" s="19"/>
      <c r="EAK38" s="19"/>
      <c r="EAL38" s="19"/>
      <c r="EAM38" s="19"/>
      <c r="EAN38" s="19"/>
      <c r="EAO38" s="19"/>
      <c r="EAP38" s="19"/>
      <c r="EAQ38" s="19"/>
      <c r="EAR38" s="19"/>
      <c r="EAS38" s="19"/>
      <c r="EAT38" s="19"/>
      <c r="EAU38" s="19"/>
      <c r="EAV38" s="19"/>
      <c r="EAW38" s="19"/>
      <c r="EAX38" s="19"/>
      <c r="EAY38" s="19"/>
      <c r="EAZ38" s="19"/>
      <c r="EBA38" s="19"/>
      <c r="EBB38" s="19"/>
      <c r="EBC38" s="19"/>
      <c r="EBD38" s="19"/>
      <c r="EBE38" s="19"/>
      <c r="EBF38" s="19"/>
      <c r="EBG38" s="19"/>
      <c r="EBH38" s="19"/>
      <c r="EBI38" s="19"/>
      <c r="EBJ38" s="19"/>
      <c r="EBK38" s="19"/>
      <c r="EBL38" s="19"/>
      <c r="EBM38" s="19"/>
      <c r="EBN38" s="19"/>
      <c r="EBO38" s="19"/>
      <c r="EBP38" s="19"/>
      <c r="EBQ38" s="19"/>
      <c r="EBR38" s="19"/>
      <c r="EBS38" s="19"/>
      <c r="EBT38" s="19"/>
      <c r="EBU38" s="19"/>
      <c r="EBV38" s="19"/>
      <c r="EBW38" s="19"/>
      <c r="EBX38" s="19"/>
      <c r="EBY38" s="19"/>
      <c r="EBZ38" s="19"/>
      <c r="ECA38" s="19"/>
      <c r="ECB38" s="19"/>
      <c r="ECC38" s="19"/>
      <c r="ECD38" s="19"/>
      <c r="ECE38" s="19"/>
      <c r="ECF38" s="19"/>
      <c r="ECG38" s="19"/>
      <c r="ECH38" s="19"/>
      <c r="ECI38" s="19"/>
      <c r="ECJ38" s="19"/>
      <c r="ECK38" s="19"/>
      <c r="ECL38" s="19"/>
      <c r="ECM38" s="19"/>
      <c r="ECN38" s="19"/>
      <c r="ECO38" s="19"/>
      <c r="ECP38" s="19"/>
      <c r="ECQ38" s="19"/>
      <c r="ECR38" s="19"/>
      <c r="ECS38" s="19"/>
      <c r="ECT38" s="19"/>
      <c r="ECU38" s="19"/>
      <c r="ECV38" s="19"/>
      <c r="ECW38" s="19"/>
      <c r="ECX38" s="19"/>
      <c r="ECY38" s="19"/>
      <c r="ECZ38" s="19"/>
      <c r="EDA38" s="19"/>
      <c r="EDB38" s="19"/>
      <c r="EDC38" s="19"/>
      <c r="EDD38" s="19"/>
      <c r="EDE38" s="19"/>
      <c r="EDF38" s="19"/>
      <c r="EDG38" s="19"/>
      <c r="EDH38" s="19"/>
      <c r="EDI38" s="19"/>
      <c r="EDJ38" s="19"/>
      <c r="EDK38" s="19"/>
      <c r="EDL38" s="19"/>
      <c r="EDM38" s="19"/>
      <c r="EDN38" s="19"/>
      <c r="EDO38" s="19"/>
      <c r="EDP38" s="19"/>
      <c r="EDQ38" s="19"/>
      <c r="EDR38" s="19"/>
      <c r="EDS38" s="19"/>
      <c r="EDT38" s="19"/>
      <c r="EDU38" s="19"/>
      <c r="EDV38" s="19"/>
      <c r="EDW38" s="19"/>
      <c r="EDX38" s="19"/>
      <c r="EDY38" s="19"/>
      <c r="EDZ38" s="19"/>
      <c r="EEA38" s="19"/>
      <c r="EEB38" s="19"/>
      <c r="EEC38" s="19"/>
      <c r="EED38" s="19"/>
      <c r="EEE38" s="19"/>
      <c r="EEF38" s="19"/>
      <c r="EEG38" s="19"/>
      <c r="EEH38" s="19"/>
      <c r="EEI38" s="19"/>
      <c r="EEJ38" s="19"/>
      <c r="EEK38" s="19"/>
      <c r="EEL38" s="19"/>
      <c r="EEM38" s="19"/>
      <c r="EEN38" s="19"/>
      <c r="EEO38" s="19"/>
      <c r="EEP38" s="19"/>
      <c r="EEQ38" s="19"/>
      <c r="EER38" s="19"/>
      <c r="EES38" s="19"/>
      <c r="EET38" s="19"/>
      <c r="EEU38" s="19"/>
      <c r="EEV38" s="19"/>
      <c r="EEW38" s="19"/>
      <c r="EEX38" s="19"/>
      <c r="EEY38" s="19"/>
      <c r="EEZ38" s="19"/>
      <c r="EFA38" s="19"/>
      <c r="EFB38" s="19"/>
      <c r="EFC38" s="19"/>
      <c r="EFD38" s="19"/>
      <c r="EFE38" s="19"/>
      <c r="EFF38" s="19"/>
      <c r="EFG38" s="19"/>
      <c r="EFH38" s="19"/>
      <c r="EFI38" s="19"/>
      <c r="EFJ38" s="19"/>
      <c r="EFK38" s="19"/>
      <c r="EFL38" s="19"/>
      <c r="EFM38" s="19"/>
      <c r="EFN38" s="19"/>
      <c r="EFO38" s="19"/>
      <c r="EFP38" s="19"/>
      <c r="EFQ38" s="19"/>
      <c r="EFR38" s="19"/>
      <c r="EFS38" s="19"/>
      <c r="EFT38" s="19"/>
      <c r="EFU38" s="19"/>
      <c r="EFV38" s="19"/>
      <c r="EFW38" s="19"/>
      <c r="EFX38" s="19"/>
      <c r="EFY38" s="19"/>
      <c r="EFZ38" s="19"/>
      <c r="EGA38" s="19"/>
      <c r="EGB38" s="19"/>
      <c r="EGC38" s="19"/>
      <c r="EGD38" s="19"/>
      <c r="EGE38" s="19"/>
      <c r="EGF38" s="19"/>
      <c r="EGG38" s="19"/>
      <c r="EGH38" s="19"/>
      <c r="EGI38" s="19"/>
      <c r="EGJ38" s="19"/>
      <c r="EGK38" s="19"/>
      <c r="EGL38" s="19"/>
      <c r="EGM38" s="19"/>
      <c r="EGN38" s="19"/>
      <c r="EGO38" s="19"/>
      <c r="EGP38" s="19"/>
      <c r="EGQ38" s="19"/>
      <c r="EGR38" s="19"/>
      <c r="EGS38" s="19"/>
      <c r="EGT38" s="19"/>
      <c r="EGU38" s="19"/>
      <c r="EGV38" s="19"/>
      <c r="EGW38" s="19"/>
      <c r="EGX38" s="19"/>
      <c r="EGY38" s="19"/>
      <c r="EGZ38" s="19"/>
      <c r="EHA38" s="19"/>
      <c r="EHB38" s="19"/>
      <c r="EHC38" s="19"/>
      <c r="EHD38" s="19"/>
      <c r="EHE38" s="19"/>
      <c r="EHF38" s="19"/>
      <c r="EHG38" s="19"/>
      <c r="EHH38" s="19"/>
      <c r="EHI38" s="19"/>
      <c r="EHJ38" s="19"/>
      <c r="EHK38" s="19"/>
      <c r="EHL38" s="19"/>
      <c r="EHM38" s="19"/>
      <c r="EHN38" s="19"/>
      <c r="EHO38" s="19"/>
      <c r="EHP38" s="19"/>
      <c r="EHQ38" s="19"/>
      <c r="EHR38" s="19"/>
      <c r="EHS38" s="19"/>
      <c r="EHT38" s="19"/>
      <c r="EHU38" s="19"/>
      <c r="EHV38" s="19"/>
      <c r="EHW38" s="19"/>
      <c r="EHX38" s="19"/>
      <c r="EHY38" s="19"/>
      <c r="EHZ38" s="19"/>
      <c r="EIA38" s="19"/>
      <c r="EIB38" s="19"/>
      <c r="EIC38" s="19"/>
      <c r="EID38" s="19"/>
      <c r="EIE38" s="19"/>
      <c r="EIF38" s="19"/>
      <c r="EIG38" s="19"/>
      <c r="EIH38" s="19"/>
      <c r="EII38" s="19"/>
      <c r="EIJ38" s="19"/>
      <c r="EIK38" s="19"/>
      <c r="EIL38" s="19"/>
      <c r="EIM38" s="19"/>
      <c r="EIN38" s="19"/>
      <c r="EIO38" s="19"/>
      <c r="EIP38" s="19"/>
      <c r="EIQ38" s="19"/>
      <c r="EIR38" s="19"/>
      <c r="EIS38" s="19"/>
      <c r="EIT38" s="19"/>
      <c r="EIU38" s="19"/>
      <c r="EIV38" s="19"/>
      <c r="EIW38" s="19"/>
      <c r="EIX38" s="19"/>
      <c r="EIY38" s="19"/>
      <c r="EIZ38" s="19"/>
      <c r="EJA38" s="19"/>
      <c r="EJB38" s="19"/>
      <c r="EJC38" s="19"/>
      <c r="EJD38" s="19"/>
      <c r="EJE38" s="19"/>
      <c r="EJF38" s="19"/>
      <c r="EJG38" s="19"/>
      <c r="EJH38" s="19"/>
      <c r="EJI38" s="19"/>
      <c r="EJJ38" s="19"/>
      <c r="EJK38" s="19"/>
      <c r="EJL38" s="19"/>
      <c r="EJM38" s="19"/>
      <c r="EJN38" s="19"/>
      <c r="EJO38" s="19"/>
      <c r="EJP38" s="19"/>
      <c r="EJQ38" s="19"/>
      <c r="EJR38" s="19"/>
      <c r="EJS38" s="19"/>
      <c r="EJT38" s="19"/>
      <c r="EJU38" s="19"/>
      <c r="EJV38" s="19"/>
      <c r="EJW38" s="19"/>
      <c r="EJX38" s="19"/>
      <c r="EJY38" s="19"/>
      <c r="EJZ38" s="19"/>
      <c r="EKA38" s="19"/>
      <c r="EKB38" s="19"/>
      <c r="EKC38" s="19"/>
      <c r="EKD38" s="19"/>
      <c r="EKE38" s="19"/>
      <c r="EKF38" s="19"/>
      <c r="EKG38" s="19"/>
      <c r="EKH38" s="19"/>
      <c r="EKI38" s="19"/>
      <c r="EKJ38" s="19"/>
      <c r="EKK38" s="19"/>
      <c r="EKL38" s="19"/>
      <c r="EKM38" s="19"/>
      <c r="EKN38" s="19"/>
      <c r="EKO38" s="19"/>
      <c r="EKP38" s="19"/>
      <c r="EKQ38" s="19"/>
      <c r="EKR38" s="19"/>
      <c r="EKS38" s="19"/>
      <c r="EKT38" s="19"/>
      <c r="EKU38" s="19"/>
      <c r="EKV38" s="19"/>
      <c r="EKW38" s="19"/>
      <c r="EKX38" s="19"/>
      <c r="EKY38" s="19"/>
      <c r="EKZ38" s="19"/>
      <c r="ELA38" s="19"/>
      <c r="ELB38" s="19"/>
      <c r="ELC38" s="19"/>
      <c r="ELD38" s="19"/>
      <c r="ELE38" s="19"/>
      <c r="ELF38" s="19"/>
      <c r="ELG38" s="19"/>
      <c r="ELH38" s="19"/>
      <c r="ELI38" s="19"/>
      <c r="ELJ38" s="19"/>
      <c r="ELK38" s="19"/>
      <c r="ELL38" s="19"/>
      <c r="ELM38" s="19"/>
      <c r="ELN38" s="19"/>
      <c r="ELO38" s="19"/>
      <c r="ELP38" s="19"/>
      <c r="ELQ38" s="19"/>
      <c r="ELR38" s="19"/>
      <c r="ELS38" s="19"/>
      <c r="ELT38" s="19"/>
      <c r="ELU38" s="19"/>
      <c r="ELV38" s="19"/>
      <c r="ELW38" s="19"/>
      <c r="ELX38" s="19"/>
      <c r="ELY38" s="19"/>
      <c r="ELZ38" s="19"/>
      <c r="EMA38" s="19"/>
      <c r="EMB38" s="19"/>
      <c r="EMC38" s="19"/>
      <c r="EMD38" s="19"/>
      <c r="EME38" s="19"/>
      <c r="EMF38" s="19"/>
      <c r="EMG38" s="19"/>
      <c r="EMH38" s="19"/>
      <c r="EMI38" s="19"/>
      <c r="EMJ38" s="19"/>
      <c r="EMK38" s="19"/>
      <c r="EML38" s="19"/>
      <c r="EMM38" s="19"/>
      <c r="EMN38" s="19"/>
      <c r="EMO38" s="19"/>
      <c r="EMP38" s="19"/>
      <c r="EMQ38" s="19"/>
      <c r="EMR38" s="19"/>
      <c r="EMS38" s="19"/>
      <c r="EMT38" s="19"/>
      <c r="EMU38" s="19"/>
      <c r="EMV38" s="19"/>
      <c r="EMW38" s="19"/>
      <c r="EMX38" s="19"/>
      <c r="EMY38" s="19"/>
      <c r="EMZ38" s="19"/>
      <c r="ENA38" s="19"/>
      <c r="ENB38" s="19"/>
      <c r="ENC38" s="19"/>
      <c r="END38" s="19"/>
      <c r="ENE38" s="19"/>
      <c r="ENF38" s="19"/>
      <c r="ENG38" s="19"/>
      <c r="ENH38" s="19"/>
      <c r="ENI38" s="19"/>
      <c r="ENJ38" s="19"/>
      <c r="ENK38" s="19"/>
      <c r="ENL38" s="19"/>
      <c r="ENM38" s="19"/>
      <c r="ENN38" s="19"/>
      <c r="ENO38" s="19"/>
      <c r="ENP38" s="19"/>
      <c r="ENQ38" s="19"/>
      <c r="ENR38" s="19"/>
      <c r="ENS38" s="19"/>
      <c r="ENT38" s="19"/>
      <c r="ENU38" s="19"/>
      <c r="ENV38" s="19"/>
      <c r="ENW38" s="19"/>
      <c r="ENX38" s="19"/>
      <c r="ENY38" s="19"/>
      <c r="ENZ38" s="19"/>
      <c r="EOA38" s="19"/>
      <c r="EOB38" s="19"/>
      <c r="EOC38" s="19"/>
      <c r="EOD38" s="19"/>
      <c r="EOE38" s="19"/>
      <c r="EOF38" s="19"/>
      <c r="EOG38" s="19"/>
      <c r="EOH38" s="19"/>
      <c r="EOI38" s="19"/>
      <c r="EOJ38" s="19"/>
      <c r="EOK38" s="19"/>
      <c r="EOL38" s="19"/>
      <c r="EOM38" s="19"/>
      <c r="EON38" s="19"/>
      <c r="EOO38" s="19"/>
      <c r="EOP38" s="19"/>
      <c r="EOQ38" s="19"/>
      <c r="EOR38" s="19"/>
      <c r="EOS38" s="19"/>
      <c r="EOT38" s="19"/>
      <c r="EOU38" s="19"/>
      <c r="EOV38" s="19"/>
      <c r="EOW38" s="19"/>
      <c r="EOX38" s="19"/>
      <c r="EOY38" s="19"/>
      <c r="EOZ38" s="19"/>
      <c r="EPA38" s="19"/>
      <c r="EPB38" s="19"/>
      <c r="EPC38" s="19"/>
      <c r="EPD38" s="19"/>
      <c r="EPE38" s="19"/>
      <c r="EPF38" s="19"/>
      <c r="EPG38" s="19"/>
      <c r="EPH38" s="19"/>
      <c r="EPI38" s="19"/>
      <c r="EPJ38" s="19"/>
      <c r="EPK38" s="19"/>
      <c r="EPL38" s="19"/>
      <c r="EPM38" s="19"/>
      <c r="EPN38" s="19"/>
      <c r="EPO38" s="19"/>
      <c r="EPP38" s="19"/>
      <c r="EPQ38" s="19"/>
      <c r="EPR38" s="19"/>
      <c r="EPS38" s="19"/>
      <c r="EPT38" s="19"/>
      <c r="EPU38" s="19"/>
      <c r="EPV38" s="19"/>
      <c r="EPW38" s="19"/>
      <c r="EPX38" s="19"/>
      <c r="EPY38" s="19"/>
      <c r="EPZ38" s="19"/>
      <c r="EQA38" s="19"/>
      <c r="EQB38" s="19"/>
      <c r="EQC38" s="19"/>
      <c r="EQD38" s="19"/>
      <c r="EQE38" s="19"/>
      <c r="EQF38" s="19"/>
      <c r="EQG38" s="19"/>
      <c r="EQH38" s="19"/>
      <c r="EQI38" s="19"/>
      <c r="EQJ38" s="19"/>
      <c r="EQK38" s="19"/>
      <c r="EQL38" s="19"/>
      <c r="EQM38" s="19"/>
      <c r="EQN38" s="19"/>
      <c r="EQO38" s="19"/>
      <c r="EQP38" s="19"/>
      <c r="EQQ38" s="19"/>
      <c r="EQR38" s="19"/>
      <c r="EQS38" s="19"/>
      <c r="EQT38" s="19"/>
      <c r="EQU38" s="19"/>
      <c r="EQV38" s="19"/>
      <c r="EQW38" s="19"/>
      <c r="EQX38" s="19"/>
      <c r="EQY38" s="19"/>
      <c r="EQZ38" s="19"/>
      <c r="ERA38" s="19"/>
      <c r="ERB38" s="19"/>
      <c r="ERC38" s="19"/>
      <c r="ERD38" s="19"/>
      <c r="ERE38" s="19"/>
      <c r="ERF38" s="19"/>
      <c r="ERG38" s="19"/>
      <c r="ERH38" s="19"/>
      <c r="ERI38" s="19"/>
      <c r="ERJ38" s="19"/>
      <c r="ERK38" s="19"/>
      <c r="ERL38" s="19"/>
      <c r="ERM38" s="19"/>
      <c r="ERN38" s="19"/>
      <c r="ERO38" s="19"/>
      <c r="ERP38" s="19"/>
      <c r="ERQ38" s="19"/>
      <c r="ERR38" s="19"/>
      <c r="ERS38" s="19"/>
      <c r="ERT38" s="19"/>
      <c r="ERU38" s="19"/>
      <c r="ERV38" s="19"/>
      <c r="ERW38" s="19"/>
      <c r="ERX38" s="19"/>
      <c r="ERY38" s="19"/>
      <c r="ERZ38" s="19"/>
      <c r="ESA38" s="19"/>
      <c r="ESB38" s="19"/>
      <c r="ESC38" s="19"/>
      <c r="ESD38" s="19"/>
      <c r="ESE38" s="19"/>
      <c r="ESF38" s="19"/>
      <c r="ESG38" s="19"/>
      <c r="ESH38" s="19"/>
      <c r="ESI38" s="19"/>
      <c r="ESJ38" s="19"/>
      <c r="ESK38" s="19"/>
      <c r="ESL38" s="19"/>
      <c r="ESM38" s="19"/>
      <c r="ESN38" s="19"/>
      <c r="ESO38" s="19"/>
      <c r="ESP38" s="19"/>
      <c r="ESQ38" s="19"/>
      <c r="ESR38" s="19"/>
      <c r="ESS38" s="19"/>
      <c r="EST38" s="19"/>
      <c r="ESU38" s="19"/>
      <c r="ESV38" s="19"/>
      <c r="ESW38" s="19"/>
      <c r="ESX38" s="19"/>
      <c r="ESY38" s="19"/>
      <c r="ESZ38" s="19"/>
      <c r="ETA38" s="19"/>
      <c r="ETB38" s="19"/>
      <c r="ETC38" s="19"/>
      <c r="ETD38" s="19"/>
      <c r="ETE38" s="19"/>
      <c r="ETF38" s="19"/>
      <c r="ETG38" s="19"/>
      <c r="ETH38" s="19"/>
      <c r="ETI38" s="19"/>
      <c r="ETJ38" s="19"/>
      <c r="ETK38" s="19"/>
      <c r="ETL38" s="19"/>
      <c r="ETM38" s="19"/>
      <c r="ETN38" s="19"/>
      <c r="ETO38" s="19"/>
      <c r="ETP38" s="19"/>
      <c r="ETQ38" s="19"/>
      <c r="ETR38" s="19"/>
      <c r="ETS38" s="19"/>
      <c r="ETT38" s="19"/>
      <c r="ETU38" s="19"/>
      <c r="ETV38" s="19"/>
      <c r="ETW38" s="19"/>
      <c r="ETX38" s="19"/>
      <c r="ETY38" s="19"/>
      <c r="ETZ38" s="19"/>
      <c r="EUA38" s="19"/>
      <c r="EUB38" s="19"/>
      <c r="EUC38" s="19"/>
      <c r="EUD38" s="19"/>
      <c r="EUE38" s="19"/>
      <c r="EUF38" s="19"/>
      <c r="EUG38" s="19"/>
      <c r="EUH38" s="19"/>
      <c r="EUI38" s="19"/>
      <c r="EUJ38" s="19"/>
      <c r="EUK38" s="19"/>
      <c r="EUL38" s="19"/>
      <c r="EUM38" s="19"/>
      <c r="EUN38" s="19"/>
      <c r="EUO38" s="19"/>
      <c r="EUP38" s="19"/>
      <c r="EUQ38" s="19"/>
      <c r="EUR38" s="19"/>
      <c r="EUS38" s="19"/>
      <c r="EUT38" s="19"/>
      <c r="EUU38" s="19"/>
      <c r="EUV38" s="19"/>
      <c r="EUW38" s="19"/>
      <c r="EUX38" s="19"/>
      <c r="EUY38" s="19"/>
      <c r="EUZ38" s="19"/>
      <c r="EVA38" s="19"/>
      <c r="EVB38" s="19"/>
      <c r="EVC38" s="19"/>
      <c r="EVD38" s="19"/>
      <c r="EVE38" s="19"/>
      <c r="EVF38" s="19"/>
      <c r="EVG38" s="19"/>
      <c r="EVH38" s="19"/>
      <c r="EVI38" s="19"/>
      <c r="EVJ38" s="19"/>
      <c r="EVK38" s="19"/>
      <c r="EVL38" s="19"/>
      <c r="EVM38" s="19"/>
      <c r="EVN38" s="19"/>
      <c r="EVO38" s="19"/>
      <c r="EVP38" s="19"/>
      <c r="EVQ38" s="19"/>
      <c r="EVR38" s="19"/>
      <c r="EVS38" s="19"/>
      <c r="EVT38" s="19"/>
      <c r="EVU38" s="19"/>
      <c r="EVV38" s="19"/>
      <c r="EVW38" s="19"/>
      <c r="EVX38" s="19"/>
      <c r="EVY38" s="19"/>
      <c r="EVZ38" s="19"/>
      <c r="EWA38" s="19"/>
      <c r="EWB38" s="19"/>
      <c r="EWC38" s="19"/>
      <c r="EWD38" s="19"/>
      <c r="EWE38" s="19"/>
      <c r="EWF38" s="19"/>
      <c r="EWG38" s="19"/>
      <c r="EWH38" s="19"/>
      <c r="EWI38" s="19"/>
      <c r="EWJ38" s="19"/>
      <c r="EWK38" s="19"/>
      <c r="EWL38" s="19"/>
      <c r="EWM38" s="19"/>
      <c r="EWN38" s="19"/>
      <c r="EWO38" s="19"/>
      <c r="EWP38" s="19"/>
      <c r="EWQ38" s="19"/>
      <c r="EWR38" s="19"/>
      <c r="EWS38" s="19"/>
      <c r="EWT38" s="19"/>
      <c r="EWU38" s="19"/>
      <c r="EWV38" s="19"/>
      <c r="EWW38" s="19"/>
      <c r="EWX38" s="19"/>
      <c r="EWY38" s="19"/>
      <c r="EWZ38" s="19"/>
      <c r="EXA38" s="19"/>
      <c r="EXB38" s="19"/>
      <c r="EXC38" s="19"/>
      <c r="EXD38" s="19"/>
      <c r="EXE38" s="19"/>
      <c r="EXF38" s="19"/>
      <c r="EXG38" s="19"/>
      <c r="EXH38" s="19"/>
      <c r="EXI38" s="19"/>
      <c r="EXJ38" s="19"/>
      <c r="EXK38" s="19"/>
      <c r="EXL38" s="19"/>
      <c r="EXM38" s="19"/>
      <c r="EXN38" s="19"/>
      <c r="EXO38" s="19"/>
      <c r="EXP38" s="19"/>
      <c r="EXQ38" s="19"/>
      <c r="EXR38" s="19"/>
      <c r="EXS38" s="19"/>
      <c r="EXT38" s="19"/>
      <c r="EXU38" s="19"/>
      <c r="EXV38" s="19"/>
      <c r="EXW38" s="19"/>
      <c r="EXX38" s="19"/>
      <c r="EXY38" s="19"/>
      <c r="EXZ38" s="19"/>
      <c r="EYA38" s="19"/>
      <c r="EYB38" s="19"/>
      <c r="EYC38" s="19"/>
      <c r="EYD38" s="19"/>
      <c r="EYE38" s="19"/>
      <c r="EYF38" s="19"/>
      <c r="EYG38" s="19"/>
      <c r="EYH38" s="19"/>
      <c r="EYI38" s="19"/>
      <c r="EYJ38" s="19"/>
      <c r="EYK38" s="19"/>
      <c r="EYL38" s="19"/>
      <c r="EYM38" s="19"/>
      <c r="EYN38" s="19"/>
      <c r="EYO38" s="19"/>
      <c r="EYP38" s="19"/>
      <c r="EYQ38" s="19"/>
      <c r="EYR38" s="19"/>
      <c r="EYS38" s="19"/>
      <c r="EYT38" s="19"/>
      <c r="EYU38" s="19"/>
      <c r="EYV38" s="19"/>
      <c r="EYW38" s="19"/>
      <c r="EYX38" s="19"/>
      <c r="EYY38" s="19"/>
      <c r="EYZ38" s="19"/>
      <c r="EZA38" s="19"/>
      <c r="EZB38" s="19"/>
      <c r="EZC38" s="19"/>
      <c r="EZD38" s="19"/>
      <c r="EZE38" s="19"/>
      <c r="EZF38" s="19"/>
      <c r="EZG38" s="19"/>
      <c r="EZH38" s="19"/>
      <c r="EZI38" s="19"/>
      <c r="EZJ38" s="19"/>
      <c r="EZK38" s="19"/>
      <c r="EZL38" s="19"/>
      <c r="EZM38" s="19"/>
      <c r="EZN38" s="19"/>
      <c r="EZO38" s="19"/>
      <c r="EZP38" s="19"/>
      <c r="EZQ38" s="19"/>
      <c r="EZR38" s="19"/>
      <c r="EZS38" s="19"/>
      <c r="EZT38" s="19"/>
      <c r="EZU38" s="19"/>
      <c r="EZV38" s="19"/>
      <c r="EZW38" s="19"/>
      <c r="EZX38" s="19"/>
      <c r="EZY38" s="19"/>
      <c r="EZZ38" s="19"/>
      <c r="FAA38" s="19"/>
      <c r="FAB38" s="19"/>
      <c r="FAC38" s="19"/>
      <c r="FAD38" s="19"/>
      <c r="FAE38" s="19"/>
      <c r="FAF38" s="19"/>
      <c r="FAG38" s="19"/>
      <c r="FAH38" s="19"/>
      <c r="FAI38" s="19"/>
      <c r="FAJ38" s="19"/>
      <c r="FAK38" s="19"/>
      <c r="FAL38" s="19"/>
      <c r="FAM38" s="19"/>
      <c r="FAN38" s="19"/>
      <c r="FAO38" s="19"/>
      <c r="FAP38" s="19"/>
      <c r="FAQ38" s="19"/>
      <c r="FAR38" s="19"/>
      <c r="FAS38" s="19"/>
      <c r="FAT38" s="19"/>
      <c r="FAU38" s="19"/>
      <c r="FAV38" s="19"/>
      <c r="FAW38" s="19"/>
      <c r="FAX38" s="19"/>
      <c r="FAY38" s="19"/>
      <c r="FAZ38" s="19"/>
      <c r="FBA38" s="19"/>
      <c r="FBB38" s="19"/>
      <c r="FBC38" s="19"/>
      <c r="FBD38" s="19"/>
      <c r="FBE38" s="19"/>
      <c r="FBF38" s="19"/>
      <c r="FBG38" s="19"/>
      <c r="FBH38" s="19"/>
      <c r="FBI38" s="19"/>
      <c r="FBJ38" s="19"/>
      <c r="FBK38" s="19"/>
      <c r="FBL38" s="19"/>
      <c r="FBM38" s="19"/>
      <c r="FBN38" s="19"/>
      <c r="FBO38" s="19"/>
      <c r="FBP38" s="19"/>
      <c r="FBQ38" s="19"/>
      <c r="FBR38" s="19"/>
      <c r="FBS38" s="19"/>
      <c r="FBT38" s="19"/>
      <c r="FBU38" s="19"/>
      <c r="FBV38" s="19"/>
      <c r="FBW38" s="19"/>
      <c r="FBX38" s="19"/>
      <c r="FBY38" s="19"/>
      <c r="FBZ38" s="19"/>
      <c r="FCA38" s="19"/>
      <c r="FCB38" s="19"/>
      <c r="FCC38" s="19"/>
      <c r="FCD38" s="19"/>
      <c r="FCE38" s="19"/>
      <c r="FCF38" s="19"/>
      <c r="FCG38" s="19"/>
      <c r="FCH38" s="19"/>
      <c r="FCI38" s="19"/>
      <c r="FCJ38" s="19"/>
      <c r="FCK38" s="19"/>
      <c r="FCL38" s="19"/>
      <c r="FCM38" s="19"/>
      <c r="FCN38" s="19"/>
      <c r="FCO38" s="19"/>
      <c r="FCP38" s="19"/>
      <c r="FCQ38" s="19"/>
      <c r="FCR38" s="19"/>
      <c r="FCS38" s="19"/>
      <c r="FCT38" s="19"/>
      <c r="FCU38" s="19"/>
      <c r="FCV38" s="19"/>
      <c r="FCW38" s="19"/>
      <c r="FCX38" s="19"/>
      <c r="FCY38" s="19"/>
      <c r="FCZ38" s="19"/>
      <c r="FDA38" s="19"/>
      <c r="FDB38" s="19"/>
      <c r="FDC38" s="19"/>
      <c r="FDD38" s="19"/>
      <c r="FDE38" s="19"/>
      <c r="FDF38" s="19"/>
      <c r="FDG38" s="19"/>
      <c r="FDH38" s="19"/>
      <c r="FDI38" s="19"/>
      <c r="FDJ38" s="19"/>
      <c r="FDK38" s="19"/>
      <c r="FDL38" s="19"/>
      <c r="FDM38" s="19"/>
      <c r="FDN38" s="19"/>
      <c r="FDO38" s="19"/>
      <c r="FDP38" s="19"/>
      <c r="FDQ38" s="19"/>
      <c r="FDR38" s="19"/>
      <c r="FDS38" s="19"/>
      <c r="FDT38" s="19"/>
      <c r="FDU38" s="19"/>
      <c r="FDV38" s="19"/>
      <c r="FDW38" s="19"/>
      <c r="FDX38" s="19"/>
      <c r="FDY38" s="19"/>
      <c r="FDZ38" s="19"/>
      <c r="FEA38" s="19"/>
      <c r="FEB38" s="19"/>
      <c r="FEC38" s="19"/>
      <c r="FED38" s="19"/>
      <c r="FEE38" s="19"/>
      <c r="FEF38" s="19"/>
      <c r="FEG38" s="19"/>
      <c r="FEH38" s="19"/>
      <c r="FEI38" s="19"/>
      <c r="FEJ38" s="19"/>
      <c r="FEK38" s="19"/>
      <c r="FEL38" s="19"/>
      <c r="FEM38" s="19"/>
      <c r="FEN38" s="19"/>
      <c r="FEO38" s="19"/>
      <c r="FEP38" s="19"/>
      <c r="FEQ38" s="19"/>
      <c r="FER38" s="19"/>
      <c r="FES38" s="19"/>
      <c r="FET38" s="19"/>
      <c r="FEU38" s="19"/>
      <c r="FEV38" s="19"/>
      <c r="FEW38" s="19"/>
      <c r="FEX38" s="19"/>
      <c r="FEY38" s="19"/>
      <c r="FEZ38" s="19"/>
      <c r="FFA38" s="19"/>
      <c r="FFB38" s="19"/>
      <c r="FFC38" s="19"/>
      <c r="FFD38" s="19"/>
      <c r="FFE38" s="19"/>
      <c r="FFF38" s="19"/>
      <c r="FFG38" s="19"/>
      <c r="FFH38" s="19"/>
      <c r="FFI38" s="19"/>
      <c r="FFJ38" s="19"/>
      <c r="FFK38" s="19"/>
      <c r="FFL38" s="19"/>
      <c r="FFM38" s="19"/>
      <c r="FFN38" s="19"/>
      <c r="FFO38" s="19"/>
      <c r="FFP38" s="19"/>
      <c r="FFQ38" s="19"/>
      <c r="FFR38" s="19"/>
      <c r="FFS38" s="19"/>
      <c r="FFT38" s="19"/>
      <c r="FFU38" s="19"/>
      <c r="FFV38" s="19"/>
      <c r="FFW38" s="19"/>
      <c r="FFX38" s="19"/>
      <c r="FFY38" s="19"/>
      <c r="FFZ38" s="19"/>
      <c r="FGA38" s="19"/>
      <c r="FGB38" s="19"/>
      <c r="FGC38" s="19"/>
      <c r="FGD38" s="19"/>
      <c r="FGE38" s="19"/>
      <c r="FGF38" s="19"/>
      <c r="FGG38" s="19"/>
      <c r="FGH38" s="19"/>
      <c r="FGI38" s="19"/>
      <c r="FGJ38" s="19"/>
      <c r="FGK38" s="19"/>
      <c r="FGL38" s="19"/>
      <c r="FGM38" s="19"/>
      <c r="FGN38" s="19"/>
      <c r="FGO38" s="19"/>
      <c r="FGP38" s="19"/>
      <c r="FGQ38" s="19"/>
      <c r="FGR38" s="19"/>
      <c r="FGS38" s="19"/>
      <c r="FGT38" s="19"/>
      <c r="FGU38" s="19"/>
      <c r="FGV38" s="19"/>
      <c r="FGW38" s="19"/>
      <c r="FGX38" s="19"/>
      <c r="FGY38" s="19"/>
      <c r="FGZ38" s="19"/>
      <c r="FHA38" s="19"/>
      <c r="FHB38" s="19"/>
      <c r="FHC38" s="19"/>
      <c r="FHD38" s="19"/>
      <c r="FHE38" s="19"/>
      <c r="FHF38" s="19"/>
      <c r="FHG38" s="19"/>
      <c r="FHH38" s="19"/>
      <c r="FHI38" s="19"/>
      <c r="FHJ38" s="19"/>
      <c r="FHK38" s="19"/>
      <c r="FHL38" s="19"/>
      <c r="FHM38" s="19"/>
      <c r="FHN38" s="19"/>
      <c r="FHO38" s="19"/>
      <c r="FHP38" s="19"/>
      <c r="FHQ38" s="19"/>
      <c r="FHR38" s="19"/>
      <c r="FHS38" s="19"/>
      <c r="FHT38" s="19"/>
      <c r="FHU38" s="19"/>
      <c r="FHV38" s="19"/>
      <c r="FHW38" s="19"/>
      <c r="FHX38" s="19"/>
      <c r="FHY38" s="19"/>
      <c r="FHZ38" s="19"/>
      <c r="FIA38" s="19"/>
      <c r="FIB38" s="19"/>
      <c r="FIC38" s="19"/>
      <c r="FID38" s="19"/>
      <c r="FIE38" s="19"/>
      <c r="FIF38" s="19"/>
      <c r="FIG38" s="19"/>
      <c r="FIH38" s="19"/>
      <c r="FII38" s="19"/>
      <c r="FIJ38" s="19"/>
      <c r="FIK38" s="19"/>
      <c r="FIL38" s="19"/>
      <c r="FIM38" s="19"/>
      <c r="FIN38" s="19"/>
      <c r="FIO38" s="19"/>
      <c r="FIP38" s="19"/>
      <c r="FIQ38" s="19"/>
      <c r="FIR38" s="19"/>
      <c r="FIS38" s="19"/>
      <c r="FIT38" s="19"/>
      <c r="FIU38" s="19"/>
      <c r="FIV38" s="19"/>
      <c r="FIW38" s="19"/>
      <c r="FIX38" s="19"/>
      <c r="FIY38" s="19"/>
      <c r="FIZ38" s="19"/>
      <c r="FJA38" s="19"/>
      <c r="FJB38" s="19"/>
      <c r="FJC38" s="19"/>
      <c r="FJD38" s="19"/>
      <c r="FJE38" s="19"/>
      <c r="FJF38" s="19"/>
      <c r="FJG38" s="19"/>
      <c r="FJH38" s="19"/>
      <c r="FJI38" s="19"/>
      <c r="FJJ38" s="19"/>
      <c r="FJK38" s="19"/>
      <c r="FJL38" s="19"/>
      <c r="FJM38" s="19"/>
      <c r="FJN38" s="19"/>
      <c r="FJO38" s="19"/>
      <c r="FJP38" s="19"/>
      <c r="FJQ38" s="19"/>
      <c r="FJR38" s="19"/>
      <c r="FJS38" s="19"/>
      <c r="FJT38" s="19"/>
      <c r="FJU38" s="19"/>
      <c r="FJV38" s="19"/>
      <c r="FJW38" s="19"/>
      <c r="FJX38" s="19"/>
      <c r="FJY38" s="19"/>
      <c r="FJZ38" s="19"/>
      <c r="FKA38" s="19"/>
      <c r="FKB38" s="19"/>
      <c r="FKC38" s="19"/>
      <c r="FKD38" s="19"/>
      <c r="FKE38" s="19"/>
      <c r="FKF38" s="19"/>
      <c r="FKG38" s="19"/>
      <c r="FKH38" s="19"/>
      <c r="FKI38" s="19"/>
      <c r="FKJ38" s="19"/>
      <c r="FKK38" s="19"/>
      <c r="FKL38" s="19"/>
      <c r="FKM38" s="19"/>
      <c r="FKN38" s="19"/>
      <c r="FKO38" s="19"/>
      <c r="FKP38" s="19"/>
      <c r="FKQ38" s="19"/>
      <c r="FKR38" s="19"/>
      <c r="FKS38" s="19"/>
      <c r="FKT38" s="19"/>
      <c r="FKU38" s="19"/>
      <c r="FKV38" s="19"/>
      <c r="FKW38" s="19"/>
      <c r="FKX38" s="19"/>
      <c r="FKY38" s="19"/>
      <c r="FKZ38" s="19"/>
      <c r="FLA38" s="19"/>
      <c r="FLB38" s="19"/>
      <c r="FLC38" s="19"/>
      <c r="FLD38" s="19"/>
      <c r="FLE38" s="19"/>
      <c r="FLF38" s="19"/>
      <c r="FLG38" s="19"/>
      <c r="FLH38" s="19"/>
      <c r="FLI38" s="19"/>
      <c r="FLJ38" s="19"/>
      <c r="FLK38" s="19"/>
      <c r="FLL38" s="19"/>
      <c r="FLM38" s="19"/>
      <c r="FLN38" s="19"/>
      <c r="FLO38" s="19"/>
      <c r="FLP38" s="19"/>
      <c r="FLQ38" s="19"/>
      <c r="FLR38" s="19"/>
      <c r="FLS38" s="19"/>
      <c r="FLT38" s="19"/>
      <c r="FLU38" s="19"/>
      <c r="FLV38" s="19"/>
      <c r="FLW38" s="19"/>
      <c r="FLX38" s="19"/>
      <c r="FLY38" s="19"/>
      <c r="FLZ38" s="19"/>
      <c r="FMA38" s="19"/>
      <c r="FMB38" s="19"/>
      <c r="FMC38" s="19"/>
      <c r="FMD38" s="19"/>
      <c r="FME38" s="19"/>
      <c r="FMF38" s="19"/>
      <c r="FMG38" s="19"/>
      <c r="FMH38" s="19"/>
      <c r="FMI38" s="19"/>
      <c r="FMJ38" s="19"/>
      <c r="FMK38" s="19"/>
      <c r="FML38" s="19"/>
      <c r="FMM38" s="19"/>
      <c r="FMN38" s="19"/>
      <c r="FMO38" s="19"/>
      <c r="FMP38" s="19"/>
      <c r="FMQ38" s="19"/>
      <c r="FMR38" s="19"/>
      <c r="FMS38" s="19"/>
      <c r="FMT38" s="19"/>
      <c r="FMU38" s="19"/>
      <c r="FMV38" s="19"/>
      <c r="FMW38" s="19"/>
      <c r="FMX38" s="19"/>
      <c r="FMY38" s="19"/>
      <c r="FMZ38" s="19"/>
      <c r="FNA38" s="19"/>
      <c r="FNB38" s="19"/>
      <c r="FNC38" s="19"/>
      <c r="FND38" s="19"/>
      <c r="FNE38" s="19"/>
      <c r="FNF38" s="19"/>
      <c r="FNG38" s="19"/>
      <c r="FNH38" s="19"/>
      <c r="FNI38" s="19"/>
      <c r="FNJ38" s="19"/>
      <c r="FNK38" s="19"/>
      <c r="FNL38" s="19"/>
      <c r="FNM38" s="19"/>
      <c r="FNN38" s="19"/>
      <c r="FNO38" s="19"/>
      <c r="FNP38" s="19"/>
      <c r="FNQ38" s="19"/>
      <c r="FNR38" s="19"/>
      <c r="FNS38" s="19"/>
      <c r="FNT38" s="19"/>
      <c r="FNU38" s="19"/>
      <c r="FNV38" s="19"/>
      <c r="FNW38" s="19"/>
      <c r="FNX38" s="19"/>
      <c r="FNY38" s="19"/>
      <c r="FNZ38" s="19"/>
      <c r="FOA38" s="19"/>
      <c r="FOB38" s="19"/>
      <c r="FOC38" s="19"/>
      <c r="FOD38" s="19"/>
      <c r="FOE38" s="19"/>
      <c r="FOF38" s="19"/>
      <c r="FOG38" s="19"/>
      <c r="FOH38" s="19"/>
      <c r="FOI38" s="19"/>
      <c r="FOJ38" s="19"/>
      <c r="FOK38" s="19"/>
      <c r="FOL38" s="19"/>
      <c r="FOM38" s="19"/>
      <c r="FON38" s="19"/>
      <c r="FOO38" s="19"/>
      <c r="FOP38" s="19"/>
      <c r="FOQ38" s="19"/>
      <c r="FOR38" s="19"/>
      <c r="FOS38" s="19"/>
      <c r="FOT38" s="19"/>
      <c r="FOU38" s="19"/>
      <c r="FOV38" s="19"/>
      <c r="FOW38" s="19"/>
      <c r="FOX38" s="19"/>
      <c r="FOY38" s="19"/>
      <c r="FOZ38" s="19"/>
      <c r="FPA38" s="19"/>
      <c r="FPB38" s="19"/>
      <c r="FPC38" s="19"/>
      <c r="FPD38" s="19"/>
      <c r="FPE38" s="19"/>
      <c r="FPF38" s="19"/>
      <c r="FPG38" s="19"/>
      <c r="FPH38" s="19"/>
      <c r="FPI38" s="19"/>
      <c r="FPJ38" s="19"/>
      <c r="FPK38" s="19"/>
      <c r="FPL38" s="19"/>
      <c r="FPM38" s="19"/>
      <c r="FPN38" s="19"/>
      <c r="FPO38" s="19"/>
      <c r="FPP38" s="19"/>
      <c r="FPQ38" s="19"/>
      <c r="FPR38" s="19"/>
      <c r="FPS38" s="19"/>
      <c r="FPT38" s="19"/>
      <c r="FPU38" s="19"/>
      <c r="FPV38" s="19"/>
      <c r="FPW38" s="19"/>
      <c r="FPX38" s="19"/>
      <c r="FPY38" s="19"/>
      <c r="FPZ38" s="19"/>
      <c r="FQA38" s="19"/>
      <c r="FQB38" s="19"/>
      <c r="FQC38" s="19"/>
      <c r="FQD38" s="19"/>
      <c r="FQE38" s="19"/>
      <c r="FQF38" s="19"/>
      <c r="FQG38" s="19"/>
      <c r="FQH38" s="19"/>
      <c r="FQI38" s="19"/>
      <c r="FQJ38" s="19"/>
      <c r="FQK38" s="19"/>
      <c r="FQL38" s="19"/>
      <c r="FQM38" s="19"/>
      <c r="FQN38" s="19"/>
      <c r="FQO38" s="19"/>
      <c r="FQP38" s="19"/>
      <c r="FQQ38" s="19"/>
      <c r="FQR38" s="19"/>
      <c r="FQS38" s="19"/>
      <c r="FQT38" s="19"/>
      <c r="FQU38" s="19"/>
      <c r="FQV38" s="19"/>
      <c r="FQW38" s="19"/>
      <c r="FQX38" s="19"/>
      <c r="FQY38" s="19"/>
      <c r="FQZ38" s="19"/>
      <c r="FRA38" s="19"/>
      <c r="FRB38" s="19"/>
      <c r="FRC38" s="19"/>
      <c r="FRD38" s="19"/>
      <c r="FRE38" s="19"/>
      <c r="FRF38" s="19"/>
      <c r="FRG38" s="19"/>
      <c r="FRH38" s="19"/>
      <c r="FRI38" s="19"/>
      <c r="FRJ38" s="19"/>
      <c r="FRK38" s="19"/>
      <c r="FRL38" s="19"/>
      <c r="FRM38" s="19"/>
      <c r="FRN38" s="19"/>
      <c r="FRO38" s="19"/>
      <c r="FRP38" s="19"/>
      <c r="FRQ38" s="19"/>
      <c r="FRR38" s="19"/>
      <c r="FRS38" s="19"/>
      <c r="FRT38" s="19"/>
      <c r="FRU38" s="19"/>
      <c r="FRV38" s="19"/>
      <c r="FRW38" s="19"/>
      <c r="FRX38" s="19"/>
      <c r="FRY38" s="19"/>
      <c r="FRZ38" s="19"/>
      <c r="FSA38" s="19"/>
      <c r="FSB38" s="19"/>
      <c r="FSC38" s="19"/>
      <c r="FSD38" s="19"/>
      <c r="FSE38" s="19"/>
      <c r="FSF38" s="19"/>
      <c r="FSG38" s="19"/>
      <c r="FSH38" s="19"/>
      <c r="FSI38" s="19"/>
      <c r="FSJ38" s="19"/>
      <c r="FSK38" s="19"/>
      <c r="FSL38" s="19"/>
      <c r="FSM38" s="19"/>
      <c r="FSN38" s="19"/>
      <c r="FSO38" s="19"/>
      <c r="FSP38" s="19"/>
      <c r="FSQ38" s="19"/>
      <c r="FSR38" s="19"/>
      <c r="FSS38" s="19"/>
      <c r="FST38" s="19"/>
      <c r="FSU38" s="19"/>
      <c r="FSV38" s="19"/>
      <c r="FSW38" s="19"/>
      <c r="FSX38" s="19"/>
      <c r="FSY38" s="19"/>
      <c r="FSZ38" s="19"/>
      <c r="FTA38" s="19"/>
      <c r="FTB38" s="19"/>
      <c r="FTC38" s="19"/>
      <c r="FTD38" s="19"/>
      <c r="FTE38" s="19"/>
      <c r="FTF38" s="19"/>
      <c r="FTG38" s="19"/>
      <c r="FTH38" s="19"/>
      <c r="FTI38" s="19"/>
      <c r="FTJ38" s="19"/>
      <c r="FTK38" s="19"/>
      <c r="FTL38" s="19"/>
      <c r="FTM38" s="19"/>
      <c r="FTN38" s="19"/>
      <c r="FTO38" s="19"/>
      <c r="FTP38" s="19"/>
      <c r="FTQ38" s="19"/>
      <c r="FTR38" s="19"/>
      <c r="FTS38" s="19"/>
      <c r="FTT38" s="19"/>
      <c r="FTU38" s="19"/>
      <c r="FTV38" s="19"/>
      <c r="FTW38" s="19"/>
      <c r="FTX38" s="19"/>
      <c r="FTY38" s="19"/>
      <c r="FTZ38" s="19"/>
      <c r="FUA38" s="19"/>
      <c r="FUB38" s="19"/>
      <c r="FUC38" s="19"/>
      <c r="FUD38" s="19"/>
      <c r="FUE38" s="19"/>
      <c r="FUF38" s="19"/>
      <c r="FUG38" s="19"/>
      <c r="FUH38" s="19"/>
      <c r="FUI38" s="19"/>
      <c r="FUJ38" s="19"/>
      <c r="FUK38" s="19"/>
      <c r="FUL38" s="19"/>
      <c r="FUM38" s="19"/>
      <c r="FUN38" s="19"/>
      <c r="FUO38" s="19"/>
      <c r="FUP38" s="19"/>
      <c r="FUQ38" s="19"/>
      <c r="FUR38" s="19"/>
      <c r="FUS38" s="19"/>
      <c r="FUT38" s="19"/>
      <c r="FUU38" s="19"/>
      <c r="FUV38" s="19"/>
      <c r="FUW38" s="19"/>
      <c r="FUX38" s="19"/>
      <c r="FUY38" s="19"/>
      <c r="FUZ38" s="19"/>
      <c r="FVA38" s="19"/>
      <c r="FVB38" s="19"/>
      <c r="FVC38" s="19"/>
      <c r="FVD38" s="19"/>
      <c r="FVE38" s="19"/>
      <c r="FVF38" s="19"/>
      <c r="FVG38" s="19"/>
      <c r="FVH38" s="19"/>
      <c r="FVI38" s="19"/>
      <c r="FVJ38" s="19"/>
      <c r="FVK38" s="19"/>
      <c r="FVL38" s="19"/>
      <c r="FVM38" s="19"/>
      <c r="FVN38" s="19"/>
      <c r="FVO38" s="19"/>
      <c r="FVP38" s="19"/>
      <c r="FVQ38" s="19"/>
      <c r="FVR38" s="19"/>
      <c r="FVS38" s="19"/>
      <c r="FVT38" s="19"/>
      <c r="FVU38" s="19"/>
      <c r="FVV38" s="19"/>
      <c r="FVW38" s="19"/>
      <c r="FVX38" s="19"/>
      <c r="FVY38" s="19"/>
      <c r="FVZ38" s="19"/>
      <c r="FWA38" s="19"/>
      <c r="FWB38" s="19"/>
      <c r="FWC38" s="19"/>
      <c r="FWD38" s="19"/>
      <c r="FWE38" s="19"/>
      <c r="FWF38" s="19"/>
      <c r="FWG38" s="19"/>
      <c r="FWH38" s="19"/>
      <c r="FWI38" s="19"/>
      <c r="FWJ38" s="19"/>
      <c r="FWK38" s="19"/>
      <c r="FWL38" s="19"/>
      <c r="FWM38" s="19"/>
      <c r="FWN38" s="19"/>
      <c r="FWO38" s="19"/>
      <c r="FWP38" s="19"/>
      <c r="FWQ38" s="19"/>
      <c r="FWR38" s="19"/>
      <c r="FWS38" s="19"/>
      <c r="FWT38" s="19"/>
      <c r="FWU38" s="19"/>
      <c r="FWV38" s="19"/>
      <c r="FWW38" s="19"/>
      <c r="FWX38" s="19"/>
      <c r="FWY38" s="19"/>
      <c r="FWZ38" s="19"/>
      <c r="FXA38" s="19"/>
      <c r="FXB38" s="19"/>
      <c r="FXC38" s="19"/>
      <c r="FXD38" s="19"/>
      <c r="FXE38" s="19"/>
      <c r="FXF38" s="19"/>
      <c r="FXG38" s="19"/>
      <c r="FXH38" s="19"/>
      <c r="FXI38" s="19"/>
      <c r="FXJ38" s="19"/>
      <c r="FXK38" s="19"/>
      <c r="FXL38" s="19"/>
      <c r="FXM38" s="19"/>
      <c r="FXN38" s="19"/>
      <c r="FXO38" s="19"/>
      <c r="FXP38" s="19"/>
      <c r="FXQ38" s="19"/>
      <c r="FXR38" s="19"/>
      <c r="FXS38" s="19"/>
      <c r="FXT38" s="19"/>
      <c r="FXU38" s="19"/>
      <c r="FXV38" s="19"/>
      <c r="FXW38" s="19"/>
      <c r="FXX38" s="19"/>
      <c r="FXY38" s="19"/>
      <c r="FXZ38" s="19"/>
      <c r="FYA38" s="19"/>
      <c r="FYB38" s="19"/>
      <c r="FYC38" s="19"/>
      <c r="FYD38" s="19"/>
      <c r="FYE38" s="19"/>
      <c r="FYF38" s="19"/>
      <c r="FYG38" s="19"/>
      <c r="FYH38" s="19"/>
      <c r="FYI38" s="19"/>
      <c r="FYJ38" s="19"/>
      <c r="FYK38" s="19"/>
      <c r="FYL38" s="19"/>
      <c r="FYM38" s="19"/>
      <c r="FYN38" s="19"/>
      <c r="FYO38" s="19"/>
      <c r="FYP38" s="19"/>
      <c r="FYQ38" s="19"/>
      <c r="FYR38" s="19"/>
      <c r="FYS38" s="19"/>
      <c r="FYT38" s="19"/>
      <c r="FYU38" s="19"/>
      <c r="FYV38" s="19"/>
      <c r="FYW38" s="19"/>
      <c r="FYX38" s="19"/>
      <c r="FYY38" s="19"/>
      <c r="FYZ38" s="19"/>
      <c r="FZA38" s="19"/>
      <c r="FZB38" s="19"/>
      <c r="FZC38" s="19"/>
      <c r="FZD38" s="19"/>
      <c r="FZE38" s="19"/>
      <c r="FZF38" s="19"/>
      <c r="FZG38" s="19"/>
      <c r="FZH38" s="19"/>
      <c r="FZI38" s="19"/>
      <c r="FZJ38" s="19"/>
      <c r="FZK38" s="19"/>
      <c r="FZL38" s="19"/>
      <c r="FZM38" s="19"/>
      <c r="FZN38" s="19"/>
      <c r="FZO38" s="19"/>
      <c r="FZP38" s="19"/>
      <c r="FZQ38" s="19"/>
      <c r="FZR38" s="19"/>
      <c r="FZS38" s="19"/>
      <c r="FZT38" s="19"/>
      <c r="FZU38" s="19"/>
      <c r="FZV38" s="19"/>
      <c r="FZW38" s="19"/>
      <c r="FZX38" s="19"/>
      <c r="FZY38" s="19"/>
      <c r="FZZ38" s="19"/>
      <c r="GAA38" s="19"/>
      <c r="GAB38" s="19"/>
      <c r="GAC38" s="19"/>
      <c r="GAD38" s="19"/>
      <c r="GAE38" s="19"/>
      <c r="GAF38" s="19"/>
      <c r="GAG38" s="19"/>
      <c r="GAH38" s="19"/>
      <c r="GAI38" s="19"/>
      <c r="GAJ38" s="19"/>
      <c r="GAK38" s="19"/>
      <c r="GAL38" s="19"/>
      <c r="GAM38" s="19"/>
      <c r="GAN38" s="19"/>
      <c r="GAO38" s="19"/>
      <c r="GAP38" s="19"/>
      <c r="GAQ38" s="19"/>
      <c r="GAR38" s="19"/>
      <c r="GAS38" s="19"/>
      <c r="GAT38" s="19"/>
      <c r="GAU38" s="19"/>
      <c r="GAV38" s="19"/>
      <c r="GAW38" s="19"/>
      <c r="GAX38" s="19"/>
      <c r="GAY38" s="19"/>
      <c r="GAZ38" s="19"/>
      <c r="GBA38" s="19"/>
      <c r="GBB38" s="19"/>
      <c r="GBC38" s="19"/>
      <c r="GBD38" s="19"/>
      <c r="GBE38" s="19"/>
      <c r="GBF38" s="19"/>
      <c r="GBG38" s="19"/>
      <c r="GBH38" s="19"/>
      <c r="GBI38" s="19"/>
      <c r="GBJ38" s="19"/>
      <c r="GBK38" s="19"/>
      <c r="GBL38" s="19"/>
      <c r="GBM38" s="19"/>
      <c r="GBN38" s="19"/>
      <c r="GBO38" s="19"/>
      <c r="GBP38" s="19"/>
      <c r="GBQ38" s="19"/>
      <c r="GBR38" s="19"/>
      <c r="GBS38" s="19"/>
      <c r="GBT38" s="19"/>
      <c r="GBU38" s="19"/>
      <c r="GBV38" s="19"/>
      <c r="GBW38" s="19"/>
      <c r="GBX38" s="19"/>
      <c r="GBY38" s="19"/>
      <c r="GBZ38" s="19"/>
      <c r="GCA38" s="19"/>
      <c r="GCB38" s="19"/>
      <c r="GCC38" s="19"/>
      <c r="GCD38" s="19"/>
      <c r="GCE38" s="19"/>
      <c r="GCF38" s="19"/>
      <c r="GCG38" s="19"/>
      <c r="GCH38" s="19"/>
      <c r="GCI38" s="19"/>
      <c r="GCJ38" s="19"/>
      <c r="GCK38" s="19"/>
      <c r="GCL38" s="19"/>
      <c r="GCM38" s="19"/>
      <c r="GCN38" s="19"/>
      <c r="GCO38" s="19"/>
      <c r="GCP38" s="19"/>
      <c r="GCQ38" s="19"/>
      <c r="GCR38" s="19"/>
      <c r="GCS38" s="19"/>
      <c r="GCT38" s="19"/>
      <c r="GCU38" s="19"/>
      <c r="GCV38" s="19"/>
      <c r="GCW38" s="19"/>
      <c r="GCX38" s="19"/>
      <c r="GCY38" s="19"/>
      <c r="GCZ38" s="19"/>
      <c r="GDA38" s="19"/>
      <c r="GDB38" s="19"/>
      <c r="GDC38" s="19"/>
      <c r="GDD38" s="19"/>
      <c r="GDE38" s="19"/>
      <c r="GDF38" s="19"/>
      <c r="GDG38" s="19"/>
      <c r="GDH38" s="19"/>
      <c r="GDI38" s="19"/>
      <c r="GDJ38" s="19"/>
      <c r="GDK38" s="19"/>
      <c r="GDL38" s="19"/>
      <c r="GDM38" s="19"/>
      <c r="GDN38" s="19"/>
      <c r="GDO38" s="19"/>
      <c r="GDP38" s="19"/>
      <c r="GDQ38" s="19"/>
      <c r="GDR38" s="19"/>
      <c r="GDS38" s="19"/>
      <c r="GDT38" s="19"/>
      <c r="GDU38" s="19"/>
      <c r="GDV38" s="19"/>
      <c r="GDW38" s="19"/>
      <c r="GDX38" s="19"/>
      <c r="GDY38" s="19"/>
      <c r="GDZ38" s="19"/>
      <c r="GEA38" s="19"/>
      <c r="GEB38" s="19"/>
      <c r="GEC38" s="19"/>
      <c r="GED38" s="19"/>
      <c r="GEE38" s="19"/>
      <c r="GEF38" s="19"/>
      <c r="GEG38" s="19"/>
      <c r="GEH38" s="19"/>
      <c r="GEI38" s="19"/>
      <c r="GEJ38" s="19"/>
      <c r="GEK38" s="19"/>
      <c r="GEL38" s="19"/>
      <c r="GEM38" s="19"/>
      <c r="GEN38" s="19"/>
      <c r="GEO38" s="19"/>
      <c r="GEP38" s="19"/>
      <c r="GEQ38" s="19"/>
      <c r="GER38" s="19"/>
      <c r="GES38" s="19"/>
      <c r="GET38" s="19"/>
      <c r="GEU38" s="19"/>
      <c r="GEV38" s="19"/>
      <c r="GEW38" s="19"/>
      <c r="GEX38" s="19"/>
      <c r="GEY38" s="19"/>
      <c r="GEZ38" s="19"/>
      <c r="GFA38" s="19"/>
      <c r="GFB38" s="19"/>
      <c r="GFC38" s="19"/>
      <c r="GFD38" s="19"/>
      <c r="GFE38" s="19"/>
      <c r="GFF38" s="19"/>
      <c r="GFG38" s="19"/>
      <c r="GFH38" s="19"/>
      <c r="GFI38" s="19"/>
      <c r="GFJ38" s="19"/>
      <c r="GFK38" s="19"/>
      <c r="GFL38" s="19"/>
      <c r="GFM38" s="19"/>
      <c r="GFN38" s="19"/>
      <c r="GFO38" s="19"/>
      <c r="GFP38" s="19"/>
      <c r="GFQ38" s="19"/>
      <c r="GFR38" s="19"/>
      <c r="GFS38" s="19"/>
      <c r="GFT38" s="19"/>
      <c r="GFU38" s="19"/>
      <c r="GFV38" s="19"/>
      <c r="GFW38" s="19"/>
      <c r="GFX38" s="19"/>
      <c r="GFY38" s="19"/>
      <c r="GFZ38" s="19"/>
      <c r="GGA38" s="19"/>
      <c r="GGB38" s="19"/>
      <c r="GGC38" s="19"/>
      <c r="GGD38" s="19"/>
      <c r="GGE38" s="19"/>
      <c r="GGF38" s="19"/>
      <c r="GGG38" s="19"/>
      <c r="GGH38" s="19"/>
      <c r="GGI38" s="19"/>
      <c r="GGJ38" s="19"/>
      <c r="GGK38" s="19"/>
      <c r="GGL38" s="19"/>
      <c r="GGM38" s="19"/>
      <c r="GGN38" s="19"/>
      <c r="GGO38" s="19"/>
      <c r="GGP38" s="19"/>
      <c r="GGQ38" s="19"/>
      <c r="GGR38" s="19"/>
      <c r="GGS38" s="19"/>
      <c r="GGT38" s="19"/>
      <c r="GGU38" s="19"/>
      <c r="GGV38" s="19"/>
      <c r="GGW38" s="19"/>
      <c r="GGX38" s="19"/>
      <c r="GGY38" s="19"/>
      <c r="GGZ38" s="19"/>
      <c r="GHA38" s="19"/>
      <c r="GHB38" s="19"/>
      <c r="GHC38" s="19"/>
      <c r="GHD38" s="19"/>
      <c r="GHE38" s="19"/>
      <c r="GHF38" s="19"/>
      <c r="GHG38" s="19"/>
      <c r="GHH38" s="19"/>
      <c r="GHI38" s="19"/>
      <c r="GHJ38" s="19"/>
      <c r="GHK38" s="19"/>
      <c r="GHL38" s="19"/>
      <c r="GHM38" s="19"/>
      <c r="GHN38" s="19"/>
      <c r="GHO38" s="19"/>
      <c r="GHP38" s="19"/>
      <c r="GHQ38" s="19"/>
      <c r="GHR38" s="19"/>
      <c r="GHS38" s="19"/>
      <c r="GHT38" s="19"/>
      <c r="GHU38" s="19"/>
      <c r="GHV38" s="19"/>
      <c r="GHW38" s="19"/>
      <c r="GHX38" s="19"/>
      <c r="GHY38" s="19"/>
      <c r="GHZ38" s="19"/>
      <c r="GIA38" s="19"/>
      <c r="GIB38" s="19"/>
      <c r="GIC38" s="19"/>
      <c r="GID38" s="19"/>
      <c r="GIE38" s="19"/>
      <c r="GIF38" s="19"/>
      <c r="GIG38" s="19"/>
      <c r="GIH38" s="19"/>
      <c r="GII38" s="19"/>
      <c r="GIJ38" s="19"/>
      <c r="GIK38" s="19"/>
      <c r="GIL38" s="19"/>
      <c r="GIM38" s="19"/>
      <c r="GIN38" s="19"/>
      <c r="GIO38" s="19"/>
      <c r="GIP38" s="19"/>
      <c r="GIQ38" s="19"/>
      <c r="GIR38" s="19"/>
      <c r="GIS38" s="19"/>
      <c r="GIT38" s="19"/>
      <c r="GIU38" s="19"/>
      <c r="GIV38" s="19"/>
      <c r="GIW38" s="19"/>
      <c r="GIX38" s="19"/>
      <c r="GIY38" s="19"/>
      <c r="GIZ38" s="19"/>
      <c r="GJA38" s="19"/>
      <c r="GJB38" s="19"/>
      <c r="GJC38" s="19"/>
      <c r="GJD38" s="19"/>
      <c r="GJE38" s="19"/>
      <c r="GJF38" s="19"/>
      <c r="GJG38" s="19"/>
      <c r="GJH38" s="19"/>
      <c r="GJI38" s="19"/>
      <c r="GJJ38" s="19"/>
      <c r="GJK38" s="19"/>
      <c r="GJL38" s="19"/>
      <c r="GJM38" s="19"/>
      <c r="GJN38" s="19"/>
      <c r="GJO38" s="19"/>
      <c r="GJP38" s="19"/>
      <c r="GJQ38" s="19"/>
      <c r="GJR38" s="19"/>
      <c r="GJS38" s="19"/>
      <c r="GJT38" s="19"/>
      <c r="GJU38" s="19"/>
      <c r="GJV38" s="19"/>
      <c r="GJW38" s="19"/>
      <c r="GJX38" s="19"/>
      <c r="GJY38" s="19"/>
      <c r="GJZ38" s="19"/>
      <c r="GKA38" s="19"/>
      <c r="GKB38" s="19"/>
      <c r="GKC38" s="19"/>
      <c r="GKD38" s="19"/>
      <c r="GKE38" s="19"/>
      <c r="GKF38" s="19"/>
      <c r="GKG38" s="19"/>
      <c r="GKH38" s="19"/>
      <c r="GKI38" s="19"/>
      <c r="GKJ38" s="19"/>
      <c r="GKK38" s="19"/>
      <c r="GKL38" s="19"/>
      <c r="GKM38" s="19"/>
      <c r="GKN38" s="19"/>
      <c r="GKO38" s="19"/>
      <c r="GKP38" s="19"/>
      <c r="GKQ38" s="19"/>
      <c r="GKR38" s="19"/>
      <c r="GKS38" s="19"/>
      <c r="GKT38" s="19"/>
      <c r="GKU38" s="19"/>
      <c r="GKV38" s="19"/>
      <c r="GKW38" s="19"/>
      <c r="GKX38" s="19"/>
      <c r="GKY38" s="19"/>
      <c r="GKZ38" s="19"/>
      <c r="GLA38" s="19"/>
      <c r="GLB38" s="19"/>
      <c r="GLC38" s="19"/>
      <c r="GLD38" s="19"/>
      <c r="GLE38" s="19"/>
      <c r="GLF38" s="19"/>
      <c r="GLG38" s="19"/>
      <c r="GLH38" s="19"/>
      <c r="GLI38" s="19"/>
      <c r="GLJ38" s="19"/>
      <c r="GLK38" s="19"/>
      <c r="GLL38" s="19"/>
      <c r="GLM38" s="19"/>
      <c r="GLN38" s="19"/>
      <c r="GLO38" s="19"/>
      <c r="GLP38" s="19"/>
      <c r="GLQ38" s="19"/>
      <c r="GLR38" s="19"/>
      <c r="GLS38" s="19"/>
      <c r="GLT38" s="19"/>
      <c r="GLU38" s="19"/>
      <c r="GLV38" s="19"/>
      <c r="GLW38" s="19"/>
      <c r="GLX38" s="19"/>
      <c r="GLY38" s="19"/>
      <c r="GLZ38" s="19"/>
      <c r="GMA38" s="19"/>
      <c r="GMB38" s="19"/>
      <c r="GMC38" s="19"/>
      <c r="GMD38" s="19"/>
      <c r="GME38" s="19"/>
      <c r="GMF38" s="19"/>
      <c r="GMG38" s="19"/>
      <c r="GMH38" s="19"/>
      <c r="GMI38" s="19"/>
      <c r="GMJ38" s="19"/>
      <c r="GMK38" s="19"/>
      <c r="GML38" s="19"/>
      <c r="GMM38" s="19"/>
      <c r="GMN38" s="19"/>
      <c r="GMO38" s="19"/>
      <c r="GMP38" s="19"/>
      <c r="GMQ38" s="19"/>
      <c r="GMR38" s="19"/>
      <c r="GMS38" s="19"/>
      <c r="GMT38" s="19"/>
      <c r="GMU38" s="19"/>
      <c r="GMV38" s="19"/>
      <c r="GMW38" s="19"/>
      <c r="GMX38" s="19"/>
      <c r="GMY38" s="19"/>
      <c r="GMZ38" s="19"/>
      <c r="GNA38" s="19"/>
      <c r="GNB38" s="19"/>
      <c r="GNC38" s="19"/>
      <c r="GND38" s="19"/>
      <c r="GNE38" s="19"/>
      <c r="GNF38" s="19"/>
      <c r="GNG38" s="19"/>
      <c r="GNH38" s="19"/>
      <c r="GNI38" s="19"/>
      <c r="GNJ38" s="19"/>
      <c r="GNK38" s="19"/>
      <c r="GNL38" s="19"/>
      <c r="GNM38" s="19"/>
      <c r="GNN38" s="19"/>
      <c r="GNO38" s="19"/>
      <c r="GNP38" s="19"/>
      <c r="GNQ38" s="19"/>
      <c r="GNR38" s="19"/>
      <c r="GNS38" s="19"/>
      <c r="GNT38" s="19"/>
      <c r="GNU38" s="19"/>
      <c r="GNV38" s="19"/>
      <c r="GNW38" s="19"/>
      <c r="GNX38" s="19"/>
      <c r="GNY38" s="19"/>
      <c r="GNZ38" s="19"/>
      <c r="GOA38" s="19"/>
      <c r="GOB38" s="19"/>
      <c r="GOC38" s="19"/>
      <c r="GOD38" s="19"/>
      <c r="GOE38" s="19"/>
      <c r="GOF38" s="19"/>
      <c r="GOG38" s="19"/>
      <c r="GOH38" s="19"/>
      <c r="GOI38" s="19"/>
      <c r="GOJ38" s="19"/>
      <c r="GOK38" s="19"/>
      <c r="GOL38" s="19"/>
      <c r="GOM38" s="19"/>
      <c r="GON38" s="19"/>
      <c r="GOO38" s="19"/>
      <c r="GOP38" s="19"/>
      <c r="GOQ38" s="19"/>
      <c r="GOR38" s="19"/>
      <c r="GOS38" s="19"/>
      <c r="GOT38" s="19"/>
      <c r="GOU38" s="19"/>
      <c r="GOV38" s="19"/>
      <c r="GOW38" s="19"/>
      <c r="GOX38" s="19"/>
      <c r="GOY38" s="19"/>
      <c r="GOZ38" s="19"/>
      <c r="GPA38" s="19"/>
      <c r="GPB38" s="19"/>
      <c r="GPC38" s="19"/>
      <c r="GPD38" s="19"/>
      <c r="GPE38" s="19"/>
      <c r="GPF38" s="19"/>
      <c r="GPG38" s="19"/>
      <c r="GPH38" s="19"/>
      <c r="GPI38" s="19"/>
      <c r="GPJ38" s="19"/>
      <c r="GPK38" s="19"/>
      <c r="GPL38" s="19"/>
      <c r="GPM38" s="19"/>
      <c r="GPN38" s="19"/>
      <c r="GPO38" s="19"/>
      <c r="GPP38" s="19"/>
      <c r="GPQ38" s="19"/>
      <c r="GPR38" s="19"/>
      <c r="GPS38" s="19"/>
      <c r="GPT38" s="19"/>
      <c r="GPU38" s="19"/>
      <c r="GPV38" s="19"/>
      <c r="GPW38" s="19"/>
      <c r="GPX38" s="19"/>
      <c r="GPY38" s="19"/>
      <c r="GPZ38" s="19"/>
      <c r="GQA38" s="19"/>
      <c r="GQB38" s="19"/>
      <c r="GQC38" s="19"/>
      <c r="GQD38" s="19"/>
      <c r="GQE38" s="19"/>
      <c r="GQF38" s="19"/>
      <c r="GQG38" s="19"/>
      <c r="GQH38" s="19"/>
      <c r="GQI38" s="19"/>
      <c r="GQJ38" s="19"/>
      <c r="GQK38" s="19"/>
      <c r="GQL38" s="19"/>
      <c r="GQM38" s="19"/>
      <c r="GQN38" s="19"/>
      <c r="GQO38" s="19"/>
      <c r="GQP38" s="19"/>
      <c r="GQQ38" s="19"/>
      <c r="GQR38" s="19"/>
      <c r="GQS38" s="19"/>
      <c r="GQT38" s="19"/>
      <c r="GQU38" s="19"/>
      <c r="GQV38" s="19"/>
      <c r="GQW38" s="19"/>
      <c r="GQX38" s="19"/>
      <c r="GQY38" s="19"/>
      <c r="GQZ38" s="19"/>
      <c r="GRA38" s="19"/>
      <c r="GRB38" s="19"/>
      <c r="GRC38" s="19"/>
      <c r="GRD38" s="19"/>
      <c r="GRE38" s="19"/>
      <c r="GRF38" s="19"/>
      <c r="GRG38" s="19"/>
      <c r="GRH38" s="19"/>
      <c r="GRI38" s="19"/>
      <c r="GRJ38" s="19"/>
      <c r="GRK38" s="19"/>
      <c r="GRL38" s="19"/>
      <c r="GRM38" s="19"/>
      <c r="GRN38" s="19"/>
      <c r="GRO38" s="19"/>
      <c r="GRP38" s="19"/>
      <c r="GRQ38" s="19"/>
      <c r="GRR38" s="19"/>
      <c r="GRS38" s="19"/>
      <c r="GRT38" s="19"/>
      <c r="GRU38" s="19"/>
      <c r="GRV38" s="19"/>
      <c r="GRW38" s="19"/>
      <c r="GRX38" s="19"/>
      <c r="GRY38" s="19"/>
      <c r="GRZ38" s="19"/>
      <c r="GSA38" s="19"/>
      <c r="GSB38" s="19"/>
      <c r="GSC38" s="19"/>
      <c r="GSD38" s="19"/>
      <c r="GSE38" s="19"/>
      <c r="GSF38" s="19"/>
      <c r="GSG38" s="19"/>
      <c r="GSH38" s="19"/>
      <c r="GSI38" s="19"/>
      <c r="GSJ38" s="19"/>
      <c r="GSK38" s="19"/>
      <c r="GSL38" s="19"/>
      <c r="GSM38" s="19"/>
      <c r="GSN38" s="19"/>
      <c r="GSO38" s="19"/>
      <c r="GSP38" s="19"/>
      <c r="GSQ38" s="19"/>
      <c r="GSR38" s="19"/>
      <c r="GSS38" s="19"/>
      <c r="GST38" s="19"/>
      <c r="GSU38" s="19"/>
      <c r="GSV38" s="19"/>
      <c r="GSW38" s="19"/>
      <c r="GSX38" s="19"/>
      <c r="GSY38" s="19"/>
      <c r="GSZ38" s="19"/>
      <c r="GTA38" s="19"/>
      <c r="GTB38" s="19"/>
      <c r="GTC38" s="19"/>
      <c r="GTD38" s="19"/>
      <c r="GTE38" s="19"/>
      <c r="GTF38" s="19"/>
      <c r="GTG38" s="19"/>
      <c r="GTH38" s="19"/>
      <c r="GTI38" s="19"/>
      <c r="GTJ38" s="19"/>
      <c r="GTK38" s="19"/>
      <c r="GTL38" s="19"/>
      <c r="GTM38" s="19"/>
      <c r="GTN38" s="19"/>
      <c r="GTO38" s="19"/>
      <c r="GTP38" s="19"/>
      <c r="GTQ38" s="19"/>
      <c r="GTR38" s="19"/>
      <c r="GTS38" s="19"/>
      <c r="GTT38" s="19"/>
      <c r="GTU38" s="19"/>
      <c r="GTV38" s="19"/>
      <c r="GTW38" s="19"/>
      <c r="GTX38" s="19"/>
      <c r="GTY38" s="19"/>
      <c r="GTZ38" s="19"/>
      <c r="GUA38" s="19"/>
      <c r="GUB38" s="19"/>
      <c r="GUC38" s="19"/>
      <c r="GUD38" s="19"/>
      <c r="GUE38" s="19"/>
      <c r="GUF38" s="19"/>
      <c r="GUG38" s="19"/>
      <c r="GUH38" s="19"/>
      <c r="GUI38" s="19"/>
      <c r="GUJ38" s="19"/>
      <c r="GUK38" s="19"/>
      <c r="GUL38" s="19"/>
      <c r="GUM38" s="19"/>
      <c r="GUN38" s="19"/>
      <c r="GUO38" s="19"/>
      <c r="GUP38" s="19"/>
      <c r="GUQ38" s="19"/>
      <c r="GUR38" s="19"/>
      <c r="GUS38" s="19"/>
      <c r="GUT38" s="19"/>
      <c r="GUU38" s="19"/>
      <c r="GUV38" s="19"/>
      <c r="GUW38" s="19"/>
      <c r="GUX38" s="19"/>
      <c r="GUY38" s="19"/>
      <c r="GUZ38" s="19"/>
      <c r="GVA38" s="19"/>
      <c r="GVB38" s="19"/>
      <c r="GVC38" s="19"/>
      <c r="GVD38" s="19"/>
      <c r="GVE38" s="19"/>
      <c r="GVF38" s="19"/>
      <c r="GVG38" s="19"/>
      <c r="GVH38" s="19"/>
      <c r="GVI38" s="19"/>
      <c r="GVJ38" s="19"/>
      <c r="GVK38" s="19"/>
      <c r="GVL38" s="19"/>
      <c r="GVM38" s="19"/>
      <c r="GVN38" s="19"/>
      <c r="GVO38" s="19"/>
      <c r="GVP38" s="19"/>
      <c r="GVQ38" s="19"/>
      <c r="GVR38" s="19"/>
      <c r="GVS38" s="19"/>
      <c r="GVT38" s="19"/>
      <c r="GVU38" s="19"/>
      <c r="GVV38" s="19"/>
      <c r="GVW38" s="19"/>
      <c r="GVX38" s="19"/>
      <c r="GVY38" s="19"/>
      <c r="GVZ38" s="19"/>
      <c r="GWA38" s="19"/>
      <c r="GWB38" s="19"/>
      <c r="GWC38" s="19"/>
      <c r="GWD38" s="19"/>
      <c r="GWE38" s="19"/>
      <c r="GWF38" s="19"/>
      <c r="GWG38" s="19"/>
      <c r="GWH38" s="19"/>
      <c r="GWI38" s="19"/>
      <c r="GWJ38" s="19"/>
      <c r="GWK38" s="19"/>
      <c r="GWL38" s="19"/>
      <c r="GWM38" s="19"/>
      <c r="GWN38" s="19"/>
      <c r="GWO38" s="19"/>
      <c r="GWP38" s="19"/>
      <c r="GWQ38" s="19"/>
      <c r="GWR38" s="19"/>
      <c r="GWS38" s="19"/>
      <c r="GWT38" s="19"/>
      <c r="GWU38" s="19"/>
      <c r="GWV38" s="19"/>
      <c r="GWW38" s="19"/>
      <c r="GWX38" s="19"/>
      <c r="GWY38" s="19"/>
      <c r="GWZ38" s="19"/>
      <c r="GXA38" s="19"/>
      <c r="GXB38" s="19"/>
      <c r="GXC38" s="19"/>
      <c r="GXD38" s="19"/>
      <c r="GXE38" s="19"/>
      <c r="GXF38" s="19"/>
      <c r="GXG38" s="19"/>
      <c r="GXH38" s="19"/>
      <c r="GXI38" s="19"/>
      <c r="GXJ38" s="19"/>
      <c r="GXK38" s="19"/>
      <c r="GXL38" s="19"/>
      <c r="GXM38" s="19"/>
      <c r="GXN38" s="19"/>
      <c r="GXO38" s="19"/>
      <c r="GXP38" s="19"/>
      <c r="GXQ38" s="19"/>
      <c r="GXR38" s="19"/>
      <c r="GXS38" s="19"/>
      <c r="GXT38" s="19"/>
      <c r="GXU38" s="19"/>
      <c r="GXV38" s="19"/>
      <c r="GXW38" s="19"/>
      <c r="GXX38" s="19"/>
      <c r="GXY38" s="19"/>
      <c r="GXZ38" s="19"/>
      <c r="GYA38" s="19"/>
      <c r="GYB38" s="19"/>
      <c r="GYC38" s="19"/>
      <c r="GYD38" s="19"/>
      <c r="GYE38" s="19"/>
      <c r="GYF38" s="19"/>
      <c r="GYG38" s="19"/>
      <c r="GYH38" s="19"/>
      <c r="GYI38" s="19"/>
      <c r="GYJ38" s="19"/>
      <c r="GYK38" s="19"/>
      <c r="GYL38" s="19"/>
      <c r="GYM38" s="19"/>
      <c r="GYN38" s="19"/>
      <c r="GYO38" s="19"/>
      <c r="GYP38" s="19"/>
      <c r="GYQ38" s="19"/>
      <c r="GYR38" s="19"/>
      <c r="GYS38" s="19"/>
      <c r="GYT38" s="19"/>
      <c r="GYU38" s="19"/>
      <c r="GYV38" s="19"/>
      <c r="GYW38" s="19"/>
      <c r="GYX38" s="19"/>
      <c r="GYY38" s="19"/>
      <c r="GYZ38" s="19"/>
      <c r="GZA38" s="19"/>
      <c r="GZB38" s="19"/>
      <c r="GZC38" s="19"/>
      <c r="GZD38" s="19"/>
      <c r="GZE38" s="19"/>
      <c r="GZF38" s="19"/>
      <c r="GZG38" s="19"/>
      <c r="GZH38" s="19"/>
      <c r="GZI38" s="19"/>
      <c r="GZJ38" s="19"/>
      <c r="GZK38" s="19"/>
      <c r="GZL38" s="19"/>
      <c r="GZM38" s="19"/>
      <c r="GZN38" s="19"/>
      <c r="GZO38" s="19"/>
      <c r="GZP38" s="19"/>
      <c r="GZQ38" s="19"/>
      <c r="GZR38" s="19"/>
      <c r="GZS38" s="19"/>
      <c r="GZT38" s="19"/>
      <c r="GZU38" s="19"/>
      <c r="GZV38" s="19"/>
      <c r="GZW38" s="19"/>
      <c r="GZX38" s="19"/>
      <c r="GZY38" s="19"/>
      <c r="GZZ38" s="19"/>
      <c r="HAA38" s="19"/>
      <c r="HAB38" s="19"/>
      <c r="HAC38" s="19"/>
      <c r="HAD38" s="19"/>
      <c r="HAE38" s="19"/>
      <c r="HAF38" s="19"/>
      <c r="HAG38" s="19"/>
      <c r="HAH38" s="19"/>
      <c r="HAI38" s="19"/>
      <c r="HAJ38" s="19"/>
      <c r="HAK38" s="19"/>
      <c r="HAL38" s="19"/>
      <c r="HAM38" s="19"/>
      <c r="HAN38" s="19"/>
      <c r="HAO38" s="19"/>
      <c r="HAP38" s="19"/>
      <c r="HAQ38" s="19"/>
      <c r="HAR38" s="19"/>
      <c r="HAS38" s="19"/>
      <c r="HAT38" s="19"/>
      <c r="HAU38" s="19"/>
      <c r="HAV38" s="19"/>
      <c r="HAW38" s="19"/>
      <c r="HAX38" s="19"/>
      <c r="HAY38" s="19"/>
      <c r="HAZ38" s="19"/>
      <c r="HBA38" s="19"/>
      <c r="HBB38" s="19"/>
      <c r="HBC38" s="19"/>
      <c r="HBD38" s="19"/>
      <c r="HBE38" s="19"/>
      <c r="HBF38" s="19"/>
      <c r="HBG38" s="19"/>
      <c r="HBH38" s="19"/>
      <c r="HBI38" s="19"/>
      <c r="HBJ38" s="19"/>
      <c r="HBK38" s="19"/>
      <c r="HBL38" s="19"/>
      <c r="HBM38" s="19"/>
      <c r="HBN38" s="19"/>
      <c r="HBO38" s="19"/>
      <c r="HBP38" s="19"/>
      <c r="HBQ38" s="19"/>
      <c r="HBR38" s="19"/>
      <c r="HBS38" s="19"/>
      <c r="HBT38" s="19"/>
      <c r="HBU38" s="19"/>
      <c r="HBV38" s="19"/>
      <c r="HBW38" s="19"/>
      <c r="HBX38" s="19"/>
      <c r="HBY38" s="19"/>
      <c r="HBZ38" s="19"/>
      <c r="HCA38" s="19"/>
      <c r="HCB38" s="19"/>
      <c r="HCC38" s="19"/>
      <c r="HCD38" s="19"/>
      <c r="HCE38" s="19"/>
      <c r="HCF38" s="19"/>
      <c r="HCG38" s="19"/>
      <c r="HCH38" s="19"/>
      <c r="HCI38" s="19"/>
      <c r="HCJ38" s="19"/>
      <c r="HCK38" s="19"/>
      <c r="HCL38" s="19"/>
      <c r="HCM38" s="19"/>
      <c r="HCN38" s="19"/>
      <c r="HCO38" s="19"/>
      <c r="HCP38" s="19"/>
      <c r="HCQ38" s="19"/>
      <c r="HCR38" s="19"/>
      <c r="HCS38" s="19"/>
      <c r="HCT38" s="19"/>
      <c r="HCU38" s="19"/>
      <c r="HCV38" s="19"/>
      <c r="HCW38" s="19"/>
      <c r="HCX38" s="19"/>
      <c r="HCY38" s="19"/>
      <c r="HCZ38" s="19"/>
      <c r="HDA38" s="19"/>
      <c r="HDB38" s="19"/>
      <c r="HDC38" s="19"/>
      <c r="HDD38" s="19"/>
      <c r="HDE38" s="19"/>
      <c r="HDF38" s="19"/>
      <c r="HDG38" s="19"/>
      <c r="HDH38" s="19"/>
      <c r="HDI38" s="19"/>
      <c r="HDJ38" s="19"/>
      <c r="HDK38" s="19"/>
      <c r="HDL38" s="19"/>
      <c r="HDM38" s="19"/>
      <c r="HDN38" s="19"/>
      <c r="HDO38" s="19"/>
      <c r="HDP38" s="19"/>
      <c r="HDQ38" s="19"/>
      <c r="HDR38" s="19"/>
      <c r="HDS38" s="19"/>
      <c r="HDT38" s="19"/>
      <c r="HDU38" s="19"/>
      <c r="HDV38" s="19"/>
      <c r="HDW38" s="19"/>
      <c r="HDX38" s="19"/>
      <c r="HDY38" s="19"/>
      <c r="HDZ38" s="19"/>
      <c r="HEA38" s="19"/>
      <c r="HEB38" s="19"/>
      <c r="HEC38" s="19"/>
      <c r="HED38" s="19"/>
      <c r="HEE38" s="19"/>
      <c r="HEF38" s="19"/>
      <c r="HEG38" s="19"/>
      <c r="HEH38" s="19"/>
      <c r="HEI38" s="19"/>
      <c r="HEJ38" s="19"/>
      <c r="HEK38" s="19"/>
      <c r="HEL38" s="19"/>
      <c r="HEM38" s="19"/>
      <c r="HEN38" s="19"/>
      <c r="HEO38" s="19"/>
      <c r="HEP38" s="19"/>
      <c r="HEQ38" s="19"/>
      <c r="HER38" s="19"/>
      <c r="HES38" s="19"/>
      <c r="HET38" s="19"/>
      <c r="HEU38" s="19"/>
      <c r="HEV38" s="19"/>
      <c r="HEW38" s="19"/>
      <c r="HEX38" s="19"/>
      <c r="HEY38" s="19"/>
      <c r="HEZ38" s="19"/>
      <c r="HFA38" s="19"/>
      <c r="HFB38" s="19"/>
      <c r="HFC38" s="19"/>
      <c r="HFD38" s="19"/>
      <c r="HFE38" s="19"/>
      <c r="HFF38" s="19"/>
      <c r="HFG38" s="19"/>
      <c r="HFH38" s="19"/>
      <c r="HFI38" s="19"/>
      <c r="HFJ38" s="19"/>
      <c r="HFK38" s="19"/>
      <c r="HFL38" s="19"/>
      <c r="HFM38" s="19"/>
      <c r="HFN38" s="19"/>
      <c r="HFO38" s="19"/>
      <c r="HFP38" s="19"/>
      <c r="HFQ38" s="19"/>
      <c r="HFR38" s="19"/>
      <c r="HFS38" s="19"/>
      <c r="HFT38" s="19"/>
      <c r="HFU38" s="19"/>
      <c r="HFV38" s="19"/>
      <c r="HFW38" s="19"/>
      <c r="HFX38" s="19"/>
      <c r="HFY38" s="19"/>
      <c r="HFZ38" s="19"/>
      <c r="HGA38" s="19"/>
      <c r="HGB38" s="19"/>
      <c r="HGC38" s="19"/>
      <c r="HGD38" s="19"/>
      <c r="HGE38" s="19"/>
      <c r="HGF38" s="19"/>
      <c r="HGG38" s="19"/>
      <c r="HGH38" s="19"/>
      <c r="HGI38" s="19"/>
      <c r="HGJ38" s="19"/>
      <c r="HGK38" s="19"/>
      <c r="HGL38" s="19"/>
      <c r="HGM38" s="19"/>
      <c r="HGN38" s="19"/>
      <c r="HGO38" s="19"/>
      <c r="HGP38" s="19"/>
      <c r="HGQ38" s="19"/>
      <c r="HGR38" s="19"/>
      <c r="HGS38" s="19"/>
      <c r="HGT38" s="19"/>
      <c r="HGU38" s="19"/>
      <c r="HGV38" s="19"/>
      <c r="HGW38" s="19"/>
      <c r="HGX38" s="19"/>
      <c r="HGY38" s="19"/>
      <c r="HGZ38" s="19"/>
      <c r="HHA38" s="19"/>
      <c r="HHB38" s="19"/>
      <c r="HHC38" s="19"/>
      <c r="HHD38" s="19"/>
      <c r="HHE38" s="19"/>
      <c r="HHF38" s="19"/>
      <c r="HHG38" s="19"/>
      <c r="HHH38" s="19"/>
      <c r="HHI38" s="19"/>
      <c r="HHJ38" s="19"/>
      <c r="HHK38" s="19"/>
      <c r="HHL38" s="19"/>
      <c r="HHM38" s="19"/>
      <c r="HHN38" s="19"/>
      <c r="HHO38" s="19"/>
      <c r="HHP38" s="19"/>
      <c r="HHQ38" s="19"/>
      <c r="HHR38" s="19"/>
      <c r="HHS38" s="19"/>
      <c r="HHT38" s="19"/>
      <c r="HHU38" s="19"/>
      <c r="HHV38" s="19"/>
      <c r="HHW38" s="19"/>
      <c r="HHX38" s="19"/>
      <c r="HHY38" s="19"/>
      <c r="HHZ38" s="19"/>
      <c r="HIA38" s="19"/>
      <c r="HIB38" s="19"/>
      <c r="HIC38" s="19"/>
      <c r="HID38" s="19"/>
      <c r="HIE38" s="19"/>
      <c r="HIF38" s="19"/>
      <c r="HIG38" s="19"/>
      <c r="HIH38" s="19"/>
      <c r="HII38" s="19"/>
      <c r="HIJ38" s="19"/>
      <c r="HIK38" s="19"/>
      <c r="HIL38" s="19"/>
      <c r="HIM38" s="19"/>
      <c r="HIN38" s="19"/>
      <c r="HIO38" s="19"/>
      <c r="HIP38" s="19"/>
      <c r="HIQ38" s="19"/>
      <c r="HIR38" s="19"/>
      <c r="HIS38" s="19"/>
      <c r="HIT38" s="19"/>
      <c r="HIU38" s="19"/>
      <c r="HIV38" s="19"/>
      <c r="HIW38" s="19"/>
      <c r="HIX38" s="19"/>
      <c r="HIY38" s="19"/>
      <c r="HIZ38" s="19"/>
      <c r="HJA38" s="19"/>
      <c r="HJB38" s="19"/>
      <c r="HJC38" s="19"/>
      <c r="HJD38" s="19"/>
      <c r="HJE38" s="19"/>
      <c r="HJF38" s="19"/>
      <c r="HJG38" s="19"/>
      <c r="HJH38" s="19"/>
      <c r="HJI38" s="19"/>
      <c r="HJJ38" s="19"/>
      <c r="HJK38" s="19"/>
      <c r="HJL38" s="19"/>
      <c r="HJM38" s="19"/>
      <c r="HJN38" s="19"/>
      <c r="HJO38" s="19"/>
      <c r="HJP38" s="19"/>
      <c r="HJQ38" s="19"/>
      <c r="HJR38" s="19"/>
      <c r="HJS38" s="19"/>
      <c r="HJT38" s="19"/>
      <c r="HJU38" s="19"/>
      <c r="HJV38" s="19"/>
      <c r="HJW38" s="19"/>
      <c r="HJX38" s="19"/>
      <c r="HJY38" s="19"/>
      <c r="HJZ38" s="19"/>
      <c r="HKA38" s="19"/>
      <c r="HKB38" s="19"/>
      <c r="HKC38" s="19"/>
      <c r="HKD38" s="19"/>
      <c r="HKE38" s="19"/>
      <c r="HKF38" s="19"/>
      <c r="HKG38" s="19"/>
      <c r="HKH38" s="19"/>
      <c r="HKI38" s="19"/>
      <c r="HKJ38" s="19"/>
      <c r="HKK38" s="19"/>
      <c r="HKL38" s="19"/>
      <c r="HKM38" s="19"/>
      <c r="HKN38" s="19"/>
      <c r="HKO38" s="19"/>
      <c r="HKP38" s="19"/>
      <c r="HKQ38" s="19"/>
      <c r="HKR38" s="19"/>
      <c r="HKS38" s="19"/>
      <c r="HKT38" s="19"/>
      <c r="HKU38" s="19"/>
      <c r="HKV38" s="19"/>
      <c r="HKW38" s="19"/>
      <c r="HKX38" s="19"/>
      <c r="HKY38" s="19"/>
      <c r="HKZ38" s="19"/>
      <c r="HLA38" s="19"/>
      <c r="HLB38" s="19"/>
      <c r="HLC38" s="19"/>
      <c r="HLD38" s="19"/>
      <c r="HLE38" s="19"/>
      <c r="HLF38" s="19"/>
      <c r="HLG38" s="19"/>
      <c r="HLH38" s="19"/>
      <c r="HLI38" s="19"/>
      <c r="HLJ38" s="19"/>
      <c r="HLK38" s="19"/>
      <c r="HLL38" s="19"/>
      <c r="HLM38" s="19"/>
      <c r="HLN38" s="19"/>
      <c r="HLO38" s="19"/>
      <c r="HLP38" s="19"/>
      <c r="HLQ38" s="19"/>
      <c r="HLR38" s="19"/>
      <c r="HLS38" s="19"/>
      <c r="HLT38" s="19"/>
      <c r="HLU38" s="19"/>
      <c r="HLV38" s="19"/>
      <c r="HLW38" s="19"/>
      <c r="HLX38" s="19"/>
      <c r="HLY38" s="19"/>
      <c r="HLZ38" s="19"/>
      <c r="HMA38" s="19"/>
      <c r="HMB38" s="19"/>
      <c r="HMC38" s="19"/>
      <c r="HMD38" s="19"/>
      <c r="HME38" s="19"/>
      <c r="HMF38" s="19"/>
      <c r="HMG38" s="19"/>
      <c r="HMH38" s="19"/>
      <c r="HMI38" s="19"/>
      <c r="HMJ38" s="19"/>
      <c r="HMK38" s="19"/>
      <c r="HML38" s="19"/>
      <c r="HMM38" s="19"/>
      <c r="HMN38" s="19"/>
      <c r="HMO38" s="19"/>
      <c r="HMP38" s="19"/>
      <c r="HMQ38" s="19"/>
      <c r="HMR38" s="19"/>
      <c r="HMS38" s="19"/>
      <c r="HMT38" s="19"/>
      <c r="HMU38" s="19"/>
      <c r="HMV38" s="19"/>
      <c r="HMW38" s="19"/>
      <c r="HMX38" s="19"/>
      <c r="HMY38" s="19"/>
      <c r="HMZ38" s="19"/>
      <c r="HNA38" s="19"/>
      <c r="HNB38" s="19"/>
      <c r="HNC38" s="19"/>
      <c r="HND38" s="19"/>
      <c r="HNE38" s="19"/>
      <c r="HNF38" s="19"/>
      <c r="HNG38" s="19"/>
      <c r="HNH38" s="19"/>
      <c r="HNI38" s="19"/>
      <c r="HNJ38" s="19"/>
      <c r="HNK38" s="19"/>
      <c r="HNL38" s="19"/>
      <c r="HNM38" s="19"/>
      <c r="HNN38" s="19"/>
      <c r="HNO38" s="19"/>
      <c r="HNP38" s="19"/>
      <c r="HNQ38" s="19"/>
      <c r="HNR38" s="19"/>
      <c r="HNS38" s="19"/>
      <c r="HNT38" s="19"/>
      <c r="HNU38" s="19"/>
      <c r="HNV38" s="19"/>
      <c r="HNW38" s="19"/>
      <c r="HNX38" s="19"/>
      <c r="HNY38" s="19"/>
      <c r="HNZ38" s="19"/>
      <c r="HOA38" s="19"/>
      <c r="HOB38" s="19"/>
      <c r="HOC38" s="19"/>
      <c r="HOD38" s="19"/>
      <c r="HOE38" s="19"/>
      <c r="HOF38" s="19"/>
      <c r="HOG38" s="19"/>
      <c r="HOH38" s="19"/>
      <c r="HOI38" s="19"/>
      <c r="HOJ38" s="19"/>
      <c r="HOK38" s="19"/>
      <c r="HOL38" s="19"/>
      <c r="HOM38" s="19"/>
      <c r="HON38" s="19"/>
      <c r="HOO38" s="19"/>
      <c r="HOP38" s="19"/>
      <c r="HOQ38" s="19"/>
      <c r="HOR38" s="19"/>
      <c r="HOS38" s="19"/>
      <c r="HOT38" s="19"/>
      <c r="HOU38" s="19"/>
      <c r="HOV38" s="19"/>
      <c r="HOW38" s="19"/>
      <c r="HOX38" s="19"/>
      <c r="HOY38" s="19"/>
      <c r="HOZ38" s="19"/>
      <c r="HPA38" s="19"/>
      <c r="HPB38" s="19"/>
      <c r="HPC38" s="19"/>
      <c r="HPD38" s="19"/>
      <c r="HPE38" s="19"/>
      <c r="HPF38" s="19"/>
      <c r="HPG38" s="19"/>
      <c r="HPH38" s="19"/>
      <c r="HPI38" s="19"/>
      <c r="HPJ38" s="19"/>
      <c r="HPK38" s="19"/>
      <c r="HPL38" s="19"/>
      <c r="HPM38" s="19"/>
      <c r="HPN38" s="19"/>
      <c r="HPO38" s="19"/>
      <c r="HPP38" s="19"/>
      <c r="HPQ38" s="19"/>
      <c r="HPR38" s="19"/>
      <c r="HPS38" s="19"/>
      <c r="HPT38" s="19"/>
      <c r="HPU38" s="19"/>
      <c r="HPV38" s="19"/>
      <c r="HPW38" s="19"/>
      <c r="HPX38" s="19"/>
      <c r="HPY38" s="19"/>
      <c r="HPZ38" s="19"/>
      <c r="HQA38" s="19"/>
      <c r="HQB38" s="19"/>
      <c r="HQC38" s="19"/>
      <c r="HQD38" s="19"/>
      <c r="HQE38" s="19"/>
      <c r="HQF38" s="19"/>
      <c r="HQG38" s="19"/>
      <c r="HQH38" s="19"/>
      <c r="HQI38" s="19"/>
      <c r="HQJ38" s="19"/>
      <c r="HQK38" s="19"/>
      <c r="HQL38" s="19"/>
      <c r="HQM38" s="19"/>
      <c r="HQN38" s="19"/>
      <c r="HQO38" s="19"/>
      <c r="HQP38" s="19"/>
      <c r="HQQ38" s="19"/>
      <c r="HQR38" s="19"/>
      <c r="HQS38" s="19"/>
      <c r="HQT38" s="19"/>
      <c r="HQU38" s="19"/>
      <c r="HQV38" s="19"/>
      <c r="HQW38" s="19"/>
      <c r="HQX38" s="19"/>
      <c r="HQY38" s="19"/>
      <c r="HQZ38" s="19"/>
      <c r="HRA38" s="19"/>
      <c r="HRB38" s="19"/>
      <c r="HRC38" s="19"/>
      <c r="HRD38" s="19"/>
      <c r="HRE38" s="19"/>
      <c r="HRF38" s="19"/>
      <c r="HRG38" s="19"/>
      <c r="HRH38" s="19"/>
      <c r="HRI38" s="19"/>
      <c r="HRJ38" s="19"/>
      <c r="HRK38" s="19"/>
      <c r="HRL38" s="19"/>
      <c r="HRM38" s="19"/>
      <c r="HRN38" s="19"/>
      <c r="HRO38" s="19"/>
      <c r="HRP38" s="19"/>
      <c r="HRQ38" s="19"/>
      <c r="HRR38" s="19"/>
      <c r="HRS38" s="19"/>
      <c r="HRT38" s="19"/>
      <c r="HRU38" s="19"/>
      <c r="HRV38" s="19"/>
      <c r="HRW38" s="19"/>
      <c r="HRX38" s="19"/>
      <c r="HRY38" s="19"/>
      <c r="HRZ38" s="19"/>
      <c r="HSA38" s="19"/>
      <c r="HSB38" s="19"/>
      <c r="HSC38" s="19"/>
      <c r="HSD38" s="19"/>
      <c r="HSE38" s="19"/>
      <c r="HSF38" s="19"/>
      <c r="HSG38" s="19"/>
      <c r="HSH38" s="19"/>
      <c r="HSI38" s="19"/>
      <c r="HSJ38" s="19"/>
      <c r="HSK38" s="19"/>
      <c r="HSL38" s="19"/>
      <c r="HSM38" s="19"/>
      <c r="HSN38" s="19"/>
      <c r="HSO38" s="19"/>
      <c r="HSP38" s="19"/>
      <c r="HSQ38" s="19"/>
      <c r="HSR38" s="19"/>
      <c r="HSS38" s="19"/>
      <c r="HST38" s="19"/>
      <c r="HSU38" s="19"/>
      <c r="HSV38" s="19"/>
      <c r="HSW38" s="19"/>
      <c r="HSX38" s="19"/>
      <c r="HSY38" s="19"/>
      <c r="HSZ38" s="19"/>
      <c r="HTA38" s="19"/>
      <c r="HTB38" s="19"/>
      <c r="HTC38" s="19"/>
      <c r="HTD38" s="19"/>
      <c r="HTE38" s="19"/>
      <c r="HTF38" s="19"/>
      <c r="HTG38" s="19"/>
      <c r="HTH38" s="19"/>
      <c r="HTI38" s="19"/>
      <c r="HTJ38" s="19"/>
      <c r="HTK38" s="19"/>
      <c r="HTL38" s="19"/>
      <c r="HTM38" s="19"/>
      <c r="HTN38" s="19"/>
      <c r="HTO38" s="19"/>
      <c r="HTP38" s="19"/>
      <c r="HTQ38" s="19"/>
      <c r="HTR38" s="19"/>
      <c r="HTS38" s="19"/>
      <c r="HTT38" s="19"/>
      <c r="HTU38" s="19"/>
      <c r="HTV38" s="19"/>
      <c r="HTW38" s="19"/>
      <c r="HTX38" s="19"/>
      <c r="HTY38" s="19"/>
      <c r="HTZ38" s="19"/>
      <c r="HUA38" s="19"/>
      <c r="HUB38" s="19"/>
      <c r="HUC38" s="19"/>
      <c r="HUD38" s="19"/>
      <c r="HUE38" s="19"/>
      <c r="HUF38" s="19"/>
      <c r="HUG38" s="19"/>
      <c r="HUH38" s="19"/>
      <c r="HUI38" s="19"/>
      <c r="HUJ38" s="19"/>
      <c r="HUK38" s="19"/>
      <c r="HUL38" s="19"/>
      <c r="HUM38" s="19"/>
      <c r="HUN38" s="19"/>
      <c r="HUO38" s="19"/>
      <c r="HUP38" s="19"/>
      <c r="HUQ38" s="19"/>
      <c r="HUR38" s="19"/>
      <c r="HUS38" s="19"/>
      <c r="HUT38" s="19"/>
      <c r="HUU38" s="19"/>
      <c r="HUV38" s="19"/>
      <c r="HUW38" s="19"/>
      <c r="HUX38" s="19"/>
      <c r="HUY38" s="19"/>
      <c r="HUZ38" s="19"/>
      <c r="HVA38" s="19"/>
      <c r="HVB38" s="19"/>
      <c r="HVC38" s="19"/>
      <c r="HVD38" s="19"/>
      <c r="HVE38" s="19"/>
      <c r="HVF38" s="19"/>
      <c r="HVG38" s="19"/>
      <c r="HVH38" s="19"/>
      <c r="HVI38" s="19"/>
      <c r="HVJ38" s="19"/>
      <c r="HVK38" s="19"/>
      <c r="HVL38" s="19"/>
      <c r="HVM38" s="19"/>
      <c r="HVN38" s="19"/>
      <c r="HVO38" s="19"/>
      <c r="HVP38" s="19"/>
      <c r="HVQ38" s="19"/>
      <c r="HVR38" s="19"/>
      <c r="HVS38" s="19"/>
      <c r="HVT38" s="19"/>
      <c r="HVU38" s="19"/>
      <c r="HVV38" s="19"/>
      <c r="HVW38" s="19"/>
      <c r="HVX38" s="19"/>
      <c r="HVY38" s="19"/>
      <c r="HVZ38" s="19"/>
      <c r="HWA38" s="19"/>
      <c r="HWB38" s="19"/>
      <c r="HWC38" s="19"/>
      <c r="HWD38" s="19"/>
      <c r="HWE38" s="19"/>
      <c r="HWF38" s="19"/>
      <c r="HWG38" s="19"/>
      <c r="HWH38" s="19"/>
      <c r="HWI38" s="19"/>
      <c r="HWJ38" s="19"/>
      <c r="HWK38" s="19"/>
      <c r="HWL38" s="19"/>
      <c r="HWM38" s="19"/>
      <c r="HWN38" s="19"/>
      <c r="HWO38" s="19"/>
      <c r="HWP38" s="19"/>
      <c r="HWQ38" s="19"/>
      <c r="HWR38" s="19"/>
      <c r="HWS38" s="19"/>
      <c r="HWT38" s="19"/>
      <c r="HWU38" s="19"/>
      <c r="HWV38" s="19"/>
      <c r="HWW38" s="19"/>
      <c r="HWX38" s="19"/>
      <c r="HWY38" s="19"/>
      <c r="HWZ38" s="19"/>
      <c r="HXA38" s="19"/>
      <c r="HXB38" s="19"/>
      <c r="HXC38" s="19"/>
      <c r="HXD38" s="19"/>
      <c r="HXE38" s="19"/>
      <c r="HXF38" s="19"/>
      <c r="HXG38" s="19"/>
      <c r="HXH38" s="19"/>
      <c r="HXI38" s="19"/>
      <c r="HXJ38" s="19"/>
      <c r="HXK38" s="19"/>
      <c r="HXL38" s="19"/>
      <c r="HXM38" s="19"/>
      <c r="HXN38" s="19"/>
      <c r="HXO38" s="19"/>
      <c r="HXP38" s="19"/>
      <c r="HXQ38" s="19"/>
      <c r="HXR38" s="19"/>
      <c r="HXS38" s="19"/>
      <c r="HXT38" s="19"/>
      <c r="HXU38" s="19"/>
      <c r="HXV38" s="19"/>
      <c r="HXW38" s="19"/>
      <c r="HXX38" s="19"/>
      <c r="HXY38" s="19"/>
      <c r="HXZ38" s="19"/>
      <c r="HYA38" s="19"/>
      <c r="HYB38" s="19"/>
      <c r="HYC38" s="19"/>
      <c r="HYD38" s="19"/>
      <c r="HYE38" s="19"/>
      <c r="HYF38" s="19"/>
      <c r="HYG38" s="19"/>
      <c r="HYH38" s="19"/>
      <c r="HYI38" s="19"/>
      <c r="HYJ38" s="19"/>
      <c r="HYK38" s="19"/>
      <c r="HYL38" s="19"/>
      <c r="HYM38" s="19"/>
      <c r="HYN38" s="19"/>
      <c r="HYO38" s="19"/>
      <c r="HYP38" s="19"/>
      <c r="HYQ38" s="19"/>
      <c r="HYR38" s="19"/>
      <c r="HYS38" s="19"/>
      <c r="HYT38" s="19"/>
      <c r="HYU38" s="19"/>
      <c r="HYV38" s="19"/>
      <c r="HYW38" s="19"/>
      <c r="HYX38" s="19"/>
      <c r="HYY38" s="19"/>
      <c r="HYZ38" s="19"/>
      <c r="HZA38" s="19"/>
      <c r="HZB38" s="19"/>
      <c r="HZC38" s="19"/>
      <c r="HZD38" s="19"/>
      <c r="HZE38" s="19"/>
      <c r="HZF38" s="19"/>
      <c r="HZG38" s="19"/>
      <c r="HZH38" s="19"/>
      <c r="HZI38" s="19"/>
      <c r="HZJ38" s="19"/>
      <c r="HZK38" s="19"/>
      <c r="HZL38" s="19"/>
      <c r="HZM38" s="19"/>
      <c r="HZN38" s="19"/>
      <c r="HZO38" s="19"/>
      <c r="HZP38" s="19"/>
      <c r="HZQ38" s="19"/>
      <c r="HZR38" s="19"/>
      <c r="HZS38" s="19"/>
      <c r="HZT38" s="19"/>
      <c r="HZU38" s="19"/>
      <c r="HZV38" s="19"/>
      <c r="HZW38" s="19"/>
      <c r="HZX38" s="19"/>
      <c r="HZY38" s="19"/>
      <c r="HZZ38" s="19"/>
      <c r="IAA38" s="19"/>
      <c r="IAB38" s="19"/>
      <c r="IAC38" s="19"/>
      <c r="IAD38" s="19"/>
      <c r="IAE38" s="19"/>
      <c r="IAF38" s="19"/>
      <c r="IAG38" s="19"/>
      <c r="IAH38" s="19"/>
      <c r="IAI38" s="19"/>
      <c r="IAJ38" s="19"/>
      <c r="IAK38" s="19"/>
      <c r="IAL38" s="19"/>
      <c r="IAM38" s="19"/>
      <c r="IAN38" s="19"/>
      <c r="IAO38" s="19"/>
      <c r="IAP38" s="19"/>
      <c r="IAQ38" s="19"/>
      <c r="IAR38" s="19"/>
      <c r="IAS38" s="19"/>
      <c r="IAT38" s="19"/>
      <c r="IAU38" s="19"/>
      <c r="IAV38" s="19"/>
      <c r="IAW38" s="19"/>
      <c r="IAX38" s="19"/>
      <c r="IAY38" s="19"/>
      <c r="IAZ38" s="19"/>
      <c r="IBA38" s="19"/>
      <c r="IBB38" s="19"/>
      <c r="IBC38" s="19"/>
      <c r="IBD38" s="19"/>
      <c r="IBE38" s="19"/>
      <c r="IBF38" s="19"/>
      <c r="IBG38" s="19"/>
      <c r="IBH38" s="19"/>
      <c r="IBI38" s="19"/>
      <c r="IBJ38" s="19"/>
      <c r="IBK38" s="19"/>
      <c r="IBL38" s="19"/>
      <c r="IBM38" s="19"/>
      <c r="IBN38" s="19"/>
      <c r="IBO38" s="19"/>
      <c r="IBP38" s="19"/>
      <c r="IBQ38" s="19"/>
      <c r="IBR38" s="19"/>
      <c r="IBS38" s="19"/>
      <c r="IBT38" s="19"/>
      <c r="IBU38" s="19"/>
      <c r="IBV38" s="19"/>
      <c r="IBW38" s="19"/>
      <c r="IBX38" s="19"/>
      <c r="IBY38" s="19"/>
      <c r="IBZ38" s="19"/>
      <c r="ICA38" s="19"/>
      <c r="ICB38" s="19"/>
      <c r="ICC38" s="19"/>
      <c r="ICD38" s="19"/>
      <c r="ICE38" s="19"/>
      <c r="ICF38" s="19"/>
      <c r="ICG38" s="19"/>
      <c r="ICH38" s="19"/>
      <c r="ICI38" s="19"/>
      <c r="ICJ38" s="19"/>
      <c r="ICK38" s="19"/>
      <c r="ICL38" s="19"/>
      <c r="ICM38" s="19"/>
      <c r="ICN38" s="19"/>
      <c r="ICO38" s="19"/>
      <c r="ICP38" s="19"/>
      <c r="ICQ38" s="19"/>
      <c r="ICR38" s="19"/>
      <c r="ICS38" s="19"/>
      <c r="ICT38" s="19"/>
      <c r="ICU38" s="19"/>
      <c r="ICV38" s="19"/>
      <c r="ICW38" s="19"/>
      <c r="ICX38" s="19"/>
      <c r="ICY38" s="19"/>
      <c r="ICZ38" s="19"/>
      <c r="IDA38" s="19"/>
      <c r="IDB38" s="19"/>
      <c r="IDC38" s="19"/>
      <c r="IDD38" s="19"/>
      <c r="IDE38" s="19"/>
      <c r="IDF38" s="19"/>
      <c r="IDG38" s="19"/>
      <c r="IDH38" s="19"/>
      <c r="IDI38" s="19"/>
      <c r="IDJ38" s="19"/>
      <c r="IDK38" s="19"/>
      <c r="IDL38" s="19"/>
      <c r="IDM38" s="19"/>
      <c r="IDN38" s="19"/>
      <c r="IDO38" s="19"/>
      <c r="IDP38" s="19"/>
      <c r="IDQ38" s="19"/>
      <c r="IDR38" s="19"/>
      <c r="IDS38" s="19"/>
      <c r="IDT38" s="19"/>
      <c r="IDU38" s="19"/>
      <c r="IDV38" s="19"/>
      <c r="IDW38" s="19"/>
      <c r="IDX38" s="19"/>
      <c r="IDY38" s="19"/>
      <c r="IDZ38" s="19"/>
      <c r="IEA38" s="19"/>
      <c r="IEB38" s="19"/>
      <c r="IEC38" s="19"/>
      <c r="IED38" s="19"/>
      <c r="IEE38" s="19"/>
      <c r="IEF38" s="19"/>
      <c r="IEG38" s="19"/>
      <c r="IEH38" s="19"/>
      <c r="IEI38" s="19"/>
      <c r="IEJ38" s="19"/>
      <c r="IEK38" s="19"/>
      <c r="IEL38" s="19"/>
      <c r="IEM38" s="19"/>
      <c r="IEN38" s="19"/>
      <c r="IEO38" s="19"/>
      <c r="IEP38" s="19"/>
      <c r="IEQ38" s="19"/>
      <c r="IER38" s="19"/>
      <c r="IES38" s="19"/>
      <c r="IET38" s="19"/>
      <c r="IEU38" s="19"/>
      <c r="IEV38" s="19"/>
      <c r="IEW38" s="19"/>
      <c r="IEX38" s="19"/>
      <c r="IEY38" s="19"/>
      <c r="IEZ38" s="19"/>
      <c r="IFA38" s="19"/>
      <c r="IFB38" s="19"/>
      <c r="IFC38" s="19"/>
      <c r="IFD38" s="19"/>
      <c r="IFE38" s="19"/>
      <c r="IFF38" s="19"/>
      <c r="IFG38" s="19"/>
      <c r="IFH38" s="19"/>
      <c r="IFI38" s="19"/>
      <c r="IFJ38" s="19"/>
      <c r="IFK38" s="19"/>
      <c r="IFL38" s="19"/>
      <c r="IFM38" s="19"/>
      <c r="IFN38" s="19"/>
      <c r="IFO38" s="19"/>
      <c r="IFP38" s="19"/>
      <c r="IFQ38" s="19"/>
      <c r="IFR38" s="19"/>
      <c r="IFS38" s="19"/>
      <c r="IFT38" s="19"/>
      <c r="IFU38" s="19"/>
      <c r="IFV38" s="19"/>
      <c r="IFW38" s="19"/>
      <c r="IFX38" s="19"/>
      <c r="IFY38" s="19"/>
      <c r="IFZ38" s="19"/>
      <c r="IGA38" s="19"/>
      <c r="IGB38" s="19"/>
      <c r="IGC38" s="19"/>
      <c r="IGD38" s="19"/>
      <c r="IGE38" s="19"/>
      <c r="IGF38" s="19"/>
      <c r="IGG38" s="19"/>
      <c r="IGH38" s="19"/>
      <c r="IGI38" s="19"/>
      <c r="IGJ38" s="19"/>
      <c r="IGK38" s="19"/>
      <c r="IGL38" s="19"/>
      <c r="IGM38" s="19"/>
      <c r="IGN38" s="19"/>
      <c r="IGO38" s="19"/>
      <c r="IGP38" s="19"/>
      <c r="IGQ38" s="19"/>
      <c r="IGR38" s="19"/>
      <c r="IGS38" s="19"/>
      <c r="IGT38" s="19"/>
      <c r="IGU38" s="19"/>
      <c r="IGV38" s="19"/>
      <c r="IGW38" s="19"/>
      <c r="IGX38" s="19"/>
      <c r="IGY38" s="19"/>
      <c r="IGZ38" s="19"/>
      <c r="IHA38" s="19"/>
      <c r="IHB38" s="19"/>
      <c r="IHC38" s="19"/>
      <c r="IHD38" s="19"/>
      <c r="IHE38" s="19"/>
      <c r="IHF38" s="19"/>
      <c r="IHG38" s="19"/>
      <c r="IHH38" s="19"/>
      <c r="IHI38" s="19"/>
      <c r="IHJ38" s="19"/>
      <c r="IHK38" s="19"/>
      <c r="IHL38" s="19"/>
      <c r="IHM38" s="19"/>
      <c r="IHN38" s="19"/>
      <c r="IHO38" s="19"/>
      <c r="IHP38" s="19"/>
      <c r="IHQ38" s="19"/>
      <c r="IHR38" s="19"/>
      <c r="IHS38" s="19"/>
      <c r="IHT38" s="19"/>
      <c r="IHU38" s="19"/>
      <c r="IHV38" s="19"/>
      <c r="IHW38" s="19"/>
      <c r="IHX38" s="19"/>
      <c r="IHY38" s="19"/>
      <c r="IHZ38" s="19"/>
      <c r="IIA38" s="19"/>
      <c r="IIB38" s="19"/>
      <c r="IIC38" s="19"/>
      <c r="IID38" s="19"/>
      <c r="IIE38" s="19"/>
      <c r="IIF38" s="19"/>
      <c r="IIG38" s="19"/>
      <c r="IIH38" s="19"/>
      <c r="III38" s="19"/>
      <c r="IIJ38" s="19"/>
      <c r="IIK38" s="19"/>
      <c r="IIL38" s="19"/>
      <c r="IIM38" s="19"/>
      <c r="IIN38" s="19"/>
      <c r="IIO38" s="19"/>
      <c r="IIP38" s="19"/>
      <c r="IIQ38" s="19"/>
      <c r="IIR38" s="19"/>
      <c r="IIS38" s="19"/>
      <c r="IIT38" s="19"/>
      <c r="IIU38" s="19"/>
      <c r="IIV38" s="19"/>
      <c r="IIW38" s="19"/>
      <c r="IIX38" s="19"/>
      <c r="IIY38" s="19"/>
      <c r="IIZ38" s="19"/>
      <c r="IJA38" s="19"/>
      <c r="IJB38" s="19"/>
      <c r="IJC38" s="19"/>
      <c r="IJD38" s="19"/>
      <c r="IJE38" s="19"/>
      <c r="IJF38" s="19"/>
      <c r="IJG38" s="19"/>
      <c r="IJH38" s="19"/>
      <c r="IJI38" s="19"/>
      <c r="IJJ38" s="19"/>
      <c r="IJK38" s="19"/>
      <c r="IJL38" s="19"/>
      <c r="IJM38" s="19"/>
      <c r="IJN38" s="19"/>
      <c r="IJO38" s="19"/>
      <c r="IJP38" s="19"/>
      <c r="IJQ38" s="19"/>
      <c r="IJR38" s="19"/>
      <c r="IJS38" s="19"/>
      <c r="IJT38" s="19"/>
      <c r="IJU38" s="19"/>
      <c r="IJV38" s="19"/>
      <c r="IJW38" s="19"/>
      <c r="IJX38" s="19"/>
      <c r="IJY38" s="19"/>
      <c r="IJZ38" s="19"/>
      <c r="IKA38" s="19"/>
      <c r="IKB38" s="19"/>
      <c r="IKC38" s="19"/>
      <c r="IKD38" s="19"/>
      <c r="IKE38" s="19"/>
      <c r="IKF38" s="19"/>
      <c r="IKG38" s="19"/>
      <c r="IKH38" s="19"/>
      <c r="IKI38" s="19"/>
      <c r="IKJ38" s="19"/>
      <c r="IKK38" s="19"/>
      <c r="IKL38" s="19"/>
      <c r="IKM38" s="19"/>
      <c r="IKN38" s="19"/>
      <c r="IKO38" s="19"/>
      <c r="IKP38" s="19"/>
      <c r="IKQ38" s="19"/>
      <c r="IKR38" s="19"/>
      <c r="IKS38" s="19"/>
      <c r="IKT38" s="19"/>
      <c r="IKU38" s="19"/>
      <c r="IKV38" s="19"/>
      <c r="IKW38" s="19"/>
      <c r="IKX38" s="19"/>
      <c r="IKY38" s="19"/>
      <c r="IKZ38" s="19"/>
      <c r="ILA38" s="19"/>
      <c r="ILB38" s="19"/>
      <c r="ILC38" s="19"/>
      <c r="ILD38" s="19"/>
      <c r="ILE38" s="19"/>
      <c r="ILF38" s="19"/>
      <c r="ILG38" s="19"/>
      <c r="ILH38" s="19"/>
      <c r="ILI38" s="19"/>
      <c r="ILJ38" s="19"/>
      <c r="ILK38" s="19"/>
      <c r="ILL38" s="19"/>
      <c r="ILM38" s="19"/>
      <c r="ILN38" s="19"/>
      <c r="ILO38" s="19"/>
      <c r="ILP38" s="19"/>
      <c r="ILQ38" s="19"/>
      <c r="ILR38" s="19"/>
      <c r="ILS38" s="19"/>
      <c r="ILT38" s="19"/>
      <c r="ILU38" s="19"/>
      <c r="ILV38" s="19"/>
      <c r="ILW38" s="19"/>
      <c r="ILX38" s="19"/>
      <c r="ILY38" s="19"/>
      <c r="ILZ38" s="19"/>
      <c r="IMA38" s="19"/>
      <c r="IMB38" s="19"/>
      <c r="IMC38" s="19"/>
      <c r="IMD38" s="19"/>
      <c r="IME38" s="19"/>
      <c r="IMF38" s="19"/>
      <c r="IMG38" s="19"/>
      <c r="IMH38" s="19"/>
      <c r="IMI38" s="19"/>
      <c r="IMJ38" s="19"/>
      <c r="IMK38" s="19"/>
      <c r="IML38" s="19"/>
      <c r="IMM38" s="19"/>
      <c r="IMN38" s="19"/>
      <c r="IMO38" s="19"/>
      <c r="IMP38" s="19"/>
      <c r="IMQ38" s="19"/>
      <c r="IMR38" s="19"/>
      <c r="IMS38" s="19"/>
      <c r="IMT38" s="19"/>
      <c r="IMU38" s="19"/>
      <c r="IMV38" s="19"/>
      <c r="IMW38" s="19"/>
      <c r="IMX38" s="19"/>
      <c r="IMY38" s="19"/>
      <c r="IMZ38" s="19"/>
      <c r="INA38" s="19"/>
      <c r="INB38" s="19"/>
      <c r="INC38" s="19"/>
      <c r="IND38" s="19"/>
      <c r="INE38" s="19"/>
      <c r="INF38" s="19"/>
      <c r="ING38" s="19"/>
      <c r="INH38" s="19"/>
      <c r="INI38" s="19"/>
      <c r="INJ38" s="19"/>
      <c r="INK38" s="19"/>
      <c r="INL38" s="19"/>
      <c r="INM38" s="19"/>
      <c r="INN38" s="19"/>
      <c r="INO38" s="19"/>
      <c r="INP38" s="19"/>
      <c r="INQ38" s="19"/>
      <c r="INR38" s="19"/>
      <c r="INS38" s="19"/>
      <c r="INT38" s="19"/>
      <c r="INU38" s="19"/>
      <c r="INV38" s="19"/>
      <c r="INW38" s="19"/>
      <c r="INX38" s="19"/>
      <c r="INY38" s="19"/>
      <c r="INZ38" s="19"/>
      <c r="IOA38" s="19"/>
      <c r="IOB38" s="19"/>
      <c r="IOC38" s="19"/>
      <c r="IOD38" s="19"/>
      <c r="IOE38" s="19"/>
      <c r="IOF38" s="19"/>
      <c r="IOG38" s="19"/>
      <c r="IOH38" s="19"/>
      <c r="IOI38" s="19"/>
      <c r="IOJ38" s="19"/>
      <c r="IOK38" s="19"/>
      <c r="IOL38" s="19"/>
      <c r="IOM38" s="19"/>
      <c r="ION38" s="19"/>
      <c r="IOO38" s="19"/>
      <c r="IOP38" s="19"/>
      <c r="IOQ38" s="19"/>
      <c r="IOR38" s="19"/>
      <c r="IOS38" s="19"/>
      <c r="IOT38" s="19"/>
      <c r="IOU38" s="19"/>
      <c r="IOV38" s="19"/>
      <c r="IOW38" s="19"/>
      <c r="IOX38" s="19"/>
      <c r="IOY38" s="19"/>
      <c r="IOZ38" s="19"/>
      <c r="IPA38" s="19"/>
      <c r="IPB38" s="19"/>
      <c r="IPC38" s="19"/>
      <c r="IPD38" s="19"/>
      <c r="IPE38" s="19"/>
      <c r="IPF38" s="19"/>
      <c r="IPG38" s="19"/>
      <c r="IPH38" s="19"/>
      <c r="IPI38" s="19"/>
      <c r="IPJ38" s="19"/>
      <c r="IPK38" s="19"/>
      <c r="IPL38" s="19"/>
      <c r="IPM38" s="19"/>
      <c r="IPN38" s="19"/>
      <c r="IPO38" s="19"/>
      <c r="IPP38" s="19"/>
      <c r="IPQ38" s="19"/>
      <c r="IPR38" s="19"/>
      <c r="IPS38" s="19"/>
      <c r="IPT38" s="19"/>
      <c r="IPU38" s="19"/>
      <c r="IPV38" s="19"/>
      <c r="IPW38" s="19"/>
      <c r="IPX38" s="19"/>
      <c r="IPY38" s="19"/>
      <c r="IPZ38" s="19"/>
      <c r="IQA38" s="19"/>
      <c r="IQB38" s="19"/>
      <c r="IQC38" s="19"/>
      <c r="IQD38" s="19"/>
      <c r="IQE38" s="19"/>
      <c r="IQF38" s="19"/>
      <c r="IQG38" s="19"/>
      <c r="IQH38" s="19"/>
      <c r="IQI38" s="19"/>
      <c r="IQJ38" s="19"/>
      <c r="IQK38" s="19"/>
      <c r="IQL38" s="19"/>
      <c r="IQM38" s="19"/>
      <c r="IQN38" s="19"/>
      <c r="IQO38" s="19"/>
      <c r="IQP38" s="19"/>
      <c r="IQQ38" s="19"/>
      <c r="IQR38" s="19"/>
      <c r="IQS38" s="19"/>
      <c r="IQT38" s="19"/>
      <c r="IQU38" s="19"/>
      <c r="IQV38" s="19"/>
      <c r="IQW38" s="19"/>
      <c r="IQX38" s="19"/>
      <c r="IQY38" s="19"/>
      <c r="IQZ38" s="19"/>
      <c r="IRA38" s="19"/>
      <c r="IRB38" s="19"/>
      <c r="IRC38" s="19"/>
      <c r="IRD38" s="19"/>
      <c r="IRE38" s="19"/>
      <c r="IRF38" s="19"/>
      <c r="IRG38" s="19"/>
      <c r="IRH38" s="19"/>
      <c r="IRI38" s="19"/>
      <c r="IRJ38" s="19"/>
      <c r="IRK38" s="19"/>
      <c r="IRL38" s="19"/>
      <c r="IRM38" s="19"/>
      <c r="IRN38" s="19"/>
      <c r="IRO38" s="19"/>
      <c r="IRP38" s="19"/>
      <c r="IRQ38" s="19"/>
      <c r="IRR38" s="19"/>
      <c r="IRS38" s="19"/>
      <c r="IRT38" s="19"/>
      <c r="IRU38" s="19"/>
      <c r="IRV38" s="19"/>
      <c r="IRW38" s="19"/>
      <c r="IRX38" s="19"/>
      <c r="IRY38" s="19"/>
      <c r="IRZ38" s="19"/>
      <c r="ISA38" s="19"/>
      <c r="ISB38" s="19"/>
      <c r="ISC38" s="19"/>
      <c r="ISD38" s="19"/>
      <c r="ISE38" s="19"/>
      <c r="ISF38" s="19"/>
      <c r="ISG38" s="19"/>
      <c r="ISH38" s="19"/>
      <c r="ISI38" s="19"/>
      <c r="ISJ38" s="19"/>
      <c r="ISK38" s="19"/>
      <c r="ISL38" s="19"/>
      <c r="ISM38" s="19"/>
      <c r="ISN38" s="19"/>
      <c r="ISO38" s="19"/>
      <c r="ISP38" s="19"/>
      <c r="ISQ38" s="19"/>
      <c r="ISR38" s="19"/>
      <c r="ISS38" s="19"/>
      <c r="IST38" s="19"/>
      <c r="ISU38" s="19"/>
      <c r="ISV38" s="19"/>
      <c r="ISW38" s="19"/>
      <c r="ISX38" s="19"/>
      <c r="ISY38" s="19"/>
      <c r="ISZ38" s="19"/>
      <c r="ITA38" s="19"/>
      <c r="ITB38" s="19"/>
      <c r="ITC38" s="19"/>
      <c r="ITD38" s="19"/>
      <c r="ITE38" s="19"/>
      <c r="ITF38" s="19"/>
      <c r="ITG38" s="19"/>
      <c r="ITH38" s="19"/>
      <c r="ITI38" s="19"/>
      <c r="ITJ38" s="19"/>
      <c r="ITK38" s="19"/>
      <c r="ITL38" s="19"/>
      <c r="ITM38" s="19"/>
      <c r="ITN38" s="19"/>
      <c r="ITO38" s="19"/>
      <c r="ITP38" s="19"/>
      <c r="ITQ38" s="19"/>
      <c r="ITR38" s="19"/>
      <c r="ITS38" s="19"/>
      <c r="ITT38" s="19"/>
      <c r="ITU38" s="19"/>
      <c r="ITV38" s="19"/>
      <c r="ITW38" s="19"/>
      <c r="ITX38" s="19"/>
      <c r="ITY38" s="19"/>
      <c r="ITZ38" s="19"/>
      <c r="IUA38" s="19"/>
      <c r="IUB38" s="19"/>
      <c r="IUC38" s="19"/>
      <c r="IUD38" s="19"/>
      <c r="IUE38" s="19"/>
      <c r="IUF38" s="19"/>
      <c r="IUG38" s="19"/>
      <c r="IUH38" s="19"/>
      <c r="IUI38" s="19"/>
      <c r="IUJ38" s="19"/>
      <c r="IUK38" s="19"/>
      <c r="IUL38" s="19"/>
      <c r="IUM38" s="19"/>
      <c r="IUN38" s="19"/>
      <c r="IUO38" s="19"/>
      <c r="IUP38" s="19"/>
      <c r="IUQ38" s="19"/>
      <c r="IUR38" s="19"/>
      <c r="IUS38" s="19"/>
      <c r="IUT38" s="19"/>
      <c r="IUU38" s="19"/>
      <c r="IUV38" s="19"/>
      <c r="IUW38" s="19"/>
      <c r="IUX38" s="19"/>
      <c r="IUY38" s="19"/>
      <c r="IUZ38" s="19"/>
      <c r="IVA38" s="19"/>
      <c r="IVB38" s="19"/>
      <c r="IVC38" s="19"/>
      <c r="IVD38" s="19"/>
      <c r="IVE38" s="19"/>
      <c r="IVF38" s="19"/>
      <c r="IVG38" s="19"/>
      <c r="IVH38" s="19"/>
      <c r="IVI38" s="19"/>
      <c r="IVJ38" s="19"/>
      <c r="IVK38" s="19"/>
      <c r="IVL38" s="19"/>
      <c r="IVM38" s="19"/>
      <c r="IVN38" s="19"/>
      <c r="IVO38" s="19"/>
      <c r="IVP38" s="19"/>
      <c r="IVQ38" s="19"/>
      <c r="IVR38" s="19"/>
      <c r="IVS38" s="19"/>
      <c r="IVT38" s="19"/>
      <c r="IVU38" s="19"/>
      <c r="IVV38" s="19"/>
      <c r="IVW38" s="19"/>
      <c r="IVX38" s="19"/>
      <c r="IVY38" s="19"/>
      <c r="IVZ38" s="19"/>
      <c r="IWA38" s="19"/>
      <c r="IWB38" s="19"/>
      <c r="IWC38" s="19"/>
      <c r="IWD38" s="19"/>
      <c r="IWE38" s="19"/>
      <c r="IWF38" s="19"/>
      <c r="IWG38" s="19"/>
      <c r="IWH38" s="19"/>
      <c r="IWI38" s="19"/>
      <c r="IWJ38" s="19"/>
      <c r="IWK38" s="19"/>
      <c r="IWL38" s="19"/>
      <c r="IWM38" s="19"/>
      <c r="IWN38" s="19"/>
      <c r="IWO38" s="19"/>
      <c r="IWP38" s="19"/>
      <c r="IWQ38" s="19"/>
      <c r="IWR38" s="19"/>
      <c r="IWS38" s="19"/>
      <c r="IWT38" s="19"/>
      <c r="IWU38" s="19"/>
      <c r="IWV38" s="19"/>
      <c r="IWW38" s="19"/>
      <c r="IWX38" s="19"/>
      <c r="IWY38" s="19"/>
      <c r="IWZ38" s="19"/>
      <c r="IXA38" s="19"/>
      <c r="IXB38" s="19"/>
      <c r="IXC38" s="19"/>
      <c r="IXD38" s="19"/>
      <c r="IXE38" s="19"/>
      <c r="IXF38" s="19"/>
      <c r="IXG38" s="19"/>
      <c r="IXH38" s="19"/>
      <c r="IXI38" s="19"/>
      <c r="IXJ38" s="19"/>
      <c r="IXK38" s="19"/>
      <c r="IXL38" s="19"/>
      <c r="IXM38" s="19"/>
      <c r="IXN38" s="19"/>
      <c r="IXO38" s="19"/>
      <c r="IXP38" s="19"/>
      <c r="IXQ38" s="19"/>
      <c r="IXR38" s="19"/>
      <c r="IXS38" s="19"/>
      <c r="IXT38" s="19"/>
      <c r="IXU38" s="19"/>
      <c r="IXV38" s="19"/>
      <c r="IXW38" s="19"/>
      <c r="IXX38" s="19"/>
      <c r="IXY38" s="19"/>
      <c r="IXZ38" s="19"/>
      <c r="IYA38" s="19"/>
      <c r="IYB38" s="19"/>
      <c r="IYC38" s="19"/>
      <c r="IYD38" s="19"/>
      <c r="IYE38" s="19"/>
      <c r="IYF38" s="19"/>
      <c r="IYG38" s="19"/>
      <c r="IYH38" s="19"/>
      <c r="IYI38" s="19"/>
      <c r="IYJ38" s="19"/>
      <c r="IYK38" s="19"/>
      <c r="IYL38" s="19"/>
      <c r="IYM38" s="19"/>
      <c r="IYN38" s="19"/>
      <c r="IYO38" s="19"/>
      <c r="IYP38" s="19"/>
      <c r="IYQ38" s="19"/>
      <c r="IYR38" s="19"/>
      <c r="IYS38" s="19"/>
      <c r="IYT38" s="19"/>
      <c r="IYU38" s="19"/>
      <c r="IYV38" s="19"/>
      <c r="IYW38" s="19"/>
      <c r="IYX38" s="19"/>
      <c r="IYY38" s="19"/>
      <c r="IYZ38" s="19"/>
      <c r="IZA38" s="19"/>
      <c r="IZB38" s="19"/>
      <c r="IZC38" s="19"/>
      <c r="IZD38" s="19"/>
      <c r="IZE38" s="19"/>
      <c r="IZF38" s="19"/>
      <c r="IZG38" s="19"/>
      <c r="IZH38" s="19"/>
      <c r="IZI38" s="19"/>
      <c r="IZJ38" s="19"/>
      <c r="IZK38" s="19"/>
      <c r="IZL38" s="19"/>
      <c r="IZM38" s="19"/>
      <c r="IZN38" s="19"/>
      <c r="IZO38" s="19"/>
      <c r="IZP38" s="19"/>
      <c r="IZQ38" s="19"/>
      <c r="IZR38" s="19"/>
      <c r="IZS38" s="19"/>
      <c r="IZT38" s="19"/>
      <c r="IZU38" s="19"/>
      <c r="IZV38" s="19"/>
      <c r="IZW38" s="19"/>
      <c r="IZX38" s="19"/>
      <c r="IZY38" s="19"/>
      <c r="IZZ38" s="19"/>
      <c r="JAA38" s="19"/>
      <c r="JAB38" s="19"/>
      <c r="JAC38" s="19"/>
      <c r="JAD38" s="19"/>
      <c r="JAE38" s="19"/>
      <c r="JAF38" s="19"/>
      <c r="JAG38" s="19"/>
      <c r="JAH38" s="19"/>
      <c r="JAI38" s="19"/>
      <c r="JAJ38" s="19"/>
      <c r="JAK38" s="19"/>
      <c r="JAL38" s="19"/>
      <c r="JAM38" s="19"/>
      <c r="JAN38" s="19"/>
      <c r="JAO38" s="19"/>
      <c r="JAP38" s="19"/>
      <c r="JAQ38" s="19"/>
      <c r="JAR38" s="19"/>
      <c r="JAS38" s="19"/>
      <c r="JAT38" s="19"/>
      <c r="JAU38" s="19"/>
      <c r="JAV38" s="19"/>
      <c r="JAW38" s="19"/>
      <c r="JAX38" s="19"/>
      <c r="JAY38" s="19"/>
      <c r="JAZ38" s="19"/>
      <c r="JBA38" s="19"/>
      <c r="JBB38" s="19"/>
      <c r="JBC38" s="19"/>
      <c r="JBD38" s="19"/>
      <c r="JBE38" s="19"/>
      <c r="JBF38" s="19"/>
      <c r="JBG38" s="19"/>
      <c r="JBH38" s="19"/>
      <c r="JBI38" s="19"/>
      <c r="JBJ38" s="19"/>
      <c r="JBK38" s="19"/>
      <c r="JBL38" s="19"/>
      <c r="JBM38" s="19"/>
      <c r="JBN38" s="19"/>
      <c r="JBO38" s="19"/>
      <c r="JBP38" s="19"/>
      <c r="JBQ38" s="19"/>
      <c r="JBR38" s="19"/>
      <c r="JBS38" s="19"/>
      <c r="JBT38" s="19"/>
      <c r="JBU38" s="19"/>
      <c r="JBV38" s="19"/>
      <c r="JBW38" s="19"/>
      <c r="JBX38" s="19"/>
      <c r="JBY38" s="19"/>
      <c r="JBZ38" s="19"/>
      <c r="JCA38" s="19"/>
      <c r="JCB38" s="19"/>
      <c r="JCC38" s="19"/>
      <c r="JCD38" s="19"/>
      <c r="JCE38" s="19"/>
      <c r="JCF38" s="19"/>
      <c r="JCG38" s="19"/>
      <c r="JCH38" s="19"/>
      <c r="JCI38" s="19"/>
      <c r="JCJ38" s="19"/>
      <c r="JCK38" s="19"/>
      <c r="JCL38" s="19"/>
      <c r="JCM38" s="19"/>
      <c r="JCN38" s="19"/>
      <c r="JCO38" s="19"/>
      <c r="JCP38" s="19"/>
      <c r="JCQ38" s="19"/>
      <c r="JCR38" s="19"/>
      <c r="JCS38" s="19"/>
      <c r="JCT38" s="19"/>
      <c r="JCU38" s="19"/>
      <c r="JCV38" s="19"/>
      <c r="JCW38" s="19"/>
      <c r="JCX38" s="19"/>
      <c r="JCY38" s="19"/>
      <c r="JCZ38" s="19"/>
      <c r="JDA38" s="19"/>
      <c r="JDB38" s="19"/>
      <c r="JDC38" s="19"/>
      <c r="JDD38" s="19"/>
      <c r="JDE38" s="19"/>
      <c r="JDF38" s="19"/>
      <c r="JDG38" s="19"/>
      <c r="JDH38" s="19"/>
      <c r="JDI38" s="19"/>
      <c r="JDJ38" s="19"/>
      <c r="JDK38" s="19"/>
      <c r="JDL38" s="19"/>
      <c r="JDM38" s="19"/>
      <c r="JDN38" s="19"/>
      <c r="JDO38" s="19"/>
      <c r="JDP38" s="19"/>
      <c r="JDQ38" s="19"/>
      <c r="JDR38" s="19"/>
      <c r="JDS38" s="19"/>
      <c r="JDT38" s="19"/>
      <c r="JDU38" s="19"/>
      <c r="JDV38" s="19"/>
      <c r="JDW38" s="19"/>
      <c r="JDX38" s="19"/>
      <c r="JDY38" s="19"/>
      <c r="JDZ38" s="19"/>
      <c r="JEA38" s="19"/>
      <c r="JEB38" s="19"/>
      <c r="JEC38" s="19"/>
      <c r="JED38" s="19"/>
      <c r="JEE38" s="19"/>
      <c r="JEF38" s="19"/>
      <c r="JEG38" s="19"/>
      <c r="JEH38" s="19"/>
      <c r="JEI38" s="19"/>
      <c r="JEJ38" s="19"/>
      <c r="JEK38" s="19"/>
      <c r="JEL38" s="19"/>
      <c r="JEM38" s="19"/>
      <c r="JEN38" s="19"/>
      <c r="JEO38" s="19"/>
      <c r="JEP38" s="19"/>
      <c r="JEQ38" s="19"/>
      <c r="JER38" s="19"/>
      <c r="JES38" s="19"/>
      <c r="JET38" s="19"/>
      <c r="JEU38" s="19"/>
      <c r="JEV38" s="19"/>
      <c r="JEW38" s="19"/>
      <c r="JEX38" s="19"/>
      <c r="JEY38" s="19"/>
      <c r="JEZ38" s="19"/>
      <c r="JFA38" s="19"/>
      <c r="JFB38" s="19"/>
      <c r="JFC38" s="19"/>
      <c r="JFD38" s="19"/>
      <c r="JFE38" s="19"/>
      <c r="JFF38" s="19"/>
      <c r="JFG38" s="19"/>
      <c r="JFH38" s="19"/>
      <c r="JFI38" s="19"/>
      <c r="JFJ38" s="19"/>
      <c r="JFK38" s="19"/>
      <c r="JFL38" s="19"/>
      <c r="JFM38" s="19"/>
      <c r="JFN38" s="19"/>
      <c r="JFO38" s="19"/>
      <c r="JFP38" s="19"/>
      <c r="JFQ38" s="19"/>
      <c r="JFR38" s="19"/>
      <c r="JFS38" s="19"/>
      <c r="JFT38" s="19"/>
      <c r="JFU38" s="19"/>
      <c r="JFV38" s="19"/>
      <c r="JFW38" s="19"/>
      <c r="JFX38" s="19"/>
      <c r="JFY38" s="19"/>
      <c r="JFZ38" s="19"/>
      <c r="JGA38" s="19"/>
      <c r="JGB38" s="19"/>
      <c r="JGC38" s="19"/>
      <c r="JGD38" s="19"/>
      <c r="JGE38" s="19"/>
      <c r="JGF38" s="19"/>
      <c r="JGG38" s="19"/>
      <c r="JGH38" s="19"/>
      <c r="JGI38" s="19"/>
      <c r="JGJ38" s="19"/>
      <c r="JGK38" s="19"/>
      <c r="JGL38" s="19"/>
      <c r="JGM38" s="19"/>
      <c r="JGN38" s="19"/>
      <c r="JGO38" s="19"/>
      <c r="JGP38" s="19"/>
      <c r="JGQ38" s="19"/>
      <c r="JGR38" s="19"/>
      <c r="JGS38" s="19"/>
      <c r="JGT38" s="19"/>
      <c r="JGU38" s="19"/>
      <c r="JGV38" s="19"/>
      <c r="JGW38" s="19"/>
      <c r="JGX38" s="19"/>
      <c r="JGY38" s="19"/>
      <c r="JGZ38" s="19"/>
      <c r="JHA38" s="19"/>
      <c r="JHB38" s="19"/>
      <c r="JHC38" s="19"/>
      <c r="JHD38" s="19"/>
      <c r="JHE38" s="19"/>
      <c r="JHF38" s="19"/>
      <c r="JHG38" s="19"/>
      <c r="JHH38" s="19"/>
      <c r="JHI38" s="19"/>
      <c r="JHJ38" s="19"/>
      <c r="JHK38" s="19"/>
      <c r="JHL38" s="19"/>
      <c r="JHM38" s="19"/>
      <c r="JHN38" s="19"/>
      <c r="JHO38" s="19"/>
      <c r="JHP38" s="19"/>
      <c r="JHQ38" s="19"/>
      <c r="JHR38" s="19"/>
      <c r="JHS38" s="19"/>
      <c r="JHT38" s="19"/>
      <c r="JHU38" s="19"/>
      <c r="JHV38" s="19"/>
      <c r="JHW38" s="19"/>
      <c r="JHX38" s="19"/>
      <c r="JHY38" s="19"/>
      <c r="JHZ38" s="19"/>
      <c r="JIA38" s="19"/>
      <c r="JIB38" s="19"/>
      <c r="JIC38" s="19"/>
      <c r="JID38" s="19"/>
      <c r="JIE38" s="19"/>
      <c r="JIF38" s="19"/>
      <c r="JIG38" s="19"/>
      <c r="JIH38" s="19"/>
      <c r="JII38" s="19"/>
      <c r="JIJ38" s="19"/>
      <c r="JIK38" s="19"/>
      <c r="JIL38" s="19"/>
      <c r="JIM38" s="19"/>
      <c r="JIN38" s="19"/>
      <c r="JIO38" s="19"/>
      <c r="JIP38" s="19"/>
      <c r="JIQ38" s="19"/>
      <c r="JIR38" s="19"/>
      <c r="JIS38" s="19"/>
      <c r="JIT38" s="19"/>
      <c r="JIU38" s="19"/>
      <c r="JIV38" s="19"/>
      <c r="JIW38" s="19"/>
      <c r="JIX38" s="19"/>
      <c r="JIY38" s="19"/>
      <c r="JIZ38" s="19"/>
      <c r="JJA38" s="19"/>
      <c r="JJB38" s="19"/>
      <c r="JJC38" s="19"/>
      <c r="JJD38" s="19"/>
      <c r="JJE38" s="19"/>
      <c r="JJF38" s="19"/>
      <c r="JJG38" s="19"/>
      <c r="JJH38" s="19"/>
      <c r="JJI38" s="19"/>
      <c r="JJJ38" s="19"/>
      <c r="JJK38" s="19"/>
      <c r="JJL38" s="19"/>
      <c r="JJM38" s="19"/>
      <c r="JJN38" s="19"/>
      <c r="JJO38" s="19"/>
      <c r="JJP38" s="19"/>
      <c r="JJQ38" s="19"/>
      <c r="JJR38" s="19"/>
      <c r="JJS38" s="19"/>
      <c r="JJT38" s="19"/>
      <c r="JJU38" s="19"/>
      <c r="JJV38" s="19"/>
      <c r="JJW38" s="19"/>
      <c r="JJX38" s="19"/>
      <c r="JJY38" s="19"/>
      <c r="JJZ38" s="19"/>
      <c r="JKA38" s="19"/>
      <c r="JKB38" s="19"/>
      <c r="JKC38" s="19"/>
      <c r="JKD38" s="19"/>
      <c r="JKE38" s="19"/>
      <c r="JKF38" s="19"/>
      <c r="JKG38" s="19"/>
      <c r="JKH38" s="19"/>
      <c r="JKI38" s="19"/>
      <c r="JKJ38" s="19"/>
      <c r="JKK38" s="19"/>
      <c r="JKL38" s="19"/>
      <c r="JKM38" s="19"/>
      <c r="JKN38" s="19"/>
      <c r="JKO38" s="19"/>
      <c r="JKP38" s="19"/>
      <c r="JKQ38" s="19"/>
      <c r="JKR38" s="19"/>
      <c r="JKS38" s="19"/>
      <c r="JKT38" s="19"/>
      <c r="JKU38" s="19"/>
      <c r="JKV38" s="19"/>
      <c r="JKW38" s="19"/>
      <c r="JKX38" s="19"/>
      <c r="JKY38" s="19"/>
      <c r="JKZ38" s="19"/>
      <c r="JLA38" s="19"/>
      <c r="JLB38" s="19"/>
      <c r="JLC38" s="19"/>
      <c r="JLD38" s="19"/>
      <c r="JLE38" s="19"/>
      <c r="JLF38" s="19"/>
      <c r="JLG38" s="19"/>
      <c r="JLH38" s="19"/>
      <c r="JLI38" s="19"/>
      <c r="JLJ38" s="19"/>
      <c r="JLK38" s="19"/>
      <c r="JLL38" s="19"/>
      <c r="JLM38" s="19"/>
      <c r="JLN38" s="19"/>
      <c r="JLO38" s="19"/>
      <c r="JLP38" s="19"/>
      <c r="JLQ38" s="19"/>
      <c r="JLR38" s="19"/>
      <c r="JLS38" s="19"/>
      <c r="JLT38" s="19"/>
      <c r="JLU38" s="19"/>
      <c r="JLV38" s="19"/>
      <c r="JLW38" s="19"/>
      <c r="JLX38" s="19"/>
      <c r="JLY38" s="19"/>
      <c r="JLZ38" s="19"/>
      <c r="JMA38" s="19"/>
      <c r="JMB38" s="19"/>
      <c r="JMC38" s="19"/>
      <c r="JMD38" s="19"/>
      <c r="JME38" s="19"/>
      <c r="JMF38" s="19"/>
      <c r="JMG38" s="19"/>
      <c r="JMH38" s="19"/>
      <c r="JMI38" s="19"/>
      <c r="JMJ38" s="19"/>
      <c r="JMK38" s="19"/>
      <c r="JML38" s="19"/>
      <c r="JMM38" s="19"/>
      <c r="JMN38" s="19"/>
      <c r="JMO38" s="19"/>
      <c r="JMP38" s="19"/>
      <c r="JMQ38" s="19"/>
      <c r="JMR38" s="19"/>
      <c r="JMS38" s="19"/>
      <c r="JMT38" s="19"/>
      <c r="JMU38" s="19"/>
      <c r="JMV38" s="19"/>
      <c r="JMW38" s="19"/>
      <c r="JMX38" s="19"/>
      <c r="JMY38" s="19"/>
      <c r="JMZ38" s="19"/>
      <c r="JNA38" s="19"/>
      <c r="JNB38" s="19"/>
      <c r="JNC38" s="19"/>
      <c r="JND38" s="19"/>
      <c r="JNE38" s="19"/>
      <c r="JNF38" s="19"/>
      <c r="JNG38" s="19"/>
      <c r="JNH38" s="19"/>
      <c r="JNI38" s="19"/>
      <c r="JNJ38" s="19"/>
      <c r="JNK38" s="19"/>
      <c r="JNL38" s="19"/>
      <c r="JNM38" s="19"/>
      <c r="JNN38" s="19"/>
      <c r="JNO38" s="19"/>
      <c r="JNP38" s="19"/>
      <c r="JNQ38" s="19"/>
      <c r="JNR38" s="19"/>
      <c r="JNS38" s="19"/>
      <c r="JNT38" s="19"/>
      <c r="JNU38" s="19"/>
      <c r="JNV38" s="19"/>
      <c r="JNW38" s="19"/>
      <c r="JNX38" s="19"/>
      <c r="JNY38" s="19"/>
      <c r="JNZ38" s="19"/>
      <c r="JOA38" s="19"/>
      <c r="JOB38" s="19"/>
      <c r="JOC38" s="19"/>
      <c r="JOD38" s="19"/>
      <c r="JOE38" s="19"/>
      <c r="JOF38" s="19"/>
      <c r="JOG38" s="19"/>
      <c r="JOH38" s="19"/>
      <c r="JOI38" s="19"/>
      <c r="JOJ38" s="19"/>
      <c r="JOK38" s="19"/>
      <c r="JOL38" s="19"/>
      <c r="JOM38" s="19"/>
      <c r="JON38" s="19"/>
      <c r="JOO38" s="19"/>
      <c r="JOP38" s="19"/>
      <c r="JOQ38" s="19"/>
      <c r="JOR38" s="19"/>
      <c r="JOS38" s="19"/>
      <c r="JOT38" s="19"/>
      <c r="JOU38" s="19"/>
      <c r="JOV38" s="19"/>
      <c r="JOW38" s="19"/>
      <c r="JOX38" s="19"/>
      <c r="JOY38" s="19"/>
      <c r="JOZ38" s="19"/>
      <c r="JPA38" s="19"/>
      <c r="JPB38" s="19"/>
      <c r="JPC38" s="19"/>
      <c r="JPD38" s="19"/>
      <c r="JPE38" s="19"/>
      <c r="JPF38" s="19"/>
      <c r="JPG38" s="19"/>
      <c r="JPH38" s="19"/>
      <c r="JPI38" s="19"/>
      <c r="JPJ38" s="19"/>
      <c r="JPK38" s="19"/>
      <c r="JPL38" s="19"/>
      <c r="JPM38" s="19"/>
      <c r="JPN38" s="19"/>
      <c r="JPO38" s="19"/>
      <c r="JPP38" s="19"/>
      <c r="JPQ38" s="19"/>
      <c r="JPR38" s="19"/>
      <c r="JPS38" s="19"/>
      <c r="JPT38" s="19"/>
      <c r="JPU38" s="19"/>
      <c r="JPV38" s="19"/>
      <c r="JPW38" s="19"/>
      <c r="JPX38" s="19"/>
      <c r="JPY38" s="19"/>
      <c r="JPZ38" s="19"/>
      <c r="JQA38" s="19"/>
      <c r="JQB38" s="19"/>
      <c r="JQC38" s="19"/>
      <c r="JQD38" s="19"/>
      <c r="JQE38" s="19"/>
      <c r="JQF38" s="19"/>
      <c r="JQG38" s="19"/>
      <c r="JQH38" s="19"/>
      <c r="JQI38" s="19"/>
      <c r="JQJ38" s="19"/>
      <c r="JQK38" s="19"/>
      <c r="JQL38" s="19"/>
      <c r="JQM38" s="19"/>
      <c r="JQN38" s="19"/>
      <c r="JQO38" s="19"/>
      <c r="JQP38" s="19"/>
      <c r="JQQ38" s="19"/>
      <c r="JQR38" s="19"/>
      <c r="JQS38" s="19"/>
      <c r="JQT38" s="19"/>
      <c r="JQU38" s="19"/>
      <c r="JQV38" s="19"/>
      <c r="JQW38" s="19"/>
      <c r="JQX38" s="19"/>
      <c r="JQY38" s="19"/>
      <c r="JQZ38" s="19"/>
      <c r="JRA38" s="19"/>
      <c r="JRB38" s="19"/>
      <c r="JRC38" s="19"/>
      <c r="JRD38" s="19"/>
      <c r="JRE38" s="19"/>
      <c r="JRF38" s="19"/>
      <c r="JRG38" s="19"/>
      <c r="JRH38" s="19"/>
      <c r="JRI38" s="19"/>
      <c r="JRJ38" s="19"/>
      <c r="JRK38" s="19"/>
      <c r="JRL38" s="19"/>
      <c r="JRM38" s="19"/>
      <c r="JRN38" s="19"/>
      <c r="JRO38" s="19"/>
      <c r="JRP38" s="19"/>
      <c r="JRQ38" s="19"/>
      <c r="JRR38" s="19"/>
      <c r="JRS38" s="19"/>
      <c r="JRT38" s="19"/>
      <c r="JRU38" s="19"/>
      <c r="JRV38" s="19"/>
      <c r="JRW38" s="19"/>
      <c r="JRX38" s="19"/>
      <c r="JRY38" s="19"/>
      <c r="JRZ38" s="19"/>
      <c r="JSA38" s="19"/>
      <c r="JSB38" s="19"/>
      <c r="JSC38" s="19"/>
      <c r="JSD38" s="19"/>
      <c r="JSE38" s="19"/>
      <c r="JSF38" s="19"/>
      <c r="JSG38" s="19"/>
      <c r="JSH38" s="19"/>
      <c r="JSI38" s="19"/>
      <c r="JSJ38" s="19"/>
      <c r="JSK38" s="19"/>
      <c r="JSL38" s="19"/>
      <c r="JSM38" s="19"/>
      <c r="JSN38" s="19"/>
      <c r="JSO38" s="19"/>
      <c r="JSP38" s="19"/>
      <c r="JSQ38" s="19"/>
      <c r="JSR38" s="19"/>
      <c r="JSS38" s="19"/>
      <c r="JST38" s="19"/>
      <c r="JSU38" s="19"/>
      <c r="JSV38" s="19"/>
      <c r="JSW38" s="19"/>
      <c r="JSX38" s="19"/>
      <c r="JSY38" s="19"/>
      <c r="JSZ38" s="19"/>
      <c r="JTA38" s="19"/>
      <c r="JTB38" s="19"/>
      <c r="JTC38" s="19"/>
      <c r="JTD38" s="19"/>
      <c r="JTE38" s="19"/>
      <c r="JTF38" s="19"/>
      <c r="JTG38" s="19"/>
      <c r="JTH38" s="19"/>
      <c r="JTI38" s="19"/>
      <c r="JTJ38" s="19"/>
      <c r="JTK38" s="19"/>
      <c r="JTL38" s="19"/>
      <c r="JTM38" s="19"/>
      <c r="JTN38" s="19"/>
      <c r="JTO38" s="19"/>
      <c r="JTP38" s="19"/>
      <c r="JTQ38" s="19"/>
      <c r="JTR38" s="19"/>
      <c r="JTS38" s="19"/>
      <c r="JTT38" s="19"/>
      <c r="JTU38" s="19"/>
      <c r="JTV38" s="19"/>
      <c r="JTW38" s="19"/>
      <c r="JTX38" s="19"/>
      <c r="JTY38" s="19"/>
      <c r="JTZ38" s="19"/>
      <c r="JUA38" s="19"/>
      <c r="JUB38" s="19"/>
      <c r="JUC38" s="19"/>
      <c r="JUD38" s="19"/>
      <c r="JUE38" s="19"/>
      <c r="JUF38" s="19"/>
      <c r="JUG38" s="19"/>
      <c r="JUH38" s="19"/>
      <c r="JUI38" s="19"/>
      <c r="JUJ38" s="19"/>
      <c r="JUK38" s="19"/>
      <c r="JUL38" s="19"/>
      <c r="JUM38" s="19"/>
      <c r="JUN38" s="19"/>
      <c r="JUO38" s="19"/>
      <c r="JUP38" s="19"/>
      <c r="JUQ38" s="19"/>
      <c r="JUR38" s="19"/>
      <c r="JUS38" s="19"/>
      <c r="JUT38" s="19"/>
      <c r="JUU38" s="19"/>
      <c r="JUV38" s="19"/>
      <c r="JUW38" s="19"/>
      <c r="JUX38" s="19"/>
      <c r="JUY38" s="19"/>
      <c r="JUZ38" s="19"/>
      <c r="JVA38" s="19"/>
      <c r="JVB38" s="19"/>
      <c r="JVC38" s="19"/>
      <c r="JVD38" s="19"/>
      <c r="JVE38" s="19"/>
      <c r="JVF38" s="19"/>
      <c r="JVG38" s="19"/>
      <c r="JVH38" s="19"/>
      <c r="JVI38" s="19"/>
      <c r="JVJ38" s="19"/>
      <c r="JVK38" s="19"/>
      <c r="JVL38" s="19"/>
      <c r="JVM38" s="19"/>
      <c r="JVN38" s="19"/>
      <c r="JVO38" s="19"/>
      <c r="JVP38" s="19"/>
      <c r="JVQ38" s="19"/>
      <c r="JVR38" s="19"/>
      <c r="JVS38" s="19"/>
      <c r="JVT38" s="19"/>
      <c r="JVU38" s="19"/>
      <c r="JVV38" s="19"/>
      <c r="JVW38" s="19"/>
      <c r="JVX38" s="19"/>
      <c r="JVY38" s="19"/>
      <c r="JVZ38" s="19"/>
      <c r="JWA38" s="19"/>
      <c r="JWB38" s="19"/>
      <c r="JWC38" s="19"/>
      <c r="JWD38" s="19"/>
      <c r="JWE38" s="19"/>
      <c r="JWF38" s="19"/>
      <c r="JWG38" s="19"/>
      <c r="JWH38" s="19"/>
      <c r="JWI38" s="19"/>
      <c r="JWJ38" s="19"/>
      <c r="JWK38" s="19"/>
      <c r="JWL38" s="19"/>
      <c r="JWM38" s="19"/>
      <c r="JWN38" s="19"/>
      <c r="JWO38" s="19"/>
      <c r="JWP38" s="19"/>
      <c r="JWQ38" s="19"/>
      <c r="JWR38" s="19"/>
      <c r="JWS38" s="19"/>
      <c r="JWT38" s="19"/>
      <c r="JWU38" s="19"/>
      <c r="JWV38" s="19"/>
      <c r="JWW38" s="19"/>
      <c r="JWX38" s="19"/>
      <c r="JWY38" s="19"/>
      <c r="JWZ38" s="19"/>
      <c r="JXA38" s="19"/>
      <c r="JXB38" s="19"/>
      <c r="JXC38" s="19"/>
      <c r="JXD38" s="19"/>
      <c r="JXE38" s="19"/>
      <c r="JXF38" s="19"/>
      <c r="JXG38" s="19"/>
      <c r="JXH38" s="19"/>
      <c r="JXI38" s="19"/>
      <c r="JXJ38" s="19"/>
      <c r="JXK38" s="19"/>
      <c r="JXL38" s="19"/>
      <c r="JXM38" s="19"/>
      <c r="JXN38" s="19"/>
      <c r="JXO38" s="19"/>
      <c r="JXP38" s="19"/>
      <c r="JXQ38" s="19"/>
      <c r="JXR38" s="19"/>
      <c r="JXS38" s="19"/>
      <c r="JXT38" s="19"/>
      <c r="JXU38" s="19"/>
      <c r="JXV38" s="19"/>
      <c r="JXW38" s="19"/>
      <c r="JXX38" s="19"/>
      <c r="JXY38" s="19"/>
      <c r="JXZ38" s="19"/>
      <c r="JYA38" s="19"/>
      <c r="JYB38" s="19"/>
      <c r="JYC38" s="19"/>
      <c r="JYD38" s="19"/>
      <c r="JYE38" s="19"/>
      <c r="JYF38" s="19"/>
      <c r="JYG38" s="19"/>
      <c r="JYH38" s="19"/>
      <c r="JYI38" s="19"/>
      <c r="JYJ38" s="19"/>
      <c r="JYK38" s="19"/>
      <c r="JYL38" s="19"/>
      <c r="JYM38" s="19"/>
      <c r="JYN38" s="19"/>
      <c r="JYO38" s="19"/>
      <c r="JYP38" s="19"/>
      <c r="JYQ38" s="19"/>
      <c r="JYR38" s="19"/>
      <c r="JYS38" s="19"/>
      <c r="JYT38" s="19"/>
      <c r="JYU38" s="19"/>
      <c r="JYV38" s="19"/>
      <c r="JYW38" s="19"/>
      <c r="JYX38" s="19"/>
      <c r="JYY38" s="19"/>
      <c r="JYZ38" s="19"/>
      <c r="JZA38" s="19"/>
      <c r="JZB38" s="19"/>
      <c r="JZC38" s="19"/>
      <c r="JZD38" s="19"/>
      <c r="JZE38" s="19"/>
      <c r="JZF38" s="19"/>
      <c r="JZG38" s="19"/>
      <c r="JZH38" s="19"/>
      <c r="JZI38" s="19"/>
      <c r="JZJ38" s="19"/>
      <c r="JZK38" s="19"/>
      <c r="JZL38" s="19"/>
      <c r="JZM38" s="19"/>
      <c r="JZN38" s="19"/>
      <c r="JZO38" s="19"/>
      <c r="JZP38" s="19"/>
      <c r="JZQ38" s="19"/>
      <c r="JZR38" s="19"/>
      <c r="JZS38" s="19"/>
      <c r="JZT38" s="19"/>
      <c r="JZU38" s="19"/>
      <c r="JZV38" s="19"/>
      <c r="JZW38" s="19"/>
      <c r="JZX38" s="19"/>
      <c r="JZY38" s="19"/>
      <c r="JZZ38" s="19"/>
      <c r="KAA38" s="19"/>
      <c r="KAB38" s="19"/>
      <c r="KAC38" s="19"/>
      <c r="KAD38" s="19"/>
      <c r="KAE38" s="19"/>
      <c r="KAF38" s="19"/>
      <c r="KAG38" s="19"/>
      <c r="KAH38" s="19"/>
      <c r="KAI38" s="19"/>
      <c r="KAJ38" s="19"/>
      <c r="KAK38" s="19"/>
      <c r="KAL38" s="19"/>
      <c r="KAM38" s="19"/>
      <c r="KAN38" s="19"/>
      <c r="KAO38" s="19"/>
      <c r="KAP38" s="19"/>
      <c r="KAQ38" s="19"/>
      <c r="KAR38" s="19"/>
      <c r="KAS38" s="19"/>
      <c r="KAT38" s="19"/>
      <c r="KAU38" s="19"/>
      <c r="KAV38" s="19"/>
      <c r="KAW38" s="19"/>
      <c r="KAX38" s="19"/>
      <c r="KAY38" s="19"/>
      <c r="KAZ38" s="19"/>
      <c r="KBA38" s="19"/>
      <c r="KBB38" s="19"/>
      <c r="KBC38" s="19"/>
      <c r="KBD38" s="19"/>
      <c r="KBE38" s="19"/>
      <c r="KBF38" s="19"/>
      <c r="KBG38" s="19"/>
      <c r="KBH38" s="19"/>
      <c r="KBI38" s="19"/>
      <c r="KBJ38" s="19"/>
      <c r="KBK38" s="19"/>
      <c r="KBL38" s="19"/>
      <c r="KBM38" s="19"/>
      <c r="KBN38" s="19"/>
      <c r="KBO38" s="19"/>
      <c r="KBP38" s="19"/>
      <c r="KBQ38" s="19"/>
      <c r="KBR38" s="19"/>
      <c r="KBS38" s="19"/>
      <c r="KBT38" s="19"/>
      <c r="KBU38" s="19"/>
      <c r="KBV38" s="19"/>
      <c r="KBW38" s="19"/>
      <c r="KBX38" s="19"/>
      <c r="KBY38" s="19"/>
      <c r="KBZ38" s="19"/>
      <c r="KCA38" s="19"/>
      <c r="KCB38" s="19"/>
      <c r="KCC38" s="19"/>
      <c r="KCD38" s="19"/>
      <c r="KCE38" s="19"/>
      <c r="KCF38" s="19"/>
      <c r="KCG38" s="19"/>
      <c r="KCH38" s="19"/>
      <c r="KCI38" s="19"/>
      <c r="KCJ38" s="19"/>
      <c r="KCK38" s="19"/>
      <c r="KCL38" s="19"/>
      <c r="KCM38" s="19"/>
      <c r="KCN38" s="19"/>
      <c r="KCO38" s="19"/>
      <c r="KCP38" s="19"/>
      <c r="KCQ38" s="19"/>
      <c r="KCR38" s="19"/>
      <c r="KCS38" s="19"/>
      <c r="KCT38" s="19"/>
      <c r="KCU38" s="19"/>
      <c r="KCV38" s="19"/>
      <c r="KCW38" s="19"/>
      <c r="KCX38" s="19"/>
      <c r="KCY38" s="19"/>
      <c r="KCZ38" s="19"/>
      <c r="KDA38" s="19"/>
      <c r="KDB38" s="19"/>
      <c r="KDC38" s="19"/>
      <c r="KDD38" s="19"/>
      <c r="KDE38" s="19"/>
      <c r="KDF38" s="19"/>
      <c r="KDG38" s="19"/>
      <c r="KDH38" s="19"/>
      <c r="KDI38" s="19"/>
      <c r="KDJ38" s="19"/>
      <c r="KDK38" s="19"/>
      <c r="KDL38" s="19"/>
      <c r="KDM38" s="19"/>
      <c r="KDN38" s="19"/>
      <c r="KDO38" s="19"/>
      <c r="KDP38" s="19"/>
      <c r="KDQ38" s="19"/>
      <c r="KDR38" s="19"/>
      <c r="KDS38" s="19"/>
      <c r="KDT38" s="19"/>
      <c r="KDU38" s="19"/>
      <c r="KDV38" s="19"/>
      <c r="KDW38" s="19"/>
      <c r="KDX38" s="19"/>
      <c r="KDY38" s="19"/>
      <c r="KDZ38" s="19"/>
      <c r="KEA38" s="19"/>
      <c r="KEB38" s="19"/>
      <c r="KEC38" s="19"/>
      <c r="KED38" s="19"/>
      <c r="KEE38" s="19"/>
      <c r="KEF38" s="19"/>
      <c r="KEG38" s="19"/>
      <c r="KEH38" s="19"/>
      <c r="KEI38" s="19"/>
      <c r="KEJ38" s="19"/>
      <c r="KEK38" s="19"/>
      <c r="KEL38" s="19"/>
      <c r="KEM38" s="19"/>
      <c r="KEN38" s="19"/>
      <c r="KEO38" s="19"/>
      <c r="KEP38" s="19"/>
      <c r="KEQ38" s="19"/>
      <c r="KER38" s="19"/>
      <c r="KES38" s="19"/>
      <c r="KET38" s="19"/>
      <c r="KEU38" s="19"/>
      <c r="KEV38" s="19"/>
      <c r="KEW38" s="19"/>
      <c r="KEX38" s="19"/>
      <c r="KEY38" s="19"/>
      <c r="KEZ38" s="19"/>
      <c r="KFA38" s="19"/>
      <c r="KFB38" s="19"/>
      <c r="KFC38" s="19"/>
      <c r="KFD38" s="19"/>
      <c r="KFE38" s="19"/>
      <c r="KFF38" s="19"/>
      <c r="KFG38" s="19"/>
      <c r="KFH38" s="19"/>
      <c r="KFI38" s="19"/>
      <c r="KFJ38" s="19"/>
      <c r="KFK38" s="19"/>
      <c r="KFL38" s="19"/>
      <c r="KFM38" s="19"/>
      <c r="KFN38" s="19"/>
      <c r="KFO38" s="19"/>
      <c r="KFP38" s="19"/>
      <c r="KFQ38" s="19"/>
      <c r="KFR38" s="19"/>
      <c r="KFS38" s="19"/>
      <c r="KFT38" s="19"/>
      <c r="KFU38" s="19"/>
      <c r="KFV38" s="19"/>
      <c r="KFW38" s="19"/>
      <c r="KFX38" s="19"/>
      <c r="KFY38" s="19"/>
      <c r="KFZ38" s="19"/>
      <c r="KGA38" s="19"/>
      <c r="KGB38" s="19"/>
      <c r="KGC38" s="19"/>
      <c r="KGD38" s="19"/>
      <c r="KGE38" s="19"/>
      <c r="KGF38" s="19"/>
      <c r="KGG38" s="19"/>
      <c r="KGH38" s="19"/>
      <c r="KGI38" s="19"/>
      <c r="KGJ38" s="19"/>
      <c r="KGK38" s="19"/>
      <c r="KGL38" s="19"/>
      <c r="KGM38" s="19"/>
      <c r="KGN38" s="19"/>
      <c r="KGO38" s="19"/>
      <c r="KGP38" s="19"/>
      <c r="KGQ38" s="19"/>
      <c r="KGR38" s="19"/>
      <c r="KGS38" s="19"/>
      <c r="KGT38" s="19"/>
      <c r="KGU38" s="19"/>
      <c r="KGV38" s="19"/>
      <c r="KGW38" s="19"/>
      <c r="KGX38" s="19"/>
      <c r="KGY38" s="19"/>
      <c r="KGZ38" s="19"/>
      <c r="KHA38" s="19"/>
      <c r="KHB38" s="19"/>
      <c r="KHC38" s="19"/>
      <c r="KHD38" s="19"/>
      <c r="KHE38" s="19"/>
      <c r="KHF38" s="19"/>
      <c r="KHG38" s="19"/>
      <c r="KHH38" s="19"/>
      <c r="KHI38" s="19"/>
      <c r="KHJ38" s="19"/>
      <c r="KHK38" s="19"/>
      <c r="KHL38" s="19"/>
      <c r="KHM38" s="19"/>
      <c r="KHN38" s="19"/>
      <c r="KHO38" s="19"/>
      <c r="KHP38" s="19"/>
      <c r="KHQ38" s="19"/>
      <c r="KHR38" s="19"/>
      <c r="KHS38" s="19"/>
      <c r="KHT38" s="19"/>
      <c r="KHU38" s="19"/>
      <c r="KHV38" s="19"/>
      <c r="KHW38" s="19"/>
      <c r="KHX38" s="19"/>
      <c r="KHY38" s="19"/>
      <c r="KHZ38" s="19"/>
      <c r="KIA38" s="19"/>
      <c r="KIB38" s="19"/>
      <c r="KIC38" s="19"/>
      <c r="KID38" s="19"/>
      <c r="KIE38" s="19"/>
      <c r="KIF38" s="19"/>
      <c r="KIG38" s="19"/>
      <c r="KIH38" s="19"/>
      <c r="KII38" s="19"/>
      <c r="KIJ38" s="19"/>
      <c r="KIK38" s="19"/>
      <c r="KIL38" s="19"/>
      <c r="KIM38" s="19"/>
      <c r="KIN38" s="19"/>
      <c r="KIO38" s="19"/>
      <c r="KIP38" s="19"/>
      <c r="KIQ38" s="19"/>
      <c r="KIR38" s="19"/>
      <c r="KIS38" s="19"/>
      <c r="KIT38" s="19"/>
      <c r="KIU38" s="19"/>
      <c r="KIV38" s="19"/>
      <c r="KIW38" s="19"/>
      <c r="KIX38" s="19"/>
      <c r="KIY38" s="19"/>
      <c r="KIZ38" s="19"/>
      <c r="KJA38" s="19"/>
      <c r="KJB38" s="19"/>
      <c r="KJC38" s="19"/>
      <c r="KJD38" s="19"/>
      <c r="KJE38" s="19"/>
      <c r="KJF38" s="19"/>
      <c r="KJG38" s="19"/>
      <c r="KJH38" s="19"/>
      <c r="KJI38" s="19"/>
      <c r="KJJ38" s="19"/>
      <c r="KJK38" s="19"/>
      <c r="KJL38" s="19"/>
      <c r="KJM38" s="19"/>
      <c r="KJN38" s="19"/>
      <c r="KJO38" s="19"/>
      <c r="KJP38" s="19"/>
      <c r="KJQ38" s="19"/>
      <c r="KJR38" s="19"/>
      <c r="KJS38" s="19"/>
      <c r="KJT38" s="19"/>
      <c r="KJU38" s="19"/>
      <c r="KJV38" s="19"/>
      <c r="KJW38" s="19"/>
      <c r="KJX38" s="19"/>
      <c r="KJY38" s="19"/>
      <c r="KJZ38" s="19"/>
      <c r="KKA38" s="19"/>
      <c r="KKB38" s="19"/>
      <c r="KKC38" s="19"/>
      <c r="KKD38" s="19"/>
      <c r="KKE38" s="19"/>
      <c r="KKF38" s="19"/>
      <c r="KKG38" s="19"/>
      <c r="KKH38" s="19"/>
      <c r="KKI38" s="19"/>
      <c r="KKJ38" s="19"/>
      <c r="KKK38" s="19"/>
      <c r="KKL38" s="19"/>
      <c r="KKM38" s="19"/>
      <c r="KKN38" s="19"/>
      <c r="KKO38" s="19"/>
      <c r="KKP38" s="19"/>
      <c r="KKQ38" s="19"/>
      <c r="KKR38" s="19"/>
      <c r="KKS38" s="19"/>
      <c r="KKT38" s="19"/>
      <c r="KKU38" s="19"/>
      <c r="KKV38" s="19"/>
      <c r="KKW38" s="19"/>
      <c r="KKX38" s="19"/>
      <c r="KKY38" s="19"/>
      <c r="KKZ38" s="19"/>
      <c r="KLA38" s="19"/>
      <c r="KLB38" s="19"/>
      <c r="KLC38" s="19"/>
      <c r="KLD38" s="19"/>
      <c r="KLE38" s="19"/>
      <c r="KLF38" s="19"/>
      <c r="KLG38" s="19"/>
      <c r="KLH38" s="19"/>
      <c r="KLI38" s="19"/>
      <c r="KLJ38" s="19"/>
      <c r="KLK38" s="19"/>
      <c r="KLL38" s="19"/>
      <c r="KLM38" s="19"/>
      <c r="KLN38" s="19"/>
      <c r="KLO38" s="19"/>
      <c r="KLP38" s="19"/>
      <c r="KLQ38" s="19"/>
      <c r="KLR38" s="19"/>
      <c r="KLS38" s="19"/>
      <c r="KLT38" s="19"/>
      <c r="KLU38" s="19"/>
      <c r="KLV38" s="19"/>
      <c r="KLW38" s="19"/>
      <c r="KLX38" s="19"/>
      <c r="KLY38" s="19"/>
      <c r="KLZ38" s="19"/>
      <c r="KMA38" s="19"/>
      <c r="KMB38" s="19"/>
      <c r="KMC38" s="19"/>
      <c r="KMD38" s="19"/>
      <c r="KME38" s="19"/>
      <c r="KMF38" s="19"/>
      <c r="KMG38" s="19"/>
      <c r="KMH38" s="19"/>
      <c r="KMI38" s="19"/>
      <c r="KMJ38" s="19"/>
      <c r="KMK38" s="19"/>
      <c r="KML38" s="19"/>
      <c r="KMM38" s="19"/>
      <c r="KMN38" s="19"/>
      <c r="KMO38" s="19"/>
      <c r="KMP38" s="19"/>
      <c r="KMQ38" s="19"/>
      <c r="KMR38" s="19"/>
      <c r="KMS38" s="19"/>
      <c r="KMT38" s="19"/>
      <c r="KMU38" s="19"/>
      <c r="KMV38" s="19"/>
      <c r="KMW38" s="19"/>
      <c r="KMX38" s="19"/>
      <c r="KMY38" s="19"/>
      <c r="KMZ38" s="19"/>
      <c r="KNA38" s="19"/>
      <c r="KNB38" s="19"/>
      <c r="KNC38" s="19"/>
      <c r="KND38" s="19"/>
      <c r="KNE38" s="19"/>
      <c r="KNF38" s="19"/>
      <c r="KNG38" s="19"/>
      <c r="KNH38" s="19"/>
      <c r="KNI38" s="19"/>
      <c r="KNJ38" s="19"/>
      <c r="KNK38" s="19"/>
      <c r="KNL38" s="19"/>
      <c r="KNM38" s="19"/>
      <c r="KNN38" s="19"/>
      <c r="KNO38" s="19"/>
      <c r="KNP38" s="19"/>
      <c r="KNQ38" s="19"/>
      <c r="KNR38" s="19"/>
      <c r="KNS38" s="19"/>
      <c r="KNT38" s="19"/>
      <c r="KNU38" s="19"/>
      <c r="KNV38" s="19"/>
      <c r="KNW38" s="19"/>
      <c r="KNX38" s="19"/>
      <c r="KNY38" s="19"/>
      <c r="KNZ38" s="19"/>
      <c r="KOA38" s="19"/>
      <c r="KOB38" s="19"/>
      <c r="KOC38" s="19"/>
      <c r="KOD38" s="19"/>
      <c r="KOE38" s="19"/>
      <c r="KOF38" s="19"/>
      <c r="KOG38" s="19"/>
      <c r="KOH38" s="19"/>
      <c r="KOI38" s="19"/>
      <c r="KOJ38" s="19"/>
      <c r="KOK38" s="19"/>
      <c r="KOL38" s="19"/>
      <c r="KOM38" s="19"/>
      <c r="KON38" s="19"/>
      <c r="KOO38" s="19"/>
      <c r="KOP38" s="19"/>
      <c r="KOQ38" s="19"/>
      <c r="KOR38" s="19"/>
      <c r="KOS38" s="19"/>
      <c r="KOT38" s="19"/>
      <c r="KOU38" s="19"/>
      <c r="KOV38" s="19"/>
      <c r="KOW38" s="19"/>
      <c r="KOX38" s="19"/>
      <c r="KOY38" s="19"/>
      <c r="KOZ38" s="19"/>
      <c r="KPA38" s="19"/>
      <c r="KPB38" s="19"/>
      <c r="KPC38" s="19"/>
      <c r="KPD38" s="19"/>
      <c r="KPE38" s="19"/>
      <c r="KPF38" s="19"/>
      <c r="KPG38" s="19"/>
      <c r="KPH38" s="19"/>
      <c r="KPI38" s="19"/>
      <c r="KPJ38" s="19"/>
      <c r="KPK38" s="19"/>
      <c r="KPL38" s="19"/>
      <c r="KPM38" s="19"/>
      <c r="KPN38" s="19"/>
      <c r="KPO38" s="19"/>
      <c r="KPP38" s="19"/>
      <c r="KPQ38" s="19"/>
      <c r="KPR38" s="19"/>
      <c r="KPS38" s="19"/>
      <c r="KPT38" s="19"/>
      <c r="KPU38" s="19"/>
      <c r="KPV38" s="19"/>
      <c r="KPW38" s="19"/>
      <c r="KPX38" s="19"/>
      <c r="KPY38" s="19"/>
      <c r="KPZ38" s="19"/>
      <c r="KQA38" s="19"/>
      <c r="KQB38" s="19"/>
      <c r="KQC38" s="19"/>
      <c r="KQD38" s="19"/>
      <c r="KQE38" s="19"/>
      <c r="KQF38" s="19"/>
      <c r="KQG38" s="19"/>
      <c r="KQH38" s="19"/>
      <c r="KQI38" s="19"/>
      <c r="KQJ38" s="19"/>
      <c r="KQK38" s="19"/>
      <c r="KQL38" s="19"/>
      <c r="KQM38" s="19"/>
      <c r="KQN38" s="19"/>
      <c r="KQO38" s="19"/>
      <c r="KQP38" s="19"/>
      <c r="KQQ38" s="19"/>
      <c r="KQR38" s="19"/>
      <c r="KQS38" s="19"/>
      <c r="KQT38" s="19"/>
      <c r="KQU38" s="19"/>
      <c r="KQV38" s="19"/>
      <c r="KQW38" s="19"/>
      <c r="KQX38" s="19"/>
      <c r="KQY38" s="19"/>
      <c r="KQZ38" s="19"/>
      <c r="KRA38" s="19"/>
      <c r="KRB38" s="19"/>
      <c r="KRC38" s="19"/>
      <c r="KRD38" s="19"/>
      <c r="KRE38" s="19"/>
      <c r="KRF38" s="19"/>
      <c r="KRG38" s="19"/>
      <c r="KRH38" s="19"/>
      <c r="KRI38" s="19"/>
      <c r="KRJ38" s="19"/>
      <c r="KRK38" s="19"/>
      <c r="KRL38" s="19"/>
      <c r="KRM38" s="19"/>
      <c r="KRN38" s="19"/>
      <c r="KRO38" s="19"/>
      <c r="KRP38" s="19"/>
      <c r="KRQ38" s="19"/>
      <c r="KRR38" s="19"/>
      <c r="KRS38" s="19"/>
      <c r="KRT38" s="19"/>
      <c r="KRU38" s="19"/>
      <c r="KRV38" s="19"/>
      <c r="KRW38" s="19"/>
      <c r="KRX38" s="19"/>
      <c r="KRY38" s="19"/>
      <c r="KRZ38" s="19"/>
      <c r="KSA38" s="19"/>
      <c r="KSB38" s="19"/>
      <c r="KSC38" s="19"/>
      <c r="KSD38" s="19"/>
      <c r="KSE38" s="19"/>
      <c r="KSF38" s="19"/>
      <c r="KSG38" s="19"/>
      <c r="KSH38" s="19"/>
      <c r="KSI38" s="19"/>
      <c r="KSJ38" s="19"/>
      <c r="KSK38" s="19"/>
      <c r="KSL38" s="19"/>
      <c r="KSM38" s="19"/>
      <c r="KSN38" s="19"/>
      <c r="KSO38" s="19"/>
      <c r="KSP38" s="19"/>
      <c r="KSQ38" s="19"/>
      <c r="KSR38" s="19"/>
      <c r="KSS38" s="19"/>
      <c r="KST38" s="19"/>
      <c r="KSU38" s="19"/>
      <c r="KSV38" s="19"/>
      <c r="KSW38" s="19"/>
      <c r="KSX38" s="19"/>
      <c r="KSY38" s="19"/>
      <c r="KSZ38" s="19"/>
      <c r="KTA38" s="19"/>
      <c r="KTB38" s="19"/>
      <c r="KTC38" s="19"/>
      <c r="KTD38" s="19"/>
      <c r="KTE38" s="19"/>
      <c r="KTF38" s="19"/>
      <c r="KTG38" s="19"/>
      <c r="KTH38" s="19"/>
      <c r="KTI38" s="19"/>
      <c r="KTJ38" s="19"/>
      <c r="KTK38" s="19"/>
      <c r="KTL38" s="19"/>
      <c r="KTM38" s="19"/>
      <c r="KTN38" s="19"/>
      <c r="KTO38" s="19"/>
      <c r="KTP38" s="19"/>
      <c r="KTQ38" s="19"/>
      <c r="KTR38" s="19"/>
      <c r="KTS38" s="19"/>
      <c r="KTT38" s="19"/>
      <c r="KTU38" s="19"/>
      <c r="KTV38" s="19"/>
      <c r="KTW38" s="19"/>
      <c r="KTX38" s="19"/>
      <c r="KTY38" s="19"/>
      <c r="KTZ38" s="19"/>
      <c r="KUA38" s="19"/>
      <c r="KUB38" s="19"/>
      <c r="KUC38" s="19"/>
      <c r="KUD38" s="19"/>
      <c r="KUE38" s="19"/>
      <c r="KUF38" s="19"/>
      <c r="KUG38" s="19"/>
      <c r="KUH38" s="19"/>
      <c r="KUI38" s="19"/>
      <c r="KUJ38" s="19"/>
      <c r="KUK38" s="19"/>
      <c r="KUL38" s="19"/>
      <c r="KUM38" s="19"/>
      <c r="KUN38" s="19"/>
      <c r="KUO38" s="19"/>
      <c r="KUP38" s="19"/>
      <c r="KUQ38" s="19"/>
      <c r="KUR38" s="19"/>
      <c r="KUS38" s="19"/>
      <c r="KUT38" s="19"/>
      <c r="KUU38" s="19"/>
      <c r="KUV38" s="19"/>
      <c r="KUW38" s="19"/>
      <c r="KUX38" s="19"/>
      <c r="KUY38" s="19"/>
      <c r="KUZ38" s="19"/>
      <c r="KVA38" s="19"/>
      <c r="KVB38" s="19"/>
      <c r="KVC38" s="19"/>
      <c r="KVD38" s="19"/>
      <c r="KVE38" s="19"/>
      <c r="KVF38" s="19"/>
      <c r="KVG38" s="19"/>
      <c r="KVH38" s="19"/>
      <c r="KVI38" s="19"/>
      <c r="KVJ38" s="19"/>
      <c r="KVK38" s="19"/>
      <c r="KVL38" s="19"/>
      <c r="KVM38" s="19"/>
      <c r="KVN38" s="19"/>
      <c r="KVO38" s="19"/>
      <c r="KVP38" s="19"/>
      <c r="KVQ38" s="19"/>
      <c r="KVR38" s="19"/>
      <c r="KVS38" s="19"/>
      <c r="KVT38" s="19"/>
      <c r="KVU38" s="19"/>
      <c r="KVV38" s="19"/>
      <c r="KVW38" s="19"/>
      <c r="KVX38" s="19"/>
      <c r="KVY38" s="19"/>
      <c r="KVZ38" s="19"/>
      <c r="KWA38" s="19"/>
      <c r="KWB38" s="19"/>
      <c r="KWC38" s="19"/>
      <c r="KWD38" s="19"/>
      <c r="KWE38" s="19"/>
      <c r="KWF38" s="19"/>
      <c r="KWG38" s="19"/>
      <c r="KWH38" s="19"/>
      <c r="KWI38" s="19"/>
      <c r="KWJ38" s="19"/>
      <c r="KWK38" s="19"/>
      <c r="KWL38" s="19"/>
      <c r="KWM38" s="19"/>
      <c r="KWN38" s="19"/>
      <c r="KWO38" s="19"/>
      <c r="KWP38" s="19"/>
      <c r="KWQ38" s="19"/>
      <c r="KWR38" s="19"/>
      <c r="KWS38" s="19"/>
      <c r="KWT38" s="19"/>
      <c r="KWU38" s="19"/>
      <c r="KWV38" s="19"/>
      <c r="KWW38" s="19"/>
      <c r="KWX38" s="19"/>
      <c r="KWY38" s="19"/>
      <c r="KWZ38" s="19"/>
      <c r="KXA38" s="19"/>
      <c r="KXB38" s="19"/>
      <c r="KXC38" s="19"/>
      <c r="KXD38" s="19"/>
      <c r="KXE38" s="19"/>
      <c r="KXF38" s="19"/>
      <c r="KXG38" s="19"/>
      <c r="KXH38" s="19"/>
      <c r="KXI38" s="19"/>
      <c r="KXJ38" s="19"/>
      <c r="KXK38" s="19"/>
      <c r="KXL38" s="19"/>
      <c r="KXM38" s="19"/>
      <c r="KXN38" s="19"/>
      <c r="KXO38" s="19"/>
      <c r="KXP38" s="19"/>
      <c r="KXQ38" s="19"/>
      <c r="KXR38" s="19"/>
      <c r="KXS38" s="19"/>
      <c r="KXT38" s="19"/>
      <c r="KXU38" s="19"/>
      <c r="KXV38" s="19"/>
      <c r="KXW38" s="19"/>
      <c r="KXX38" s="19"/>
      <c r="KXY38" s="19"/>
      <c r="KXZ38" s="19"/>
      <c r="KYA38" s="19"/>
      <c r="KYB38" s="19"/>
      <c r="KYC38" s="19"/>
      <c r="KYD38" s="19"/>
      <c r="KYE38" s="19"/>
      <c r="KYF38" s="19"/>
      <c r="KYG38" s="19"/>
      <c r="KYH38" s="19"/>
      <c r="KYI38" s="19"/>
      <c r="KYJ38" s="19"/>
      <c r="KYK38" s="19"/>
      <c r="KYL38" s="19"/>
      <c r="KYM38" s="19"/>
      <c r="KYN38" s="19"/>
      <c r="KYO38" s="19"/>
      <c r="KYP38" s="19"/>
      <c r="KYQ38" s="19"/>
      <c r="KYR38" s="19"/>
      <c r="KYS38" s="19"/>
      <c r="KYT38" s="19"/>
      <c r="KYU38" s="19"/>
      <c r="KYV38" s="19"/>
      <c r="KYW38" s="19"/>
      <c r="KYX38" s="19"/>
      <c r="KYY38" s="19"/>
      <c r="KYZ38" s="19"/>
      <c r="KZA38" s="19"/>
      <c r="KZB38" s="19"/>
      <c r="KZC38" s="19"/>
      <c r="KZD38" s="19"/>
      <c r="KZE38" s="19"/>
      <c r="KZF38" s="19"/>
      <c r="KZG38" s="19"/>
      <c r="KZH38" s="19"/>
      <c r="KZI38" s="19"/>
      <c r="KZJ38" s="19"/>
      <c r="KZK38" s="19"/>
      <c r="KZL38" s="19"/>
      <c r="KZM38" s="19"/>
      <c r="KZN38" s="19"/>
      <c r="KZO38" s="19"/>
      <c r="KZP38" s="19"/>
      <c r="KZQ38" s="19"/>
      <c r="KZR38" s="19"/>
      <c r="KZS38" s="19"/>
      <c r="KZT38" s="19"/>
      <c r="KZU38" s="19"/>
      <c r="KZV38" s="19"/>
      <c r="KZW38" s="19"/>
      <c r="KZX38" s="19"/>
      <c r="KZY38" s="19"/>
      <c r="KZZ38" s="19"/>
      <c r="LAA38" s="19"/>
      <c r="LAB38" s="19"/>
      <c r="LAC38" s="19"/>
      <c r="LAD38" s="19"/>
      <c r="LAE38" s="19"/>
      <c r="LAF38" s="19"/>
      <c r="LAG38" s="19"/>
      <c r="LAH38" s="19"/>
      <c r="LAI38" s="19"/>
      <c r="LAJ38" s="19"/>
      <c r="LAK38" s="19"/>
      <c r="LAL38" s="19"/>
      <c r="LAM38" s="19"/>
      <c r="LAN38" s="19"/>
      <c r="LAO38" s="19"/>
      <c r="LAP38" s="19"/>
      <c r="LAQ38" s="19"/>
      <c r="LAR38" s="19"/>
      <c r="LAS38" s="19"/>
      <c r="LAT38" s="19"/>
      <c r="LAU38" s="19"/>
      <c r="LAV38" s="19"/>
      <c r="LAW38" s="19"/>
      <c r="LAX38" s="19"/>
      <c r="LAY38" s="19"/>
      <c r="LAZ38" s="19"/>
      <c r="LBA38" s="19"/>
      <c r="LBB38" s="19"/>
      <c r="LBC38" s="19"/>
      <c r="LBD38" s="19"/>
      <c r="LBE38" s="19"/>
      <c r="LBF38" s="19"/>
      <c r="LBG38" s="19"/>
      <c r="LBH38" s="19"/>
      <c r="LBI38" s="19"/>
      <c r="LBJ38" s="19"/>
      <c r="LBK38" s="19"/>
      <c r="LBL38" s="19"/>
      <c r="LBM38" s="19"/>
      <c r="LBN38" s="19"/>
      <c r="LBO38" s="19"/>
      <c r="LBP38" s="19"/>
      <c r="LBQ38" s="19"/>
      <c r="LBR38" s="19"/>
      <c r="LBS38" s="19"/>
      <c r="LBT38" s="19"/>
      <c r="LBU38" s="19"/>
      <c r="LBV38" s="19"/>
      <c r="LBW38" s="19"/>
      <c r="LBX38" s="19"/>
      <c r="LBY38" s="19"/>
      <c r="LBZ38" s="19"/>
      <c r="LCA38" s="19"/>
      <c r="LCB38" s="19"/>
      <c r="LCC38" s="19"/>
      <c r="LCD38" s="19"/>
      <c r="LCE38" s="19"/>
      <c r="LCF38" s="19"/>
      <c r="LCG38" s="19"/>
      <c r="LCH38" s="19"/>
      <c r="LCI38" s="19"/>
      <c r="LCJ38" s="19"/>
      <c r="LCK38" s="19"/>
      <c r="LCL38" s="19"/>
      <c r="LCM38" s="19"/>
      <c r="LCN38" s="19"/>
      <c r="LCO38" s="19"/>
      <c r="LCP38" s="19"/>
      <c r="LCQ38" s="19"/>
      <c r="LCR38" s="19"/>
      <c r="LCS38" s="19"/>
      <c r="LCT38" s="19"/>
      <c r="LCU38" s="19"/>
      <c r="LCV38" s="19"/>
      <c r="LCW38" s="19"/>
      <c r="LCX38" s="19"/>
      <c r="LCY38" s="19"/>
      <c r="LCZ38" s="19"/>
      <c r="LDA38" s="19"/>
      <c r="LDB38" s="19"/>
      <c r="LDC38" s="19"/>
      <c r="LDD38" s="19"/>
      <c r="LDE38" s="19"/>
      <c r="LDF38" s="19"/>
      <c r="LDG38" s="19"/>
      <c r="LDH38" s="19"/>
      <c r="LDI38" s="19"/>
      <c r="LDJ38" s="19"/>
      <c r="LDK38" s="19"/>
      <c r="LDL38" s="19"/>
      <c r="LDM38" s="19"/>
      <c r="LDN38" s="19"/>
      <c r="LDO38" s="19"/>
      <c r="LDP38" s="19"/>
      <c r="LDQ38" s="19"/>
      <c r="LDR38" s="19"/>
      <c r="LDS38" s="19"/>
      <c r="LDT38" s="19"/>
      <c r="LDU38" s="19"/>
      <c r="LDV38" s="19"/>
      <c r="LDW38" s="19"/>
      <c r="LDX38" s="19"/>
      <c r="LDY38" s="19"/>
      <c r="LDZ38" s="19"/>
      <c r="LEA38" s="19"/>
      <c r="LEB38" s="19"/>
      <c r="LEC38" s="19"/>
      <c r="LED38" s="19"/>
      <c r="LEE38" s="19"/>
      <c r="LEF38" s="19"/>
      <c r="LEG38" s="19"/>
      <c r="LEH38" s="19"/>
      <c r="LEI38" s="19"/>
      <c r="LEJ38" s="19"/>
      <c r="LEK38" s="19"/>
      <c r="LEL38" s="19"/>
      <c r="LEM38" s="19"/>
      <c r="LEN38" s="19"/>
      <c r="LEO38" s="19"/>
      <c r="LEP38" s="19"/>
      <c r="LEQ38" s="19"/>
      <c r="LER38" s="19"/>
      <c r="LES38" s="19"/>
      <c r="LET38" s="19"/>
      <c r="LEU38" s="19"/>
      <c r="LEV38" s="19"/>
      <c r="LEW38" s="19"/>
      <c r="LEX38" s="19"/>
      <c r="LEY38" s="19"/>
      <c r="LEZ38" s="19"/>
      <c r="LFA38" s="19"/>
      <c r="LFB38" s="19"/>
      <c r="LFC38" s="19"/>
      <c r="LFD38" s="19"/>
      <c r="LFE38" s="19"/>
      <c r="LFF38" s="19"/>
      <c r="LFG38" s="19"/>
      <c r="LFH38" s="19"/>
      <c r="LFI38" s="19"/>
      <c r="LFJ38" s="19"/>
      <c r="LFK38" s="19"/>
      <c r="LFL38" s="19"/>
      <c r="LFM38" s="19"/>
      <c r="LFN38" s="19"/>
      <c r="LFO38" s="19"/>
      <c r="LFP38" s="19"/>
      <c r="LFQ38" s="19"/>
      <c r="LFR38" s="19"/>
      <c r="LFS38" s="19"/>
      <c r="LFT38" s="19"/>
      <c r="LFU38" s="19"/>
      <c r="LFV38" s="19"/>
      <c r="LFW38" s="19"/>
      <c r="LFX38" s="19"/>
      <c r="LFY38" s="19"/>
      <c r="LFZ38" s="19"/>
      <c r="LGA38" s="19"/>
      <c r="LGB38" s="19"/>
      <c r="LGC38" s="19"/>
      <c r="LGD38" s="19"/>
      <c r="LGE38" s="19"/>
      <c r="LGF38" s="19"/>
      <c r="LGG38" s="19"/>
      <c r="LGH38" s="19"/>
      <c r="LGI38" s="19"/>
      <c r="LGJ38" s="19"/>
      <c r="LGK38" s="19"/>
      <c r="LGL38" s="19"/>
      <c r="LGM38" s="19"/>
      <c r="LGN38" s="19"/>
      <c r="LGO38" s="19"/>
      <c r="LGP38" s="19"/>
      <c r="LGQ38" s="19"/>
      <c r="LGR38" s="19"/>
      <c r="LGS38" s="19"/>
      <c r="LGT38" s="19"/>
      <c r="LGU38" s="19"/>
      <c r="LGV38" s="19"/>
      <c r="LGW38" s="19"/>
      <c r="LGX38" s="19"/>
      <c r="LGY38" s="19"/>
      <c r="LGZ38" s="19"/>
      <c r="LHA38" s="19"/>
      <c r="LHB38" s="19"/>
      <c r="LHC38" s="19"/>
      <c r="LHD38" s="19"/>
      <c r="LHE38" s="19"/>
      <c r="LHF38" s="19"/>
      <c r="LHG38" s="19"/>
      <c r="LHH38" s="19"/>
      <c r="LHI38" s="19"/>
      <c r="LHJ38" s="19"/>
      <c r="LHK38" s="19"/>
      <c r="LHL38" s="19"/>
      <c r="LHM38" s="19"/>
      <c r="LHN38" s="19"/>
      <c r="LHO38" s="19"/>
      <c r="LHP38" s="19"/>
      <c r="LHQ38" s="19"/>
      <c r="LHR38" s="19"/>
      <c r="LHS38" s="19"/>
      <c r="LHT38" s="19"/>
      <c r="LHU38" s="19"/>
      <c r="LHV38" s="19"/>
      <c r="LHW38" s="19"/>
      <c r="LHX38" s="19"/>
      <c r="LHY38" s="19"/>
      <c r="LHZ38" s="19"/>
      <c r="LIA38" s="19"/>
      <c r="LIB38" s="19"/>
      <c r="LIC38" s="19"/>
      <c r="LID38" s="19"/>
      <c r="LIE38" s="19"/>
      <c r="LIF38" s="19"/>
      <c r="LIG38" s="19"/>
      <c r="LIH38" s="19"/>
      <c r="LII38" s="19"/>
      <c r="LIJ38" s="19"/>
      <c r="LIK38" s="19"/>
      <c r="LIL38" s="19"/>
      <c r="LIM38" s="19"/>
      <c r="LIN38" s="19"/>
      <c r="LIO38" s="19"/>
      <c r="LIP38" s="19"/>
      <c r="LIQ38" s="19"/>
      <c r="LIR38" s="19"/>
      <c r="LIS38" s="19"/>
      <c r="LIT38" s="19"/>
      <c r="LIU38" s="19"/>
      <c r="LIV38" s="19"/>
      <c r="LIW38" s="19"/>
      <c r="LIX38" s="19"/>
      <c r="LIY38" s="19"/>
      <c r="LIZ38" s="19"/>
      <c r="LJA38" s="19"/>
      <c r="LJB38" s="19"/>
      <c r="LJC38" s="19"/>
      <c r="LJD38" s="19"/>
      <c r="LJE38" s="19"/>
      <c r="LJF38" s="19"/>
      <c r="LJG38" s="19"/>
      <c r="LJH38" s="19"/>
      <c r="LJI38" s="19"/>
      <c r="LJJ38" s="19"/>
      <c r="LJK38" s="19"/>
      <c r="LJL38" s="19"/>
      <c r="LJM38" s="19"/>
      <c r="LJN38" s="19"/>
      <c r="LJO38" s="19"/>
      <c r="LJP38" s="19"/>
      <c r="LJQ38" s="19"/>
      <c r="LJR38" s="19"/>
      <c r="LJS38" s="19"/>
      <c r="LJT38" s="19"/>
      <c r="LJU38" s="19"/>
      <c r="LJV38" s="19"/>
      <c r="LJW38" s="19"/>
      <c r="LJX38" s="19"/>
      <c r="LJY38" s="19"/>
      <c r="LJZ38" s="19"/>
      <c r="LKA38" s="19"/>
      <c r="LKB38" s="19"/>
      <c r="LKC38" s="19"/>
      <c r="LKD38" s="19"/>
      <c r="LKE38" s="19"/>
      <c r="LKF38" s="19"/>
      <c r="LKG38" s="19"/>
      <c r="LKH38" s="19"/>
      <c r="LKI38" s="19"/>
      <c r="LKJ38" s="19"/>
      <c r="LKK38" s="19"/>
      <c r="LKL38" s="19"/>
      <c r="LKM38" s="19"/>
      <c r="LKN38" s="19"/>
      <c r="LKO38" s="19"/>
      <c r="LKP38" s="19"/>
      <c r="LKQ38" s="19"/>
      <c r="LKR38" s="19"/>
      <c r="LKS38" s="19"/>
      <c r="LKT38" s="19"/>
      <c r="LKU38" s="19"/>
      <c r="LKV38" s="19"/>
      <c r="LKW38" s="19"/>
      <c r="LKX38" s="19"/>
      <c r="LKY38" s="19"/>
      <c r="LKZ38" s="19"/>
      <c r="LLA38" s="19"/>
      <c r="LLB38" s="19"/>
      <c r="LLC38" s="19"/>
      <c r="LLD38" s="19"/>
      <c r="LLE38" s="19"/>
      <c r="LLF38" s="19"/>
      <c r="LLG38" s="19"/>
      <c r="LLH38" s="19"/>
      <c r="LLI38" s="19"/>
      <c r="LLJ38" s="19"/>
      <c r="LLK38" s="19"/>
      <c r="LLL38" s="19"/>
      <c r="LLM38" s="19"/>
      <c r="LLN38" s="19"/>
      <c r="LLO38" s="19"/>
      <c r="LLP38" s="19"/>
      <c r="LLQ38" s="19"/>
      <c r="LLR38" s="19"/>
      <c r="LLS38" s="19"/>
      <c r="LLT38" s="19"/>
      <c r="LLU38" s="19"/>
      <c r="LLV38" s="19"/>
      <c r="LLW38" s="19"/>
      <c r="LLX38" s="19"/>
      <c r="LLY38" s="19"/>
      <c r="LLZ38" s="19"/>
      <c r="LMA38" s="19"/>
      <c r="LMB38" s="19"/>
      <c r="LMC38" s="19"/>
      <c r="LMD38" s="19"/>
      <c r="LME38" s="19"/>
      <c r="LMF38" s="19"/>
      <c r="LMG38" s="19"/>
      <c r="LMH38" s="19"/>
      <c r="LMI38" s="19"/>
      <c r="LMJ38" s="19"/>
      <c r="LMK38" s="19"/>
      <c r="LML38" s="19"/>
      <c r="LMM38" s="19"/>
      <c r="LMN38" s="19"/>
      <c r="LMO38" s="19"/>
      <c r="LMP38" s="19"/>
      <c r="LMQ38" s="19"/>
      <c r="LMR38" s="19"/>
      <c r="LMS38" s="19"/>
      <c r="LMT38" s="19"/>
      <c r="LMU38" s="19"/>
      <c r="LMV38" s="19"/>
      <c r="LMW38" s="19"/>
      <c r="LMX38" s="19"/>
      <c r="LMY38" s="19"/>
      <c r="LMZ38" s="19"/>
      <c r="LNA38" s="19"/>
      <c r="LNB38" s="19"/>
      <c r="LNC38" s="19"/>
      <c r="LND38" s="19"/>
      <c r="LNE38" s="19"/>
      <c r="LNF38" s="19"/>
      <c r="LNG38" s="19"/>
      <c r="LNH38" s="19"/>
      <c r="LNI38" s="19"/>
      <c r="LNJ38" s="19"/>
      <c r="LNK38" s="19"/>
      <c r="LNL38" s="19"/>
      <c r="LNM38" s="19"/>
      <c r="LNN38" s="19"/>
      <c r="LNO38" s="19"/>
      <c r="LNP38" s="19"/>
      <c r="LNQ38" s="19"/>
      <c r="LNR38" s="19"/>
      <c r="LNS38" s="19"/>
      <c r="LNT38" s="19"/>
      <c r="LNU38" s="19"/>
      <c r="LNV38" s="19"/>
      <c r="LNW38" s="19"/>
      <c r="LNX38" s="19"/>
      <c r="LNY38" s="19"/>
      <c r="LNZ38" s="19"/>
      <c r="LOA38" s="19"/>
      <c r="LOB38" s="19"/>
      <c r="LOC38" s="19"/>
      <c r="LOD38" s="19"/>
      <c r="LOE38" s="19"/>
      <c r="LOF38" s="19"/>
      <c r="LOG38" s="19"/>
      <c r="LOH38" s="19"/>
      <c r="LOI38" s="19"/>
      <c r="LOJ38" s="19"/>
      <c r="LOK38" s="19"/>
      <c r="LOL38" s="19"/>
      <c r="LOM38" s="19"/>
      <c r="LON38" s="19"/>
      <c r="LOO38" s="19"/>
      <c r="LOP38" s="19"/>
      <c r="LOQ38" s="19"/>
      <c r="LOR38" s="19"/>
      <c r="LOS38" s="19"/>
      <c r="LOT38" s="19"/>
      <c r="LOU38" s="19"/>
      <c r="LOV38" s="19"/>
      <c r="LOW38" s="19"/>
      <c r="LOX38" s="19"/>
      <c r="LOY38" s="19"/>
      <c r="LOZ38" s="19"/>
      <c r="LPA38" s="19"/>
      <c r="LPB38" s="19"/>
      <c r="LPC38" s="19"/>
      <c r="LPD38" s="19"/>
      <c r="LPE38" s="19"/>
      <c r="LPF38" s="19"/>
      <c r="LPG38" s="19"/>
      <c r="LPH38" s="19"/>
      <c r="LPI38" s="19"/>
      <c r="LPJ38" s="19"/>
      <c r="LPK38" s="19"/>
      <c r="LPL38" s="19"/>
      <c r="LPM38" s="19"/>
      <c r="LPN38" s="19"/>
      <c r="LPO38" s="19"/>
      <c r="LPP38" s="19"/>
      <c r="LPQ38" s="19"/>
      <c r="LPR38" s="19"/>
      <c r="LPS38" s="19"/>
      <c r="LPT38" s="19"/>
      <c r="LPU38" s="19"/>
      <c r="LPV38" s="19"/>
      <c r="LPW38" s="19"/>
      <c r="LPX38" s="19"/>
      <c r="LPY38" s="19"/>
      <c r="LPZ38" s="19"/>
      <c r="LQA38" s="19"/>
      <c r="LQB38" s="19"/>
      <c r="LQC38" s="19"/>
      <c r="LQD38" s="19"/>
      <c r="LQE38" s="19"/>
      <c r="LQF38" s="19"/>
      <c r="LQG38" s="19"/>
      <c r="LQH38" s="19"/>
      <c r="LQI38" s="19"/>
      <c r="LQJ38" s="19"/>
      <c r="LQK38" s="19"/>
      <c r="LQL38" s="19"/>
      <c r="LQM38" s="19"/>
      <c r="LQN38" s="19"/>
      <c r="LQO38" s="19"/>
      <c r="LQP38" s="19"/>
      <c r="LQQ38" s="19"/>
      <c r="LQR38" s="19"/>
      <c r="LQS38" s="19"/>
      <c r="LQT38" s="19"/>
      <c r="LQU38" s="19"/>
      <c r="LQV38" s="19"/>
      <c r="LQW38" s="19"/>
      <c r="LQX38" s="19"/>
      <c r="LQY38" s="19"/>
      <c r="LQZ38" s="19"/>
      <c r="LRA38" s="19"/>
      <c r="LRB38" s="19"/>
      <c r="LRC38" s="19"/>
      <c r="LRD38" s="19"/>
      <c r="LRE38" s="19"/>
      <c r="LRF38" s="19"/>
      <c r="LRG38" s="19"/>
      <c r="LRH38" s="19"/>
      <c r="LRI38" s="19"/>
      <c r="LRJ38" s="19"/>
      <c r="LRK38" s="19"/>
      <c r="LRL38" s="19"/>
      <c r="LRM38" s="19"/>
      <c r="LRN38" s="19"/>
      <c r="LRO38" s="19"/>
      <c r="LRP38" s="19"/>
      <c r="LRQ38" s="19"/>
      <c r="LRR38" s="19"/>
      <c r="LRS38" s="19"/>
      <c r="LRT38" s="19"/>
      <c r="LRU38" s="19"/>
      <c r="LRV38" s="19"/>
      <c r="LRW38" s="19"/>
      <c r="LRX38" s="19"/>
      <c r="LRY38" s="19"/>
      <c r="LRZ38" s="19"/>
      <c r="LSA38" s="19"/>
      <c r="LSB38" s="19"/>
      <c r="LSC38" s="19"/>
      <c r="LSD38" s="19"/>
      <c r="LSE38" s="19"/>
      <c r="LSF38" s="19"/>
      <c r="LSG38" s="19"/>
      <c r="LSH38" s="19"/>
      <c r="LSI38" s="19"/>
      <c r="LSJ38" s="19"/>
      <c r="LSK38" s="19"/>
      <c r="LSL38" s="19"/>
      <c r="LSM38" s="19"/>
      <c r="LSN38" s="19"/>
      <c r="LSO38" s="19"/>
      <c r="LSP38" s="19"/>
      <c r="LSQ38" s="19"/>
      <c r="LSR38" s="19"/>
      <c r="LSS38" s="19"/>
      <c r="LST38" s="19"/>
      <c r="LSU38" s="19"/>
      <c r="LSV38" s="19"/>
      <c r="LSW38" s="19"/>
      <c r="LSX38" s="19"/>
      <c r="LSY38" s="19"/>
      <c r="LSZ38" s="19"/>
      <c r="LTA38" s="19"/>
      <c r="LTB38" s="19"/>
      <c r="LTC38" s="19"/>
      <c r="LTD38" s="19"/>
      <c r="LTE38" s="19"/>
      <c r="LTF38" s="19"/>
      <c r="LTG38" s="19"/>
      <c r="LTH38" s="19"/>
      <c r="LTI38" s="19"/>
      <c r="LTJ38" s="19"/>
      <c r="LTK38" s="19"/>
      <c r="LTL38" s="19"/>
      <c r="LTM38" s="19"/>
      <c r="LTN38" s="19"/>
      <c r="LTO38" s="19"/>
      <c r="LTP38" s="19"/>
      <c r="LTQ38" s="19"/>
      <c r="LTR38" s="19"/>
      <c r="LTS38" s="19"/>
      <c r="LTT38" s="19"/>
      <c r="LTU38" s="19"/>
      <c r="LTV38" s="19"/>
      <c r="LTW38" s="19"/>
      <c r="LTX38" s="19"/>
      <c r="LTY38" s="19"/>
      <c r="LTZ38" s="19"/>
      <c r="LUA38" s="19"/>
      <c r="LUB38" s="19"/>
      <c r="LUC38" s="19"/>
      <c r="LUD38" s="19"/>
      <c r="LUE38" s="19"/>
      <c r="LUF38" s="19"/>
      <c r="LUG38" s="19"/>
      <c r="LUH38" s="19"/>
      <c r="LUI38" s="19"/>
      <c r="LUJ38" s="19"/>
      <c r="LUK38" s="19"/>
      <c r="LUL38" s="19"/>
      <c r="LUM38" s="19"/>
      <c r="LUN38" s="19"/>
      <c r="LUO38" s="19"/>
      <c r="LUP38" s="19"/>
      <c r="LUQ38" s="19"/>
      <c r="LUR38" s="19"/>
      <c r="LUS38" s="19"/>
      <c r="LUT38" s="19"/>
      <c r="LUU38" s="19"/>
      <c r="LUV38" s="19"/>
      <c r="LUW38" s="19"/>
      <c r="LUX38" s="19"/>
      <c r="LUY38" s="19"/>
      <c r="LUZ38" s="19"/>
      <c r="LVA38" s="19"/>
      <c r="LVB38" s="19"/>
      <c r="LVC38" s="19"/>
      <c r="LVD38" s="19"/>
      <c r="LVE38" s="19"/>
      <c r="LVF38" s="19"/>
      <c r="LVG38" s="19"/>
      <c r="LVH38" s="19"/>
      <c r="LVI38" s="19"/>
      <c r="LVJ38" s="19"/>
      <c r="LVK38" s="19"/>
      <c r="LVL38" s="19"/>
      <c r="LVM38" s="19"/>
      <c r="LVN38" s="19"/>
      <c r="LVO38" s="19"/>
      <c r="LVP38" s="19"/>
      <c r="LVQ38" s="19"/>
      <c r="LVR38" s="19"/>
      <c r="LVS38" s="19"/>
      <c r="LVT38" s="19"/>
      <c r="LVU38" s="19"/>
      <c r="LVV38" s="19"/>
      <c r="LVW38" s="19"/>
      <c r="LVX38" s="19"/>
      <c r="LVY38" s="19"/>
      <c r="LVZ38" s="19"/>
      <c r="LWA38" s="19"/>
      <c r="LWB38" s="19"/>
      <c r="LWC38" s="19"/>
      <c r="LWD38" s="19"/>
      <c r="LWE38" s="19"/>
      <c r="LWF38" s="19"/>
      <c r="LWG38" s="19"/>
      <c r="LWH38" s="19"/>
      <c r="LWI38" s="19"/>
      <c r="LWJ38" s="19"/>
      <c r="LWK38" s="19"/>
      <c r="LWL38" s="19"/>
      <c r="LWM38" s="19"/>
      <c r="LWN38" s="19"/>
      <c r="LWO38" s="19"/>
      <c r="LWP38" s="19"/>
      <c r="LWQ38" s="19"/>
      <c r="LWR38" s="19"/>
      <c r="LWS38" s="19"/>
      <c r="LWT38" s="19"/>
      <c r="LWU38" s="19"/>
      <c r="LWV38" s="19"/>
      <c r="LWW38" s="19"/>
      <c r="LWX38" s="19"/>
      <c r="LWY38" s="19"/>
      <c r="LWZ38" s="19"/>
      <c r="LXA38" s="19"/>
      <c r="LXB38" s="19"/>
      <c r="LXC38" s="19"/>
      <c r="LXD38" s="19"/>
      <c r="LXE38" s="19"/>
      <c r="LXF38" s="19"/>
      <c r="LXG38" s="19"/>
      <c r="LXH38" s="19"/>
      <c r="LXI38" s="19"/>
      <c r="LXJ38" s="19"/>
      <c r="LXK38" s="19"/>
      <c r="LXL38" s="19"/>
      <c r="LXM38" s="19"/>
      <c r="LXN38" s="19"/>
      <c r="LXO38" s="19"/>
      <c r="LXP38" s="19"/>
      <c r="LXQ38" s="19"/>
      <c r="LXR38" s="19"/>
      <c r="LXS38" s="19"/>
      <c r="LXT38" s="19"/>
      <c r="LXU38" s="19"/>
      <c r="LXV38" s="19"/>
      <c r="LXW38" s="19"/>
      <c r="LXX38" s="19"/>
      <c r="LXY38" s="19"/>
      <c r="LXZ38" s="19"/>
      <c r="LYA38" s="19"/>
      <c r="LYB38" s="19"/>
      <c r="LYC38" s="19"/>
      <c r="LYD38" s="19"/>
      <c r="LYE38" s="19"/>
      <c r="LYF38" s="19"/>
      <c r="LYG38" s="19"/>
      <c r="LYH38" s="19"/>
      <c r="LYI38" s="19"/>
      <c r="LYJ38" s="19"/>
      <c r="LYK38" s="19"/>
      <c r="LYL38" s="19"/>
      <c r="LYM38" s="19"/>
      <c r="LYN38" s="19"/>
      <c r="LYO38" s="19"/>
      <c r="LYP38" s="19"/>
      <c r="LYQ38" s="19"/>
      <c r="LYR38" s="19"/>
      <c r="LYS38" s="19"/>
      <c r="LYT38" s="19"/>
      <c r="LYU38" s="19"/>
      <c r="LYV38" s="19"/>
      <c r="LYW38" s="19"/>
      <c r="LYX38" s="19"/>
      <c r="LYY38" s="19"/>
      <c r="LYZ38" s="19"/>
      <c r="LZA38" s="19"/>
      <c r="LZB38" s="19"/>
      <c r="LZC38" s="19"/>
      <c r="LZD38" s="19"/>
      <c r="LZE38" s="19"/>
      <c r="LZF38" s="19"/>
      <c r="LZG38" s="19"/>
      <c r="LZH38" s="19"/>
      <c r="LZI38" s="19"/>
      <c r="LZJ38" s="19"/>
      <c r="LZK38" s="19"/>
      <c r="LZL38" s="19"/>
      <c r="LZM38" s="19"/>
      <c r="LZN38" s="19"/>
      <c r="LZO38" s="19"/>
      <c r="LZP38" s="19"/>
      <c r="LZQ38" s="19"/>
      <c r="LZR38" s="19"/>
      <c r="LZS38" s="19"/>
      <c r="LZT38" s="19"/>
      <c r="LZU38" s="19"/>
      <c r="LZV38" s="19"/>
      <c r="LZW38" s="19"/>
      <c r="LZX38" s="19"/>
      <c r="LZY38" s="19"/>
      <c r="LZZ38" s="19"/>
      <c r="MAA38" s="19"/>
      <c r="MAB38" s="19"/>
      <c r="MAC38" s="19"/>
      <c r="MAD38" s="19"/>
      <c r="MAE38" s="19"/>
      <c r="MAF38" s="19"/>
      <c r="MAG38" s="19"/>
      <c r="MAH38" s="19"/>
      <c r="MAI38" s="19"/>
      <c r="MAJ38" s="19"/>
      <c r="MAK38" s="19"/>
      <c r="MAL38" s="19"/>
      <c r="MAM38" s="19"/>
      <c r="MAN38" s="19"/>
      <c r="MAO38" s="19"/>
      <c r="MAP38" s="19"/>
      <c r="MAQ38" s="19"/>
      <c r="MAR38" s="19"/>
      <c r="MAS38" s="19"/>
      <c r="MAT38" s="19"/>
      <c r="MAU38" s="19"/>
      <c r="MAV38" s="19"/>
      <c r="MAW38" s="19"/>
      <c r="MAX38" s="19"/>
      <c r="MAY38" s="19"/>
      <c r="MAZ38" s="19"/>
      <c r="MBA38" s="19"/>
      <c r="MBB38" s="19"/>
      <c r="MBC38" s="19"/>
      <c r="MBD38" s="19"/>
      <c r="MBE38" s="19"/>
      <c r="MBF38" s="19"/>
      <c r="MBG38" s="19"/>
      <c r="MBH38" s="19"/>
      <c r="MBI38" s="19"/>
      <c r="MBJ38" s="19"/>
      <c r="MBK38" s="19"/>
      <c r="MBL38" s="19"/>
      <c r="MBM38" s="19"/>
      <c r="MBN38" s="19"/>
      <c r="MBO38" s="19"/>
      <c r="MBP38" s="19"/>
      <c r="MBQ38" s="19"/>
      <c r="MBR38" s="19"/>
      <c r="MBS38" s="19"/>
      <c r="MBT38" s="19"/>
      <c r="MBU38" s="19"/>
      <c r="MBV38" s="19"/>
      <c r="MBW38" s="19"/>
      <c r="MBX38" s="19"/>
      <c r="MBY38" s="19"/>
      <c r="MBZ38" s="19"/>
      <c r="MCA38" s="19"/>
      <c r="MCB38" s="19"/>
      <c r="MCC38" s="19"/>
      <c r="MCD38" s="19"/>
      <c r="MCE38" s="19"/>
      <c r="MCF38" s="19"/>
      <c r="MCG38" s="19"/>
      <c r="MCH38" s="19"/>
      <c r="MCI38" s="19"/>
      <c r="MCJ38" s="19"/>
      <c r="MCK38" s="19"/>
      <c r="MCL38" s="19"/>
      <c r="MCM38" s="19"/>
      <c r="MCN38" s="19"/>
      <c r="MCO38" s="19"/>
      <c r="MCP38" s="19"/>
      <c r="MCQ38" s="19"/>
      <c r="MCR38" s="19"/>
      <c r="MCS38" s="19"/>
      <c r="MCT38" s="19"/>
      <c r="MCU38" s="19"/>
      <c r="MCV38" s="19"/>
      <c r="MCW38" s="19"/>
      <c r="MCX38" s="19"/>
      <c r="MCY38" s="19"/>
      <c r="MCZ38" s="19"/>
      <c r="MDA38" s="19"/>
      <c r="MDB38" s="19"/>
      <c r="MDC38" s="19"/>
      <c r="MDD38" s="19"/>
      <c r="MDE38" s="19"/>
      <c r="MDF38" s="19"/>
      <c r="MDG38" s="19"/>
      <c r="MDH38" s="19"/>
      <c r="MDI38" s="19"/>
      <c r="MDJ38" s="19"/>
      <c r="MDK38" s="19"/>
      <c r="MDL38" s="19"/>
      <c r="MDM38" s="19"/>
      <c r="MDN38" s="19"/>
      <c r="MDO38" s="19"/>
      <c r="MDP38" s="19"/>
      <c r="MDQ38" s="19"/>
      <c r="MDR38" s="19"/>
      <c r="MDS38" s="19"/>
      <c r="MDT38" s="19"/>
      <c r="MDU38" s="19"/>
      <c r="MDV38" s="19"/>
      <c r="MDW38" s="19"/>
      <c r="MDX38" s="19"/>
      <c r="MDY38" s="19"/>
      <c r="MDZ38" s="19"/>
      <c r="MEA38" s="19"/>
      <c r="MEB38" s="19"/>
      <c r="MEC38" s="19"/>
      <c r="MED38" s="19"/>
      <c r="MEE38" s="19"/>
      <c r="MEF38" s="19"/>
      <c r="MEG38" s="19"/>
      <c r="MEH38" s="19"/>
      <c r="MEI38" s="19"/>
      <c r="MEJ38" s="19"/>
      <c r="MEK38" s="19"/>
      <c r="MEL38" s="19"/>
      <c r="MEM38" s="19"/>
      <c r="MEN38" s="19"/>
      <c r="MEO38" s="19"/>
      <c r="MEP38" s="19"/>
      <c r="MEQ38" s="19"/>
      <c r="MER38" s="19"/>
      <c r="MES38" s="19"/>
      <c r="MET38" s="19"/>
      <c r="MEU38" s="19"/>
      <c r="MEV38" s="19"/>
      <c r="MEW38" s="19"/>
      <c r="MEX38" s="19"/>
      <c r="MEY38" s="19"/>
      <c r="MEZ38" s="19"/>
      <c r="MFA38" s="19"/>
      <c r="MFB38" s="19"/>
      <c r="MFC38" s="19"/>
      <c r="MFD38" s="19"/>
      <c r="MFE38" s="19"/>
      <c r="MFF38" s="19"/>
      <c r="MFG38" s="19"/>
      <c r="MFH38" s="19"/>
      <c r="MFI38" s="19"/>
      <c r="MFJ38" s="19"/>
      <c r="MFK38" s="19"/>
      <c r="MFL38" s="19"/>
      <c r="MFM38" s="19"/>
      <c r="MFN38" s="19"/>
      <c r="MFO38" s="19"/>
      <c r="MFP38" s="19"/>
      <c r="MFQ38" s="19"/>
      <c r="MFR38" s="19"/>
      <c r="MFS38" s="19"/>
      <c r="MFT38" s="19"/>
      <c r="MFU38" s="19"/>
      <c r="MFV38" s="19"/>
      <c r="MFW38" s="19"/>
      <c r="MFX38" s="19"/>
      <c r="MFY38" s="19"/>
      <c r="MFZ38" s="19"/>
      <c r="MGA38" s="19"/>
      <c r="MGB38" s="19"/>
      <c r="MGC38" s="19"/>
      <c r="MGD38" s="19"/>
      <c r="MGE38" s="19"/>
      <c r="MGF38" s="19"/>
      <c r="MGG38" s="19"/>
      <c r="MGH38" s="19"/>
      <c r="MGI38" s="19"/>
      <c r="MGJ38" s="19"/>
      <c r="MGK38" s="19"/>
      <c r="MGL38" s="19"/>
      <c r="MGM38" s="19"/>
      <c r="MGN38" s="19"/>
      <c r="MGO38" s="19"/>
      <c r="MGP38" s="19"/>
      <c r="MGQ38" s="19"/>
      <c r="MGR38" s="19"/>
      <c r="MGS38" s="19"/>
      <c r="MGT38" s="19"/>
      <c r="MGU38" s="19"/>
      <c r="MGV38" s="19"/>
      <c r="MGW38" s="19"/>
      <c r="MGX38" s="19"/>
      <c r="MGY38" s="19"/>
      <c r="MGZ38" s="19"/>
      <c r="MHA38" s="19"/>
      <c r="MHB38" s="19"/>
      <c r="MHC38" s="19"/>
      <c r="MHD38" s="19"/>
      <c r="MHE38" s="19"/>
      <c r="MHF38" s="19"/>
      <c r="MHG38" s="19"/>
      <c r="MHH38" s="19"/>
      <c r="MHI38" s="19"/>
      <c r="MHJ38" s="19"/>
      <c r="MHK38" s="19"/>
      <c r="MHL38" s="19"/>
      <c r="MHM38" s="19"/>
      <c r="MHN38" s="19"/>
      <c r="MHO38" s="19"/>
      <c r="MHP38" s="19"/>
      <c r="MHQ38" s="19"/>
      <c r="MHR38" s="19"/>
      <c r="MHS38" s="19"/>
      <c r="MHT38" s="19"/>
      <c r="MHU38" s="19"/>
      <c r="MHV38" s="19"/>
      <c r="MHW38" s="19"/>
      <c r="MHX38" s="19"/>
      <c r="MHY38" s="19"/>
      <c r="MHZ38" s="19"/>
      <c r="MIA38" s="19"/>
      <c r="MIB38" s="19"/>
      <c r="MIC38" s="19"/>
      <c r="MID38" s="19"/>
      <c r="MIE38" s="19"/>
      <c r="MIF38" s="19"/>
      <c r="MIG38" s="19"/>
      <c r="MIH38" s="19"/>
      <c r="MII38" s="19"/>
      <c r="MIJ38" s="19"/>
      <c r="MIK38" s="19"/>
      <c r="MIL38" s="19"/>
      <c r="MIM38" s="19"/>
      <c r="MIN38" s="19"/>
      <c r="MIO38" s="19"/>
      <c r="MIP38" s="19"/>
      <c r="MIQ38" s="19"/>
      <c r="MIR38" s="19"/>
      <c r="MIS38" s="19"/>
      <c r="MIT38" s="19"/>
      <c r="MIU38" s="19"/>
      <c r="MIV38" s="19"/>
      <c r="MIW38" s="19"/>
      <c r="MIX38" s="19"/>
      <c r="MIY38" s="19"/>
      <c r="MIZ38" s="19"/>
      <c r="MJA38" s="19"/>
      <c r="MJB38" s="19"/>
      <c r="MJC38" s="19"/>
      <c r="MJD38" s="19"/>
      <c r="MJE38" s="19"/>
      <c r="MJF38" s="19"/>
      <c r="MJG38" s="19"/>
      <c r="MJH38" s="19"/>
      <c r="MJI38" s="19"/>
      <c r="MJJ38" s="19"/>
      <c r="MJK38" s="19"/>
      <c r="MJL38" s="19"/>
      <c r="MJM38" s="19"/>
      <c r="MJN38" s="19"/>
      <c r="MJO38" s="19"/>
      <c r="MJP38" s="19"/>
      <c r="MJQ38" s="19"/>
      <c r="MJR38" s="19"/>
      <c r="MJS38" s="19"/>
      <c r="MJT38" s="19"/>
      <c r="MJU38" s="19"/>
      <c r="MJV38" s="19"/>
      <c r="MJW38" s="19"/>
      <c r="MJX38" s="19"/>
      <c r="MJY38" s="19"/>
      <c r="MJZ38" s="19"/>
      <c r="MKA38" s="19"/>
      <c r="MKB38" s="19"/>
      <c r="MKC38" s="19"/>
      <c r="MKD38" s="19"/>
      <c r="MKE38" s="19"/>
      <c r="MKF38" s="19"/>
      <c r="MKG38" s="19"/>
      <c r="MKH38" s="19"/>
      <c r="MKI38" s="19"/>
      <c r="MKJ38" s="19"/>
      <c r="MKK38" s="19"/>
      <c r="MKL38" s="19"/>
      <c r="MKM38" s="19"/>
      <c r="MKN38" s="19"/>
      <c r="MKO38" s="19"/>
      <c r="MKP38" s="19"/>
      <c r="MKQ38" s="19"/>
      <c r="MKR38" s="19"/>
      <c r="MKS38" s="19"/>
      <c r="MKT38" s="19"/>
      <c r="MKU38" s="19"/>
      <c r="MKV38" s="19"/>
      <c r="MKW38" s="19"/>
      <c r="MKX38" s="19"/>
      <c r="MKY38" s="19"/>
      <c r="MKZ38" s="19"/>
      <c r="MLA38" s="19"/>
      <c r="MLB38" s="19"/>
      <c r="MLC38" s="19"/>
      <c r="MLD38" s="19"/>
      <c r="MLE38" s="19"/>
      <c r="MLF38" s="19"/>
      <c r="MLG38" s="19"/>
      <c r="MLH38" s="19"/>
      <c r="MLI38" s="19"/>
      <c r="MLJ38" s="19"/>
      <c r="MLK38" s="19"/>
      <c r="MLL38" s="19"/>
      <c r="MLM38" s="19"/>
      <c r="MLN38" s="19"/>
      <c r="MLO38" s="19"/>
      <c r="MLP38" s="19"/>
      <c r="MLQ38" s="19"/>
      <c r="MLR38" s="19"/>
      <c r="MLS38" s="19"/>
      <c r="MLT38" s="19"/>
      <c r="MLU38" s="19"/>
      <c r="MLV38" s="19"/>
      <c r="MLW38" s="19"/>
      <c r="MLX38" s="19"/>
      <c r="MLY38" s="19"/>
      <c r="MLZ38" s="19"/>
      <c r="MMA38" s="19"/>
      <c r="MMB38" s="19"/>
      <c r="MMC38" s="19"/>
      <c r="MMD38" s="19"/>
      <c r="MME38" s="19"/>
      <c r="MMF38" s="19"/>
      <c r="MMG38" s="19"/>
      <c r="MMH38" s="19"/>
      <c r="MMI38" s="19"/>
      <c r="MMJ38" s="19"/>
      <c r="MMK38" s="19"/>
      <c r="MML38" s="19"/>
      <c r="MMM38" s="19"/>
      <c r="MMN38" s="19"/>
      <c r="MMO38" s="19"/>
      <c r="MMP38" s="19"/>
      <c r="MMQ38" s="19"/>
      <c r="MMR38" s="19"/>
      <c r="MMS38" s="19"/>
      <c r="MMT38" s="19"/>
      <c r="MMU38" s="19"/>
      <c r="MMV38" s="19"/>
      <c r="MMW38" s="19"/>
      <c r="MMX38" s="19"/>
      <c r="MMY38" s="19"/>
      <c r="MMZ38" s="19"/>
      <c r="MNA38" s="19"/>
      <c r="MNB38" s="19"/>
      <c r="MNC38" s="19"/>
      <c r="MND38" s="19"/>
      <c r="MNE38" s="19"/>
      <c r="MNF38" s="19"/>
      <c r="MNG38" s="19"/>
      <c r="MNH38" s="19"/>
      <c r="MNI38" s="19"/>
      <c r="MNJ38" s="19"/>
      <c r="MNK38" s="19"/>
      <c r="MNL38" s="19"/>
      <c r="MNM38" s="19"/>
      <c r="MNN38" s="19"/>
      <c r="MNO38" s="19"/>
      <c r="MNP38" s="19"/>
      <c r="MNQ38" s="19"/>
      <c r="MNR38" s="19"/>
      <c r="MNS38" s="19"/>
      <c r="MNT38" s="19"/>
      <c r="MNU38" s="19"/>
      <c r="MNV38" s="19"/>
      <c r="MNW38" s="19"/>
      <c r="MNX38" s="19"/>
      <c r="MNY38" s="19"/>
      <c r="MNZ38" s="19"/>
      <c r="MOA38" s="19"/>
      <c r="MOB38" s="19"/>
      <c r="MOC38" s="19"/>
      <c r="MOD38" s="19"/>
      <c r="MOE38" s="19"/>
      <c r="MOF38" s="19"/>
      <c r="MOG38" s="19"/>
      <c r="MOH38" s="19"/>
      <c r="MOI38" s="19"/>
      <c r="MOJ38" s="19"/>
      <c r="MOK38" s="19"/>
      <c r="MOL38" s="19"/>
      <c r="MOM38" s="19"/>
      <c r="MON38" s="19"/>
      <c r="MOO38" s="19"/>
      <c r="MOP38" s="19"/>
      <c r="MOQ38" s="19"/>
      <c r="MOR38" s="19"/>
      <c r="MOS38" s="19"/>
      <c r="MOT38" s="19"/>
      <c r="MOU38" s="19"/>
      <c r="MOV38" s="19"/>
      <c r="MOW38" s="19"/>
      <c r="MOX38" s="19"/>
      <c r="MOY38" s="19"/>
      <c r="MOZ38" s="19"/>
      <c r="MPA38" s="19"/>
      <c r="MPB38" s="19"/>
      <c r="MPC38" s="19"/>
      <c r="MPD38" s="19"/>
      <c r="MPE38" s="19"/>
      <c r="MPF38" s="19"/>
      <c r="MPG38" s="19"/>
      <c r="MPH38" s="19"/>
      <c r="MPI38" s="19"/>
      <c r="MPJ38" s="19"/>
      <c r="MPK38" s="19"/>
      <c r="MPL38" s="19"/>
      <c r="MPM38" s="19"/>
      <c r="MPN38" s="19"/>
      <c r="MPO38" s="19"/>
      <c r="MPP38" s="19"/>
      <c r="MPQ38" s="19"/>
      <c r="MPR38" s="19"/>
      <c r="MPS38" s="19"/>
      <c r="MPT38" s="19"/>
      <c r="MPU38" s="19"/>
      <c r="MPV38" s="19"/>
      <c r="MPW38" s="19"/>
      <c r="MPX38" s="19"/>
      <c r="MPY38" s="19"/>
      <c r="MPZ38" s="19"/>
      <c r="MQA38" s="19"/>
      <c r="MQB38" s="19"/>
      <c r="MQC38" s="19"/>
      <c r="MQD38" s="19"/>
      <c r="MQE38" s="19"/>
      <c r="MQF38" s="19"/>
      <c r="MQG38" s="19"/>
      <c r="MQH38" s="19"/>
      <c r="MQI38" s="19"/>
      <c r="MQJ38" s="19"/>
      <c r="MQK38" s="19"/>
      <c r="MQL38" s="19"/>
      <c r="MQM38" s="19"/>
      <c r="MQN38" s="19"/>
      <c r="MQO38" s="19"/>
      <c r="MQP38" s="19"/>
      <c r="MQQ38" s="19"/>
      <c r="MQR38" s="19"/>
      <c r="MQS38" s="19"/>
      <c r="MQT38" s="19"/>
      <c r="MQU38" s="19"/>
      <c r="MQV38" s="19"/>
      <c r="MQW38" s="19"/>
      <c r="MQX38" s="19"/>
      <c r="MQY38" s="19"/>
      <c r="MQZ38" s="19"/>
      <c r="MRA38" s="19"/>
      <c r="MRB38" s="19"/>
      <c r="MRC38" s="19"/>
      <c r="MRD38" s="19"/>
      <c r="MRE38" s="19"/>
      <c r="MRF38" s="19"/>
      <c r="MRG38" s="19"/>
      <c r="MRH38" s="19"/>
      <c r="MRI38" s="19"/>
      <c r="MRJ38" s="19"/>
      <c r="MRK38" s="19"/>
      <c r="MRL38" s="19"/>
      <c r="MRM38" s="19"/>
      <c r="MRN38" s="19"/>
      <c r="MRO38" s="19"/>
      <c r="MRP38" s="19"/>
      <c r="MRQ38" s="19"/>
      <c r="MRR38" s="19"/>
      <c r="MRS38" s="19"/>
      <c r="MRT38" s="19"/>
      <c r="MRU38" s="19"/>
      <c r="MRV38" s="19"/>
      <c r="MRW38" s="19"/>
      <c r="MRX38" s="19"/>
      <c r="MRY38" s="19"/>
      <c r="MRZ38" s="19"/>
      <c r="MSA38" s="19"/>
      <c r="MSB38" s="19"/>
      <c r="MSC38" s="19"/>
      <c r="MSD38" s="19"/>
      <c r="MSE38" s="19"/>
      <c r="MSF38" s="19"/>
      <c r="MSG38" s="19"/>
      <c r="MSH38" s="19"/>
      <c r="MSI38" s="19"/>
      <c r="MSJ38" s="19"/>
      <c r="MSK38" s="19"/>
      <c r="MSL38" s="19"/>
      <c r="MSM38" s="19"/>
      <c r="MSN38" s="19"/>
      <c r="MSO38" s="19"/>
      <c r="MSP38" s="19"/>
      <c r="MSQ38" s="19"/>
      <c r="MSR38" s="19"/>
      <c r="MSS38" s="19"/>
      <c r="MST38" s="19"/>
      <c r="MSU38" s="19"/>
      <c r="MSV38" s="19"/>
      <c r="MSW38" s="19"/>
      <c r="MSX38" s="19"/>
      <c r="MSY38" s="19"/>
      <c r="MSZ38" s="19"/>
      <c r="MTA38" s="19"/>
      <c r="MTB38" s="19"/>
      <c r="MTC38" s="19"/>
      <c r="MTD38" s="19"/>
      <c r="MTE38" s="19"/>
      <c r="MTF38" s="19"/>
      <c r="MTG38" s="19"/>
      <c r="MTH38" s="19"/>
      <c r="MTI38" s="19"/>
      <c r="MTJ38" s="19"/>
      <c r="MTK38" s="19"/>
      <c r="MTL38" s="19"/>
      <c r="MTM38" s="19"/>
      <c r="MTN38" s="19"/>
      <c r="MTO38" s="19"/>
      <c r="MTP38" s="19"/>
      <c r="MTQ38" s="19"/>
      <c r="MTR38" s="19"/>
      <c r="MTS38" s="19"/>
      <c r="MTT38" s="19"/>
      <c r="MTU38" s="19"/>
      <c r="MTV38" s="19"/>
      <c r="MTW38" s="19"/>
      <c r="MTX38" s="19"/>
      <c r="MTY38" s="19"/>
      <c r="MTZ38" s="19"/>
      <c r="MUA38" s="19"/>
      <c r="MUB38" s="19"/>
      <c r="MUC38" s="19"/>
      <c r="MUD38" s="19"/>
      <c r="MUE38" s="19"/>
      <c r="MUF38" s="19"/>
      <c r="MUG38" s="19"/>
      <c r="MUH38" s="19"/>
      <c r="MUI38" s="19"/>
      <c r="MUJ38" s="19"/>
      <c r="MUK38" s="19"/>
      <c r="MUL38" s="19"/>
      <c r="MUM38" s="19"/>
      <c r="MUN38" s="19"/>
      <c r="MUO38" s="19"/>
      <c r="MUP38" s="19"/>
      <c r="MUQ38" s="19"/>
      <c r="MUR38" s="19"/>
      <c r="MUS38" s="19"/>
      <c r="MUT38" s="19"/>
      <c r="MUU38" s="19"/>
      <c r="MUV38" s="19"/>
      <c r="MUW38" s="19"/>
      <c r="MUX38" s="19"/>
      <c r="MUY38" s="19"/>
      <c r="MUZ38" s="19"/>
      <c r="MVA38" s="19"/>
      <c r="MVB38" s="19"/>
      <c r="MVC38" s="19"/>
      <c r="MVD38" s="19"/>
      <c r="MVE38" s="19"/>
      <c r="MVF38" s="19"/>
      <c r="MVG38" s="19"/>
      <c r="MVH38" s="19"/>
      <c r="MVI38" s="19"/>
      <c r="MVJ38" s="19"/>
      <c r="MVK38" s="19"/>
      <c r="MVL38" s="19"/>
      <c r="MVM38" s="19"/>
      <c r="MVN38" s="19"/>
      <c r="MVO38" s="19"/>
      <c r="MVP38" s="19"/>
      <c r="MVQ38" s="19"/>
      <c r="MVR38" s="19"/>
      <c r="MVS38" s="19"/>
      <c r="MVT38" s="19"/>
      <c r="MVU38" s="19"/>
      <c r="MVV38" s="19"/>
      <c r="MVW38" s="19"/>
      <c r="MVX38" s="19"/>
      <c r="MVY38" s="19"/>
      <c r="MVZ38" s="19"/>
      <c r="MWA38" s="19"/>
      <c r="MWB38" s="19"/>
      <c r="MWC38" s="19"/>
      <c r="MWD38" s="19"/>
      <c r="MWE38" s="19"/>
      <c r="MWF38" s="19"/>
      <c r="MWG38" s="19"/>
      <c r="MWH38" s="19"/>
      <c r="MWI38" s="19"/>
      <c r="MWJ38" s="19"/>
      <c r="MWK38" s="19"/>
      <c r="MWL38" s="19"/>
      <c r="MWM38" s="19"/>
      <c r="MWN38" s="19"/>
      <c r="MWO38" s="19"/>
      <c r="MWP38" s="19"/>
      <c r="MWQ38" s="19"/>
      <c r="MWR38" s="19"/>
      <c r="MWS38" s="19"/>
      <c r="MWT38" s="19"/>
      <c r="MWU38" s="19"/>
      <c r="MWV38" s="19"/>
      <c r="MWW38" s="19"/>
      <c r="MWX38" s="19"/>
      <c r="MWY38" s="19"/>
      <c r="MWZ38" s="19"/>
      <c r="MXA38" s="19"/>
      <c r="MXB38" s="19"/>
      <c r="MXC38" s="19"/>
      <c r="MXD38" s="19"/>
      <c r="MXE38" s="19"/>
      <c r="MXF38" s="19"/>
      <c r="MXG38" s="19"/>
      <c r="MXH38" s="19"/>
      <c r="MXI38" s="19"/>
      <c r="MXJ38" s="19"/>
      <c r="MXK38" s="19"/>
      <c r="MXL38" s="19"/>
      <c r="MXM38" s="19"/>
      <c r="MXN38" s="19"/>
      <c r="MXO38" s="19"/>
      <c r="MXP38" s="19"/>
      <c r="MXQ38" s="19"/>
      <c r="MXR38" s="19"/>
      <c r="MXS38" s="19"/>
      <c r="MXT38" s="19"/>
      <c r="MXU38" s="19"/>
      <c r="MXV38" s="19"/>
      <c r="MXW38" s="19"/>
      <c r="MXX38" s="19"/>
      <c r="MXY38" s="19"/>
      <c r="MXZ38" s="19"/>
      <c r="MYA38" s="19"/>
      <c r="MYB38" s="19"/>
      <c r="MYC38" s="19"/>
      <c r="MYD38" s="19"/>
      <c r="MYE38" s="19"/>
      <c r="MYF38" s="19"/>
      <c r="MYG38" s="19"/>
      <c r="MYH38" s="19"/>
      <c r="MYI38" s="19"/>
      <c r="MYJ38" s="19"/>
      <c r="MYK38" s="19"/>
      <c r="MYL38" s="19"/>
      <c r="MYM38" s="19"/>
      <c r="MYN38" s="19"/>
      <c r="MYO38" s="19"/>
      <c r="MYP38" s="19"/>
      <c r="MYQ38" s="19"/>
      <c r="MYR38" s="19"/>
      <c r="MYS38" s="19"/>
      <c r="MYT38" s="19"/>
      <c r="MYU38" s="19"/>
      <c r="MYV38" s="19"/>
      <c r="MYW38" s="19"/>
      <c r="MYX38" s="19"/>
      <c r="MYY38" s="19"/>
      <c r="MYZ38" s="19"/>
      <c r="MZA38" s="19"/>
      <c r="MZB38" s="19"/>
      <c r="MZC38" s="19"/>
      <c r="MZD38" s="19"/>
      <c r="MZE38" s="19"/>
      <c r="MZF38" s="19"/>
      <c r="MZG38" s="19"/>
      <c r="MZH38" s="19"/>
      <c r="MZI38" s="19"/>
      <c r="MZJ38" s="19"/>
      <c r="MZK38" s="19"/>
      <c r="MZL38" s="19"/>
      <c r="MZM38" s="19"/>
      <c r="MZN38" s="19"/>
      <c r="MZO38" s="19"/>
      <c r="MZP38" s="19"/>
      <c r="MZQ38" s="19"/>
      <c r="MZR38" s="19"/>
      <c r="MZS38" s="19"/>
      <c r="MZT38" s="19"/>
      <c r="MZU38" s="19"/>
      <c r="MZV38" s="19"/>
      <c r="MZW38" s="19"/>
      <c r="MZX38" s="19"/>
      <c r="MZY38" s="19"/>
      <c r="MZZ38" s="19"/>
      <c r="NAA38" s="19"/>
      <c r="NAB38" s="19"/>
      <c r="NAC38" s="19"/>
      <c r="NAD38" s="19"/>
      <c r="NAE38" s="19"/>
      <c r="NAF38" s="19"/>
      <c r="NAG38" s="19"/>
      <c r="NAH38" s="19"/>
      <c r="NAI38" s="19"/>
      <c r="NAJ38" s="19"/>
      <c r="NAK38" s="19"/>
      <c r="NAL38" s="19"/>
      <c r="NAM38" s="19"/>
      <c r="NAN38" s="19"/>
      <c r="NAO38" s="19"/>
      <c r="NAP38" s="19"/>
      <c r="NAQ38" s="19"/>
      <c r="NAR38" s="19"/>
      <c r="NAS38" s="19"/>
      <c r="NAT38" s="19"/>
      <c r="NAU38" s="19"/>
      <c r="NAV38" s="19"/>
      <c r="NAW38" s="19"/>
      <c r="NAX38" s="19"/>
      <c r="NAY38" s="19"/>
      <c r="NAZ38" s="19"/>
      <c r="NBA38" s="19"/>
      <c r="NBB38" s="19"/>
      <c r="NBC38" s="19"/>
      <c r="NBD38" s="19"/>
      <c r="NBE38" s="19"/>
      <c r="NBF38" s="19"/>
      <c r="NBG38" s="19"/>
      <c r="NBH38" s="19"/>
      <c r="NBI38" s="19"/>
      <c r="NBJ38" s="19"/>
      <c r="NBK38" s="19"/>
      <c r="NBL38" s="19"/>
      <c r="NBM38" s="19"/>
      <c r="NBN38" s="19"/>
      <c r="NBO38" s="19"/>
      <c r="NBP38" s="19"/>
      <c r="NBQ38" s="19"/>
      <c r="NBR38" s="19"/>
      <c r="NBS38" s="19"/>
      <c r="NBT38" s="19"/>
      <c r="NBU38" s="19"/>
      <c r="NBV38" s="19"/>
      <c r="NBW38" s="19"/>
      <c r="NBX38" s="19"/>
      <c r="NBY38" s="19"/>
      <c r="NBZ38" s="19"/>
      <c r="NCA38" s="19"/>
      <c r="NCB38" s="19"/>
      <c r="NCC38" s="19"/>
      <c r="NCD38" s="19"/>
      <c r="NCE38" s="19"/>
      <c r="NCF38" s="19"/>
      <c r="NCG38" s="19"/>
      <c r="NCH38" s="19"/>
      <c r="NCI38" s="19"/>
      <c r="NCJ38" s="19"/>
      <c r="NCK38" s="19"/>
      <c r="NCL38" s="19"/>
      <c r="NCM38" s="19"/>
      <c r="NCN38" s="19"/>
      <c r="NCO38" s="19"/>
      <c r="NCP38" s="19"/>
      <c r="NCQ38" s="19"/>
      <c r="NCR38" s="19"/>
      <c r="NCS38" s="19"/>
      <c r="NCT38" s="19"/>
      <c r="NCU38" s="19"/>
      <c r="NCV38" s="19"/>
      <c r="NCW38" s="19"/>
      <c r="NCX38" s="19"/>
      <c r="NCY38" s="19"/>
      <c r="NCZ38" s="19"/>
      <c r="NDA38" s="19"/>
      <c r="NDB38" s="19"/>
      <c r="NDC38" s="19"/>
      <c r="NDD38" s="19"/>
      <c r="NDE38" s="19"/>
      <c r="NDF38" s="19"/>
      <c r="NDG38" s="19"/>
      <c r="NDH38" s="19"/>
      <c r="NDI38" s="19"/>
      <c r="NDJ38" s="19"/>
      <c r="NDK38" s="19"/>
      <c r="NDL38" s="19"/>
      <c r="NDM38" s="19"/>
      <c r="NDN38" s="19"/>
      <c r="NDO38" s="19"/>
      <c r="NDP38" s="19"/>
      <c r="NDQ38" s="19"/>
      <c r="NDR38" s="19"/>
      <c r="NDS38" s="19"/>
      <c r="NDT38" s="19"/>
      <c r="NDU38" s="19"/>
      <c r="NDV38" s="19"/>
      <c r="NDW38" s="19"/>
      <c r="NDX38" s="19"/>
      <c r="NDY38" s="19"/>
      <c r="NDZ38" s="19"/>
      <c r="NEA38" s="19"/>
      <c r="NEB38" s="19"/>
      <c r="NEC38" s="19"/>
      <c r="NED38" s="19"/>
      <c r="NEE38" s="19"/>
      <c r="NEF38" s="19"/>
      <c r="NEG38" s="19"/>
      <c r="NEH38" s="19"/>
      <c r="NEI38" s="19"/>
      <c r="NEJ38" s="19"/>
      <c r="NEK38" s="19"/>
      <c r="NEL38" s="19"/>
      <c r="NEM38" s="19"/>
      <c r="NEN38" s="19"/>
      <c r="NEO38" s="19"/>
      <c r="NEP38" s="19"/>
      <c r="NEQ38" s="19"/>
      <c r="NER38" s="19"/>
      <c r="NES38" s="19"/>
      <c r="NET38" s="19"/>
      <c r="NEU38" s="19"/>
      <c r="NEV38" s="19"/>
      <c r="NEW38" s="19"/>
      <c r="NEX38" s="19"/>
      <c r="NEY38" s="19"/>
      <c r="NEZ38" s="19"/>
      <c r="NFA38" s="19"/>
      <c r="NFB38" s="19"/>
      <c r="NFC38" s="19"/>
      <c r="NFD38" s="19"/>
      <c r="NFE38" s="19"/>
      <c r="NFF38" s="19"/>
      <c r="NFG38" s="19"/>
      <c r="NFH38" s="19"/>
      <c r="NFI38" s="19"/>
      <c r="NFJ38" s="19"/>
      <c r="NFK38" s="19"/>
      <c r="NFL38" s="19"/>
      <c r="NFM38" s="19"/>
      <c r="NFN38" s="19"/>
      <c r="NFO38" s="19"/>
      <c r="NFP38" s="19"/>
      <c r="NFQ38" s="19"/>
      <c r="NFR38" s="19"/>
      <c r="NFS38" s="19"/>
      <c r="NFT38" s="19"/>
      <c r="NFU38" s="19"/>
      <c r="NFV38" s="19"/>
      <c r="NFW38" s="19"/>
      <c r="NFX38" s="19"/>
      <c r="NFY38" s="19"/>
      <c r="NFZ38" s="19"/>
      <c r="NGA38" s="19"/>
      <c r="NGB38" s="19"/>
      <c r="NGC38" s="19"/>
      <c r="NGD38" s="19"/>
      <c r="NGE38" s="19"/>
      <c r="NGF38" s="19"/>
      <c r="NGG38" s="19"/>
      <c r="NGH38" s="19"/>
      <c r="NGI38" s="19"/>
      <c r="NGJ38" s="19"/>
      <c r="NGK38" s="19"/>
      <c r="NGL38" s="19"/>
      <c r="NGM38" s="19"/>
      <c r="NGN38" s="19"/>
      <c r="NGO38" s="19"/>
      <c r="NGP38" s="19"/>
      <c r="NGQ38" s="19"/>
      <c r="NGR38" s="19"/>
      <c r="NGS38" s="19"/>
      <c r="NGT38" s="19"/>
      <c r="NGU38" s="19"/>
      <c r="NGV38" s="19"/>
      <c r="NGW38" s="19"/>
      <c r="NGX38" s="19"/>
      <c r="NGY38" s="19"/>
      <c r="NGZ38" s="19"/>
      <c r="NHA38" s="19"/>
      <c r="NHB38" s="19"/>
      <c r="NHC38" s="19"/>
      <c r="NHD38" s="19"/>
      <c r="NHE38" s="19"/>
      <c r="NHF38" s="19"/>
      <c r="NHG38" s="19"/>
      <c r="NHH38" s="19"/>
      <c r="NHI38" s="19"/>
      <c r="NHJ38" s="19"/>
      <c r="NHK38" s="19"/>
      <c r="NHL38" s="19"/>
      <c r="NHM38" s="19"/>
      <c r="NHN38" s="19"/>
      <c r="NHO38" s="19"/>
      <c r="NHP38" s="19"/>
      <c r="NHQ38" s="19"/>
      <c r="NHR38" s="19"/>
      <c r="NHS38" s="19"/>
      <c r="NHT38" s="19"/>
      <c r="NHU38" s="19"/>
      <c r="NHV38" s="19"/>
      <c r="NHW38" s="19"/>
      <c r="NHX38" s="19"/>
      <c r="NHY38" s="19"/>
      <c r="NHZ38" s="19"/>
      <c r="NIA38" s="19"/>
      <c r="NIB38" s="19"/>
      <c r="NIC38" s="19"/>
      <c r="NID38" s="19"/>
      <c r="NIE38" s="19"/>
      <c r="NIF38" s="19"/>
      <c r="NIG38" s="19"/>
      <c r="NIH38" s="19"/>
      <c r="NII38" s="19"/>
      <c r="NIJ38" s="19"/>
      <c r="NIK38" s="19"/>
      <c r="NIL38" s="19"/>
      <c r="NIM38" s="19"/>
      <c r="NIN38" s="19"/>
      <c r="NIO38" s="19"/>
      <c r="NIP38" s="19"/>
      <c r="NIQ38" s="19"/>
      <c r="NIR38" s="19"/>
      <c r="NIS38" s="19"/>
      <c r="NIT38" s="19"/>
      <c r="NIU38" s="19"/>
      <c r="NIV38" s="19"/>
      <c r="NIW38" s="19"/>
      <c r="NIX38" s="19"/>
      <c r="NIY38" s="19"/>
      <c r="NIZ38" s="19"/>
      <c r="NJA38" s="19"/>
      <c r="NJB38" s="19"/>
      <c r="NJC38" s="19"/>
      <c r="NJD38" s="19"/>
      <c r="NJE38" s="19"/>
      <c r="NJF38" s="19"/>
      <c r="NJG38" s="19"/>
      <c r="NJH38" s="19"/>
      <c r="NJI38" s="19"/>
      <c r="NJJ38" s="19"/>
      <c r="NJK38" s="19"/>
      <c r="NJL38" s="19"/>
      <c r="NJM38" s="19"/>
      <c r="NJN38" s="19"/>
      <c r="NJO38" s="19"/>
      <c r="NJP38" s="19"/>
      <c r="NJQ38" s="19"/>
      <c r="NJR38" s="19"/>
      <c r="NJS38" s="19"/>
      <c r="NJT38" s="19"/>
      <c r="NJU38" s="19"/>
      <c r="NJV38" s="19"/>
      <c r="NJW38" s="19"/>
      <c r="NJX38" s="19"/>
      <c r="NJY38" s="19"/>
      <c r="NJZ38" s="19"/>
      <c r="NKA38" s="19"/>
      <c r="NKB38" s="19"/>
      <c r="NKC38" s="19"/>
      <c r="NKD38" s="19"/>
      <c r="NKE38" s="19"/>
      <c r="NKF38" s="19"/>
      <c r="NKG38" s="19"/>
      <c r="NKH38" s="19"/>
      <c r="NKI38" s="19"/>
      <c r="NKJ38" s="19"/>
      <c r="NKK38" s="19"/>
      <c r="NKL38" s="19"/>
      <c r="NKM38" s="19"/>
      <c r="NKN38" s="19"/>
      <c r="NKO38" s="19"/>
      <c r="NKP38" s="19"/>
      <c r="NKQ38" s="19"/>
      <c r="NKR38" s="19"/>
      <c r="NKS38" s="19"/>
      <c r="NKT38" s="19"/>
      <c r="NKU38" s="19"/>
      <c r="NKV38" s="19"/>
      <c r="NKW38" s="19"/>
      <c r="NKX38" s="19"/>
      <c r="NKY38" s="19"/>
      <c r="NKZ38" s="19"/>
      <c r="NLA38" s="19"/>
      <c r="NLB38" s="19"/>
      <c r="NLC38" s="19"/>
      <c r="NLD38" s="19"/>
      <c r="NLE38" s="19"/>
      <c r="NLF38" s="19"/>
      <c r="NLG38" s="19"/>
      <c r="NLH38" s="19"/>
      <c r="NLI38" s="19"/>
      <c r="NLJ38" s="19"/>
      <c r="NLK38" s="19"/>
      <c r="NLL38" s="19"/>
      <c r="NLM38" s="19"/>
      <c r="NLN38" s="19"/>
      <c r="NLO38" s="19"/>
      <c r="NLP38" s="19"/>
      <c r="NLQ38" s="19"/>
      <c r="NLR38" s="19"/>
      <c r="NLS38" s="19"/>
      <c r="NLT38" s="19"/>
      <c r="NLU38" s="19"/>
      <c r="NLV38" s="19"/>
      <c r="NLW38" s="19"/>
      <c r="NLX38" s="19"/>
      <c r="NLY38" s="19"/>
      <c r="NLZ38" s="19"/>
      <c r="NMA38" s="19"/>
      <c r="NMB38" s="19"/>
      <c r="NMC38" s="19"/>
      <c r="NMD38" s="19"/>
      <c r="NME38" s="19"/>
      <c r="NMF38" s="19"/>
      <c r="NMG38" s="19"/>
      <c r="NMH38" s="19"/>
      <c r="NMI38" s="19"/>
      <c r="NMJ38" s="19"/>
      <c r="NMK38" s="19"/>
      <c r="NML38" s="19"/>
      <c r="NMM38" s="19"/>
      <c r="NMN38" s="19"/>
      <c r="NMO38" s="19"/>
      <c r="NMP38" s="19"/>
      <c r="NMQ38" s="19"/>
      <c r="NMR38" s="19"/>
      <c r="NMS38" s="19"/>
      <c r="NMT38" s="19"/>
      <c r="NMU38" s="19"/>
      <c r="NMV38" s="19"/>
      <c r="NMW38" s="19"/>
      <c r="NMX38" s="19"/>
      <c r="NMY38" s="19"/>
      <c r="NMZ38" s="19"/>
      <c r="NNA38" s="19"/>
      <c r="NNB38" s="19"/>
      <c r="NNC38" s="19"/>
      <c r="NND38" s="19"/>
      <c r="NNE38" s="19"/>
      <c r="NNF38" s="19"/>
      <c r="NNG38" s="19"/>
      <c r="NNH38" s="19"/>
      <c r="NNI38" s="19"/>
      <c r="NNJ38" s="19"/>
      <c r="NNK38" s="19"/>
      <c r="NNL38" s="19"/>
      <c r="NNM38" s="19"/>
      <c r="NNN38" s="19"/>
      <c r="NNO38" s="19"/>
      <c r="NNP38" s="19"/>
      <c r="NNQ38" s="19"/>
      <c r="NNR38" s="19"/>
      <c r="NNS38" s="19"/>
      <c r="NNT38" s="19"/>
      <c r="NNU38" s="19"/>
      <c r="NNV38" s="19"/>
      <c r="NNW38" s="19"/>
      <c r="NNX38" s="19"/>
      <c r="NNY38" s="19"/>
      <c r="NNZ38" s="19"/>
      <c r="NOA38" s="19"/>
      <c r="NOB38" s="19"/>
      <c r="NOC38" s="19"/>
      <c r="NOD38" s="19"/>
      <c r="NOE38" s="19"/>
      <c r="NOF38" s="19"/>
      <c r="NOG38" s="19"/>
      <c r="NOH38" s="19"/>
      <c r="NOI38" s="19"/>
      <c r="NOJ38" s="19"/>
      <c r="NOK38" s="19"/>
      <c r="NOL38" s="19"/>
      <c r="NOM38" s="19"/>
      <c r="NON38" s="19"/>
      <c r="NOO38" s="19"/>
      <c r="NOP38" s="19"/>
      <c r="NOQ38" s="19"/>
      <c r="NOR38" s="19"/>
      <c r="NOS38" s="19"/>
      <c r="NOT38" s="19"/>
      <c r="NOU38" s="19"/>
      <c r="NOV38" s="19"/>
      <c r="NOW38" s="19"/>
      <c r="NOX38" s="19"/>
      <c r="NOY38" s="19"/>
      <c r="NOZ38" s="19"/>
      <c r="NPA38" s="19"/>
      <c r="NPB38" s="19"/>
      <c r="NPC38" s="19"/>
      <c r="NPD38" s="19"/>
      <c r="NPE38" s="19"/>
      <c r="NPF38" s="19"/>
      <c r="NPG38" s="19"/>
      <c r="NPH38" s="19"/>
      <c r="NPI38" s="19"/>
      <c r="NPJ38" s="19"/>
      <c r="NPK38" s="19"/>
      <c r="NPL38" s="19"/>
      <c r="NPM38" s="19"/>
      <c r="NPN38" s="19"/>
      <c r="NPO38" s="19"/>
      <c r="NPP38" s="19"/>
      <c r="NPQ38" s="19"/>
      <c r="NPR38" s="19"/>
      <c r="NPS38" s="19"/>
      <c r="NPT38" s="19"/>
      <c r="NPU38" s="19"/>
      <c r="NPV38" s="19"/>
      <c r="NPW38" s="19"/>
      <c r="NPX38" s="19"/>
      <c r="NPY38" s="19"/>
      <c r="NPZ38" s="19"/>
      <c r="NQA38" s="19"/>
      <c r="NQB38" s="19"/>
      <c r="NQC38" s="19"/>
      <c r="NQD38" s="19"/>
      <c r="NQE38" s="19"/>
      <c r="NQF38" s="19"/>
      <c r="NQG38" s="19"/>
      <c r="NQH38" s="19"/>
      <c r="NQI38" s="19"/>
      <c r="NQJ38" s="19"/>
      <c r="NQK38" s="19"/>
      <c r="NQL38" s="19"/>
      <c r="NQM38" s="19"/>
      <c r="NQN38" s="19"/>
      <c r="NQO38" s="19"/>
      <c r="NQP38" s="19"/>
      <c r="NQQ38" s="19"/>
      <c r="NQR38" s="19"/>
      <c r="NQS38" s="19"/>
      <c r="NQT38" s="19"/>
      <c r="NQU38" s="19"/>
      <c r="NQV38" s="19"/>
      <c r="NQW38" s="19"/>
      <c r="NQX38" s="19"/>
      <c r="NQY38" s="19"/>
      <c r="NQZ38" s="19"/>
      <c r="NRA38" s="19"/>
      <c r="NRB38" s="19"/>
      <c r="NRC38" s="19"/>
      <c r="NRD38" s="19"/>
      <c r="NRE38" s="19"/>
      <c r="NRF38" s="19"/>
      <c r="NRG38" s="19"/>
      <c r="NRH38" s="19"/>
      <c r="NRI38" s="19"/>
      <c r="NRJ38" s="19"/>
      <c r="NRK38" s="19"/>
      <c r="NRL38" s="19"/>
      <c r="NRM38" s="19"/>
      <c r="NRN38" s="19"/>
      <c r="NRO38" s="19"/>
      <c r="NRP38" s="19"/>
      <c r="NRQ38" s="19"/>
      <c r="NRR38" s="19"/>
      <c r="NRS38" s="19"/>
      <c r="NRT38" s="19"/>
      <c r="NRU38" s="19"/>
      <c r="NRV38" s="19"/>
      <c r="NRW38" s="19"/>
      <c r="NRX38" s="19"/>
      <c r="NRY38" s="19"/>
      <c r="NRZ38" s="19"/>
      <c r="NSA38" s="19"/>
      <c r="NSB38" s="19"/>
      <c r="NSC38" s="19"/>
      <c r="NSD38" s="19"/>
      <c r="NSE38" s="19"/>
      <c r="NSF38" s="19"/>
      <c r="NSG38" s="19"/>
      <c r="NSH38" s="19"/>
      <c r="NSI38" s="19"/>
      <c r="NSJ38" s="19"/>
      <c r="NSK38" s="19"/>
      <c r="NSL38" s="19"/>
      <c r="NSM38" s="19"/>
      <c r="NSN38" s="19"/>
      <c r="NSO38" s="19"/>
      <c r="NSP38" s="19"/>
      <c r="NSQ38" s="19"/>
      <c r="NSR38" s="19"/>
      <c r="NSS38" s="19"/>
      <c r="NST38" s="19"/>
      <c r="NSU38" s="19"/>
      <c r="NSV38" s="19"/>
      <c r="NSW38" s="19"/>
      <c r="NSX38" s="19"/>
      <c r="NSY38" s="19"/>
      <c r="NSZ38" s="19"/>
      <c r="NTA38" s="19"/>
      <c r="NTB38" s="19"/>
      <c r="NTC38" s="19"/>
      <c r="NTD38" s="19"/>
      <c r="NTE38" s="19"/>
      <c r="NTF38" s="19"/>
      <c r="NTG38" s="19"/>
      <c r="NTH38" s="19"/>
      <c r="NTI38" s="19"/>
      <c r="NTJ38" s="19"/>
      <c r="NTK38" s="19"/>
      <c r="NTL38" s="19"/>
      <c r="NTM38" s="19"/>
      <c r="NTN38" s="19"/>
      <c r="NTO38" s="19"/>
      <c r="NTP38" s="19"/>
      <c r="NTQ38" s="19"/>
      <c r="NTR38" s="19"/>
      <c r="NTS38" s="19"/>
      <c r="NTT38" s="19"/>
      <c r="NTU38" s="19"/>
      <c r="NTV38" s="19"/>
      <c r="NTW38" s="19"/>
      <c r="NTX38" s="19"/>
      <c r="NTY38" s="19"/>
      <c r="NTZ38" s="19"/>
      <c r="NUA38" s="19"/>
      <c r="NUB38" s="19"/>
      <c r="NUC38" s="19"/>
      <c r="NUD38" s="19"/>
      <c r="NUE38" s="19"/>
      <c r="NUF38" s="19"/>
      <c r="NUG38" s="19"/>
      <c r="NUH38" s="19"/>
      <c r="NUI38" s="19"/>
      <c r="NUJ38" s="19"/>
      <c r="NUK38" s="19"/>
      <c r="NUL38" s="19"/>
      <c r="NUM38" s="19"/>
      <c r="NUN38" s="19"/>
      <c r="NUO38" s="19"/>
      <c r="NUP38" s="19"/>
      <c r="NUQ38" s="19"/>
      <c r="NUR38" s="19"/>
      <c r="NUS38" s="19"/>
      <c r="NUT38" s="19"/>
      <c r="NUU38" s="19"/>
      <c r="NUV38" s="19"/>
      <c r="NUW38" s="19"/>
      <c r="NUX38" s="19"/>
      <c r="NUY38" s="19"/>
      <c r="NUZ38" s="19"/>
      <c r="NVA38" s="19"/>
      <c r="NVB38" s="19"/>
      <c r="NVC38" s="19"/>
      <c r="NVD38" s="19"/>
      <c r="NVE38" s="19"/>
      <c r="NVF38" s="19"/>
      <c r="NVG38" s="19"/>
      <c r="NVH38" s="19"/>
      <c r="NVI38" s="19"/>
      <c r="NVJ38" s="19"/>
      <c r="NVK38" s="19"/>
      <c r="NVL38" s="19"/>
      <c r="NVM38" s="19"/>
      <c r="NVN38" s="19"/>
      <c r="NVO38" s="19"/>
      <c r="NVP38" s="19"/>
      <c r="NVQ38" s="19"/>
      <c r="NVR38" s="19"/>
      <c r="NVS38" s="19"/>
      <c r="NVT38" s="19"/>
      <c r="NVU38" s="19"/>
      <c r="NVV38" s="19"/>
      <c r="NVW38" s="19"/>
      <c r="NVX38" s="19"/>
      <c r="NVY38" s="19"/>
      <c r="NVZ38" s="19"/>
      <c r="NWA38" s="19"/>
      <c r="NWB38" s="19"/>
      <c r="NWC38" s="19"/>
      <c r="NWD38" s="19"/>
      <c r="NWE38" s="19"/>
      <c r="NWF38" s="19"/>
      <c r="NWG38" s="19"/>
      <c r="NWH38" s="19"/>
      <c r="NWI38" s="19"/>
      <c r="NWJ38" s="19"/>
      <c r="NWK38" s="19"/>
      <c r="NWL38" s="19"/>
      <c r="NWM38" s="19"/>
      <c r="NWN38" s="19"/>
      <c r="NWO38" s="19"/>
      <c r="NWP38" s="19"/>
      <c r="NWQ38" s="19"/>
      <c r="NWR38" s="19"/>
      <c r="NWS38" s="19"/>
      <c r="NWT38" s="19"/>
      <c r="NWU38" s="19"/>
      <c r="NWV38" s="19"/>
      <c r="NWW38" s="19"/>
      <c r="NWX38" s="19"/>
      <c r="NWY38" s="19"/>
      <c r="NWZ38" s="19"/>
      <c r="NXA38" s="19"/>
      <c r="NXB38" s="19"/>
      <c r="NXC38" s="19"/>
      <c r="NXD38" s="19"/>
      <c r="NXE38" s="19"/>
      <c r="NXF38" s="19"/>
      <c r="NXG38" s="19"/>
      <c r="NXH38" s="19"/>
      <c r="NXI38" s="19"/>
      <c r="NXJ38" s="19"/>
      <c r="NXK38" s="19"/>
      <c r="NXL38" s="19"/>
      <c r="NXM38" s="19"/>
      <c r="NXN38" s="19"/>
      <c r="NXO38" s="19"/>
      <c r="NXP38" s="19"/>
      <c r="NXQ38" s="19"/>
      <c r="NXR38" s="19"/>
      <c r="NXS38" s="19"/>
      <c r="NXT38" s="19"/>
      <c r="NXU38" s="19"/>
      <c r="NXV38" s="19"/>
      <c r="NXW38" s="19"/>
      <c r="NXX38" s="19"/>
      <c r="NXY38" s="19"/>
      <c r="NXZ38" s="19"/>
      <c r="NYA38" s="19"/>
      <c r="NYB38" s="19"/>
      <c r="NYC38" s="19"/>
      <c r="NYD38" s="19"/>
      <c r="NYE38" s="19"/>
      <c r="NYF38" s="19"/>
      <c r="NYG38" s="19"/>
      <c r="NYH38" s="19"/>
      <c r="NYI38" s="19"/>
      <c r="NYJ38" s="19"/>
      <c r="NYK38" s="19"/>
      <c r="NYL38" s="19"/>
      <c r="NYM38" s="19"/>
      <c r="NYN38" s="19"/>
      <c r="NYO38" s="19"/>
      <c r="NYP38" s="19"/>
      <c r="NYQ38" s="19"/>
      <c r="NYR38" s="19"/>
      <c r="NYS38" s="19"/>
      <c r="NYT38" s="19"/>
      <c r="NYU38" s="19"/>
      <c r="NYV38" s="19"/>
      <c r="NYW38" s="19"/>
      <c r="NYX38" s="19"/>
      <c r="NYY38" s="19"/>
      <c r="NYZ38" s="19"/>
      <c r="NZA38" s="19"/>
      <c r="NZB38" s="19"/>
      <c r="NZC38" s="19"/>
      <c r="NZD38" s="19"/>
      <c r="NZE38" s="19"/>
      <c r="NZF38" s="19"/>
      <c r="NZG38" s="19"/>
      <c r="NZH38" s="19"/>
      <c r="NZI38" s="19"/>
      <c r="NZJ38" s="19"/>
      <c r="NZK38" s="19"/>
      <c r="NZL38" s="19"/>
      <c r="NZM38" s="19"/>
      <c r="NZN38" s="19"/>
      <c r="NZO38" s="19"/>
      <c r="NZP38" s="19"/>
      <c r="NZQ38" s="19"/>
      <c r="NZR38" s="19"/>
      <c r="NZS38" s="19"/>
      <c r="NZT38" s="19"/>
      <c r="NZU38" s="19"/>
      <c r="NZV38" s="19"/>
      <c r="NZW38" s="19"/>
      <c r="NZX38" s="19"/>
      <c r="NZY38" s="19"/>
      <c r="NZZ38" s="19"/>
      <c r="OAA38" s="19"/>
      <c r="OAB38" s="19"/>
      <c r="OAC38" s="19"/>
      <c r="OAD38" s="19"/>
      <c r="OAE38" s="19"/>
      <c r="OAF38" s="19"/>
      <c r="OAG38" s="19"/>
      <c r="OAH38" s="19"/>
      <c r="OAI38" s="19"/>
      <c r="OAJ38" s="19"/>
      <c r="OAK38" s="19"/>
      <c r="OAL38" s="19"/>
      <c r="OAM38" s="19"/>
      <c r="OAN38" s="19"/>
      <c r="OAO38" s="19"/>
      <c r="OAP38" s="19"/>
      <c r="OAQ38" s="19"/>
      <c r="OAR38" s="19"/>
      <c r="OAS38" s="19"/>
      <c r="OAT38" s="19"/>
      <c r="OAU38" s="19"/>
      <c r="OAV38" s="19"/>
      <c r="OAW38" s="19"/>
      <c r="OAX38" s="19"/>
      <c r="OAY38" s="19"/>
      <c r="OAZ38" s="19"/>
      <c r="OBA38" s="19"/>
      <c r="OBB38" s="19"/>
      <c r="OBC38" s="19"/>
      <c r="OBD38" s="19"/>
      <c r="OBE38" s="19"/>
      <c r="OBF38" s="19"/>
      <c r="OBG38" s="19"/>
      <c r="OBH38" s="19"/>
      <c r="OBI38" s="19"/>
      <c r="OBJ38" s="19"/>
      <c r="OBK38" s="19"/>
      <c r="OBL38" s="19"/>
      <c r="OBM38" s="19"/>
      <c r="OBN38" s="19"/>
      <c r="OBO38" s="19"/>
      <c r="OBP38" s="19"/>
      <c r="OBQ38" s="19"/>
      <c r="OBR38" s="19"/>
      <c r="OBS38" s="19"/>
      <c r="OBT38" s="19"/>
      <c r="OBU38" s="19"/>
      <c r="OBV38" s="19"/>
      <c r="OBW38" s="19"/>
      <c r="OBX38" s="19"/>
      <c r="OBY38" s="19"/>
      <c r="OBZ38" s="19"/>
      <c r="OCA38" s="19"/>
      <c r="OCB38" s="19"/>
      <c r="OCC38" s="19"/>
      <c r="OCD38" s="19"/>
      <c r="OCE38" s="19"/>
      <c r="OCF38" s="19"/>
      <c r="OCG38" s="19"/>
      <c r="OCH38" s="19"/>
      <c r="OCI38" s="19"/>
      <c r="OCJ38" s="19"/>
      <c r="OCK38" s="19"/>
      <c r="OCL38" s="19"/>
      <c r="OCM38" s="19"/>
      <c r="OCN38" s="19"/>
      <c r="OCO38" s="19"/>
      <c r="OCP38" s="19"/>
      <c r="OCQ38" s="19"/>
      <c r="OCR38" s="19"/>
      <c r="OCS38" s="19"/>
      <c r="OCT38" s="19"/>
      <c r="OCU38" s="19"/>
      <c r="OCV38" s="19"/>
      <c r="OCW38" s="19"/>
      <c r="OCX38" s="19"/>
      <c r="OCY38" s="19"/>
      <c r="OCZ38" s="19"/>
      <c r="ODA38" s="19"/>
      <c r="ODB38" s="19"/>
      <c r="ODC38" s="19"/>
      <c r="ODD38" s="19"/>
      <c r="ODE38" s="19"/>
      <c r="ODF38" s="19"/>
      <c r="ODG38" s="19"/>
      <c r="ODH38" s="19"/>
      <c r="ODI38" s="19"/>
      <c r="ODJ38" s="19"/>
      <c r="ODK38" s="19"/>
      <c r="ODL38" s="19"/>
      <c r="ODM38" s="19"/>
      <c r="ODN38" s="19"/>
      <c r="ODO38" s="19"/>
      <c r="ODP38" s="19"/>
      <c r="ODQ38" s="19"/>
      <c r="ODR38" s="19"/>
      <c r="ODS38" s="19"/>
      <c r="ODT38" s="19"/>
      <c r="ODU38" s="19"/>
      <c r="ODV38" s="19"/>
      <c r="ODW38" s="19"/>
      <c r="ODX38" s="19"/>
      <c r="ODY38" s="19"/>
      <c r="ODZ38" s="19"/>
      <c r="OEA38" s="19"/>
      <c r="OEB38" s="19"/>
      <c r="OEC38" s="19"/>
      <c r="OED38" s="19"/>
      <c r="OEE38" s="19"/>
      <c r="OEF38" s="19"/>
      <c r="OEG38" s="19"/>
      <c r="OEH38" s="19"/>
      <c r="OEI38" s="19"/>
      <c r="OEJ38" s="19"/>
      <c r="OEK38" s="19"/>
      <c r="OEL38" s="19"/>
      <c r="OEM38" s="19"/>
      <c r="OEN38" s="19"/>
      <c r="OEO38" s="19"/>
      <c r="OEP38" s="19"/>
      <c r="OEQ38" s="19"/>
      <c r="OER38" s="19"/>
      <c r="OES38" s="19"/>
      <c r="OET38" s="19"/>
      <c r="OEU38" s="19"/>
      <c r="OEV38" s="19"/>
      <c r="OEW38" s="19"/>
      <c r="OEX38" s="19"/>
      <c r="OEY38" s="19"/>
      <c r="OEZ38" s="19"/>
      <c r="OFA38" s="19"/>
      <c r="OFB38" s="19"/>
      <c r="OFC38" s="19"/>
      <c r="OFD38" s="19"/>
      <c r="OFE38" s="19"/>
      <c r="OFF38" s="19"/>
      <c r="OFG38" s="19"/>
      <c r="OFH38" s="19"/>
      <c r="OFI38" s="19"/>
      <c r="OFJ38" s="19"/>
      <c r="OFK38" s="19"/>
      <c r="OFL38" s="19"/>
      <c r="OFM38" s="19"/>
      <c r="OFN38" s="19"/>
      <c r="OFO38" s="19"/>
      <c r="OFP38" s="19"/>
      <c r="OFQ38" s="19"/>
      <c r="OFR38" s="19"/>
      <c r="OFS38" s="19"/>
      <c r="OFT38" s="19"/>
      <c r="OFU38" s="19"/>
      <c r="OFV38" s="19"/>
      <c r="OFW38" s="19"/>
      <c r="OFX38" s="19"/>
      <c r="OFY38" s="19"/>
      <c r="OFZ38" s="19"/>
      <c r="OGA38" s="19"/>
      <c r="OGB38" s="19"/>
      <c r="OGC38" s="19"/>
      <c r="OGD38" s="19"/>
      <c r="OGE38" s="19"/>
      <c r="OGF38" s="19"/>
      <c r="OGG38" s="19"/>
      <c r="OGH38" s="19"/>
      <c r="OGI38" s="19"/>
      <c r="OGJ38" s="19"/>
      <c r="OGK38" s="19"/>
      <c r="OGL38" s="19"/>
      <c r="OGM38" s="19"/>
      <c r="OGN38" s="19"/>
      <c r="OGO38" s="19"/>
      <c r="OGP38" s="19"/>
      <c r="OGQ38" s="19"/>
      <c r="OGR38" s="19"/>
      <c r="OGS38" s="19"/>
      <c r="OGT38" s="19"/>
      <c r="OGU38" s="19"/>
      <c r="OGV38" s="19"/>
      <c r="OGW38" s="19"/>
      <c r="OGX38" s="19"/>
      <c r="OGY38" s="19"/>
      <c r="OGZ38" s="19"/>
      <c r="OHA38" s="19"/>
      <c r="OHB38" s="19"/>
      <c r="OHC38" s="19"/>
      <c r="OHD38" s="19"/>
      <c r="OHE38" s="19"/>
      <c r="OHF38" s="19"/>
      <c r="OHG38" s="19"/>
      <c r="OHH38" s="19"/>
      <c r="OHI38" s="19"/>
      <c r="OHJ38" s="19"/>
      <c r="OHK38" s="19"/>
      <c r="OHL38" s="19"/>
      <c r="OHM38" s="19"/>
      <c r="OHN38" s="19"/>
      <c r="OHO38" s="19"/>
      <c r="OHP38" s="19"/>
      <c r="OHQ38" s="19"/>
      <c r="OHR38" s="19"/>
      <c r="OHS38" s="19"/>
      <c r="OHT38" s="19"/>
      <c r="OHU38" s="19"/>
      <c r="OHV38" s="19"/>
      <c r="OHW38" s="19"/>
      <c r="OHX38" s="19"/>
      <c r="OHY38" s="19"/>
      <c r="OHZ38" s="19"/>
      <c r="OIA38" s="19"/>
      <c r="OIB38" s="19"/>
      <c r="OIC38" s="19"/>
      <c r="OID38" s="19"/>
      <c r="OIE38" s="19"/>
      <c r="OIF38" s="19"/>
      <c r="OIG38" s="19"/>
      <c r="OIH38" s="19"/>
      <c r="OII38" s="19"/>
      <c r="OIJ38" s="19"/>
      <c r="OIK38" s="19"/>
      <c r="OIL38" s="19"/>
      <c r="OIM38" s="19"/>
      <c r="OIN38" s="19"/>
      <c r="OIO38" s="19"/>
      <c r="OIP38" s="19"/>
      <c r="OIQ38" s="19"/>
      <c r="OIR38" s="19"/>
      <c r="OIS38" s="19"/>
      <c r="OIT38" s="19"/>
      <c r="OIU38" s="19"/>
      <c r="OIV38" s="19"/>
      <c r="OIW38" s="19"/>
      <c r="OIX38" s="19"/>
      <c r="OIY38" s="19"/>
      <c r="OIZ38" s="19"/>
      <c r="OJA38" s="19"/>
      <c r="OJB38" s="19"/>
      <c r="OJC38" s="19"/>
      <c r="OJD38" s="19"/>
      <c r="OJE38" s="19"/>
      <c r="OJF38" s="19"/>
      <c r="OJG38" s="19"/>
      <c r="OJH38" s="19"/>
      <c r="OJI38" s="19"/>
      <c r="OJJ38" s="19"/>
      <c r="OJK38" s="19"/>
      <c r="OJL38" s="19"/>
      <c r="OJM38" s="19"/>
      <c r="OJN38" s="19"/>
      <c r="OJO38" s="19"/>
      <c r="OJP38" s="19"/>
      <c r="OJQ38" s="19"/>
      <c r="OJR38" s="19"/>
      <c r="OJS38" s="19"/>
      <c r="OJT38" s="19"/>
      <c r="OJU38" s="19"/>
      <c r="OJV38" s="19"/>
      <c r="OJW38" s="19"/>
      <c r="OJX38" s="19"/>
      <c r="OJY38" s="19"/>
      <c r="OJZ38" s="19"/>
      <c r="OKA38" s="19"/>
      <c r="OKB38" s="19"/>
      <c r="OKC38" s="19"/>
      <c r="OKD38" s="19"/>
      <c r="OKE38" s="19"/>
      <c r="OKF38" s="19"/>
      <c r="OKG38" s="19"/>
      <c r="OKH38" s="19"/>
      <c r="OKI38" s="19"/>
      <c r="OKJ38" s="19"/>
      <c r="OKK38" s="19"/>
      <c r="OKL38" s="19"/>
      <c r="OKM38" s="19"/>
      <c r="OKN38" s="19"/>
      <c r="OKO38" s="19"/>
      <c r="OKP38" s="19"/>
      <c r="OKQ38" s="19"/>
      <c r="OKR38" s="19"/>
      <c r="OKS38" s="19"/>
      <c r="OKT38" s="19"/>
      <c r="OKU38" s="19"/>
      <c r="OKV38" s="19"/>
      <c r="OKW38" s="19"/>
      <c r="OKX38" s="19"/>
      <c r="OKY38" s="19"/>
      <c r="OKZ38" s="19"/>
      <c r="OLA38" s="19"/>
      <c r="OLB38" s="19"/>
      <c r="OLC38" s="19"/>
      <c r="OLD38" s="19"/>
      <c r="OLE38" s="19"/>
      <c r="OLF38" s="19"/>
      <c r="OLG38" s="19"/>
      <c r="OLH38" s="19"/>
      <c r="OLI38" s="19"/>
      <c r="OLJ38" s="19"/>
      <c r="OLK38" s="19"/>
      <c r="OLL38" s="19"/>
      <c r="OLM38" s="19"/>
      <c r="OLN38" s="19"/>
      <c r="OLO38" s="19"/>
      <c r="OLP38" s="19"/>
      <c r="OLQ38" s="19"/>
      <c r="OLR38" s="19"/>
      <c r="OLS38" s="19"/>
      <c r="OLT38" s="19"/>
      <c r="OLU38" s="19"/>
      <c r="OLV38" s="19"/>
      <c r="OLW38" s="19"/>
      <c r="OLX38" s="19"/>
      <c r="OLY38" s="19"/>
      <c r="OLZ38" s="19"/>
      <c r="OMA38" s="19"/>
      <c r="OMB38" s="19"/>
      <c r="OMC38" s="19"/>
      <c r="OMD38" s="19"/>
      <c r="OME38" s="19"/>
      <c r="OMF38" s="19"/>
      <c r="OMG38" s="19"/>
      <c r="OMH38" s="19"/>
      <c r="OMI38" s="19"/>
      <c r="OMJ38" s="19"/>
      <c r="OMK38" s="19"/>
      <c r="OML38" s="19"/>
      <c r="OMM38" s="19"/>
      <c r="OMN38" s="19"/>
      <c r="OMO38" s="19"/>
      <c r="OMP38" s="19"/>
      <c r="OMQ38" s="19"/>
      <c r="OMR38" s="19"/>
      <c r="OMS38" s="19"/>
      <c r="OMT38" s="19"/>
      <c r="OMU38" s="19"/>
      <c r="OMV38" s="19"/>
      <c r="OMW38" s="19"/>
      <c r="OMX38" s="19"/>
      <c r="OMY38" s="19"/>
      <c r="OMZ38" s="19"/>
      <c r="ONA38" s="19"/>
      <c r="ONB38" s="19"/>
      <c r="ONC38" s="19"/>
      <c r="OND38" s="19"/>
      <c r="ONE38" s="19"/>
      <c r="ONF38" s="19"/>
      <c r="ONG38" s="19"/>
      <c r="ONH38" s="19"/>
      <c r="ONI38" s="19"/>
      <c r="ONJ38" s="19"/>
      <c r="ONK38" s="19"/>
      <c r="ONL38" s="19"/>
      <c r="ONM38" s="19"/>
      <c r="ONN38" s="19"/>
      <c r="ONO38" s="19"/>
      <c r="ONP38" s="19"/>
      <c r="ONQ38" s="19"/>
      <c r="ONR38" s="19"/>
      <c r="ONS38" s="19"/>
      <c r="ONT38" s="19"/>
      <c r="ONU38" s="19"/>
      <c r="ONV38" s="19"/>
      <c r="ONW38" s="19"/>
      <c r="ONX38" s="19"/>
      <c r="ONY38" s="19"/>
      <c r="ONZ38" s="19"/>
      <c r="OOA38" s="19"/>
      <c r="OOB38" s="19"/>
      <c r="OOC38" s="19"/>
      <c r="OOD38" s="19"/>
      <c r="OOE38" s="19"/>
      <c r="OOF38" s="19"/>
      <c r="OOG38" s="19"/>
      <c r="OOH38" s="19"/>
      <c r="OOI38" s="19"/>
      <c r="OOJ38" s="19"/>
      <c r="OOK38" s="19"/>
      <c r="OOL38" s="19"/>
      <c r="OOM38" s="19"/>
      <c r="OON38" s="19"/>
      <c r="OOO38" s="19"/>
      <c r="OOP38" s="19"/>
      <c r="OOQ38" s="19"/>
      <c r="OOR38" s="19"/>
      <c r="OOS38" s="19"/>
      <c r="OOT38" s="19"/>
      <c r="OOU38" s="19"/>
      <c r="OOV38" s="19"/>
      <c r="OOW38" s="19"/>
      <c r="OOX38" s="19"/>
      <c r="OOY38" s="19"/>
      <c r="OOZ38" s="19"/>
      <c r="OPA38" s="19"/>
      <c r="OPB38" s="19"/>
      <c r="OPC38" s="19"/>
      <c r="OPD38" s="19"/>
      <c r="OPE38" s="19"/>
      <c r="OPF38" s="19"/>
      <c r="OPG38" s="19"/>
      <c r="OPH38" s="19"/>
      <c r="OPI38" s="19"/>
      <c r="OPJ38" s="19"/>
      <c r="OPK38" s="19"/>
      <c r="OPL38" s="19"/>
      <c r="OPM38" s="19"/>
      <c r="OPN38" s="19"/>
      <c r="OPO38" s="19"/>
      <c r="OPP38" s="19"/>
      <c r="OPQ38" s="19"/>
      <c r="OPR38" s="19"/>
      <c r="OPS38" s="19"/>
      <c r="OPT38" s="19"/>
      <c r="OPU38" s="19"/>
      <c r="OPV38" s="19"/>
      <c r="OPW38" s="19"/>
      <c r="OPX38" s="19"/>
      <c r="OPY38" s="19"/>
      <c r="OPZ38" s="19"/>
      <c r="OQA38" s="19"/>
      <c r="OQB38" s="19"/>
      <c r="OQC38" s="19"/>
      <c r="OQD38" s="19"/>
      <c r="OQE38" s="19"/>
      <c r="OQF38" s="19"/>
      <c r="OQG38" s="19"/>
      <c r="OQH38" s="19"/>
      <c r="OQI38" s="19"/>
      <c r="OQJ38" s="19"/>
      <c r="OQK38" s="19"/>
      <c r="OQL38" s="19"/>
      <c r="OQM38" s="19"/>
      <c r="OQN38" s="19"/>
      <c r="OQO38" s="19"/>
      <c r="OQP38" s="19"/>
      <c r="OQQ38" s="19"/>
      <c r="OQR38" s="19"/>
      <c r="OQS38" s="19"/>
      <c r="OQT38" s="19"/>
      <c r="OQU38" s="19"/>
      <c r="OQV38" s="19"/>
      <c r="OQW38" s="19"/>
      <c r="OQX38" s="19"/>
      <c r="OQY38" s="19"/>
      <c r="OQZ38" s="19"/>
      <c r="ORA38" s="19"/>
      <c r="ORB38" s="19"/>
      <c r="ORC38" s="19"/>
      <c r="ORD38" s="19"/>
      <c r="ORE38" s="19"/>
      <c r="ORF38" s="19"/>
      <c r="ORG38" s="19"/>
      <c r="ORH38" s="19"/>
      <c r="ORI38" s="19"/>
      <c r="ORJ38" s="19"/>
      <c r="ORK38" s="19"/>
      <c r="ORL38" s="19"/>
      <c r="ORM38" s="19"/>
      <c r="ORN38" s="19"/>
      <c r="ORO38" s="19"/>
      <c r="ORP38" s="19"/>
      <c r="ORQ38" s="19"/>
      <c r="ORR38" s="19"/>
      <c r="ORS38" s="19"/>
      <c r="ORT38" s="19"/>
      <c r="ORU38" s="19"/>
      <c r="ORV38" s="19"/>
      <c r="ORW38" s="19"/>
      <c r="ORX38" s="19"/>
      <c r="ORY38" s="19"/>
      <c r="ORZ38" s="19"/>
      <c r="OSA38" s="19"/>
      <c r="OSB38" s="19"/>
      <c r="OSC38" s="19"/>
      <c r="OSD38" s="19"/>
      <c r="OSE38" s="19"/>
      <c r="OSF38" s="19"/>
      <c r="OSG38" s="19"/>
      <c r="OSH38" s="19"/>
      <c r="OSI38" s="19"/>
      <c r="OSJ38" s="19"/>
      <c r="OSK38" s="19"/>
      <c r="OSL38" s="19"/>
      <c r="OSM38" s="19"/>
      <c r="OSN38" s="19"/>
      <c r="OSO38" s="19"/>
      <c r="OSP38" s="19"/>
      <c r="OSQ38" s="19"/>
      <c r="OSR38" s="19"/>
      <c r="OSS38" s="19"/>
      <c r="OST38" s="19"/>
      <c r="OSU38" s="19"/>
      <c r="OSV38" s="19"/>
      <c r="OSW38" s="19"/>
      <c r="OSX38" s="19"/>
      <c r="OSY38" s="19"/>
      <c r="OSZ38" s="19"/>
      <c r="OTA38" s="19"/>
      <c r="OTB38" s="19"/>
      <c r="OTC38" s="19"/>
      <c r="OTD38" s="19"/>
      <c r="OTE38" s="19"/>
      <c r="OTF38" s="19"/>
      <c r="OTG38" s="19"/>
      <c r="OTH38" s="19"/>
      <c r="OTI38" s="19"/>
      <c r="OTJ38" s="19"/>
      <c r="OTK38" s="19"/>
      <c r="OTL38" s="19"/>
      <c r="OTM38" s="19"/>
      <c r="OTN38" s="19"/>
      <c r="OTO38" s="19"/>
      <c r="OTP38" s="19"/>
      <c r="OTQ38" s="19"/>
      <c r="OTR38" s="19"/>
      <c r="OTS38" s="19"/>
      <c r="OTT38" s="19"/>
      <c r="OTU38" s="19"/>
      <c r="OTV38" s="19"/>
      <c r="OTW38" s="19"/>
      <c r="OTX38" s="19"/>
      <c r="OTY38" s="19"/>
      <c r="OTZ38" s="19"/>
      <c r="OUA38" s="19"/>
      <c r="OUB38" s="19"/>
      <c r="OUC38" s="19"/>
      <c r="OUD38" s="19"/>
      <c r="OUE38" s="19"/>
      <c r="OUF38" s="19"/>
      <c r="OUG38" s="19"/>
      <c r="OUH38" s="19"/>
      <c r="OUI38" s="19"/>
      <c r="OUJ38" s="19"/>
      <c r="OUK38" s="19"/>
      <c r="OUL38" s="19"/>
      <c r="OUM38" s="19"/>
      <c r="OUN38" s="19"/>
      <c r="OUO38" s="19"/>
      <c r="OUP38" s="19"/>
      <c r="OUQ38" s="19"/>
      <c r="OUR38" s="19"/>
      <c r="OUS38" s="19"/>
      <c r="OUT38" s="19"/>
      <c r="OUU38" s="19"/>
      <c r="OUV38" s="19"/>
      <c r="OUW38" s="19"/>
      <c r="OUX38" s="19"/>
      <c r="OUY38" s="19"/>
      <c r="OUZ38" s="19"/>
      <c r="OVA38" s="19"/>
      <c r="OVB38" s="19"/>
      <c r="OVC38" s="19"/>
      <c r="OVD38" s="19"/>
      <c r="OVE38" s="19"/>
      <c r="OVF38" s="19"/>
      <c r="OVG38" s="19"/>
      <c r="OVH38" s="19"/>
      <c r="OVI38" s="19"/>
      <c r="OVJ38" s="19"/>
      <c r="OVK38" s="19"/>
      <c r="OVL38" s="19"/>
      <c r="OVM38" s="19"/>
      <c r="OVN38" s="19"/>
      <c r="OVO38" s="19"/>
      <c r="OVP38" s="19"/>
      <c r="OVQ38" s="19"/>
      <c r="OVR38" s="19"/>
      <c r="OVS38" s="19"/>
      <c r="OVT38" s="19"/>
      <c r="OVU38" s="19"/>
      <c r="OVV38" s="19"/>
      <c r="OVW38" s="19"/>
      <c r="OVX38" s="19"/>
      <c r="OVY38" s="19"/>
      <c r="OVZ38" s="19"/>
      <c r="OWA38" s="19"/>
      <c r="OWB38" s="19"/>
      <c r="OWC38" s="19"/>
      <c r="OWD38" s="19"/>
      <c r="OWE38" s="19"/>
      <c r="OWF38" s="19"/>
      <c r="OWG38" s="19"/>
      <c r="OWH38" s="19"/>
      <c r="OWI38" s="19"/>
      <c r="OWJ38" s="19"/>
      <c r="OWK38" s="19"/>
      <c r="OWL38" s="19"/>
      <c r="OWM38" s="19"/>
      <c r="OWN38" s="19"/>
      <c r="OWO38" s="19"/>
      <c r="OWP38" s="19"/>
      <c r="OWQ38" s="19"/>
      <c r="OWR38" s="19"/>
      <c r="OWS38" s="19"/>
      <c r="OWT38" s="19"/>
      <c r="OWU38" s="19"/>
      <c r="OWV38" s="19"/>
      <c r="OWW38" s="19"/>
      <c r="OWX38" s="19"/>
      <c r="OWY38" s="19"/>
      <c r="OWZ38" s="19"/>
      <c r="OXA38" s="19"/>
      <c r="OXB38" s="19"/>
      <c r="OXC38" s="19"/>
      <c r="OXD38" s="19"/>
      <c r="OXE38" s="19"/>
      <c r="OXF38" s="19"/>
      <c r="OXG38" s="19"/>
      <c r="OXH38" s="19"/>
      <c r="OXI38" s="19"/>
      <c r="OXJ38" s="19"/>
      <c r="OXK38" s="19"/>
      <c r="OXL38" s="19"/>
      <c r="OXM38" s="19"/>
      <c r="OXN38" s="19"/>
      <c r="OXO38" s="19"/>
      <c r="OXP38" s="19"/>
      <c r="OXQ38" s="19"/>
      <c r="OXR38" s="19"/>
      <c r="OXS38" s="19"/>
      <c r="OXT38" s="19"/>
      <c r="OXU38" s="19"/>
      <c r="OXV38" s="19"/>
      <c r="OXW38" s="19"/>
      <c r="OXX38" s="19"/>
      <c r="OXY38" s="19"/>
      <c r="OXZ38" s="19"/>
      <c r="OYA38" s="19"/>
      <c r="OYB38" s="19"/>
      <c r="OYC38" s="19"/>
      <c r="OYD38" s="19"/>
      <c r="OYE38" s="19"/>
      <c r="OYF38" s="19"/>
      <c r="OYG38" s="19"/>
      <c r="OYH38" s="19"/>
      <c r="OYI38" s="19"/>
      <c r="OYJ38" s="19"/>
      <c r="OYK38" s="19"/>
      <c r="OYL38" s="19"/>
      <c r="OYM38" s="19"/>
      <c r="OYN38" s="19"/>
      <c r="OYO38" s="19"/>
      <c r="OYP38" s="19"/>
      <c r="OYQ38" s="19"/>
      <c r="OYR38" s="19"/>
      <c r="OYS38" s="19"/>
      <c r="OYT38" s="19"/>
      <c r="OYU38" s="19"/>
      <c r="OYV38" s="19"/>
      <c r="OYW38" s="19"/>
      <c r="OYX38" s="19"/>
      <c r="OYY38" s="19"/>
      <c r="OYZ38" s="19"/>
      <c r="OZA38" s="19"/>
      <c r="OZB38" s="19"/>
      <c r="OZC38" s="19"/>
      <c r="OZD38" s="19"/>
      <c r="OZE38" s="19"/>
      <c r="OZF38" s="19"/>
      <c r="OZG38" s="19"/>
      <c r="OZH38" s="19"/>
      <c r="OZI38" s="19"/>
      <c r="OZJ38" s="19"/>
      <c r="OZK38" s="19"/>
      <c r="OZL38" s="19"/>
      <c r="OZM38" s="19"/>
      <c r="OZN38" s="19"/>
      <c r="OZO38" s="19"/>
      <c r="OZP38" s="19"/>
      <c r="OZQ38" s="19"/>
      <c r="OZR38" s="19"/>
      <c r="OZS38" s="19"/>
      <c r="OZT38" s="19"/>
      <c r="OZU38" s="19"/>
      <c r="OZV38" s="19"/>
      <c r="OZW38" s="19"/>
      <c r="OZX38" s="19"/>
      <c r="OZY38" s="19"/>
      <c r="OZZ38" s="19"/>
      <c r="PAA38" s="19"/>
      <c r="PAB38" s="19"/>
      <c r="PAC38" s="19"/>
      <c r="PAD38" s="19"/>
      <c r="PAE38" s="19"/>
      <c r="PAF38" s="19"/>
      <c r="PAG38" s="19"/>
      <c r="PAH38" s="19"/>
      <c r="PAI38" s="19"/>
      <c r="PAJ38" s="19"/>
      <c r="PAK38" s="19"/>
      <c r="PAL38" s="19"/>
      <c r="PAM38" s="19"/>
      <c r="PAN38" s="19"/>
      <c r="PAO38" s="19"/>
      <c r="PAP38" s="19"/>
      <c r="PAQ38" s="19"/>
      <c r="PAR38" s="19"/>
      <c r="PAS38" s="19"/>
      <c r="PAT38" s="19"/>
      <c r="PAU38" s="19"/>
      <c r="PAV38" s="19"/>
      <c r="PAW38" s="19"/>
      <c r="PAX38" s="19"/>
      <c r="PAY38" s="19"/>
      <c r="PAZ38" s="19"/>
      <c r="PBA38" s="19"/>
      <c r="PBB38" s="19"/>
      <c r="PBC38" s="19"/>
      <c r="PBD38" s="19"/>
      <c r="PBE38" s="19"/>
      <c r="PBF38" s="19"/>
      <c r="PBG38" s="19"/>
      <c r="PBH38" s="19"/>
      <c r="PBI38" s="19"/>
      <c r="PBJ38" s="19"/>
      <c r="PBK38" s="19"/>
      <c r="PBL38" s="19"/>
      <c r="PBM38" s="19"/>
      <c r="PBN38" s="19"/>
      <c r="PBO38" s="19"/>
      <c r="PBP38" s="19"/>
      <c r="PBQ38" s="19"/>
      <c r="PBR38" s="19"/>
      <c r="PBS38" s="19"/>
      <c r="PBT38" s="19"/>
      <c r="PBU38" s="19"/>
      <c r="PBV38" s="19"/>
      <c r="PBW38" s="19"/>
      <c r="PBX38" s="19"/>
      <c r="PBY38" s="19"/>
      <c r="PBZ38" s="19"/>
      <c r="PCA38" s="19"/>
      <c r="PCB38" s="19"/>
      <c r="PCC38" s="19"/>
      <c r="PCD38" s="19"/>
      <c r="PCE38" s="19"/>
      <c r="PCF38" s="19"/>
      <c r="PCG38" s="19"/>
      <c r="PCH38" s="19"/>
      <c r="PCI38" s="19"/>
      <c r="PCJ38" s="19"/>
      <c r="PCK38" s="19"/>
      <c r="PCL38" s="19"/>
      <c r="PCM38" s="19"/>
      <c r="PCN38" s="19"/>
      <c r="PCO38" s="19"/>
      <c r="PCP38" s="19"/>
      <c r="PCQ38" s="19"/>
      <c r="PCR38" s="19"/>
      <c r="PCS38" s="19"/>
      <c r="PCT38" s="19"/>
      <c r="PCU38" s="19"/>
      <c r="PCV38" s="19"/>
      <c r="PCW38" s="19"/>
      <c r="PCX38" s="19"/>
      <c r="PCY38" s="19"/>
      <c r="PCZ38" s="19"/>
      <c r="PDA38" s="19"/>
      <c r="PDB38" s="19"/>
      <c r="PDC38" s="19"/>
      <c r="PDD38" s="19"/>
      <c r="PDE38" s="19"/>
      <c r="PDF38" s="19"/>
      <c r="PDG38" s="19"/>
      <c r="PDH38" s="19"/>
      <c r="PDI38" s="19"/>
      <c r="PDJ38" s="19"/>
      <c r="PDK38" s="19"/>
      <c r="PDL38" s="19"/>
      <c r="PDM38" s="19"/>
      <c r="PDN38" s="19"/>
      <c r="PDO38" s="19"/>
      <c r="PDP38" s="19"/>
      <c r="PDQ38" s="19"/>
      <c r="PDR38" s="19"/>
      <c r="PDS38" s="19"/>
      <c r="PDT38" s="19"/>
      <c r="PDU38" s="19"/>
      <c r="PDV38" s="19"/>
      <c r="PDW38" s="19"/>
      <c r="PDX38" s="19"/>
      <c r="PDY38" s="19"/>
      <c r="PDZ38" s="19"/>
      <c r="PEA38" s="19"/>
      <c r="PEB38" s="19"/>
      <c r="PEC38" s="19"/>
      <c r="PED38" s="19"/>
      <c r="PEE38" s="19"/>
      <c r="PEF38" s="19"/>
      <c r="PEG38" s="19"/>
      <c r="PEH38" s="19"/>
      <c r="PEI38" s="19"/>
      <c r="PEJ38" s="19"/>
      <c r="PEK38" s="19"/>
      <c r="PEL38" s="19"/>
      <c r="PEM38" s="19"/>
      <c r="PEN38" s="19"/>
      <c r="PEO38" s="19"/>
      <c r="PEP38" s="19"/>
      <c r="PEQ38" s="19"/>
      <c r="PER38" s="19"/>
      <c r="PES38" s="19"/>
      <c r="PET38" s="19"/>
      <c r="PEU38" s="19"/>
      <c r="PEV38" s="19"/>
      <c r="PEW38" s="19"/>
      <c r="PEX38" s="19"/>
      <c r="PEY38" s="19"/>
      <c r="PEZ38" s="19"/>
      <c r="PFA38" s="19"/>
      <c r="PFB38" s="19"/>
      <c r="PFC38" s="19"/>
      <c r="PFD38" s="19"/>
      <c r="PFE38" s="19"/>
      <c r="PFF38" s="19"/>
      <c r="PFG38" s="19"/>
      <c r="PFH38" s="19"/>
      <c r="PFI38" s="19"/>
      <c r="PFJ38" s="19"/>
      <c r="PFK38" s="19"/>
      <c r="PFL38" s="19"/>
      <c r="PFM38" s="19"/>
      <c r="PFN38" s="19"/>
      <c r="PFO38" s="19"/>
      <c r="PFP38" s="19"/>
      <c r="PFQ38" s="19"/>
      <c r="PFR38" s="19"/>
      <c r="PFS38" s="19"/>
      <c r="PFT38" s="19"/>
      <c r="PFU38" s="19"/>
      <c r="PFV38" s="19"/>
      <c r="PFW38" s="19"/>
      <c r="PFX38" s="19"/>
      <c r="PFY38" s="19"/>
      <c r="PFZ38" s="19"/>
      <c r="PGA38" s="19"/>
      <c r="PGB38" s="19"/>
      <c r="PGC38" s="19"/>
      <c r="PGD38" s="19"/>
      <c r="PGE38" s="19"/>
      <c r="PGF38" s="19"/>
      <c r="PGG38" s="19"/>
      <c r="PGH38" s="19"/>
      <c r="PGI38" s="19"/>
      <c r="PGJ38" s="19"/>
      <c r="PGK38" s="19"/>
      <c r="PGL38" s="19"/>
      <c r="PGM38" s="19"/>
      <c r="PGN38" s="19"/>
      <c r="PGO38" s="19"/>
      <c r="PGP38" s="19"/>
      <c r="PGQ38" s="19"/>
      <c r="PGR38" s="19"/>
      <c r="PGS38" s="19"/>
      <c r="PGT38" s="19"/>
      <c r="PGU38" s="19"/>
      <c r="PGV38" s="19"/>
      <c r="PGW38" s="19"/>
      <c r="PGX38" s="19"/>
      <c r="PGY38" s="19"/>
      <c r="PGZ38" s="19"/>
      <c r="PHA38" s="19"/>
      <c r="PHB38" s="19"/>
      <c r="PHC38" s="19"/>
      <c r="PHD38" s="19"/>
      <c r="PHE38" s="19"/>
      <c r="PHF38" s="19"/>
      <c r="PHG38" s="19"/>
      <c r="PHH38" s="19"/>
      <c r="PHI38" s="19"/>
      <c r="PHJ38" s="19"/>
      <c r="PHK38" s="19"/>
      <c r="PHL38" s="19"/>
      <c r="PHM38" s="19"/>
      <c r="PHN38" s="19"/>
      <c r="PHO38" s="19"/>
      <c r="PHP38" s="19"/>
      <c r="PHQ38" s="19"/>
      <c r="PHR38" s="19"/>
      <c r="PHS38" s="19"/>
      <c r="PHT38" s="19"/>
      <c r="PHU38" s="19"/>
      <c r="PHV38" s="19"/>
      <c r="PHW38" s="19"/>
      <c r="PHX38" s="19"/>
      <c r="PHY38" s="19"/>
      <c r="PHZ38" s="19"/>
      <c r="PIA38" s="19"/>
      <c r="PIB38" s="19"/>
      <c r="PIC38" s="19"/>
      <c r="PID38" s="19"/>
      <c r="PIE38" s="19"/>
      <c r="PIF38" s="19"/>
      <c r="PIG38" s="19"/>
      <c r="PIH38" s="19"/>
      <c r="PII38" s="19"/>
      <c r="PIJ38" s="19"/>
      <c r="PIK38" s="19"/>
      <c r="PIL38" s="19"/>
      <c r="PIM38" s="19"/>
      <c r="PIN38" s="19"/>
      <c r="PIO38" s="19"/>
      <c r="PIP38" s="19"/>
      <c r="PIQ38" s="19"/>
      <c r="PIR38" s="19"/>
      <c r="PIS38" s="19"/>
      <c r="PIT38" s="19"/>
      <c r="PIU38" s="19"/>
      <c r="PIV38" s="19"/>
      <c r="PIW38" s="19"/>
      <c r="PIX38" s="19"/>
      <c r="PIY38" s="19"/>
      <c r="PIZ38" s="19"/>
      <c r="PJA38" s="19"/>
      <c r="PJB38" s="19"/>
      <c r="PJC38" s="19"/>
      <c r="PJD38" s="19"/>
      <c r="PJE38" s="19"/>
      <c r="PJF38" s="19"/>
      <c r="PJG38" s="19"/>
      <c r="PJH38" s="19"/>
      <c r="PJI38" s="19"/>
      <c r="PJJ38" s="19"/>
      <c r="PJK38" s="19"/>
      <c r="PJL38" s="19"/>
      <c r="PJM38" s="19"/>
      <c r="PJN38" s="19"/>
      <c r="PJO38" s="19"/>
      <c r="PJP38" s="19"/>
      <c r="PJQ38" s="19"/>
      <c r="PJR38" s="19"/>
      <c r="PJS38" s="19"/>
      <c r="PJT38" s="19"/>
      <c r="PJU38" s="19"/>
      <c r="PJV38" s="19"/>
      <c r="PJW38" s="19"/>
      <c r="PJX38" s="19"/>
      <c r="PJY38" s="19"/>
      <c r="PJZ38" s="19"/>
      <c r="PKA38" s="19"/>
      <c r="PKB38" s="19"/>
      <c r="PKC38" s="19"/>
      <c r="PKD38" s="19"/>
      <c r="PKE38" s="19"/>
      <c r="PKF38" s="19"/>
      <c r="PKG38" s="19"/>
      <c r="PKH38" s="19"/>
      <c r="PKI38" s="19"/>
      <c r="PKJ38" s="19"/>
      <c r="PKK38" s="19"/>
      <c r="PKL38" s="19"/>
      <c r="PKM38" s="19"/>
      <c r="PKN38" s="19"/>
      <c r="PKO38" s="19"/>
      <c r="PKP38" s="19"/>
      <c r="PKQ38" s="19"/>
      <c r="PKR38" s="19"/>
      <c r="PKS38" s="19"/>
      <c r="PKT38" s="19"/>
      <c r="PKU38" s="19"/>
      <c r="PKV38" s="19"/>
      <c r="PKW38" s="19"/>
      <c r="PKX38" s="19"/>
      <c r="PKY38" s="19"/>
      <c r="PKZ38" s="19"/>
      <c r="PLA38" s="19"/>
      <c r="PLB38" s="19"/>
      <c r="PLC38" s="19"/>
      <c r="PLD38" s="19"/>
      <c r="PLE38" s="19"/>
      <c r="PLF38" s="19"/>
      <c r="PLG38" s="19"/>
      <c r="PLH38" s="19"/>
      <c r="PLI38" s="19"/>
      <c r="PLJ38" s="19"/>
      <c r="PLK38" s="19"/>
      <c r="PLL38" s="19"/>
      <c r="PLM38" s="19"/>
      <c r="PLN38" s="19"/>
      <c r="PLO38" s="19"/>
      <c r="PLP38" s="19"/>
      <c r="PLQ38" s="19"/>
      <c r="PLR38" s="19"/>
      <c r="PLS38" s="19"/>
      <c r="PLT38" s="19"/>
      <c r="PLU38" s="19"/>
      <c r="PLV38" s="19"/>
      <c r="PLW38" s="19"/>
      <c r="PLX38" s="19"/>
      <c r="PLY38" s="19"/>
      <c r="PLZ38" s="19"/>
      <c r="PMA38" s="19"/>
      <c r="PMB38" s="19"/>
      <c r="PMC38" s="19"/>
      <c r="PMD38" s="19"/>
      <c r="PME38" s="19"/>
      <c r="PMF38" s="19"/>
      <c r="PMG38" s="19"/>
      <c r="PMH38" s="19"/>
      <c r="PMI38" s="19"/>
      <c r="PMJ38" s="19"/>
      <c r="PMK38" s="19"/>
      <c r="PML38" s="19"/>
      <c r="PMM38" s="19"/>
      <c r="PMN38" s="19"/>
      <c r="PMO38" s="19"/>
      <c r="PMP38" s="19"/>
      <c r="PMQ38" s="19"/>
      <c r="PMR38" s="19"/>
      <c r="PMS38" s="19"/>
      <c r="PMT38" s="19"/>
      <c r="PMU38" s="19"/>
      <c r="PMV38" s="19"/>
      <c r="PMW38" s="19"/>
      <c r="PMX38" s="19"/>
      <c r="PMY38" s="19"/>
      <c r="PMZ38" s="19"/>
      <c r="PNA38" s="19"/>
      <c r="PNB38" s="19"/>
      <c r="PNC38" s="19"/>
      <c r="PND38" s="19"/>
      <c r="PNE38" s="19"/>
      <c r="PNF38" s="19"/>
      <c r="PNG38" s="19"/>
      <c r="PNH38" s="19"/>
      <c r="PNI38" s="19"/>
      <c r="PNJ38" s="19"/>
      <c r="PNK38" s="19"/>
      <c r="PNL38" s="19"/>
      <c r="PNM38" s="19"/>
      <c r="PNN38" s="19"/>
      <c r="PNO38" s="19"/>
      <c r="PNP38" s="19"/>
      <c r="PNQ38" s="19"/>
      <c r="PNR38" s="19"/>
      <c r="PNS38" s="19"/>
      <c r="PNT38" s="19"/>
      <c r="PNU38" s="19"/>
      <c r="PNV38" s="19"/>
      <c r="PNW38" s="19"/>
      <c r="PNX38" s="19"/>
      <c r="PNY38" s="19"/>
      <c r="PNZ38" s="19"/>
      <c r="POA38" s="19"/>
      <c r="POB38" s="19"/>
      <c r="POC38" s="19"/>
      <c r="POD38" s="19"/>
      <c r="POE38" s="19"/>
      <c r="POF38" s="19"/>
      <c r="POG38" s="19"/>
      <c r="POH38" s="19"/>
      <c r="POI38" s="19"/>
      <c r="POJ38" s="19"/>
      <c r="POK38" s="19"/>
      <c r="POL38" s="19"/>
      <c r="POM38" s="19"/>
      <c r="PON38" s="19"/>
      <c r="POO38" s="19"/>
      <c r="POP38" s="19"/>
      <c r="POQ38" s="19"/>
      <c r="POR38" s="19"/>
      <c r="POS38" s="19"/>
      <c r="POT38" s="19"/>
      <c r="POU38" s="19"/>
      <c r="POV38" s="19"/>
      <c r="POW38" s="19"/>
      <c r="POX38" s="19"/>
      <c r="POY38" s="19"/>
      <c r="POZ38" s="19"/>
      <c r="PPA38" s="19"/>
      <c r="PPB38" s="19"/>
      <c r="PPC38" s="19"/>
      <c r="PPD38" s="19"/>
      <c r="PPE38" s="19"/>
      <c r="PPF38" s="19"/>
      <c r="PPG38" s="19"/>
      <c r="PPH38" s="19"/>
      <c r="PPI38" s="19"/>
      <c r="PPJ38" s="19"/>
      <c r="PPK38" s="19"/>
      <c r="PPL38" s="19"/>
      <c r="PPM38" s="19"/>
      <c r="PPN38" s="19"/>
      <c r="PPO38" s="19"/>
      <c r="PPP38" s="19"/>
      <c r="PPQ38" s="19"/>
      <c r="PPR38" s="19"/>
      <c r="PPS38" s="19"/>
      <c r="PPT38" s="19"/>
      <c r="PPU38" s="19"/>
      <c r="PPV38" s="19"/>
      <c r="PPW38" s="19"/>
      <c r="PPX38" s="19"/>
      <c r="PPY38" s="19"/>
      <c r="PPZ38" s="19"/>
      <c r="PQA38" s="19"/>
      <c r="PQB38" s="19"/>
      <c r="PQC38" s="19"/>
      <c r="PQD38" s="19"/>
      <c r="PQE38" s="19"/>
      <c r="PQF38" s="19"/>
      <c r="PQG38" s="19"/>
      <c r="PQH38" s="19"/>
      <c r="PQI38" s="19"/>
      <c r="PQJ38" s="19"/>
      <c r="PQK38" s="19"/>
      <c r="PQL38" s="19"/>
      <c r="PQM38" s="19"/>
      <c r="PQN38" s="19"/>
      <c r="PQO38" s="19"/>
      <c r="PQP38" s="19"/>
      <c r="PQQ38" s="19"/>
      <c r="PQR38" s="19"/>
      <c r="PQS38" s="19"/>
      <c r="PQT38" s="19"/>
      <c r="PQU38" s="19"/>
      <c r="PQV38" s="19"/>
      <c r="PQW38" s="19"/>
      <c r="PQX38" s="19"/>
      <c r="PQY38" s="19"/>
      <c r="PQZ38" s="19"/>
      <c r="PRA38" s="19"/>
      <c r="PRB38" s="19"/>
      <c r="PRC38" s="19"/>
      <c r="PRD38" s="19"/>
      <c r="PRE38" s="19"/>
      <c r="PRF38" s="19"/>
      <c r="PRG38" s="19"/>
      <c r="PRH38" s="19"/>
      <c r="PRI38" s="19"/>
      <c r="PRJ38" s="19"/>
      <c r="PRK38" s="19"/>
      <c r="PRL38" s="19"/>
      <c r="PRM38" s="19"/>
      <c r="PRN38" s="19"/>
      <c r="PRO38" s="19"/>
      <c r="PRP38" s="19"/>
      <c r="PRQ38" s="19"/>
      <c r="PRR38" s="19"/>
      <c r="PRS38" s="19"/>
      <c r="PRT38" s="19"/>
      <c r="PRU38" s="19"/>
      <c r="PRV38" s="19"/>
      <c r="PRW38" s="19"/>
      <c r="PRX38" s="19"/>
      <c r="PRY38" s="19"/>
      <c r="PRZ38" s="19"/>
      <c r="PSA38" s="19"/>
      <c r="PSB38" s="19"/>
      <c r="PSC38" s="19"/>
      <c r="PSD38" s="19"/>
      <c r="PSE38" s="19"/>
      <c r="PSF38" s="19"/>
      <c r="PSG38" s="19"/>
      <c r="PSH38" s="19"/>
      <c r="PSI38" s="19"/>
      <c r="PSJ38" s="19"/>
      <c r="PSK38" s="19"/>
      <c r="PSL38" s="19"/>
      <c r="PSM38" s="19"/>
      <c r="PSN38" s="19"/>
      <c r="PSO38" s="19"/>
      <c r="PSP38" s="19"/>
      <c r="PSQ38" s="19"/>
      <c r="PSR38" s="19"/>
      <c r="PSS38" s="19"/>
      <c r="PST38" s="19"/>
      <c r="PSU38" s="19"/>
      <c r="PSV38" s="19"/>
      <c r="PSW38" s="19"/>
      <c r="PSX38" s="19"/>
      <c r="PSY38" s="19"/>
      <c r="PSZ38" s="19"/>
      <c r="PTA38" s="19"/>
      <c r="PTB38" s="19"/>
      <c r="PTC38" s="19"/>
      <c r="PTD38" s="19"/>
      <c r="PTE38" s="19"/>
      <c r="PTF38" s="19"/>
      <c r="PTG38" s="19"/>
      <c r="PTH38" s="19"/>
      <c r="PTI38" s="19"/>
      <c r="PTJ38" s="19"/>
      <c r="PTK38" s="19"/>
      <c r="PTL38" s="19"/>
      <c r="PTM38" s="19"/>
      <c r="PTN38" s="19"/>
      <c r="PTO38" s="19"/>
      <c r="PTP38" s="19"/>
      <c r="PTQ38" s="19"/>
      <c r="PTR38" s="19"/>
      <c r="PTS38" s="19"/>
      <c r="PTT38" s="19"/>
      <c r="PTU38" s="19"/>
      <c r="PTV38" s="19"/>
      <c r="PTW38" s="19"/>
      <c r="PTX38" s="19"/>
      <c r="PTY38" s="19"/>
      <c r="PTZ38" s="19"/>
      <c r="PUA38" s="19"/>
      <c r="PUB38" s="19"/>
      <c r="PUC38" s="19"/>
      <c r="PUD38" s="19"/>
      <c r="PUE38" s="19"/>
      <c r="PUF38" s="19"/>
      <c r="PUG38" s="19"/>
      <c r="PUH38" s="19"/>
      <c r="PUI38" s="19"/>
      <c r="PUJ38" s="19"/>
      <c r="PUK38" s="19"/>
      <c r="PUL38" s="19"/>
      <c r="PUM38" s="19"/>
      <c r="PUN38" s="19"/>
      <c r="PUO38" s="19"/>
      <c r="PUP38" s="19"/>
      <c r="PUQ38" s="19"/>
      <c r="PUR38" s="19"/>
      <c r="PUS38" s="19"/>
      <c r="PUT38" s="19"/>
      <c r="PUU38" s="19"/>
      <c r="PUV38" s="19"/>
      <c r="PUW38" s="19"/>
      <c r="PUX38" s="19"/>
      <c r="PUY38" s="19"/>
      <c r="PUZ38" s="19"/>
      <c r="PVA38" s="19"/>
      <c r="PVB38" s="19"/>
      <c r="PVC38" s="19"/>
      <c r="PVD38" s="19"/>
      <c r="PVE38" s="19"/>
      <c r="PVF38" s="19"/>
      <c r="PVG38" s="19"/>
      <c r="PVH38" s="19"/>
      <c r="PVI38" s="19"/>
      <c r="PVJ38" s="19"/>
      <c r="PVK38" s="19"/>
      <c r="PVL38" s="19"/>
      <c r="PVM38" s="19"/>
      <c r="PVN38" s="19"/>
      <c r="PVO38" s="19"/>
      <c r="PVP38" s="19"/>
      <c r="PVQ38" s="19"/>
      <c r="PVR38" s="19"/>
      <c r="PVS38" s="19"/>
      <c r="PVT38" s="19"/>
      <c r="PVU38" s="19"/>
      <c r="PVV38" s="19"/>
      <c r="PVW38" s="19"/>
      <c r="PVX38" s="19"/>
      <c r="PVY38" s="19"/>
      <c r="PVZ38" s="19"/>
      <c r="PWA38" s="19"/>
      <c r="PWB38" s="19"/>
      <c r="PWC38" s="19"/>
      <c r="PWD38" s="19"/>
      <c r="PWE38" s="19"/>
      <c r="PWF38" s="19"/>
      <c r="PWG38" s="19"/>
      <c r="PWH38" s="19"/>
      <c r="PWI38" s="19"/>
      <c r="PWJ38" s="19"/>
      <c r="PWK38" s="19"/>
      <c r="PWL38" s="19"/>
      <c r="PWM38" s="19"/>
      <c r="PWN38" s="19"/>
      <c r="PWO38" s="19"/>
      <c r="PWP38" s="19"/>
      <c r="PWQ38" s="19"/>
      <c r="PWR38" s="19"/>
      <c r="PWS38" s="19"/>
      <c r="PWT38" s="19"/>
      <c r="PWU38" s="19"/>
      <c r="PWV38" s="19"/>
      <c r="PWW38" s="19"/>
      <c r="PWX38" s="19"/>
      <c r="PWY38" s="19"/>
      <c r="PWZ38" s="19"/>
      <c r="PXA38" s="19"/>
      <c r="PXB38" s="19"/>
      <c r="PXC38" s="19"/>
      <c r="PXD38" s="19"/>
      <c r="PXE38" s="19"/>
      <c r="PXF38" s="19"/>
      <c r="PXG38" s="19"/>
      <c r="PXH38" s="19"/>
      <c r="PXI38" s="19"/>
      <c r="PXJ38" s="19"/>
      <c r="PXK38" s="19"/>
      <c r="PXL38" s="19"/>
      <c r="PXM38" s="19"/>
      <c r="PXN38" s="19"/>
      <c r="PXO38" s="19"/>
      <c r="PXP38" s="19"/>
      <c r="PXQ38" s="19"/>
      <c r="PXR38" s="19"/>
      <c r="PXS38" s="19"/>
      <c r="PXT38" s="19"/>
      <c r="PXU38" s="19"/>
      <c r="PXV38" s="19"/>
      <c r="PXW38" s="19"/>
      <c r="PXX38" s="19"/>
      <c r="PXY38" s="19"/>
      <c r="PXZ38" s="19"/>
      <c r="PYA38" s="19"/>
      <c r="PYB38" s="19"/>
      <c r="PYC38" s="19"/>
      <c r="PYD38" s="19"/>
      <c r="PYE38" s="19"/>
      <c r="PYF38" s="19"/>
      <c r="PYG38" s="19"/>
      <c r="PYH38" s="19"/>
      <c r="PYI38" s="19"/>
      <c r="PYJ38" s="19"/>
      <c r="PYK38" s="19"/>
      <c r="PYL38" s="19"/>
      <c r="PYM38" s="19"/>
      <c r="PYN38" s="19"/>
      <c r="PYO38" s="19"/>
      <c r="PYP38" s="19"/>
      <c r="PYQ38" s="19"/>
      <c r="PYR38" s="19"/>
      <c r="PYS38" s="19"/>
      <c r="PYT38" s="19"/>
      <c r="PYU38" s="19"/>
      <c r="PYV38" s="19"/>
      <c r="PYW38" s="19"/>
      <c r="PYX38" s="19"/>
      <c r="PYY38" s="19"/>
      <c r="PYZ38" s="19"/>
      <c r="PZA38" s="19"/>
      <c r="PZB38" s="19"/>
      <c r="PZC38" s="19"/>
      <c r="PZD38" s="19"/>
      <c r="PZE38" s="19"/>
      <c r="PZF38" s="19"/>
      <c r="PZG38" s="19"/>
      <c r="PZH38" s="19"/>
      <c r="PZI38" s="19"/>
      <c r="PZJ38" s="19"/>
      <c r="PZK38" s="19"/>
      <c r="PZL38" s="19"/>
      <c r="PZM38" s="19"/>
      <c r="PZN38" s="19"/>
      <c r="PZO38" s="19"/>
      <c r="PZP38" s="19"/>
      <c r="PZQ38" s="19"/>
      <c r="PZR38" s="19"/>
      <c r="PZS38" s="19"/>
      <c r="PZT38" s="19"/>
      <c r="PZU38" s="19"/>
      <c r="PZV38" s="19"/>
      <c r="PZW38" s="19"/>
      <c r="PZX38" s="19"/>
      <c r="PZY38" s="19"/>
      <c r="PZZ38" s="19"/>
      <c r="QAA38" s="19"/>
      <c r="QAB38" s="19"/>
      <c r="QAC38" s="19"/>
      <c r="QAD38" s="19"/>
      <c r="QAE38" s="19"/>
      <c r="QAF38" s="19"/>
      <c r="QAG38" s="19"/>
      <c r="QAH38" s="19"/>
      <c r="QAI38" s="19"/>
      <c r="QAJ38" s="19"/>
      <c r="QAK38" s="19"/>
      <c r="QAL38" s="19"/>
      <c r="QAM38" s="19"/>
      <c r="QAN38" s="19"/>
      <c r="QAO38" s="19"/>
      <c r="QAP38" s="19"/>
      <c r="QAQ38" s="19"/>
      <c r="QAR38" s="19"/>
      <c r="QAS38" s="19"/>
      <c r="QAT38" s="19"/>
      <c r="QAU38" s="19"/>
      <c r="QAV38" s="19"/>
      <c r="QAW38" s="19"/>
      <c r="QAX38" s="19"/>
      <c r="QAY38" s="19"/>
      <c r="QAZ38" s="19"/>
      <c r="QBA38" s="19"/>
      <c r="QBB38" s="19"/>
      <c r="QBC38" s="19"/>
      <c r="QBD38" s="19"/>
      <c r="QBE38" s="19"/>
      <c r="QBF38" s="19"/>
      <c r="QBG38" s="19"/>
      <c r="QBH38" s="19"/>
      <c r="QBI38" s="19"/>
      <c r="QBJ38" s="19"/>
      <c r="QBK38" s="19"/>
      <c r="QBL38" s="19"/>
      <c r="QBM38" s="19"/>
      <c r="QBN38" s="19"/>
      <c r="QBO38" s="19"/>
      <c r="QBP38" s="19"/>
      <c r="QBQ38" s="19"/>
      <c r="QBR38" s="19"/>
      <c r="QBS38" s="19"/>
      <c r="QBT38" s="19"/>
      <c r="QBU38" s="19"/>
      <c r="QBV38" s="19"/>
      <c r="QBW38" s="19"/>
      <c r="QBX38" s="19"/>
      <c r="QBY38" s="19"/>
      <c r="QBZ38" s="19"/>
      <c r="QCA38" s="19"/>
      <c r="QCB38" s="19"/>
      <c r="QCC38" s="19"/>
      <c r="QCD38" s="19"/>
      <c r="QCE38" s="19"/>
      <c r="QCF38" s="19"/>
      <c r="QCG38" s="19"/>
      <c r="QCH38" s="19"/>
      <c r="QCI38" s="19"/>
      <c r="QCJ38" s="19"/>
      <c r="QCK38" s="19"/>
      <c r="QCL38" s="19"/>
      <c r="QCM38" s="19"/>
      <c r="QCN38" s="19"/>
      <c r="QCO38" s="19"/>
      <c r="QCP38" s="19"/>
      <c r="QCQ38" s="19"/>
      <c r="QCR38" s="19"/>
      <c r="QCS38" s="19"/>
      <c r="QCT38" s="19"/>
      <c r="QCU38" s="19"/>
      <c r="QCV38" s="19"/>
      <c r="QCW38" s="19"/>
      <c r="QCX38" s="19"/>
      <c r="QCY38" s="19"/>
      <c r="QCZ38" s="19"/>
      <c r="QDA38" s="19"/>
      <c r="QDB38" s="19"/>
      <c r="QDC38" s="19"/>
      <c r="QDD38" s="19"/>
      <c r="QDE38" s="19"/>
      <c r="QDF38" s="19"/>
      <c r="QDG38" s="19"/>
      <c r="QDH38" s="19"/>
      <c r="QDI38" s="19"/>
      <c r="QDJ38" s="19"/>
      <c r="QDK38" s="19"/>
      <c r="QDL38" s="19"/>
      <c r="QDM38" s="19"/>
      <c r="QDN38" s="19"/>
      <c r="QDO38" s="19"/>
      <c r="QDP38" s="19"/>
      <c r="QDQ38" s="19"/>
      <c r="QDR38" s="19"/>
      <c r="QDS38" s="19"/>
      <c r="QDT38" s="19"/>
      <c r="QDU38" s="19"/>
      <c r="QDV38" s="19"/>
      <c r="QDW38" s="19"/>
      <c r="QDX38" s="19"/>
      <c r="QDY38" s="19"/>
      <c r="QDZ38" s="19"/>
      <c r="QEA38" s="19"/>
      <c r="QEB38" s="19"/>
      <c r="QEC38" s="19"/>
      <c r="QED38" s="19"/>
      <c r="QEE38" s="19"/>
      <c r="QEF38" s="19"/>
      <c r="QEG38" s="19"/>
      <c r="QEH38" s="19"/>
      <c r="QEI38" s="19"/>
      <c r="QEJ38" s="19"/>
      <c r="QEK38" s="19"/>
      <c r="QEL38" s="19"/>
      <c r="QEM38" s="19"/>
      <c r="QEN38" s="19"/>
      <c r="QEO38" s="19"/>
      <c r="QEP38" s="19"/>
      <c r="QEQ38" s="19"/>
      <c r="QER38" s="19"/>
      <c r="QES38" s="19"/>
      <c r="QET38" s="19"/>
      <c r="QEU38" s="19"/>
      <c r="QEV38" s="19"/>
      <c r="QEW38" s="19"/>
      <c r="QEX38" s="19"/>
      <c r="QEY38" s="19"/>
      <c r="QEZ38" s="19"/>
      <c r="QFA38" s="19"/>
      <c r="QFB38" s="19"/>
      <c r="QFC38" s="19"/>
      <c r="QFD38" s="19"/>
      <c r="QFE38" s="19"/>
      <c r="QFF38" s="19"/>
      <c r="QFG38" s="19"/>
      <c r="QFH38" s="19"/>
      <c r="QFI38" s="19"/>
      <c r="QFJ38" s="19"/>
      <c r="QFK38" s="19"/>
      <c r="QFL38" s="19"/>
      <c r="QFM38" s="19"/>
      <c r="QFN38" s="19"/>
      <c r="QFO38" s="19"/>
      <c r="QFP38" s="19"/>
      <c r="QFQ38" s="19"/>
      <c r="QFR38" s="19"/>
      <c r="QFS38" s="19"/>
      <c r="QFT38" s="19"/>
      <c r="QFU38" s="19"/>
      <c r="QFV38" s="19"/>
      <c r="QFW38" s="19"/>
      <c r="QFX38" s="19"/>
      <c r="QFY38" s="19"/>
      <c r="QFZ38" s="19"/>
      <c r="QGA38" s="19"/>
      <c r="QGB38" s="19"/>
      <c r="QGC38" s="19"/>
      <c r="QGD38" s="19"/>
      <c r="QGE38" s="19"/>
      <c r="QGF38" s="19"/>
      <c r="QGG38" s="19"/>
      <c r="QGH38" s="19"/>
      <c r="QGI38" s="19"/>
      <c r="QGJ38" s="19"/>
      <c r="QGK38" s="19"/>
      <c r="QGL38" s="19"/>
      <c r="QGM38" s="19"/>
      <c r="QGN38" s="19"/>
      <c r="QGO38" s="19"/>
      <c r="QGP38" s="19"/>
      <c r="QGQ38" s="19"/>
      <c r="QGR38" s="19"/>
      <c r="QGS38" s="19"/>
      <c r="QGT38" s="19"/>
      <c r="QGU38" s="19"/>
      <c r="QGV38" s="19"/>
      <c r="QGW38" s="19"/>
      <c r="QGX38" s="19"/>
      <c r="QGY38" s="19"/>
      <c r="QGZ38" s="19"/>
      <c r="QHA38" s="19"/>
      <c r="QHB38" s="19"/>
      <c r="QHC38" s="19"/>
      <c r="QHD38" s="19"/>
      <c r="QHE38" s="19"/>
      <c r="QHF38" s="19"/>
      <c r="QHG38" s="19"/>
      <c r="QHH38" s="19"/>
      <c r="QHI38" s="19"/>
      <c r="QHJ38" s="19"/>
      <c r="QHK38" s="19"/>
      <c r="QHL38" s="19"/>
      <c r="QHM38" s="19"/>
      <c r="QHN38" s="19"/>
      <c r="QHO38" s="19"/>
      <c r="QHP38" s="19"/>
      <c r="QHQ38" s="19"/>
      <c r="QHR38" s="19"/>
      <c r="QHS38" s="19"/>
      <c r="QHT38" s="19"/>
      <c r="QHU38" s="19"/>
      <c r="QHV38" s="19"/>
      <c r="QHW38" s="19"/>
      <c r="QHX38" s="19"/>
      <c r="QHY38" s="19"/>
      <c r="QHZ38" s="19"/>
      <c r="QIA38" s="19"/>
      <c r="QIB38" s="19"/>
      <c r="QIC38" s="19"/>
      <c r="QID38" s="19"/>
      <c r="QIE38" s="19"/>
      <c r="QIF38" s="19"/>
      <c r="QIG38" s="19"/>
      <c r="QIH38" s="19"/>
      <c r="QII38" s="19"/>
      <c r="QIJ38" s="19"/>
      <c r="QIK38" s="19"/>
      <c r="QIL38" s="19"/>
      <c r="QIM38" s="19"/>
      <c r="QIN38" s="19"/>
      <c r="QIO38" s="19"/>
      <c r="QIP38" s="19"/>
      <c r="QIQ38" s="19"/>
      <c r="QIR38" s="19"/>
      <c r="QIS38" s="19"/>
      <c r="QIT38" s="19"/>
      <c r="QIU38" s="19"/>
      <c r="QIV38" s="19"/>
      <c r="QIW38" s="19"/>
      <c r="QIX38" s="19"/>
      <c r="QIY38" s="19"/>
      <c r="QIZ38" s="19"/>
      <c r="QJA38" s="19"/>
      <c r="QJB38" s="19"/>
      <c r="QJC38" s="19"/>
      <c r="QJD38" s="19"/>
      <c r="QJE38" s="19"/>
      <c r="QJF38" s="19"/>
      <c r="QJG38" s="19"/>
      <c r="QJH38" s="19"/>
      <c r="QJI38" s="19"/>
      <c r="QJJ38" s="19"/>
      <c r="QJK38" s="19"/>
      <c r="QJL38" s="19"/>
      <c r="QJM38" s="19"/>
      <c r="QJN38" s="19"/>
      <c r="QJO38" s="19"/>
      <c r="QJP38" s="19"/>
      <c r="QJQ38" s="19"/>
      <c r="QJR38" s="19"/>
      <c r="QJS38" s="19"/>
      <c r="QJT38" s="19"/>
      <c r="QJU38" s="19"/>
      <c r="QJV38" s="19"/>
      <c r="QJW38" s="19"/>
      <c r="QJX38" s="19"/>
      <c r="QJY38" s="19"/>
      <c r="QJZ38" s="19"/>
      <c r="QKA38" s="19"/>
      <c r="QKB38" s="19"/>
      <c r="QKC38" s="19"/>
      <c r="QKD38" s="19"/>
      <c r="QKE38" s="19"/>
      <c r="QKF38" s="19"/>
      <c r="QKG38" s="19"/>
      <c r="QKH38" s="19"/>
      <c r="QKI38" s="19"/>
      <c r="QKJ38" s="19"/>
      <c r="QKK38" s="19"/>
      <c r="QKL38" s="19"/>
      <c r="QKM38" s="19"/>
      <c r="QKN38" s="19"/>
      <c r="QKO38" s="19"/>
      <c r="QKP38" s="19"/>
      <c r="QKQ38" s="19"/>
      <c r="QKR38" s="19"/>
      <c r="QKS38" s="19"/>
      <c r="QKT38" s="19"/>
      <c r="QKU38" s="19"/>
      <c r="QKV38" s="19"/>
      <c r="QKW38" s="19"/>
      <c r="QKX38" s="19"/>
      <c r="QKY38" s="19"/>
      <c r="QKZ38" s="19"/>
      <c r="QLA38" s="19"/>
      <c r="QLB38" s="19"/>
      <c r="QLC38" s="19"/>
      <c r="QLD38" s="19"/>
      <c r="QLE38" s="19"/>
      <c r="QLF38" s="19"/>
      <c r="QLG38" s="19"/>
      <c r="QLH38" s="19"/>
      <c r="QLI38" s="19"/>
      <c r="QLJ38" s="19"/>
      <c r="QLK38" s="19"/>
      <c r="QLL38" s="19"/>
      <c r="QLM38" s="19"/>
      <c r="QLN38" s="19"/>
      <c r="QLO38" s="19"/>
      <c r="QLP38" s="19"/>
      <c r="QLQ38" s="19"/>
      <c r="QLR38" s="19"/>
      <c r="QLS38" s="19"/>
      <c r="QLT38" s="19"/>
      <c r="QLU38" s="19"/>
      <c r="QLV38" s="19"/>
      <c r="QLW38" s="19"/>
      <c r="QLX38" s="19"/>
      <c r="QLY38" s="19"/>
      <c r="QLZ38" s="19"/>
      <c r="QMA38" s="19"/>
      <c r="QMB38" s="19"/>
      <c r="QMC38" s="19"/>
      <c r="QMD38" s="19"/>
      <c r="QME38" s="19"/>
      <c r="QMF38" s="19"/>
      <c r="QMG38" s="19"/>
      <c r="QMH38" s="19"/>
      <c r="QMI38" s="19"/>
      <c r="QMJ38" s="19"/>
      <c r="QMK38" s="19"/>
      <c r="QML38" s="19"/>
      <c r="QMM38" s="19"/>
      <c r="QMN38" s="19"/>
      <c r="QMO38" s="19"/>
      <c r="QMP38" s="19"/>
      <c r="QMQ38" s="19"/>
      <c r="QMR38" s="19"/>
      <c r="QMS38" s="19"/>
      <c r="QMT38" s="19"/>
      <c r="QMU38" s="19"/>
      <c r="QMV38" s="19"/>
      <c r="QMW38" s="19"/>
      <c r="QMX38" s="19"/>
      <c r="QMY38" s="19"/>
      <c r="QMZ38" s="19"/>
      <c r="QNA38" s="19"/>
      <c r="QNB38" s="19"/>
      <c r="QNC38" s="19"/>
      <c r="QND38" s="19"/>
      <c r="QNE38" s="19"/>
      <c r="QNF38" s="19"/>
      <c r="QNG38" s="19"/>
      <c r="QNH38" s="19"/>
      <c r="QNI38" s="19"/>
      <c r="QNJ38" s="19"/>
      <c r="QNK38" s="19"/>
      <c r="QNL38" s="19"/>
      <c r="QNM38" s="19"/>
      <c r="QNN38" s="19"/>
      <c r="QNO38" s="19"/>
      <c r="QNP38" s="19"/>
      <c r="QNQ38" s="19"/>
      <c r="QNR38" s="19"/>
      <c r="QNS38" s="19"/>
      <c r="QNT38" s="19"/>
      <c r="QNU38" s="19"/>
      <c r="QNV38" s="19"/>
      <c r="QNW38" s="19"/>
      <c r="QNX38" s="19"/>
      <c r="QNY38" s="19"/>
      <c r="QNZ38" s="19"/>
      <c r="QOA38" s="19"/>
      <c r="QOB38" s="19"/>
      <c r="QOC38" s="19"/>
      <c r="QOD38" s="19"/>
      <c r="QOE38" s="19"/>
      <c r="QOF38" s="19"/>
      <c r="QOG38" s="19"/>
      <c r="QOH38" s="19"/>
      <c r="QOI38" s="19"/>
      <c r="QOJ38" s="19"/>
      <c r="QOK38" s="19"/>
      <c r="QOL38" s="19"/>
      <c r="QOM38" s="19"/>
      <c r="QON38" s="19"/>
      <c r="QOO38" s="19"/>
      <c r="QOP38" s="19"/>
      <c r="QOQ38" s="19"/>
      <c r="QOR38" s="19"/>
      <c r="QOS38" s="19"/>
      <c r="QOT38" s="19"/>
      <c r="QOU38" s="19"/>
      <c r="QOV38" s="19"/>
      <c r="QOW38" s="19"/>
      <c r="QOX38" s="19"/>
      <c r="QOY38" s="19"/>
      <c r="QOZ38" s="19"/>
      <c r="QPA38" s="19"/>
      <c r="QPB38" s="19"/>
      <c r="QPC38" s="19"/>
      <c r="QPD38" s="19"/>
      <c r="QPE38" s="19"/>
      <c r="QPF38" s="19"/>
      <c r="QPG38" s="19"/>
      <c r="QPH38" s="19"/>
      <c r="QPI38" s="19"/>
      <c r="QPJ38" s="19"/>
      <c r="QPK38" s="19"/>
      <c r="QPL38" s="19"/>
      <c r="QPM38" s="19"/>
      <c r="QPN38" s="19"/>
      <c r="QPO38" s="19"/>
      <c r="QPP38" s="19"/>
      <c r="QPQ38" s="19"/>
      <c r="QPR38" s="19"/>
      <c r="QPS38" s="19"/>
      <c r="QPT38" s="19"/>
      <c r="QPU38" s="19"/>
      <c r="QPV38" s="19"/>
      <c r="QPW38" s="19"/>
      <c r="QPX38" s="19"/>
      <c r="QPY38" s="19"/>
      <c r="QPZ38" s="19"/>
      <c r="QQA38" s="19"/>
      <c r="QQB38" s="19"/>
      <c r="QQC38" s="19"/>
      <c r="QQD38" s="19"/>
      <c r="QQE38" s="19"/>
      <c r="QQF38" s="19"/>
      <c r="QQG38" s="19"/>
      <c r="QQH38" s="19"/>
      <c r="QQI38" s="19"/>
      <c r="QQJ38" s="19"/>
      <c r="QQK38" s="19"/>
      <c r="QQL38" s="19"/>
      <c r="QQM38" s="19"/>
      <c r="QQN38" s="19"/>
      <c r="QQO38" s="19"/>
      <c r="QQP38" s="19"/>
      <c r="QQQ38" s="19"/>
      <c r="QQR38" s="19"/>
      <c r="QQS38" s="19"/>
      <c r="QQT38" s="19"/>
      <c r="QQU38" s="19"/>
      <c r="QQV38" s="19"/>
      <c r="QQW38" s="19"/>
      <c r="QQX38" s="19"/>
      <c r="QQY38" s="19"/>
      <c r="QQZ38" s="19"/>
      <c r="QRA38" s="19"/>
      <c r="QRB38" s="19"/>
      <c r="QRC38" s="19"/>
      <c r="QRD38" s="19"/>
      <c r="QRE38" s="19"/>
      <c r="QRF38" s="19"/>
      <c r="QRG38" s="19"/>
      <c r="QRH38" s="19"/>
      <c r="QRI38" s="19"/>
      <c r="QRJ38" s="19"/>
      <c r="QRK38" s="19"/>
      <c r="QRL38" s="19"/>
      <c r="QRM38" s="19"/>
      <c r="QRN38" s="19"/>
      <c r="QRO38" s="19"/>
      <c r="QRP38" s="19"/>
      <c r="QRQ38" s="19"/>
      <c r="QRR38" s="19"/>
      <c r="QRS38" s="19"/>
      <c r="QRT38" s="19"/>
      <c r="QRU38" s="19"/>
      <c r="QRV38" s="19"/>
      <c r="QRW38" s="19"/>
      <c r="QRX38" s="19"/>
      <c r="QRY38" s="19"/>
      <c r="QRZ38" s="19"/>
      <c r="QSA38" s="19"/>
      <c r="QSB38" s="19"/>
      <c r="QSC38" s="19"/>
      <c r="QSD38" s="19"/>
      <c r="QSE38" s="19"/>
      <c r="QSF38" s="19"/>
      <c r="QSG38" s="19"/>
      <c r="QSH38" s="19"/>
      <c r="QSI38" s="19"/>
      <c r="QSJ38" s="19"/>
      <c r="QSK38" s="19"/>
      <c r="QSL38" s="19"/>
      <c r="QSM38" s="19"/>
      <c r="QSN38" s="19"/>
      <c r="QSO38" s="19"/>
      <c r="QSP38" s="19"/>
      <c r="QSQ38" s="19"/>
      <c r="QSR38" s="19"/>
      <c r="QSS38" s="19"/>
      <c r="QST38" s="19"/>
      <c r="QSU38" s="19"/>
      <c r="QSV38" s="19"/>
      <c r="QSW38" s="19"/>
      <c r="QSX38" s="19"/>
      <c r="QSY38" s="19"/>
      <c r="QSZ38" s="19"/>
      <c r="QTA38" s="19"/>
      <c r="QTB38" s="19"/>
      <c r="QTC38" s="19"/>
      <c r="QTD38" s="19"/>
      <c r="QTE38" s="19"/>
      <c r="QTF38" s="19"/>
      <c r="QTG38" s="19"/>
      <c r="QTH38" s="19"/>
      <c r="QTI38" s="19"/>
      <c r="QTJ38" s="19"/>
      <c r="QTK38" s="19"/>
      <c r="QTL38" s="19"/>
      <c r="QTM38" s="19"/>
      <c r="QTN38" s="19"/>
      <c r="QTO38" s="19"/>
      <c r="QTP38" s="19"/>
      <c r="QTQ38" s="19"/>
      <c r="QTR38" s="19"/>
      <c r="QTS38" s="19"/>
      <c r="QTT38" s="19"/>
      <c r="QTU38" s="19"/>
      <c r="QTV38" s="19"/>
      <c r="QTW38" s="19"/>
      <c r="QTX38" s="19"/>
      <c r="QTY38" s="19"/>
      <c r="QTZ38" s="19"/>
      <c r="QUA38" s="19"/>
      <c r="QUB38" s="19"/>
      <c r="QUC38" s="19"/>
      <c r="QUD38" s="19"/>
      <c r="QUE38" s="19"/>
      <c r="QUF38" s="19"/>
      <c r="QUG38" s="19"/>
      <c r="QUH38" s="19"/>
      <c r="QUI38" s="19"/>
      <c r="QUJ38" s="19"/>
      <c r="QUK38" s="19"/>
      <c r="QUL38" s="19"/>
      <c r="QUM38" s="19"/>
      <c r="QUN38" s="19"/>
      <c r="QUO38" s="19"/>
      <c r="QUP38" s="19"/>
      <c r="QUQ38" s="19"/>
      <c r="QUR38" s="19"/>
      <c r="QUS38" s="19"/>
      <c r="QUT38" s="19"/>
      <c r="QUU38" s="19"/>
      <c r="QUV38" s="19"/>
      <c r="QUW38" s="19"/>
      <c r="QUX38" s="19"/>
      <c r="QUY38" s="19"/>
      <c r="QUZ38" s="19"/>
      <c r="QVA38" s="19"/>
      <c r="QVB38" s="19"/>
      <c r="QVC38" s="19"/>
      <c r="QVD38" s="19"/>
      <c r="QVE38" s="19"/>
      <c r="QVF38" s="19"/>
      <c r="QVG38" s="19"/>
      <c r="QVH38" s="19"/>
      <c r="QVI38" s="19"/>
      <c r="QVJ38" s="19"/>
      <c r="QVK38" s="19"/>
      <c r="QVL38" s="19"/>
      <c r="QVM38" s="19"/>
      <c r="QVN38" s="19"/>
      <c r="QVO38" s="19"/>
      <c r="QVP38" s="19"/>
      <c r="QVQ38" s="19"/>
      <c r="QVR38" s="19"/>
      <c r="QVS38" s="19"/>
      <c r="QVT38" s="19"/>
      <c r="QVU38" s="19"/>
      <c r="QVV38" s="19"/>
      <c r="QVW38" s="19"/>
      <c r="QVX38" s="19"/>
      <c r="QVY38" s="19"/>
      <c r="QVZ38" s="19"/>
      <c r="QWA38" s="19"/>
      <c r="QWB38" s="19"/>
      <c r="QWC38" s="19"/>
      <c r="QWD38" s="19"/>
      <c r="QWE38" s="19"/>
      <c r="QWF38" s="19"/>
      <c r="QWG38" s="19"/>
      <c r="QWH38" s="19"/>
      <c r="QWI38" s="19"/>
      <c r="QWJ38" s="19"/>
      <c r="QWK38" s="19"/>
      <c r="QWL38" s="19"/>
      <c r="QWM38" s="19"/>
      <c r="QWN38" s="19"/>
      <c r="QWO38" s="19"/>
      <c r="QWP38" s="19"/>
      <c r="QWQ38" s="19"/>
      <c r="QWR38" s="19"/>
      <c r="QWS38" s="19"/>
      <c r="QWT38" s="19"/>
      <c r="QWU38" s="19"/>
      <c r="QWV38" s="19"/>
      <c r="QWW38" s="19"/>
      <c r="QWX38" s="19"/>
      <c r="QWY38" s="19"/>
      <c r="QWZ38" s="19"/>
      <c r="QXA38" s="19"/>
      <c r="QXB38" s="19"/>
      <c r="QXC38" s="19"/>
      <c r="QXD38" s="19"/>
      <c r="QXE38" s="19"/>
      <c r="QXF38" s="19"/>
      <c r="QXG38" s="19"/>
      <c r="QXH38" s="19"/>
      <c r="QXI38" s="19"/>
      <c r="QXJ38" s="19"/>
      <c r="QXK38" s="19"/>
      <c r="QXL38" s="19"/>
      <c r="QXM38" s="19"/>
      <c r="QXN38" s="19"/>
      <c r="QXO38" s="19"/>
      <c r="QXP38" s="19"/>
      <c r="QXQ38" s="19"/>
      <c r="QXR38" s="19"/>
      <c r="QXS38" s="19"/>
      <c r="QXT38" s="19"/>
      <c r="QXU38" s="19"/>
      <c r="QXV38" s="19"/>
      <c r="QXW38" s="19"/>
      <c r="QXX38" s="19"/>
      <c r="QXY38" s="19"/>
      <c r="QXZ38" s="19"/>
      <c r="QYA38" s="19"/>
      <c r="QYB38" s="19"/>
      <c r="QYC38" s="19"/>
      <c r="QYD38" s="19"/>
      <c r="QYE38" s="19"/>
      <c r="QYF38" s="19"/>
      <c r="QYG38" s="19"/>
      <c r="QYH38" s="19"/>
      <c r="QYI38" s="19"/>
      <c r="QYJ38" s="19"/>
      <c r="QYK38" s="19"/>
      <c r="QYL38" s="19"/>
      <c r="QYM38" s="19"/>
      <c r="QYN38" s="19"/>
      <c r="QYO38" s="19"/>
      <c r="QYP38" s="19"/>
      <c r="QYQ38" s="19"/>
      <c r="QYR38" s="19"/>
      <c r="QYS38" s="19"/>
      <c r="QYT38" s="19"/>
      <c r="QYU38" s="19"/>
      <c r="QYV38" s="19"/>
      <c r="QYW38" s="19"/>
      <c r="QYX38" s="19"/>
      <c r="QYY38" s="19"/>
      <c r="QYZ38" s="19"/>
      <c r="QZA38" s="19"/>
      <c r="QZB38" s="19"/>
      <c r="QZC38" s="19"/>
      <c r="QZD38" s="19"/>
      <c r="QZE38" s="19"/>
      <c r="QZF38" s="19"/>
      <c r="QZG38" s="19"/>
      <c r="QZH38" s="19"/>
      <c r="QZI38" s="19"/>
      <c r="QZJ38" s="19"/>
      <c r="QZK38" s="19"/>
      <c r="QZL38" s="19"/>
      <c r="QZM38" s="19"/>
      <c r="QZN38" s="19"/>
      <c r="QZO38" s="19"/>
      <c r="QZP38" s="19"/>
      <c r="QZQ38" s="19"/>
      <c r="QZR38" s="19"/>
      <c r="QZS38" s="19"/>
      <c r="QZT38" s="19"/>
      <c r="QZU38" s="19"/>
      <c r="QZV38" s="19"/>
      <c r="QZW38" s="19"/>
      <c r="QZX38" s="19"/>
      <c r="QZY38" s="19"/>
      <c r="QZZ38" s="19"/>
      <c r="RAA38" s="19"/>
      <c r="RAB38" s="19"/>
      <c r="RAC38" s="19"/>
      <c r="RAD38" s="19"/>
      <c r="RAE38" s="19"/>
      <c r="RAF38" s="19"/>
      <c r="RAG38" s="19"/>
      <c r="RAH38" s="19"/>
      <c r="RAI38" s="19"/>
      <c r="RAJ38" s="19"/>
      <c r="RAK38" s="19"/>
      <c r="RAL38" s="19"/>
      <c r="RAM38" s="19"/>
      <c r="RAN38" s="19"/>
      <c r="RAO38" s="19"/>
      <c r="RAP38" s="19"/>
      <c r="RAQ38" s="19"/>
      <c r="RAR38" s="19"/>
      <c r="RAS38" s="19"/>
      <c r="RAT38" s="19"/>
      <c r="RAU38" s="19"/>
      <c r="RAV38" s="19"/>
      <c r="RAW38" s="19"/>
      <c r="RAX38" s="19"/>
      <c r="RAY38" s="19"/>
      <c r="RAZ38" s="19"/>
      <c r="RBA38" s="19"/>
      <c r="RBB38" s="19"/>
      <c r="RBC38" s="19"/>
      <c r="RBD38" s="19"/>
      <c r="RBE38" s="19"/>
      <c r="RBF38" s="19"/>
      <c r="RBG38" s="19"/>
      <c r="RBH38" s="19"/>
      <c r="RBI38" s="19"/>
      <c r="RBJ38" s="19"/>
      <c r="RBK38" s="19"/>
      <c r="RBL38" s="19"/>
      <c r="RBM38" s="19"/>
      <c r="RBN38" s="19"/>
      <c r="RBO38" s="19"/>
      <c r="RBP38" s="19"/>
      <c r="RBQ38" s="19"/>
      <c r="RBR38" s="19"/>
      <c r="RBS38" s="19"/>
      <c r="RBT38" s="19"/>
      <c r="RBU38" s="19"/>
      <c r="RBV38" s="19"/>
      <c r="RBW38" s="19"/>
      <c r="RBX38" s="19"/>
      <c r="RBY38" s="19"/>
      <c r="RBZ38" s="19"/>
      <c r="RCA38" s="19"/>
      <c r="RCB38" s="19"/>
      <c r="RCC38" s="19"/>
      <c r="RCD38" s="19"/>
      <c r="RCE38" s="19"/>
      <c r="RCF38" s="19"/>
      <c r="RCG38" s="19"/>
      <c r="RCH38" s="19"/>
      <c r="RCI38" s="19"/>
      <c r="RCJ38" s="19"/>
      <c r="RCK38" s="19"/>
      <c r="RCL38" s="19"/>
      <c r="RCM38" s="19"/>
      <c r="RCN38" s="19"/>
      <c r="RCO38" s="19"/>
      <c r="RCP38" s="19"/>
      <c r="RCQ38" s="19"/>
      <c r="RCR38" s="19"/>
      <c r="RCS38" s="19"/>
      <c r="RCT38" s="19"/>
      <c r="RCU38" s="19"/>
      <c r="RCV38" s="19"/>
      <c r="RCW38" s="19"/>
      <c r="RCX38" s="19"/>
      <c r="RCY38" s="19"/>
      <c r="RCZ38" s="19"/>
      <c r="RDA38" s="19"/>
      <c r="RDB38" s="19"/>
      <c r="RDC38" s="19"/>
      <c r="RDD38" s="19"/>
      <c r="RDE38" s="19"/>
      <c r="RDF38" s="19"/>
      <c r="RDG38" s="19"/>
      <c r="RDH38" s="19"/>
      <c r="RDI38" s="19"/>
      <c r="RDJ38" s="19"/>
      <c r="RDK38" s="19"/>
      <c r="RDL38" s="19"/>
      <c r="RDM38" s="19"/>
      <c r="RDN38" s="19"/>
      <c r="RDO38" s="19"/>
      <c r="RDP38" s="19"/>
      <c r="RDQ38" s="19"/>
      <c r="RDR38" s="19"/>
      <c r="RDS38" s="19"/>
      <c r="RDT38" s="19"/>
      <c r="RDU38" s="19"/>
      <c r="RDV38" s="19"/>
      <c r="RDW38" s="19"/>
      <c r="RDX38" s="19"/>
      <c r="RDY38" s="19"/>
      <c r="RDZ38" s="19"/>
      <c r="REA38" s="19"/>
      <c r="REB38" s="19"/>
      <c r="REC38" s="19"/>
      <c r="RED38" s="19"/>
      <c r="REE38" s="19"/>
      <c r="REF38" s="19"/>
      <c r="REG38" s="19"/>
      <c r="REH38" s="19"/>
      <c r="REI38" s="19"/>
      <c r="REJ38" s="19"/>
      <c r="REK38" s="19"/>
      <c r="REL38" s="19"/>
      <c r="REM38" s="19"/>
      <c r="REN38" s="19"/>
      <c r="REO38" s="19"/>
      <c r="REP38" s="19"/>
      <c r="REQ38" s="19"/>
      <c r="RER38" s="19"/>
      <c r="RES38" s="19"/>
      <c r="RET38" s="19"/>
      <c r="REU38" s="19"/>
      <c r="REV38" s="19"/>
      <c r="REW38" s="19"/>
      <c r="REX38" s="19"/>
      <c r="REY38" s="19"/>
      <c r="REZ38" s="19"/>
      <c r="RFA38" s="19"/>
      <c r="RFB38" s="19"/>
      <c r="RFC38" s="19"/>
      <c r="RFD38" s="19"/>
      <c r="RFE38" s="19"/>
      <c r="RFF38" s="19"/>
      <c r="RFG38" s="19"/>
      <c r="RFH38" s="19"/>
      <c r="RFI38" s="19"/>
      <c r="RFJ38" s="19"/>
      <c r="RFK38" s="19"/>
      <c r="RFL38" s="19"/>
      <c r="RFM38" s="19"/>
      <c r="RFN38" s="19"/>
      <c r="RFO38" s="19"/>
      <c r="RFP38" s="19"/>
      <c r="RFQ38" s="19"/>
      <c r="RFR38" s="19"/>
      <c r="RFS38" s="19"/>
      <c r="RFT38" s="19"/>
      <c r="RFU38" s="19"/>
      <c r="RFV38" s="19"/>
      <c r="RFW38" s="19"/>
      <c r="RFX38" s="19"/>
      <c r="RFY38" s="19"/>
      <c r="RFZ38" s="19"/>
      <c r="RGA38" s="19"/>
      <c r="RGB38" s="19"/>
      <c r="RGC38" s="19"/>
      <c r="RGD38" s="19"/>
      <c r="RGE38" s="19"/>
      <c r="RGF38" s="19"/>
      <c r="RGG38" s="19"/>
      <c r="RGH38" s="19"/>
      <c r="RGI38" s="19"/>
      <c r="RGJ38" s="19"/>
      <c r="RGK38" s="19"/>
      <c r="RGL38" s="19"/>
      <c r="RGM38" s="19"/>
      <c r="RGN38" s="19"/>
      <c r="RGO38" s="19"/>
      <c r="RGP38" s="19"/>
      <c r="RGQ38" s="19"/>
      <c r="RGR38" s="19"/>
      <c r="RGS38" s="19"/>
      <c r="RGT38" s="19"/>
      <c r="RGU38" s="19"/>
      <c r="RGV38" s="19"/>
      <c r="RGW38" s="19"/>
      <c r="RGX38" s="19"/>
      <c r="RGY38" s="19"/>
      <c r="RGZ38" s="19"/>
      <c r="RHA38" s="19"/>
      <c r="RHB38" s="19"/>
      <c r="RHC38" s="19"/>
      <c r="RHD38" s="19"/>
      <c r="RHE38" s="19"/>
      <c r="RHF38" s="19"/>
      <c r="RHG38" s="19"/>
      <c r="RHH38" s="19"/>
      <c r="RHI38" s="19"/>
      <c r="RHJ38" s="19"/>
      <c r="RHK38" s="19"/>
      <c r="RHL38" s="19"/>
      <c r="RHM38" s="19"/>
      <c r="RHN38" s="19"/>
      <c r="RHO38" s="19"/>
      <c r="RHP38" s="19"/>
      <c r="RHQ38" s="19"/>
      <c r="RHR38" s="19"/>
      <c r="RHS38" s="19"/>
      <c r="RHT38" s="19"/>
      <c r="RHU38" s="19"/>
      <c r="RHV38" s="19"/>
      <c r="RHW38" s="19"/>
      <c r="RHX38" s="19"/>
      <c r="RHY38" s="19"/>
      <c r="RHZ38" s="19"/>
      <c r="RIA38" s="19"/>
      <c r="RIB38" s="19"/>
      <c r="RIC38" s="19"/>
      <c r="RID38" s="19"/>
      <c r="RIE38" s="19"/>
      <c r="RIF38" s="19"/>
      <c r="RIG38" s="19"/>
      <c r="RIH38" s="19"/>
      <c r="RII38" s="19"/>
      <c r="RIJ38" s="19"/>
      <c r="RIK38" s="19"/>
      <c r="RIL38" s="19"/>
      <c r="RIM38" s="19"/>
      <c r="RIN38" s="19"/>
      <c r="RIO38" s="19"/>
      <c r="RIP38" s="19"/>
      <c r="RIQ38" s="19"/>
      <c r="RIR38" s="19"/>
      <c r="RIS38" s="19"/>
      <c r="RIT38" s="19"/>
      <c r="RIU38" s="19"/>
      <c r="RIV38" s="19"/>
      <c r="RIW38" s="19"/>
      <c r="RIX38" s="19"/>
      <c r="RIY38" s="19"/>
      <c r="RIZ38" s="19"/>
      <c r="RJA38" s="19"/>
      <c r="RJB38" s="19"/>
      <c r="RJC38" s="19"/>
      <c r="RJD38" s="19"/>
      <c r="RJE38" s="19"/>
      <c r="RJF38" s="19"/>
      <c r="RJG38" s="19"/>
      <c r="RJH38" s="19"/>
      <c r="RJI38" s="19"/>
      <c r="RJJ38" s="19"/>
      <c r="RJK38" s="19"/>
      <c r="RJL38" s="19"/>
      <c r="RJM38" s="19"/>
      <c r="RJN38" s="19"/>
      <c r="RJO38" s="19"/>
      <c r="RJP38" s="19"/>
      <c r="RJQ38" s="19"/>
      <c r="RJR38" s="19"/>
      <c r="RJS38" s="19"/>
      <c r="RJT38" s="19"/>
      <c r="RJU38" s="19"/>
      <c r="RJV38" s="19"/>
      <c r="RJW38" s="19"/>
      <c r="RJX38" s="19"/>
      <c r="RJY38" s="19"/>
      <c r="RJZ38" s="19"/>
      <c r="RKA38" s="19"/>
      <c r="RKB38" s="19"/>
      <c r="RKC38" s="19"/>
      <c r="RKD38" s="19"/>
      <c r="RKE38" s="19"/>
      <c r="RKF38" s="19"/>
      <c r="RKG38" s="19"/>
      <c r="RKH38" s="19"/>
      <c r="RKI38" s="19"/>
      <c r="RKJ38" s="19"/>
      <c r="RKK38" s="19"/>
      <c r="RKL38" s="19"/>
      <c r="RKM38" s="19"/>
      <c r="RKN38" s="19"/>
      <c r="RKO38" s="19"/>
      <c r="RKP38" s="19"/>
      <c r="RKQ38" s="19"/>
      <c r="RKR38" s="19"/>
      <c r="RKS38" s="19"/>
      <c r="RKT38" s="19"/>
      <c r="RKU38" s="19"/>
      <c r="RKV38" s="19"/>
      <c r="RKW38" s="19"/>
      <c r="RKX38" s="19"/>
      <c r="RKY38" s="19"/>
      <c r="RKZ38" s="19"/>
      <c r="RLA38" s="19"/>
      <c r="RLB38" s="19"/>
      <c r="RLC38" s="19"/>
      <c r="RLD38" s="19"/>
      <c r="RLE38" s="19"/>
      <c r="RLF38" s="19"/>
      <c r="RLG38" s="19"/>
      <c r="RLH38" s="19"/>
      <c r="RLI38" s="19"/>
      <c r="RLJ38" s="19"/>
      <c r="RLK38" s="19"/>
      <c r="RLL38" s="19"/>
      <c r="RLM38" s="19"/>
      <c r="RLN38" s="19"/>
      <c r="RLO38" s="19"/>
      <c r="RLP38" s="19"/>
      <c r="RLQ38" s="19"/>
      <c r="RLR38" s="19"/>
      <c r="RLS38" s="19"/>
      <c r="RLT38" s="19"/>
      <c r="RLU38" s="19"/>
      <c r="RLV38" s="19"/>
      <c r="RLW38" s="19"/>
      <c r="RLX38" s="19"/>
      <c r="RLY38" s="19"/>
      <c r="RLZ38" s="19"/>
      <c r="RMA38" s="19"/>
      <c r="RMB38" s="19"/>
      <c r="RMC38" s="19"/>
      <c r="RMD38" s="19"/>
      <c r="RME38" s="19"/>
      <c r="RMF38" s="19"/>
      <c r="RMG38" s="19"/>
      <c r="RMH38" s="19"/>
      <c r="RMI38" s="19"/>
      <c r="RMJ38" s="19"/>
      <c r="RMK38" s="19"/>
      <c r="RML38" s="19"/>
      <c r="RMM38" s="19"/>
      <c r="RMN38" s="19"/>
      <c r="RMO38" s="19"/>
      <c r="RMP38" s="19"/>
      <c r="RMQ38" s="19"/>
      <c r="RMR38" s="19"/>
      <c r="RMS38" s="19"/>
      <c r="RMT38" s="19"/>
      <c r="RMU38" s="19"/>
      <c r="RMV38" s="19"/>
      <c r="RMW38" s="19"/>
      <c r="RMX38" s="19"/>
      <c r="RMY38" s="19"/>
      <c r="RMZ38" s="19"/>
      <c r="RNA38" s="19"/>
      <c r="RNB38" s="19"/>
      <c r="RNC38" s="19"/>
      <c r="RND38" s="19"/>
      <c r="RNE38" s="19"/>
      <c r="RNF38" s="19"/>
      <c r="RNG38" s="19"/>
      <c r="RNH38" s="19"/>
      <c r="RNI38" s="19"/>
      <c r="RNJ38" s="19"/>
      <c r="RNK38" s="19"/>
      <c r="RNL38" s="19"/>
      <c r="RNM38" s="19"/>
      <c r="RNN38" s="19"/>
      <c r="RNO38" s="19"/>
      <c r="RNP38" s="19"/>
      <c r="RNQ38" s="19"/>
      <c r="RNR38" s="19"/>
      <c r="RNS38" s="19"/>
      <c r="RNT38" s="19"/>
      <c r="RNU38" s="19"/>
      <c r="RNV38" s="19"/>
      <c r="RNW38" s="19"/>
      <c r="RNX38" s="19"/>
      <c r="RNY38" s="19"/>
      <c r="RNZ38" s="19"/>
      <c r="ROA38" s="19"/>
      <c r="ROB38" s="19"/>
      <c r="ROC38" s="19"/>
      <c r="ROD38" s="19"/>
      <c r="ROE38" s="19"/>
      <c r="ROF38" s="19"/>
      <c r="ROG38" s="19"/>
      <c r="ROH38" s="19"/>
      <c r="ROI38" s="19"/>
      <c r="ROJ38" s="19"/>
      <c r="ROK38" s="19"/>
      <c r="ROL38" s="19"/>
      <c r="ROM38" s="19"/>
      <c r="RON38" s="19"/>
      <c r="ROO38" s="19"/>
      <c r="ROP38" s="19"/>
      <c r="ROQ38" s="19"/>
      <c r="ROR38" s="19"/>
      <c r="ROS38" s="19"/>
      <c r="ROT38" s="19"/>
      <c r="ROU38" s="19"/>
      <c r="ROV38" s="19"/>
      <c r="ROW38" s="19"/>
      <c r="ROX38" s="19"/>
      <c r="ROY38" s="19"/>
      <c r="ROZ38" s="19"/>
      <c r="RPA38" s="19"/>
      <c r="RPB38" s="19"/>
      <c r="RPC38" s="19"/>
      <c r="RPD38" s="19"/>
      <c r="RPE38" s="19"/>
      <c r="RPF38" s="19"/>
      <c r="RPG38" s="19"/>
      <c r="RPH38" s="19"/>
      <c r="RPI38" s="19"/>
      <c r="RPJ38" s="19"/>
      <c r="RPK38" s="19"/>
      <c r="RPL38" s="19"/>
      <c r="RPM38" s="19"/>
      <c r="RPN38" s="19"/>
      <c r="RPO38" s="19"/>
      <c r="RPP38" s="19"/>
      <c r="RPQ38" s="19"/>
      <c r="RPR38" s="19"/>
      <c r="RPS38" s="19"/>
      <c r="RPT38" s="19"/>
      <c r="RPU38" s="19"/>
      <c r="RPV38" s="19"/>
      <c r="RPW38" s="19"/>
      <c r="RPX38" s="19"/>
      <c r="RPY38" s="19"/>
      <c r="RPZ38" s="19"/>
      <c r="RQA38" s="19"/>
      <c r="RQB38" s="19"/>
      <c r="RQC38" s="19"/>
      <c r="RQD38" s="19"/>
      <c r="RQE38" s="19"/>
      <c r="RQF38" s="19"/>
      <c r="RQG38" s="19"/>
      <c r="RQH38" s="19"/>
      <c r="RQI38" s="19"/>
      <c r="RQJ38" s="19"/>
      <c r="RQK38" s="19"/>
      <c r="RQL38" s="19"/>
      <c r="RQM38" s="19"/>
      <c r="RQN38" s="19"/>
      <c r="RQO38" s="19"/>
      <c r="RQP38" s="19"/>
      <c r="RQQ38" s="19"/>
      <c r="RQR38" s="19"/>
      <c r="RQS38" s="19"/>
      <c r="RQT38" s="19"/>
      <c r="RQU38" s="19"/>
      <c r="RQV38" s="19"/>
      <c r="RQW38" s="19"/>
      <c r="RQX38" s="19"/>
      <c r="RQY38" s="19"/>
      <c r="RQZ38" s="19"/>
      <c r="RRA38" s="19"/>
      <c r="RRB38" s="19"/>
      <c r="RRC38" s="19"/>
      <c r="RRD38" s="19"/>
      <c r="RRE38" s="19"/>
      <c r="RRF38" s="19"/>
      <c r="RRG38" s="19"/>
      <c r="RRH38" s="19"/>
      <c r="RRI38" s="19"/>
      <c r="RRJ38" s="19"/>
      <c r="RRK38" s="19"/>
      <c r="RRL38" s="19"/>
      <c r="RRM38" s="19"/>
      <c r="RRN38" s="19"/>
      <c r="RRO38" s="19"/>
      <c r="RRP38" s="19"/>
      <c r="RRQ38" s="19"/>
      <c r="RRR38" s="19"/>
      <c r="RRS38" s="19"/>
      <c r="RRT38" s="19"/>
      <c r="RRU38" s="19"/>
      <c r="RRV38" s="19"/>
      <c r="RRW38" s="19"/>
      <c r="RRX38" s="19"/>
      <c r="RRY38" s="19"/>
      <c r="RRZ38" s="19"/>
      <c r="RSA38" s="19"/>
      <c r="RSB38" s="19"/>
      <c r="RSC38" s="19"/>
      <c r="RSD38" s="19"/>
      <c r="RSE38" s="19"/>
      <c r="RSF38" s="19"/>
      <c r="RSG38" s="19"/>
      <c r="RSH38" s="19"/>
      <c r="RSI38" s="19"/>
      <c r="RSJ38" s="19"/>
      <c r="RSK38" s="19"/>
      <c r="RSL38" s="19"/>
      <c r="RSM38" s="19"/>
      <c r="RSN38" s="19"/>
      <c r="RSO38" s="19"/>
      <c r="RSP38" s="19"/>
      <c r="RSQ38" s="19"/>
      <c r="RSR38" s="19"/>
      <c r="RSS38" s="19"/>
      <c r="RST38" s="19"/>
      <c r="RSU38" s="19"/>
      <c r="RSV38" s="19"/>
      <c r="RSW38" s="19"/>
      <c r="RSX38" s="19"/>
      <c r="RSY38" s="19"/>
      <c r="RSZ38" s="19"/>
      <c r="RTA38" s="19"/>
      <c r="RTB38" s="19"/>
      <c r="RTC38" s="19"/>
      <c r="RTD38" s="19"/>
      <c r="RTE38" s="19"/>
      <c r="RTF38" s="19"/>
      <c r="RTG38" s="19"/>
      <c r="RTH38" s="19"/>
      <c r="RTI38" s="19"/>
      <c r="RTJ38" s="19"/>
      <c r="RTK38" s="19"/>
      <c r="RTL38" s="19"/>
      <c r="RTM38" s="19"/>
      <c r="RTN38" s="19"/>
      <c r="RTO38" s="19"/>
      <c r="RTP38" s="19"/>
      <c r="RTQ38" s="19"/>
      <c r="RTR38" s="19"/>
      <c r="RTS38" s="19"/>
      <c r="RTT38" s="19"/>
      <c r="RTU38" s="19"/>
      <c r="RTV38" s="19"/>
      <c r="RTW38" s="19"/>
      <c r="RTX38" s="19"/>
      <c r="RTY38" s="19"/>
      <c r="RTZ38" s="19"/>
      <c r="RUA38" s="19"/>
      <c r="RUB38" s="19"/>
      <c r="RUC38" s="19"/>
      <c r="RUD38" s="19"/>
      <c r="RUE38" s="19"/>
      <c r="RUF38" s="19"/>
      <c r="RUG38" s="19"/>
      <c r="RUH38" s="19"/>
      <c r="RUI38" s="19"/>
      <c r="RUJ38" s="19"/>
      <c r="RUK38" s="19"/>
      <c r="RUL38" s="19"/>
      <c r="RUM38" s="19"/>
      <c r="RUN38" s="19"/>
      <c r="RUO38" s="19"/>
      <c r="RUP38" s="19"/>
      <c r="RUQ38" s="19"/>
      <c r="RUR38" s="19"/>
      <c r="RUS38" s="19"/>
      <c r="RUT38" s="19"/>
      <c r="RUU38" s="19"/>
      <c r="RUV38" s="19"/>
      <c r="RUW38" s="19"/>
      <c r="RUX38" s="19"/>
      <c r="RUY38" s="19"/>
      <c r="RUZ38" s="19"/>
      <c r="RVA38" s="19"/>
      <c r="RVB38" s="19"/>
      <c r="RVC38" s="19"/>
      <c r="RVD38" s="19"/>
      <c r="RVE38" s="19"/>
      <c r="RVF38" s="19"/>
      <c r="RVG38" s="19"/>
      <c r="RVH38" s="19"/>
      <c r="RVI38" s="19"/>
      <c r="RVJ38" s="19"/>
      <c r="RVK38" s="19"/>
      <c r="RVL38" s="19"/>
      <c r="RVM38" s="19"/>
      <c r="RVN38" s="19"/>
      <c r="RVO38" s="19"/>
      <c r="RVP38" s="19"/>
      <c r="RVQ38" s="19"/>
      <c r="RVR38" s="19"/>
      <c r="RVS38" s="19"/>
      <c r="RVT38" s="19"/>
      <c r="RVU38" s="19"/>
      <c r="RVV38" s="19"/>
      <c r="RVW38" s="19"/>
      <c r="RVX38" s="19"/>
      <c r="RVY38" s="19"/>
      <c r="RVZ38" s="19"/>
      <c r="RWA38" s="19"/>
      <c r="RWB38" s="19"/>
      <c r="RWC38" s="19"/>
      <c r="RWD38" s="19"/>
      <c r="RWE38" s="19"/>
      <c r="RWF38" s="19"/>
      <c r="RWG38" s="19"/>
      <c r="RWH38" s="19"/>
      <c r="RWI38" s="19"/>
      <c r="RWJ38" s="19"/>
      <c r="RWK38" s="19"/>
      <c r="RWL38" s="19"/>
      <c r="RWM38" s="19"/>
      <c r="RWN38" s="19"/>
      <c r="RWO38" s="19"/>
      <c r="RWP38" s="19"/>
      <c r="RWQ38" s="19"/>
      <c r="RWR38" s="19"/>
      <c r="RWS38" s="19"/>
      <c r="RWT38" s="19"/>
      <c r="RWU38" s="19"/>
      <c r="RWV38" s="19"/>
      <c r="RWW38" s="19"/>
      <c r="RWX38" s="19"/>
      <c r="RWY38" s="19"/>
      <c r="RWZ38" s="19"/>
      <c r="RXA38" s="19"/>
      <c r="RXB38" s="19"/>
      <c r="RXC38" s="19"/>
      <c r="RXD38" s="19"/>
      <c r="RXE38" s="19"/>
      <c r="RXF38" s="19"/>
      <c r="RXG38" s="19"/>
      <c r="RXH38" s="19"/>
      <c r="RXI38" s="19"/>
      <c r="RXJ38" s="19"/>
      <c r="RXK38" s="19"/>
      <c r="RXL38" s="19"/>
      <c r="RXM38" s="19"/>
      <c r="RXN38" s="19"/>
      <c r="RXO38" s="19"/>
      <c r="RXP38" s="19"/>
      <c r="RXQ38" s="19"/>
      <c r="RXR38" s="19"/>
      <c r="RXS38" s="19"/>
      <c r="RXT38" s="19"/>
      <c r="RXU38" s="19"/>
      <c r="RXV38" s="19"/>
      <c r="RXW38" s="19"/>
      <c r="RXX38" s="19"/>
      <c r="RXY38" s="19"/>
      <c r="RXZ38" s="19"/>
      <c r="RYA38" s="19"/>
      <c r="RYB38" s="19"/>
      <c r="RYC38" s="19"/>
      <c r="RYD38" s="19"/>
      <c r="RYE38" s="19"/>
      <c r="RYF38" s="19"/>
      <c r="RYG38" s="19"/>
      <c r="RYH38" s="19"/>
      <c r="RYI38" s="19"/>
      <c r="RYJ38" s="19"/>
      <c r="RYK38" s="19"/>
      <c r="RYL38" s="19"/>
      <c r="RYM38" s="19"/>
      <c r="RYN38" s="19"/>
      <c r="RYO38" s="19"/>
      <c r="RYP38" s="19"/>
      <c r="RYQ38" s="19"/>
      <c r="RYR38" s="19"/>
      <c r="RYS38" s="19"/>
      <c r="RYT38" s="19"/>
      <c r="RYU38" s="19"/>
      <c r="RYV38" s="19"/>
      <c r="RYW38" s="19"/>
      <c r="RYX38" s="19"/>
      <c r="RYY38" s="19"/>
      <c r="RYZ38" s="19"/>
      <c r="RZA38" s="19"/>
      <c r="RZB38" s="19"/>
      <c r="RZC38" s="19"/>
      <c r="RZD38" s="19"/>
      <c r="RZE38" s="19"/>
      <c r="RZF38" s="19"/>
      <c r="RZG38" s="19"/>
      <c r="RZH38" s="19"/>
      <c r="RZI38" s="19"/>
      <c r="RZJ38" s="19"/>
      <c r="RZK38" s="19"/>
      <c r="RZL38" s="19"/>
      <c r="RZM38" s="19"/>
      <c r="RZN38" s="19"/>
      <c r="RZO38" s="19"/>
      <c r="RZP38" s="19"/>
      <c r="RZQ38" s="19"/>
      <c r="RZR38" s="19"/>
      <c r="RZS38" s="19"/>
      <c r="RZT38" s="19"/>
      <c r="RZU38" s="19"/>
      <c r="RZV38" s="19"/>
      <c r="RZW38" s="19"/>
      <c r="RZX38" s="19"/>
      <c r="RZY38" s="19"/>
      <c r="RZZ38" s="19"/>
      <c r="SAA38" s="19"/>
      <c r="SAB38" s="19"/>
      <c r="SAC38" s="19"/>
      <c r="SAD38" s="19"/>
      <c r="SAE38" s="19"/>
      <c r="SAF38" s="19"/>
      <c r="SAG38" s="19"/>
      <c r="SAH38" s="19"/>
      <c r="SAI38" s="19"/>
      <c r="SAJ38" s="19"/>
      <c r="SAK38" s="19"/>
      <c r="SAL38" s="19"/>
      <c r="SAM38" s="19"/>
      <c r="SAN38" s="19"/>
      <c r="SAO38" s="19"/>
      <c r="SAP38" s="19"/>
      <c r="SAQ38" s="19"/>
      <c r="SAR38" s="19"/>
      <c r="SAS38" s="19"/>
      <c r="SAT38" s="19"/>
      <c r="SAU38" s="19"/>
      <c r="SAV38" s="19"/>
      <c r="SAW38" s="19"/>
      <c r="SAX38" s="19"/>
      <c r="SAY38" s="19"/>
      <c r="SAZ38" s="19"/>
      <c r="SBA38" s="19"/>
      <c r="SBB38" s="19"/>
      <c r="SBC38" s="19"/>
      <c r="SBD38" s="19"/>
      <c r="SBE38" s="19"/>
      <c r="SBF38" s="19"/>
      <c r="SBG38" s="19"/>
      <c r="SBH38" s="19"/>
      <c r="SBI38" s="19"/>
      <c r="SBJ38" s="19"/>
      <c r="SBK38" s="19"/>
      <c r="SBL38" s="19"/>
      <c r="SBM38" s="19"/>
      <c r="SBN38" s="19"/>
      <c r="SBO38" s="19"/>
      <c r="SBP38" s="19"/>
      <c r="SBQ38" s="19"/>
      <c r="SBR38" s="19"/>
      <c r="SBS38" s="19"/>
      <c r="SBT38" s="19"/>
      <c r="SBU38" s="19"/>
      <c r="SBV38" s="19"/>
      <c r="SBW38" s="19"/>
      <c r="SBX38" s="19"/>
      <c r="SBY38" s="19"/>
      <c r="SBZ38" s="19"/>
      <c r="SCA38" s="19"/>
      <c r="SCB38" s="19"/>
      <c r="SCC38" s="19"/>
      <c r="SCD38" s="19"/>
      <c r="SCE38" s="19"/>
      <c r="SCF38" s="19"/>
      <c r="SCG38" s="19"/>
      <c r="SCH38" s="19"/>
      <c r="SCI38" s="19"/>
      <c r="SCJ38" s="19"/>
      <c r="SCK38" s="19"/>
      <c r="SCL38" s="19"/>
      <c r="SCM38" s="19"/>
      <c r="SCN38" s="19"/>
      <c r="SCO38" s="19"/>
      <c r="SCP38" s="19"/>
      <c r="SCQ38" s="19"/>
      <c r="SCR38" s="19"/>
      <c r="SCS38" s="19"/>
      <c r="SCT38" s="19"/>
      <c r="SCU38" s="19"/>
      <c r="SCV38" s="19"/>
      <c r="SCW38" s="19"/>
      <c r="SCX38" s="19"/>
      <c r="SCY38" s="19"/>
      <c r="SCZ38" s="19"/>
      <c r="SDA38" s="19"/>
      <c r="SDB38" s="19"/>
      <c r="SDC38" s="19"/>
      <c r="SDD38" s="19"/>
      <c r="SDE38" s="19"/>
      <c r="SDF38" s="19"/>
      <c r="SDG38" s="19"/>
      <c r="SDH38" s="19"/>
      <c r="SDI38" s="19"/>
      <c r="SDJ38" s="19"/>
      <c r="SDK38" s="19"/>
      <c r="SDL38" s="19"/>
      <c r="SDM38" s="19"/>
      <c r="SDN38" s="19"/>
      <c r="SDO38" s="19"/>
      <c r="SDP38" s="19"/>
      <c r="SDQ38" s="19"/>
      <c r="SDR38" s="19"/>
      <c r="SDS38" s="19"/>
      <c r="SDT38" s="19"/>
      <c r="SDU38" s="19"/>
      <c r="SDV38" s="19"/>
      <c r="SDW38" s="19"/>
      <c r="SDX38" s="19"/>
      <c r="SDY38" s="19"/>
      <c r="SDZ38" s="19"/>
      <c r="SEA38" s="19"/>
      <c r="SEB38" s="19"/>
      <c r="SEC38" s="19"/>
      <c r="SED38" s="19"/>
      <c r="SEE38" s="19"/>
      <c r="SEF38" s="19"/>
      <c r="SEG38" s="19"/>
      <c r="SEH38" s="19"/>
      <c r="SEI38" s="19"/>
      <c r="SEJ38" s="19"/>
      <c r="SEK38" s="19"/>
      <c r="SEL38" s="19"/>
      <c r="SEM38" s="19"/>
      <c r="SEN38" s="19"/>
      <c r="SEO38" s="19"/>
      <c r="SEP38" s="19"/>
      <c r="SEQ38" s="19"/>
      <c r="SER38" s="19"/>
      <c r="SES38" s="19"/>
      <c r="SET38" s="19"/>
      <c r="SEU38" s="19"/>
      <c r="SEV38" s="19"/>
      <c r="SEW38" s="19"/>
      <c r="SEX38" s="19"/>
      <c r="SEY38" s="19"/>
      <c r="SEZ38" s="19"/>
      <c r="SFA38" s="19"/>
      <c r="SFB38" s="19"/>
      <c r="SFC38" s="19"/>
      <c r="SFD38" s="19"/>
      <c r="SFE38" s="19"/>
      <c r="SFF38" s="19"/>
      <c r="SFG38" s="19"/>
      <c r="SFH38" s="19"/>
      <c r="SFI38" s="19"/>
      <c r="SFJ38" s="19"/>
      <c r="SFK38" s="19"/>
      <c r="SFL38" s="19"/>
      <c r="SFM38" s="19"/>
      <c r="SFN38" s="19"/>
      <c r="SFO38" s="19"/>
      <c r="SFP38" s="19"/>
      <c r="SFQ38" s="19"/>
      <c r="SFR38" s="19"/>
      <c r="SFS38" s="19"/>
      <c r="SFT38" s="19"/>
      <c r="SFU38" s="19"/>
      <c r="SFV38" s="19"/>
      <c r="SFW38" s="19"/>
      <c r="SFX38" s="19"/>
      <c r="SFY38" s="19"/>
      <c r="SFZ38" s="19"/>
      <c r="SGA38" s="19"/>
      <c r="SGB38" s="19"/>
      <c r="SGC38" s="19"/>
      <c r="SGD38" s="19"/>
      <c r="SGE38" s="19"/>
      <c r="SGF38" s="19"/>
      <c r="SGG38" s="19"/>
      <c r="SGH38" s="19"/>
      <c r="SGI38" s="19"/>
      <c r="SGJ38" s="19"/>
      <c r="SGK38" s="19"/>
      <c r="SGL38" s="19"/>
      <c r="SGM38" s="19"/>
      <c r="SGN38" s="19"/>
      <c r="SGO38" s="19"/>
      <c r="SGP38" s="19"/>
      <c r="SGQ38" s="19"/>
      <c r="SGR38" s="19"/>
      <c r="SGS38" s="19"/>
      <c r="SGT38" s="19"/>
      <c r="SGU38" s="19"/>
      <c r="SGV38" s="19"/>
      <c r="SGW38" s="19"/>
      <c r="SGX38" s="19"/>
      <c r="SGY38" s="19"/>
      <c r="SGZ38" s="19"/>
      <c r="SHA38" s="19"/>
      <c r="SHB38" s="19"/>
      <c r="SHC38" s="19"/>
      <c r="SHD38" s="19"/>
      <c r="SHE38" s="19"/>
      <c r="SHF38" s="19"/>
      <c r="SHG38" s="19"/>
      <c r="SHH38" s="19"/>
      <c r="SHI38" s="19"/>
      <c r="SHJ38" s="19"/>
      <c r="SHK38" s="19"/>
      <c r="SHL38" s="19"/>
      <c r="SHM38" s="19"/>
      <c r="SHN38" s="19"/>
      <c r="SHO38" s="19"/>
      <c r="SHP38" s="19"/>
      <c r="SHQ38" s="19"/>
      <c r="SHR38" s="19"/>
      <c r="SHS38" s="19"/>
      <c r="SHT38" s="19"/>
      <c r="SHU38" s="19"/>
      <c r="SHV38" s="19"/>
      <c r="SHW38" s="19"/>
      <c r="SHX38" s="19"/>
      <c r="SHY38" s="19"/>
      <c r="SHZ38" s="19"/>
      <c r="SIA38" s="19"/>
      <c r="SIB38" s="19"/>
      <c r="SIC38" s="19"/>
      <c r="SID38" s="19"/>
      <c r="SIE38" s="19"/>
      <c r="SIF38" s="19"/>
      <c r="SIG38" s="19"/>
      <c r="SIH38" s="19"/>
      <c r="SII38" s="19"/>
      <c r="SIJ38" s="19"/>
      <c r="SIK38" s="19"/>
      <c r="SIL38" s="19"/>
      <c r="SIM38" s="19"/>
      <c r="SIN38" s="19"/>
      <c r="SIO38" s="19"/>
      <c r="SIP38" s="19"/>
      <c r="SIQ38" s="19"/>
      <c r="SIR38" s="19"/>
      <c r="SIS38" s="19"/>
      <c r="SIT38" s="19"/>
      <c r="SIU38" s="19"/>
      <c r="SIV38" s="19"/>
      <c r="SIW38" s="19"/>
      <c r="SIX38" s="19"/>
      <c r="SIY38" s="19"/>
      <c r="SIZ38" s="19"/>
      <c r="SJA38" s="19"/>
      <c r="SJB38" s="19"/>
      <c r="SJC38" s="19"/>
      <c r="SJD38" s="19"/>
      <c r="SJE38" s="19"/>
      <c r="SJF38" s="19"/>
      <c r="SJG38" s="19"/>
      <c r="SJH38" s="19"/>
      <c r="SJI38" s="19"/>
      <c r="SJJ38" s="19"/>
      <c r="SJK38" s="19"/>
      <c r="SJL38" s="19"/>
      <c r="SJM38" s="19"/>
      <c r="SJN38" s="19"/>
      <c r="SJO38" s="19"/>
      <c r="SJP38" s="19"/>
      <c r="SJQ38" s="19"/>
      <c r="SJR38" s="19"/>
      <c r="SJS38" s="19"/>
      <c r="SJT38" s="19"/>
      <c r="SJU38" s="19"/>
      <c r="SJV38" s="19"/>
      <c r="SJW38" s="19"/>
      <c r="SJX38" s="19"/>
      <c r="SJY38" s="19"/>
      <c r="SJZ38" s="19"/>
      <c r="SKA38" s="19"/>
      <c r="SKB38" s="19"/>
      <c r="SKC38" s="19"/>
      <c r="SKD38" s="19"/>
      <c r="SKE38" s="19"/>
      <c r="SKF38" s="19"/>
      <c r="SKG38" s="19"/>
      <c r="SKH38" s="19"/>
      <c r="SKI38" s="19"/>
      <c r="SKJ38" s="19"/>
      <c r="SKK38" s="19"/>
      <c r="SKL38" s="19"/>
      <c r="SKM38" s="19"/>
      <c r="SKN38" s="19"/>
      <c r="SKO38" s="19"/>
      <c r="SKP38" s="19"/>
      <c r="SKQ38" s="19"/>
      <c r="SKR38" s="19"/>
      <c r="SKS38" s="19"/>
      <c r="SKT38" s="19"/>
      <c r="SKU38" s="19"/>
      <c r="SKV38" s="19"/>
      <c r="SKW38" s="19"/>
      <c r="SKX38" s="19"/>
      <c r="SKY38" s="19"/>
      <c r="SKZ38" s="19"/>
      <c r="SLA38" s="19"/>
      <c r="SLB38" s="19"/>
      <c r="SLC38" s="19"/>
      <c r="SLD38" s="19"/>
      <c r="SLE38" s="19"/>
      <c r="SLF38" s="19"/>
      <c r="SLG38" s="19"/>
      <c r="SLH38" s="19"/>
      <c r="SLI38" s="19"/>
      <c r="SLJ38" s="19"/>
      <c r="SLK38" s="19"/>
      <c r="SLL38" s="19"/>
      <c r="SLM38" s="19"/>
      <c r="SLN38" s="19"/>
      <c r="SLO38" s="19"/>
      <c r="SLP38" s="19"/>
      <c r="SLQ38" s="19"/>
      <c r="SLR38" s="19"/>
      <c r="SLS38" s="19"/>
      <c r="SLT38" s="19"/>
      <c r="SLU38" s="19"/>
      <c r="SLV38" s="19"/>
      <c r="SLW38" s="19"/>
      <c r="SLX38" s="19"/>
      <c r="SLY38" s="19"/>
      <c r="SLZ38" s="19"/>
      <c r="SMA38" s="19"/>
      <c r="SMB38" s="19"/>
      <c r="SMC38" s="19"/>
      <c r="SMD38" s="19"/>
      <c r="SME38" s="19"/>
      <c r="SMF38" s="19"/>
      <c r="SMG38" s="19"/>
      <c r="SMH38" s="19"/>
      <c r="SMI38" s="19"/>
      <c r="SMJ38" s="19"/>
      <c r="SMK38" s="19"/>
      <c r="SML38" s="19"/>
      <c r="SMM38" s="19"/>
      <c r="SMN38" s="19"/>
      <c r="SMO38" s="19"/>
      <c r="SMP38" s="19"/>
      <c r="SMQ38" s="19"/>
      <c r="SMR38" s="19"/>
      <c r="SMS38" s="19"/>
      <c r="SMT38" s="19"/>
      <c r="SMU38" s="19"/>
      <c r="SMV38" s="19"/>
      <c r="SMW38" s="19"/>
      <c r="SMX38" s="19"/>
      <c r="SMY38" s="19"/>
      <c r="SMZ38" s="19"/>
      <c r="SNA38" s="19"/>
      <c r="SNB38" s="19"/>
      <c r="SNC38" s="19"/>
      <c r="SND38" s="19"/>
      <c r="SNE38" s="19"/>
      <c r="SNF38" s="19"/>
      <c r="SNG38" s="19"/>
      <c r="SNH38" s="19"/>
      <c r="SNI38" s="19"/>
      <c r="SNJ38" s="19"/>
      <c r="SNK38" s="19"/>
      <c r="SNL38" s="19"/>
      <c r="SNM38" s="19"/>
      <c r="SNN38" s="19"/>
      <c r="SNO38" s="19"/>
      <c r="SNP38" s="19"/>
      <c r="SNQ38" s="19"/>
      <c r="SNR38" s="19"/>
      <c r="SNS38" s="19"/>
      <c r="SNT38" s="19"/>
      <c r="SNU38" s="19"/>
      <c r="SNV38" s="19"/>
      <c r="SNW38" s="19"/>
      <c r="SNX38" s="19"/>
      <c r="SNY38" s="19"/>
      <c r="SNZ38" s="19"/>
      <c r="SOA38" s="19"/>
      <c r="SOB38" s="19"/>
      <c r="SOC38" s="19"/>
      <c r="SOD38" s="19"/>
      <c r="SOE38" s="19"/>
      <c r="SOF38" s="19"/>
      <c r="SOG38" s="19"/>
      <c r="SOH38" s="19"/>
      <c r="SOI38" s="19"/>
      <c r="SOJ38" s="19"/>
      <c r="SOK38" s="19"/>
      <c r="SOL38" s="19"/>
      <c r="SOM38" s="19"/>
      <c r="SON38" s="19"/>
      <c r="SOO38" s="19"/>
      <c r="SOP38" s="19"/>
      <c r="SOQ38" s="19"/>
      <c r="SOR38" s="19"/>
      <c r="SOS38" s="19"/>
      <c r="SOT38" s="19"/>
      <c r="SOU38" s="19"/>
      <c r="SOV38" s="19"/>
      <c r="SOW38" s="19"/>
      <c r="SOX38" s="19"/>
      <c r="SOY38" s="19"/>
      <c r="SOZ38" s="19"/>
      <c r="SPA38" s="19"/>
      <c r="SPB38" s="19"/>
      <c r="SPC38" s="19"/>
      <c r="SPD38" s="19"/>
      <c r="SPE38" s="19"/>
      <c r="SPF38" s="19"/>
      <c r="SPG38" s="19"/>
      <c r="SPH38" s="19"/>
      <c r="SPI38" s="19"/>
      <c r="SPJ38" s="19"/>
      <c r="SPK38" s="19"/>
      <c r="SPL38" s="19"/>
      <c r="SPM38" s="19"/>
      <c r="SPN38" s="19"/>
      <c r="SPO38" s="19"/>
      <c r="SPP38" s="19"/>
      <c r="SPQ38" s="19"/>
      <c r="SPR38" s="19"/>
      <c r="SPS38" s="19"/>
      <c r="SPT38" s="19"/>
      <c r="SPU38" s="19"/>
      <c r="SPV38" s="19"/>
      <c r="SPW38" s="19"/>
      <c r="SPX38" s="19"/>
      <c r="SPY38" s="19"/>
      <c r="SPZ38" s="19"/>
      <c r="SQA38" s="19"/>
      <c r="SQB38" s="19"/>
      <c r="SQC38" s="19"/>
      <c r="SQD38" s="19"/>
      <c r="SQE38" s="19"/>
      <c r="SQF38" s="19"/>
      <c r="SQG38" s="19"/>
      <c r="SQH38" s="19"/>
      <c r="SQI38" s="19"/>
      <c r="SQJ38" s="19"/>
      <c r="SQK38" s="19"/>
      <c r="SQL38" s="19"/>
      <c r="SQM38" s="19"/>
      <c r="SQN38" s="19"/>
      <c r="SQO38" s="19"/>
      <c r="SQP38" s="19"/>
      <c r="SQQ38" s="19"/>
      <c r="SQR38" s="19"/>
      <c r="SQS38" s="19"/>
      <c r="SQT38" s="19"/>
      <c r="SQU38" s="19"/>
      <c r="SQV38" s="19"/>
      <c r="SQW38" s="19"/>
      <c r="SQX38" s="19"/>
      <c r="SQY38" s="19"/>
      <c r="SQZ38" s="19"/>
      <c r="SRA38" s="19"/>
      <c r="SRB38" s="19"/>
      <c r="SRC38" s="19"/>
      <c r="SRD38" s="19"/>
      <c r="SRE38" s="19"/>
      <c r="SRF38" s="19"/>
      <c r="SRG38" s="19"/>
      <c r="SRH38" s="19"/>
      <c r="SRI38" s="19"/>
      <c r="SRJ38" s="19"/>
      <c r="SRK38" s="19"/>
      <c r="SRL38" s="19"/>
      <c r="SRM38" s="19"/>
      <c r="SRN38" s="19"/>
      <c r="SRO38" s="19"/>
      <c r="SRP38" s="19"/>
      <c r="SRQ38" s="19"/>
      <c r="SRR38" s="19"/>
      <c r="SRS38" s="19"/>
      <c r="SRT38" s="19"/>
      <c r="SRU38" s="19"/>
      <c r="SRV38" s="19"/>
      <c r="SRW38" s="19"/>
      <c r="SRX38" s="19"/>
      <c r="SRY38" s="19"/>
      <c r="SRZ38" s="19"/>
      <c r="SSA38" s="19"/>
      <c r="SSB38" s="19"/>
      <c r="SSC38" s="19"/>
      <c r="SSD38" s="19"/>
      <c r="SSE38" s="19"/>
      <c r="SSF38" s="19"/>
      <c r="SSG38" s="19"/>
      <c r="SSH38" s="19"/>
      <c r="SSI38" s="19"/>
      <c r="SSJ38" s="19"/>
      <c r="SSK38" s="19"/>
      <c r="SSL38" s="19"/>
      <c r="SSM38" s="19"/>
      <c r="SSN38" s="19"/>
      <c r="SSO38" s="19"/>
      <c r="SSP38" s="19"/>
      <c r="SSQ38" s="19"/>
      <c r="SSR38" s="19"/>
      <c r="SSS38" s="19"/>
      <c r="SST38" s="19"/>
      <c r="SSU38" s="19"/>
      <c r="SSV38" s="19"/>
      <c r="SSW38" s="19"/>
      <c r="SSX38" s="19"/>
      <c r="SSY38" s="19"/>
      <c r="SSZ38" s="19"/>
      <c r="STA38" s="19"/>
      <c r="STB38" s="19"/>
      <c r="STC38" s="19"/>
      <c r="STD38" s="19"/>
      <c r="STE38" s="19"/>
      <c r="STF38" s="19"/>
      <c r="STG38" s="19"/>
      <c r="STH38" s="19"/>
      <c r="STI38" s="19"/>
      <c r="STJ38" s="19"/>
      <c r="STK38" s="19"/>
      <c r="STL38" s="19"/>
      <c r="STM38" s="19"/>
      <c r="STN38" s="19"/>
      <c r="STO38" s="19"/>
      <c r="STP38" s="19"/>
      <c r="STQ38" s="19"/>
      <c r="STR38" s="19"/>
      <c r="STS38" s="19"/>
      <c r="STT38" s="19"/>
      <c r="STU38" s="19"/>
      <c r="STV38" s="19"/>
      <c r="STW38" s="19"/>
      <c r="STX38" s="19"/>
      <c r="STY38" s="19"/>
      <c r="STZ38" s="19"/>
      <c r="SUA38" s="19"/>
      <c r="SUB38" s="19"/>
      <c r="SUC38" s="19"/>
      <c r="SUD38" s="19"/>
      <c r="SUE38" s="19"/>
      <c r="SUF38" s="19"/>
      <c r="SUG38" s="19"/>
      <c r="SUH38" s="19"/>
      <c r="SUI38" s="19"/>
      <c r="SUJ38" s="19"/>
      <c r="SUK38" s="19"/>
      <c r="SUL38" s="19"/>
      <c r="SUM38" s="19"/>
      <c r="SUN38" s="19"/>
      <c r="SUO38" s="19"/>
      <c r="SUP38" s="19"/>
      <c r="SUQ38" s="19"/>
      <c r="SUR38" s="19"/>
      <c r="SUS38" s="19"/>
      <c r="SUT38" s="19"/>
      <c r="SUU38" s="19"/>
      <c r="SUV38" s="19"/>
      <c r="SUW38" s="19"/>
      <c r="SUX38" s="19"/>
      <c r="SUY38" s="19"/>
      <c r="SUZ38" s="19"/>
      <c r="SVA38" s="19"/>
      <c r="SVB38" s="19"/>
      <c r="SVC38" s="19"/>
      <c r="SVD38" s="19"/>
      <c r="SVE38" s="19"/>
      <c r="SVF38" s="19"/>
      <c r="SVG38" s="19"/>
      <c r="SVH38" s="19"/>
      <c r="SVI38" s="19"/>
      <c r="SVJ38" s="19"/>
      <c r="SVK38" s="19"/>
      <c r="SVL38" s="19"/>
      <c r="SVM38" s="19"/>
      <c r="SVN38" s="19"/>
      <c r="SVO38" s="19"/>
      <c r="SVP38" s="19"/>
      <c r="SVQ38" s="19"/>
      <c r="SVR38" s="19"/>
      <c r="SVS38" s="19"/>
      <c r="SVT38" s="19"/>
      <c r="SVU38" s="19"/>
      <c r="SVV38" s="19"/>
      <c r="SVW38" s="19"/>
      <c r="SVX38" s="19"/>
      <c r="SVY38" s="19"/>
      <c r="SVZ38" s="19"/>
      <c r="SWA38" s="19"/>
      <c r="SWB38" s="19"/>
      <c r="SWC38" s="19"/>
      <c r="SWD38" s="19"/>
      <c r="SWE38" s="19"/>
      <c r="SWF38" s="19"/>
      <c r="SWG38" s="19"/>
      <c r="SWH38" s="19"/>
      <c r="SWI38" s="19"/>
      <c r="SWJ38" s="19"/>
      <c r="SWK38" s="19"/>
      <c r="SWL38" s="19"/>
      <c r="SWM38" s="19"/>
      <c r="SWN38" s="19"/>
      <c r="SWO38" s="19"/>
      <c r="SWP38" s="19"/>
      <c r="SWQ38" s="19"/>
      <c r="SWR38" s="19"/>
      <c r="SWS38" s="19"/>
      <c r="SWT38" s="19"/>
      <c r="SWU38" s="19"/>
      <c r="SWV38" s="19"/>
      <c r="SWW38" s="19"/>
      <c r="SWX38" s="19"/>
      <c r="SWY38" s="19"/>
      <c r="SWZ38" s="19"/>
      <c r="SXA38" s="19"/>
      <c r="SXB38" s="19"/>
      <c r="SXC38" s="19"/>
      <c r="SXD38" s="19"/>
      <c r="SXE38" s="19"/>
      <c r="SXF38" s="19"/>
      <c r="SXG38" s="19"/>
      <c r="SXH38" s="19"/>
      <c r="SXI38" s="19"/>
      <c r="SXJ38" s="19"/>
      <c r="SXK38" s="19"/>
      <c r="SXL38" s="19"/>
      <c r="SXM38" s="19"/>
      <c r="SXN38" s="19"/>
      <c r="SXO38" s="19"/>
      <c r="SXP38" s="19"/>
      <c r="SXQ38" s="19"/>
      <c r="SXR38" s="19"/>
      <c r="SXS38" s="19"/>
      <c r="SXT38" s="19"/>
      <c r="SXU38" s="19"/>
      <c r="SXV38" s="19"/>
      <c r="SXW38" s="19"/>
      <c r="SXX38" s="19"/>
      <c r="SXY38" s="19"/>
      <c r="SXZ38" s="19"/>
      <c r="SYA38" s="19"/>
      <c r="SYB38" s="19"/>
      <c r="SYC38" s="19"/>
      <c r="SYD38" s="19"/>
      <c r="SYE38" s="19"/>
      <c r="SYF38" s="19"/>
      <c r="SYG38" s="19"/>
      <c r="SYH38" s="19"/>
      <c r="SYI38" s="19"/>
      <c r="SYJ38" s="19"/>
      <c r="SYK38" s="19"/>
      <c r="SYL38" s="19"/>
      <c r="SYM38" s="19"/>
      <c r="SYN38" s="19"/>
      <c r="SYO38" s="19"/>
      <c r="SYP38" s="19"/>
      <c r="SYQ38" s="19"/>
      <c r="SYR38" s="19"/>
      <c r="SYS38" s="19"/>
      <c r="SYT38" s="19"/>
      <c r="SYU38" s="19"/>
      <c r="SYV38" s="19"/>
      <c r="SYW38" s="19"/>
      <c r="SYX38" s="19"/>
      <c r="SYY38" s="19"/>
      <c r="SYZ38" s="19"/>
      <c r="SZA38" s="19"/>
      <c r="SZB38" s="19"/>
      <c r="SZC38" s="19"/>
      <c r="SZD38" s="19"/>
      <c r="SZE38" s="19"/>
      <c r="SZF38" s="19"/>
      <c r="SZG38" s="19"/>
      <c r="SZH38" s="19"/>
      <c r="SZI38" s="19"/>
      <c r="SZJ38" s="19"/>
      <c r="SZK38" s="19"/>
      <c r="SZL38" s="19"/>
      <c r="SZM38" s="19"/>
      <c r="SZN38" s="19"/>
      <c r="SZO38" s="19"/>
      <c r="SZP38" s="19"/>
      <c r="SZQ38" s="19"/>
      <c r="SZR38" s="19"/>
      <c r="SZS38" s="19"/>
      <c r="SZT38" s="19"/>
      <c r="SZU38" s="19"/>
      <c r="SZV38" s="19"/>
      <c r="SZW38" s="19"/>
      <c r="SZX38" s="19"/>
      <c r="SZY38" s="19"/>
      <c r="SZZ38" s="19"/>
      <c r="TAA38" s="19"/>
      <c r="TAB38" s="19"/>
      <c r="TAC38" s="19"/>
      <c r="TAD38" s="19"/>
      <c r="TAE38" s="19"/>
      <c r="TAF38" s="19"/>
      <c r="TAG38" s="19"/>
      <c r="TAH38" s="19"/>
      <c r="TAI38" s="19"/>
      <c r="TAJ38" s="19"/>
      <c r="TAK38" s="19"/>
      <c r="TAL38" s="19"/>
      <c r="TAM38" s="19"/>
      <c r="TAN38" s="19"/>
      <c r="TAO38" s="19"/>
      <c r="TAP38" s="19"/>
      <c r="TAQ38" s="19"/>
      <c r="TAR38" s="19"/>
      <c r="TAS38" s="19"/>
      <c r="TAT38" s="19"/>
      <c r="TAU38" s="19"/>
      <c r="TAV38" s="19"/>
      <c r="TAW38" s="19"/>
      <c r="TAX38" s="19"/>
      <c r="TAY38" s="19"/>
      <c r="TAZ38" s="19"/>
      <c r="TBA38" s="19"/>
      <c r="TBB38" s="19"/>
      <c r="TBC38" s="19"/>
      <c r="TBD38" s="19"/>
      <c r="TBE38" s="19"/>
      <c r="TBF38" s="19"/>
      <c r="TBG38" s="19"/>
      <c r="TBH38" s="19"/>
      <c r="TBI38" s="19"/>
      <c r="TBJ38" s="19"/>
      <c r="TBK38" s="19"/>
      <c r="TBL38" s="19"/>
      <c r="TBM38" s="19"/>
      <c r="TBN38" s="19"/>
      <c r="TBO38" s="19"/>
      <c r="TBP38" s="19"/>
      <c r="TBQ38" s="19"/>
      <c r="TBR38" s="19"/>
      <c r="TBS38" s="19"/>
      <c r="TBT38" s="19"/>
      <c r="TBU38" s="19"/>
      <c r="TBV38" s="19"/>
      <c r="TBW38" s="19"/>
      <c r="TBX38" s="19"/>
      <c r="TBY38" s="19"/>
      <c r="TBZ38" s="19"/>
      <c r="TCA38" s="19"/>
      <c r="TCB38" s="19"/>
      <c r="TCC38" s="19"/>
      <c r="TCD38" s="19"/>
      <c r="TCE38" s="19"/>
      <c r="TCF38" s="19"/>
      <c r="TCG38" s="19"/>
      <c r="TCH38" s="19"/>
      <c r="TCI38" s="19"/>
      <c r="TCJ38" s="19"/>
      <c r="TCK38" s="19"/>
      <c r="TCL38" s="19"/>
      <c r="TCM38" s="19"/>
      <c r="TCN38" s="19"/>
      <c r="TCO38" s="19"/>
      <c r="TCP38" s="19"/>
      <c r="TCQ38" s="19"/>
      <c r="TCR38" s="19"/>
      <c r="TCS38" s="19"/>
      <c r="TCT38" s="19"/>
      <c r="TCU38" s="19"/>
      <c r="TCV38" s="19"/>
      <c r="TCW38" s="19"/>
      <c r="TCX38" s="19"/>
      <c r="TCY38" s="19"/>
      <c r="TCZ38" s="19"/>
      <c r="TDA38" s="19"/>
      <c r="TDB38" s="19"/>
      <c r="TDC38" s="19"/>
      <c r="TDD38" s="19"/>
      <c r="TDE38" s="19"/>
      <c r="TDF38" s="19"/>
      <c r="TDG38" s="19"/>
      <c r="TDH38" s="19"/>
      <c r="TDI38" s="19"/>
      <c r="TDJ38" s="19"/>
      <c r="TDK38" s="19"/>
      <c r="TDL38" s="19"/>
      <c r="TDM38" s="19"/>
      <c r="TDN38" s="19"/>
      <c r="TDO38" s="19"/>
      <c r="TDP38" s="19"/>
      <c r="TDQ38" s="19"/>
      <c r="TDR38" s="19"/>
      <c r="TDS38" s="19"/>
      <c r="TDT38" s="19"/>
      <c r="TDU38" s="19"/>
      <c r="TDV38" s="19"/>
      <c r="TDW38" s="19"/>
      <c r="TDX38" s="19"/>
      <c r="TDY38" s="19"/>
      <c r="TDZ38" s="19"/>
      <c r="TEA38" s="19"/>
      <c r="TEB38" s="19"/>
      <c r="TEC38" s="19"/>
      <c r="TED38" s="19"/>
      <c r="TEE38" s="19"/>
      <c r="TEF38" s="19"/>
      <c r="TEG38" s="19"/>
      <c r="TEH38" s="19"/>
      <c r="TEI38" s="19"/>
      <c r="TEJ38" s="19"/>
      <c r="TEK38" s="19"/>
      <c r="TEL38" s="19"/>
      <c r="TEM38" s="19"/>
      <c r="TEN38" s="19"/>
      <c r="TEO38" s="19"/>
      <c r="TEP38" s="19"/>
      <c r="TEQ38" s="19"/>
      <c r="TER38" s="19"/>
      <c r="TES38" s="19"/>
      <c r="TET38" s="19"/>
      <c r="TEU38" s="19"/>
      <c r="TEV38" s="19"/>
      <c r="TEW38" s="19"/>
      <c r="TEX38" s="19"/>
      <c r="TEY38" s="19"/>
      <c r="TEZ38" s="19"/>
      <c r="TFA38" s="19"/>
      <c r="TFB38" s="19"/>
      <c r="TFC38" s="19"/>
      <c r="TFD38" s="19"/>
      <c r="TFE38" s="19"/>
      <c r="TFF38" s="19"/>
      <c r="TFG38" s="19"/>
      <c r="TFH38" s="19"/>
      <c r="TFI38" s="19"/>
      <c r="TFJ38" s="19"/>
      <c r="TFK38" s="19"/>
      <c r="TFL38" s="19"/>
      <c r="TFM38" s="19"/>
      <c r="TFN38" s="19"/>
      <c r="TFO38" s="19"/>
      <c r="TFP38" s="19"/>
      <c r="TFQ38" s="19"/>
      <c r="TFR38" s="19"/>
      <c r="TFS38" s="19"/>
      <c r="TFT38" s="19"/>
      <c r="TFU38" s="19"/>
      <c r="TFV38" s="19"/>
      <c r="TFW38" s="19"/>
      <c r="TFX38" s="19"/>
      <c r="TFY38" s="19"/>
      <c r="TFZ38" s="19"/>
      <c r="TGA38" s="19"/>
      <c r="TGB38" s="19"/>
      <c r="TGC38" s="19"/>
      <c r="TGD38" s="19"/>
      <c r="TGE38" s="19"/>
      <c r="TGF38" s="19"/>
      <c r="TGG38" s="19"/>
      <c r="TGH38" s="19"/>
      <c r="TGI38" s="19"/>
      <c r="TGJ38" s="19"/>
      <c r="TGK38" s="19"/>
      <c r="TGL38" s="19"/>
      <c r="TGM38" s="19"/>
      <c r="TGN38" s="19"/>
      <c r="TGO38" s="19"/>
      <c r="TGP38" s="19"/>
      <c r="TGQ38" s="19"/>
      <c r="TGR38" s="19"/>
      <c r="TGS38" s="19"/>
      <c r="TGT38" s="19"/>
      <c r="TGU38" s="19"/>
      <c r="TGV38" s="19"/>
      <c r="TGW38" s="19"/>
      <c r="TGX38" s="19"/>
      <c r="TGY38" s="19"/>
      <c r="TGZ38" s="19"/>
      <c r="THA38" s="19"/>
      <c r="THB38" s="19"/>
      <c r="THC38" s="19"/>
      <c r="THD38" s="19"/>
      <c r="THE38" s="19"/>
      <c r="THF38" s="19"/>
      <c r="THG38" s="19"/>
      <c r="THH38" s="19"/>
      <c r="THI38" s="19"/>
      <c r="THJ38" s="19"/>
      <c r="THK38" s="19"/>
      <c r="THL38" s="19"/>
      <c r="THM38" s="19"/>
      <c r="THN38" s="19"/>
      <c r="THO38" s="19"/>
      <c r="THP38" s="19"/>
      <c r="THQ38" s="19"/>
      <c r="THR38" s="19"/>
      <c r="THS38" s="19"/>
      <c r="THT38" s="19"/>
      <c r="THU38" s="19"/>
      <c r="THV38" s="19"/>
      <c r="THW38" s="19"/>
      <c r="THX38" s="19"/>
      <c r="THY38" s="19"/>
      <c r="THZ38" s="19"/>
      <c r="TIA38" s="19"/>
      <c r="TIB38" s="19"/>
      <c r="TIC38" s="19"/>
      <c r="TID38" s="19"/>
      <c r="TIE38" s="19"/>
      <c r="TIF38" s="19"/>
      <c r="TIG38" s="19"/>
      <c r="TIH38" s="19"/>
      <c r="TII38" s="19"/>
      <c r="TIJ38" s="19"/>
      <c r="TIK38" s="19"/>
      <c r="TIL38" s="19"/>
      <c r="TIM38" s="19"/>
      <c r="TIN38" s="19"/>
      <c r="TIO38" s="19"/>
      <c r="TIP38" s="19"/>
      <c r="TIQ38" s="19"/>
      <c r="TIR38" s="19"/>
      <c r="TIS38" s="19"/>
      <c r="TIT38" s="19"/>
      <c r="TIU38" s="19"/>
      <c r="TIV38" s="19"/>
      <c r="TIW38" s="19"/>
      <c r="TIX38" s="19"/>
      <c r="TIY38" s="19"/>
      <c r="TIZ38" s="19"/>
      <c r="TJA38" s="19"/>
      <c r="TJB38" s="19"/>
      <c r="TJC38" s="19"/>
      <c r="TJD38" s="19"/>
      <c r="TJE38" s="19"/>
      <c r="TJF38" s="19"/>
      <c r="TJG38" s="19"/>
      <c r="TJH38" s="19"/>
      <c r="TJI38" s="19"/>
      <c r="TJJ38" s="19"/>
      <c r="TJK38" s="19"/>
      <c r="TJL38" s="19"/>
      <c r="TJM38" s="19"/>
      <c r="TJN38" s="19"/>
      <c r="TJO38" s="19"/>
      <c r="TJP38" s="19"/>
      <c r="TJQ38" s="19"/>
      <c r="TJR38" s="19"/>
      <c r="TJS38" s="19"/>
      <c r="TJT38" s="19"/>
      <c r="TJU38" s="19"/>
      <c r="TJV38" s="19"/>
      <c r="TJW38" s="19"/>
      <c r="TJX38" s="19"/>
      <c r="TJY38" s="19"/>
      <c r="TJZ38" s="19"/>
      <c r="TKA38" s="19"/>
      <c r="TKB38" s="19"/>
      <c r="TKC38" s="19"/>
      <c r="TKD38" s="19"/>
      <c r="TKE38" s="19"/>
      <c r="TKF38" s="19"/>
      <c r="TKG38" s="19"/>
      <c r="TKH38" s="19"/>
      <c r="TKI38" s="19"/>
      <c r="TKJ38" s="19"/>
      <c r="TKK38" s="19"/>
      <c r="TKL38" s="19"/>
      <c r="TKM38" s="19"/>
      <c r="TKN38" s="19"/>
      <c r="TKO38" s="19"/>
      <c r="TKP38" s="19"/>
      <c r="TKQ38" s="19"/>
      <c r="TKR38" s="19"/>
      <c r="TKS38" s="19"/>
      <c r="TKT38" s="19"/>
      <c r="TKU38" s="19"/>
      <c r="TKV38" s="19"/>
      <c r="TKW38" s="19"/>
      <c r="TKX38" s="19"/>
      <c r="TKY38" s="19"/>
      <c r="TKZ38" s="19"/>
      <c r="TLA38" s="19"/>
      <c r="TLB38" s="19"/>
      <c r="TLC38" s="19"/>
      <c r="TLD38" s="19"/>
      <c r="TLE38" s="19"/>
      <c r="TLF38" s="19"/>
      <c r="TLG38" s="19"/>
      <c r="TLH38" s="19"/>
      <c r="TLI38" s="19"/>
      <c r="TLJ38" s="19"/>
      <c r="TLK38" s="19"/>
      <c r="TLL38" s="19"/>
      <c r="TLM38" s="19"/>
      <c r="TLN38" s="19"/>
      <c r="TLO38" s="19"/>
      <c r="TLP38" s="19"/>
      <c r="TLQ38" s="19"/>
      <c r="TLR38" s="19"/>
      <c r="TLS38" s="19"/>
      <c r="TLT38" s="19"/>
      <c r="TLU38" s="19"/>
      <c r="TLV38" s="19"/>
      <c r="TLW38" s="19"/>
      <c r="TLX38" s="19"/>
      <c r="TLY38" s="19"/>
      <c r="TLZ38" s="19"/>
      <c r="TMA38" s="19"/>
      <c r="TMB38" s="19"/>
      <c r="TMC38" s="19"/>
      <c r="TMD38" s="19"/>
      <c r="TME38" s="19"/>
      <c r="TMF38" s="19"/>
      <c r="TMG38" s="19"/>
      <c r="TMH38" s="19"/>
      <c r="TMI38" s="19"/>
      <c r="TMJ38" s="19"/>
      <c r="TMK38" s="19"/>
      <c r="TML38" s="19"/>
      <c r="TMM38" s="19"/>
      <c r="TMN38" s="19"/>
      <c r="TMO38" s="19"/>
      <c r="TMP38" s="19"/>
      <c r="TMQ38" s="19"/>
      <c r="TMR38" s="19"/>
      <c r="TMS38" s="19"/>
      <c r="TMT38" s="19"/>
      <c r="TMU38" s="19"/>
      <c r="TMV38" s="19"/>
      <c r="TMW38" s="19"/>
      <c r="TMX38" s="19"/>
      <c r="TMY38" s="19"/>
      <c r="TMZ38" s="19"/>
      <c r="TNA38" s="19"/>
      <c r="TNB38" s="19"/>
      <c r="TNC38" s="19"/>
      <c r="TND38" s="19"/>
      <c r="TNE38" s="19"/>
      <c r="TNF38" s="19"/>
      <c r="TNG38" s="19"/>
      <c r="TNH38" s="19"/>
      <c r="TNI38" s="19"/>
      <c r="TNJ38" s="19"/>
      <c r="TNK38" s="19"/>
      <c r="TNL38" s="19"/>
      <c r="TNM38" s="19"/>
      <c r="TNN38" s="19"/>
      <c r="TNO38" s="19"/>
      <c r="TNP38" s="19"/>
      <c r="TNQ38" s="19"/>
      <c r="TNR38" s="19"/>
      <c r="TNS38" s="19"/>
      <c r="TNT38" s="19"/>
      <c r="TNU38" s="19"/>
      <c r="TNV38" s="19"/>
      <c r="TNW38" s="19"/>
      <c r="TNX38" s="19"/>
      <c r="TNY38" s="19"/>
      <c r="TNZ38" s="19"/>
      <c r="TOA38" s="19"/>
      <c r="TOB38" s="19"/>
      <c r="TOC38" s="19"/>
      <c r="TOD38" s="19"/>
      <c r="TOE38" s="19"/>
      <c r="TOF38" s="19"/>
      <c r="TOG38" s="19"/>
      <c r="TOH38" s="19"/>
      <c r="TOI38" s="19"/>
      <c r="TOJ38" s="19"/>
      <c r="TOK38" s="19"/>
      <c r="TOL38" s="19"/>
      <c r="TOM38" s="19"/>
      <c r="TON38" s="19"/>
      <c r="TOO38" s="19"/>
      <c r="TOP38" s="19"/>
      <c r="TOQ38" s="19"/>
      <c r="TOR38" s="19"/>
      <c r="TOS38" s="19"/>
      <c r="TOT38" s="19"/>
      <c r="TOU38" s="19"/>
      <c r="TOV38" s="19"/>
      <c r="TOW38" s="19"/>
      <c r="TOX38" s="19"/>
      <c r="TOY38" s="19"/>
      <c r="TOZ38" s="19"/>
      <c r="TPA38" s="19"/>
      <c r="TPB38" s="19"/>
      <c r="TPC38" s="19"/>
      <c r="TPD38" s="19"/>
      <c r="TPE38" s="19"/>
      <c r="TPF38" s="19"/>
      <c r="TPG38" s="19"/>
      <c r="TPH38" s="19"/>
      <c r="TPI38" s="19"/>
      <c r="TPJ38" s="19"/>
      <c r="TPK38" s="19"/>
      <c r="TPL38" s="19"/>
      <c r="TPM38" s="19"/>
      <c r="TPN38" s="19"/>
      <c r="TPO38" s="19"/>
      <c r="TPP38" s="19"/>
      <c r="TPQ38" s="19"/>
      <c r="TPR38" s="19"/>
      <c r="TPS38" s="19"/>
      <c r="TPT38" s="19"/>
      <c r="TPU38" s="19"/>
      <c r="TPV38" s="19"/>
      <c r="TPW38" s="19"/>
      <c r="TPX38" s="19"/>
      <c r="TPY38" s="19"/>
      <c r="TPZ38" s="19"/>
      <c r="TQA38" s="19"/>
      <c r="TQB38" s="19"/>
      <c r="TQC38" s="19"/>
      <c r="TQD38" s="19"/>
      <c r="TQE38" s="19"/>
      <c r="TQF38" s="19"/>
      <c r="TQG38" s="19"/>
      <c r="TQH38" s="19"/>
      <c r="TQI38" s="19"/>
      <c r="TQJ38" s="19"/>
      <c r="TQK38" s="19"/>
      <c r="TQL38" s="19"/>
      <c r="TQM38" s="19"/>
      <c r="TQN38" s="19"/>
      <c r="TQO38" s="19"/>
      <c r="TQP38" s="19"/>
      <c r="TQQ38" s="19"/>
      <c r="TQR38" s="19"/>
      <c r="TQS38" s="19"/>
      <c r="TQT38" s="19"/>
      <c r="TQU38" s="19"/>
      <c r="TQV38" s="19"/>
      <c r="TQW38" s="19"/>
      <c r="TQX38" s="19"/>
      <c r="TQY38" s="19"/>
      <c r="TQZ38" s="19"/>
      <c r="TRA38" s="19"/>
      <c r="TRB38" s="19"/>
      <c r="TRC38" s="19"/>
      <c r="TRD38" s="19"/>
      <c r="TRE38" s="19"/>
      <c r="TRF38" s="19"/>
      <c r="TRG38" s="19"/>
      <c r="TRH38" s="19"/>
      <c r="TRI38" s="19"/>
      <c r="TRJ38" s="19"/>
      <c r="TRK38" s="19"/>
      <c r="TRL38" s="19"/>
      <c r="TRM38" s="19"/>
      <c r="TRN38" s="19"/>
      <c r="TRO38" s="19"/>
      <c r="TRP38" s="19"/>
      <c r="TRQ38" s="19"/>
      <c r="TRR38" s="19"/>
      <c r="TRS38" s="19"/>
      <c r="TRT38" s="19"/>
      <c r="TRU38" s="19"/>
      <c r="TRV38" s="19"/>
      <c r="TRW38" s="19"/>
      <c r="TRX38" s="19"/>
      <c r="TRY38" s="19"/>
      <c r="TRZ38" s="19"/>
      <c r="TSA38" s="19"/>
      <c r="TSB38" s="19"/>
      <c r="TSC38" s="19"/>
      <c r="TSD38" s="19"/>
      <c r="TSE38" s="19"/>
      <c r="TSF38" s="19"/>
      <c r="TSG38" s="19"/>
      <c r="TSH38" s="19"/>
      <c r="TSI38" s="19"/>
      <c r="TSJ38" s="19"/>
      <c r="TSK38" s="19"/>
      <c r="TSL38" s="19"/>
      <c r="TSM38" s="19"/>
      <c r="TSN38" s="19"/>
      <c r="TSO38" s="19"/>
      <c r="TSP38" s="19"/>
      <c r="TSQ38" s="19"/>
      <c r="TSR38" s="19"/>
      <c r="TSS38" s="19"/>
      <c r="TST38" s="19"/>
      <c r="TSU38" s="19"/>
      <c r="TSV38" s="19"/>
      <c r="TSW38" s="19"/>
      <c r="TSX38" s="19"/>
      <c r="TSY38" s="19"/>
      <c r="TSZ38" s="19"/>
      <c r="TTA38" s="19"/>
      <c r="TTB38" s="19"/>
      <c r="TTC38" s="19"/>
      <c r="TTD38" s="19"/>
      <c r="TTE38" s="19"/>
      <c r="TTF38" s="19"/>
      <c r="TTG38" s="19"/>
      <c r="TTH38" s="19"/>
      <c r="TTI38" s="19"/>
      <c r="TTJ38" s="19"/>
      <c r="TTK38" s="19"/>
      <c r="TTL38" s="19"/>
      <c r="TTM38" s="19"/>
      <c r="TTN38" s="19"/>
      <c r="TTO38" s="19"/>
      <c r="TTP38" s="19"/>
      <c r="TTQ38" s="19"/>
      <c r="TTR38" s="19"/>
      <c r="TTS38" s="19"/>
      <c r="TTT38" s="19"/>
      <c r="TTU38" s="19"/>
      <c r="TTV38" s="19"/>
      <c r="TTW38" s="19"/>
      <c r="TTX38" s="19"/>
      <c r="TTY38" s="19"/>
      <c r="TTZ38" s="19"/>
      <c r="TUA38" s="19"/>
      <c r="TUB38" s="19"/>
      <c r="TUC38" s="19"/>
      <c r="TUD38" s="19"/>
      <c r="TUE38" s="19"/>
      <c r="TUF38" s="19"/>
      <c r="TUG38" s="19"/>
      <c r="TUH38" s="19"/>
      <c r="TUI38" s="19"/>
      <c r="TUJ38" s="19"/>
      <c r="TUK38" s="19"/>
      <c r="TUL38" s="19"/>
      <c r="TUM38" s="19"/>
      <c r="TUN38" s="19"/>
      <c r="TUO38" s="19"/>
      <c r="TUP38" s="19"/>
      <c r="TUQ38" s="19"/>
      <c r="TUR38" s="19"/>
      <c r="TUS38" s="19"/>
      <c r="TUT38" s="19"/>
      <c r="TUU38" s="19"/>
      <c r="TUV38" s="19"/>
      <c r="TUW38" s="19"/>
      <c r="TUX38" s="19"/>
      <c r="TUY38" s="19"/>
      <c r="TUZ38" s="19"/>
      <c r="TVA38" s="19"/>
      <c r="TVB38" s="19"/>
      <c r="TVC38" s="19"/>
      <c r="TVD38" s="19"/>
      <c r="TVE38" s="19"/>
      <c r="TVF38" s="19"/>
      <c r="TVG38" s="19"/>
      <c r="TVH38" s="19"/>
      <c r="TVI38" s="19"/>
      <c r="TVJ38" s="19"/>
      <c r="TVK38" s="19"/>
      <c r="TVL38" s="19"/>
      <c r="TVM38" s="19"/>
      <c r="TVN38" s="19"/>
      <c r="TVO38" s="19"/>
      <c r="TVP38" s="19"/>
      <c r="TVQ38" s="19"/>
      <c r="TVR38" s="19"/>
      <c r="TVS38" s="19"/>
      <c r="TVT38" s="19"/>
      <c r="TVU38" s="19"/>
      <c r="TVV38" s="19"/>
      <c r="TVW38" s="19"/>
      <c r="TVX38" s="19"/>
      <c r="TVY38" s="19"/>
      <c r="TVZ38" s="19"/>
      <c r="TWA38" s="19"/>
      <c r="TWB38" s="19"/>
      <c r="TWC38" s="19"/>
      <c r="TWD38" s="19"/>
      <c r="TWE38" s="19"/>
      <c r="TWF38" s="19"/>
      <c r="TWG38" s="19"/>
      <c r="TWH38" s="19"/>
      <c r="TWI38" s="19"/>
      <c r="TWJ38" s="19"/>
      <c r="TWK38" s="19"/>
      <c r="TWL38" s="19"/>
      <c r="TWM38" s="19"/>
      <c r="TWN38" s="19"/>
      <c r="TWO38" s="19"/>
      <c r="TWP38" s="19"/>
      <c r="TWQ38" s="19"/>
      <c r="TWR38" s="19"/>
      <c r="TWS38" s="19"/>
      <c r="TWT38" s="19"/>
      <c r="TWU38" s="19"/>
      <c r="TWV38" s="19"/>
      <c r="TWW38" s="19"/>
      <c r="TWX38" s="19"/>
      <c r="TWY38" s="19"/>
      <c r="TWZ38" s="19"/>
      <c r="TXA38" s="19"/>
      <c r="TXB38" s="19"/>
      <c r="TXC38" s="19"/>
      <c r="TXD38" s="19"/>
      <c r="TXE38" s="19"/>
      <c r="TXF38" s="19"/>
      <c r="TXG38" s="19"/>
      <c r="TXH38" s="19"/>
      <c r="TXI38" s="19"/>
      <c r="TXJ38" s="19"/>
      <c r="TXK38" s="19"/>
      <c r="TXL38" s="19"/>
      <c r="TXM38" s="19"/>
      <c r="TXN38" s="19"/>
      <c r="TXO38" s="19"/>
      <c r="TXP38" s="19"/>
      <c r="TXQ38" s="19"/>
      <c r="TXR38" s="19"/>
      <c r="TXS38" s="19"/>
      <c r="TXT38" s="19"/>
      <c r="TXU38" s="19"/>
      <c r="TXV38" s="19"/>
      <c r="TXW38" s="19"/>
      <c r="TXX38" s="19"/>
      <c r="TXY38" s="19"/>
      <c r="TXZ38" s="19"/>
      <c r="TYA38" s="19"/>
      <c r="TYB38" s="19"/>
      <c r="TYC38" s="19"/>
      <c r="TYD38" s="19"/>
      <c r="TYE38" s="19"/>
      <c r="TYF38" s="19"/>
      <c r="TYG38" s="19"/>
      <c r="TYH38" s="19"/>
      <c r="TYI38" s="19"/>
      <c r="TYJ38" s="19"/>
      <c r="TYK38" s="19"/>
      <c r="TYL38" s="19"/>
      <c r="TYM38" s="19"/>
      <c r="TYN38" s="19"/>
      <c r="TYO38" s="19"/>
      <c r="TYP38" s="19"/>
      <c r="TYQ38" s="19"/>
      <c r="TYR38" s="19"/>
      <c r="TYS38" s="19"/>
      <c r="TYT38" s="19"/>
      <c r="TYU38" s="19"/>
      <c r="TYV38" s="19"/>
      <c r="TYW38" s="19"/>
      <c r="TYX38" s="19"/>
      <c r="TYY38" s="19"/>
      <c r="TYZ38" s="19"/>
      <c r="TZA38" s="19"/>
      <c r="TZB38" s="19"/>
      <c r="TZC38" s="19"/>
      <c r="TZD38" s="19"/>
      <c r="TZE38" s="19"/>
      <c r="TZF38" s="19"/>
      <c r="TZG38" s="19"/>
      <c r="TZH38" s="19"/>
      <c r="TZI38" s="19"/>
      <c r="TZJ38" s="19"/>
      <c r="TZK38" s="19"/>
      <c r="TZL38" s="19"/>
      <c r="TZM38" s="19"/>
      <c r="TZN38" s="19"/>
      <c r="TZO38" s="19"/>
      <c r="TZP38" s="19"/>
      <c r="TZQ38" s="19"/>
      <c r="TZR38" s="19"/>
      <c r="TZS38" s="19"/>
      <c r="TZT38" s="19"/>
      <c r="TZU38" s="19"/>
      <c r="TZV38" s="19"/>
      <c r="TZW38" s="19"/>
      <c r="TZX38" s="19"/>
      <c r="TZY38" s="19"/>
      <c r="TZZ38" s="19"/>
      <c r="UAA38" s="19"/>
      <c r="UAB38" s="19"/>
      <c r="UAC38" s="19"/>
      <c r="UAD38" s="19"/>
      <c r="UAE38" s="19"/>
      <c r="UAF38" s="19"/>
      <c r="UAG38" s="19"/>
      <c r="UAH38" s="19"/>
      <c r="UAI38" s="19"/>
      <c r="UAJ38" s="19"/>
      <c r="UAK38" s="19"/>
      <c r="UAL38" s="19"/>
      <c r="UAM38" s="19"/>
      <c r="UAN38" s="19"/>
      <c r="UAO38" s="19"/>
      <c r="UAP38" s="19"/>
      <c r="UAQ38" s="19"/>
      <c r="UAR38" s="19"/>
      <c r="UAS38" s="19"/>
      <c r="UAT38" s="19"/>
      <c r="UAU38" s="19"/>
      <c r="UAV38" s="19"/>
      <c r="UAW38" s="19"/>
      <c r="UAX38" s="19"/>
      <c r="UAY38" s="19"/>
      <c r="UAZ38" s="19"/>
      <c r="UBA38" s="19"/>
      <c r="UBB38" s="19"/>
      <c r="UBC38" s="19"/>
      <c r="UBD38" s="19"/>
      <c r="UBE38" s="19"/>
      <c r="UBF38" s="19"/>
      <c r="UBG38" s="19"/>
      <c r="UBH38" s="19"/>
      <c r="UBI38" s="19"/>
      <c r="UBJ38" s="19"/>
      <c r="UBK38" s="19"/>
      <c r="UBL38" s="19"/>
      <c r="UBM38" s="19"/>
      <c r="UBN38" s="19"/>
      <c r="UBO38" s="19"/>
      <c r="UBP38" s="19"/>
      <c r="UBQ38" s="19"/>
      <c r="UBR38" s="19"/>
      <c r="UBS38" s="19"/>
      <c r="UBT38" s="19"/>
      <c r="UBU38" s="19"/>
      <c r="UBV38" s="19"/>
      <c r="UBW38" s="19"/>
      <c r="UBX38" s="19"/>
      <c r="UBY38" s="19"/>
      <c r="UBZ38" s="19"/>
      <c r="UCA38" s="19"/>
      <c r="UCB38" s="19"/>
      <c r="UCC38" s="19"/>
      <c r="UCD38" s="19"/>
      <c r="UCE38" s="19"/>
      <c r="UCF38" s="19"/>
      <c r="UCG38" s="19"/>
      <c r="UCH38" s="19"/>
      <c r="UCI38" s="19"/>
      <c r="UCJ38" s="19"/>
      <c r="UCK38" s="19"/>
      <c r="UCL38" s="19"/>
      <c r="UCM38" s="19"/>
      <c r="UCN38" s="19"/>
      <c r="UCO38" s="19"/>
      <c r="UCP38" s="19"/>
      <c r="UCQ38" s="19"/>
      <c r="UCR38" s="19"/>
      <c r="UCS38" s="19"/>
      <c r="UCT38" s="19"/>
      <c r="UCU38" s="19"/>
      <c r="UCV38" s="19"/>
      <c r="UCW38" s="19"/>
      <c r="UCX38" s="19"/>
      <c r="UCY38" s="19"/>
      <c r="UCZ38" s="19"/>
      <c r="UDA38" s="19"/>
      <c r="UDB38" s="19"/>
      <c r="UDC38" s="19"/>
      <c r="UDD38" s="19"/>
      <c r="UDE38" s="19"/>
      <c r="UDF38" s="19"/>
      <c r="UDG38" s="19"/>
      <c r="UDH38" s="19"/>
      <c r="UDI38" s="19"/>
      <c r="UDJ38" s="19"/>
      <c r="UDK38" s="19"/>
      <c r="UDL38" s="19"/>
      <c r="UDM38" s="19"/>
      <c r="UDN38" s="19"/>
      <c r="UDO38" s="19"/>
      <c r="UDP38" s="19"/>
      <c r="UDQ38" s="19"/>
      <c r="UDR38" s="19"/>
      <c r="UDS38" s="19"/>
      <c r="UDT38" s="19"/>
      <c r="UDU38" s="19"/>
      <c r="UDV38" s="19"/>
      <c r="UDW38" s="19"/>
      <c r="UDX38" s="19"/>
      <c r="UDY38" s="19"/>
      <c r="UDZ38" s="19"/>
      <c r="UEA38" s="19"/>
      <c r="UEB38" s="19"/>
      <c r="UEC38" s="19"/>
      <c r="UED38" s="19"/>
      <c r="UEE38" s="19"/>
      <c r="UEF38" s="19"/>
      <c r="UEG38" s="19"/>
      <c r="UEH38" s="19"/>
      <c r="UEI38" s="19"/>
      <c r="UEJ38" s="19"/>
      <c r="UEK38" s="19"/>
      <c r="UEL38" s="19"/>
      <c r="UEM38" s="19"/>
      <c r="UEN38" s="19"/>
      <c r="UEO38" s="19"/>
      <c r="UEP38" s="19"/>
      <c r="UEQ38" s="19"/>
      <c r="UER38" s="19"/>
      <c r="UES38" s="19"/>
      <c r="UET38" s="19"/>
      <c r="UEU38" s="19"/>
      <c r="UEV38" s="19"/>
      <c r="UEW38" s="19"/>
      <c r="UEX38" s="19"/>
      <c r="UEY38" s="19"/>
      <c r="UEZ38" s="19"/>
      <c r="UFA38" s="19"/>
      <c r="UFB38" s="19"/>
      <c r="UFC38" s="19"/>
      <c r="UFD38" s="19"/>
      <c r="UFE38" s="19"/>
      <c r="UFF38" s="19"/>
      <c r="UFG38" s="19"/>
      <c r="UFH38" s="19"/>
      <c r="UFI38" s="19"/>
      <c r="UFJ38" s="19"/>
      <c r="UFK38" s="19"/>
      <c r="UFL38" s="19"/>
      <c r="UFM38" s="19"/>
      <c r="UFN38" s="19"/>
      <c r="UFO38" s="19"/>
      <c r="UFP38" s="19"/>
      <c r="UFQ38" s="19"/>
      <c r="UFR38" s="19"/>
      <c r="UFS38" s="19"/>
      <c r="UFT38" s="19"/>
      <c r="UFU38" s="19"/>
      <c r="UFV38" s="19"/>
      <c r="UFW38" s="19"/>
      <c r="UFX38" s="19"/>
      <c r="UFY38" s="19"/>
      <c r="UFZ38" s="19"/>
      <c r="UGA38" s="19"/>
      <c r="UGB38" s="19"/>
      <c r="UGC38" s="19"/>
      <c r="UGD38" s="19"/>
      <c r="UGE38" s="19"/>
      <c r="UGF38" s="19"/>
      <c r="UGG38" s="19"/>
      <c r="UGH38" s="19"/>
      <c r="UGI38" s="19"/>
      <c r="UGJ38" s="19"/>
      <c r="UGK38" s="19"/>
      <c r="UGL38" s="19"/>
      <c r="UGM38" s="19"/>
      <c r="UGN38" s="19"/>
      <c r="UGO38" s="19"/>
      <c r="UGP38" s="19"/>
      <c r="UGQ38" s="19"/>
      <c r="UGR38" s="19"/>
      <c r="UGS38" s="19"/>
      <c r="UGT38" s="19"/>
      <c r="UGU38" s="19"/>
      <c r="UGV38" s="19"/>
      <c r="UGW38" s="19"/>
      <c r="UGX38" s="19"/>
      <c r="UGY38" s="19"/>
      <c r="UGZ38" s="19"/>
      <c r="UHA38" s="19"/>
      <c r="UHB38" s="19"/>
      <c r="UHC38" s="19"/>
      <c r="UHD38" s="19"/>
      <c r="UHE38" s="19"/>
      <c r="UHF38" s="19"/>
      <c r="UHG38" s="19"/>
      <c r="UHH38" s="19"/>
      <c r="UHI38" s="19"/>
      <c r="UHJ38" s="19"/>
      <c r="UHK38" s="19"/>
      <c r="UHL38" s="19"/>
      <c r="UHM38" s="19"/>
      <c r="UHN38" s="19"/>
      <c r="UHO38" s="19"/>
      <c r="UHP38" s="19"/>
      <c r="UHQ38" s="19"/>
      <c r="UHR38" s="19"/>
      <c r="UHS38" s="19"/>
      <c r="UHT38" s="19"/>
      <c r="UHU38" s="19"/>
      <c r="UHV38" s="19"/>
      <c r="UHW38" s="19"/>
      <c r="UHX38" s="19"/>
      <c r="UHY38" s="19"/>
      <c r="UHZ38" s="19"/>
      <c r="UIA38" s="19"/>
      <c r="UIB38" s="19"/>
      <c r="UIC38" s="19"/>
      <c r="UID38" s="19"/>
      <c r="UIE38" s="19"/>
      <c r="UIF38" s="19"/>
      <c r="UIG38" s="19"/>
      <c r="UIH38" s="19"/>
      <c r="UII38" s="19"/>
      <c r="UIJ38" s="19"/>
      <c r="UIK38" s="19"/>
      <c r="UIL38" s="19"/>
      <c r="UIM38" s="19"/>
      <c r="UIN38" s="19"/>
      <c r="UIO38" s="19"/>
      <c r="UIP38" s="19"/>
      <c r="UIQ38" s="19"/>
      <c r="UIR38" s="19"/>
      <c r="UIS38" s="19"/>
      <c r="UIT38" s="19"/>
      <c r="UIU38" s="19"/>
      <c r="UIV38" s="19"/>
      <c r="UIW38" s="19"/>
      <c r="UIX38" s="19"/>
      <c r="UIY38" s="19"/>
      <c r="UIZ38" s="19"/>
      <c r="UJA38" s="19"/>
      <c r="UJB38" s="19"/>
      <c r="UJC38" s="19"/>
      <c r="UJD38" s="19"/>
      <c r="UJE38" s="19"/>
      <c r="UJF38" s="19"/>
      <c r="UJG38" s="19"/>
      <c r="UJH38" s="19"/>
      <c r="UJI38" s="19"/>
      <c r="UJJ38" s="19"/>
      <c r="UJK38" s="19"/>
      <c r="UJL38" s="19"/>
      <c r="UJM38" s="19"/>
      <c r="UJN38" s="19"/>
      <c r="UJO38" s="19"/>
      <c r="UJP38" s="19"/>
      <c r="UJQ38" s="19"/>
      <c r="UJR38" s="19"/>
      <c r="UJS38" s="19"/>
      <c r="UJT38" s="19"/>
      <c r="UJU38" s="19"/>
      <c r="UJV38" s="19"/>
      <c r="UJW38" s="19"/>
      <c r="UJX38" s="19"/>
      <c r="UJY38" s="19"/>
      <c r="UJZ38" s="19"/>
      <c r="UKA38" s="19"/>
      <c r="UKB38" s="19"/>
      <c r="UKC38" s="19"/>
      <c r="UKD38" s="19"/>
      <c r="UKE38" s="19"/>
      <c r="UKF38" s="19"/>
      <c r="UKG38" s="19"/>
      <c r="UKH38" s="19"/>
      <c r="UKI38" s="19"/>
      <c r="UKJ38" s="19"/>
      <c r="UKK38" s="19"/>
      <c r="UKL38" s="19"/>
      <c r="UKM38" s="19"/>
      <c r="UKN38" s="19"/>
      <c r="UKO38" s="19"/>
      <c r="UKP38" s="19"/>
      <c r="UKQ38" s="19"/>
      <c r="UKR38" s="19"/>
      <c r="UKS38" s="19"/>
      <c r="UKT38" s="19"/>
      <c r="UKU38" s="19"/>
      <c r="UKV38" s="19"/>
      <c r="UKW38" s="19"/>
      <c r="UKX38" s="19"/>
      <c r="UKY38" s="19"/>
      <c r="UKZ38" s="19"/>
      <c r="ULA38" s="19"/>
      <c r="ULB38" s="19"/>
      <c r="ULC38" s="19"/>
      <c r="ULD38" s="19"/>
      <c r="ULE38" s="19"/>
      <c r="ULF38" s="19"/>
      <c r="ULG38" s="19"/>
      <c r="ULH38" s="19"/>
      <c r="ULI38" s="19"/>
      <c r="ULJ38" s="19"/>
      <c r="ULK38" s="19"/>
      <c r="ULL38" s="19"/>
      <c r="ULM38" s="19"/>
      <c r="ULN38" s="19"/>
      <c r="ULO38" s="19"/>
      <c r="ULP38" s="19"/>
      <c r="ULQ38" s="19"/>
      <c r="ULR38" s="19"/>
      <c r="ULS38" s="19"/>
      <c r="ULT38" s="19"/>
      <c r="ULU38" s="19"/>
      <c r="ULV38" s="19"/>
      <c r="ULW38" s="19"/>
      <c r="ULX38" s="19"/>
      <c r="ULY38" s="19"/>
      <c r="ULZ38" s="19"/>
      <c r="UMA38" s="19"/>
      <c r="UMB38" s="19"/>
      <c r="UMC38" s="19"/>
      <c r="UMD38" s="19"/>
      <c r="UME38" s="19"/>
      <c r="UMF38" s="19"/>
      <c r="UMG38" s="19"/>
      <c r="UMH38" s="19"/>
      <c r="UMI38" s="19"/>
      <c r="UMJ38" s="19"/>
      <c r="UMK38" s="19"/>
      <c r="UML38" s="19"/>
      <c r="UMM38" s="19"/>
      <c r="UMN38" s="19"/>
      <c r="UMO38" s="19"/>
      <c r="UMP38" s="19"/>
      <c r="UMQ38" s="19"/>
      <c r="UMR38" s="19"/>
      <c r="UMS38" s="19"/>
      <c r="UMT38" s="19"/>
      <c r="UMU38" s="19"/>
      <c r="UMV38" s="19"/>
      <c r="UMW38" s="19"/>
      <c r="UMX38" s="19"/>
      <c r="UMY38" s="19"/>
      <c r="UMZ38" s="19"/>
      <c r="UNA38" s="19"/>
      <c r="UNB38" s="19"/>
      <c r="UNC38" s="19"/>
      <c r="UND38" s="19"/>
      <c r="UNE38" s="19"/>
      <c r="UNF38" s="19"/>
      <c r="UNG38" s="19"/>
      <c r="UNH38" s="19"/>
      <c r="UNI38" s="19"/>
      <c r="UNJ38" s="19"/>
      <c r="UNK38" s="19"/>
      <c r="UNL38" s="19"/>
      <c r="UNM38" s="19"/>
      <c r="UNN38" s="19"/>
      <c r="UNO38" s="19"/>
      <c r="UNP38" s="19"/>
      <c r="UNQ38" s="19"/>
      <c r="UNR38" s="19"/>
      <c r="UNS38" s="19"/>
      <c r="UNT38" s="19"/>
      <c r="UNU38" s="19"/>
      <c r="UNV38" s="19"/>
      <c r="UNW38" s="19"/>
      <c r="UNX38" s="19"/>
      <c r="UNY38" s="19"/>
      <c r="UNZ38" s="19"/>
      <c r="UOA38" s="19"/>
      <c r="UOB38" s="19"/>
      <c r="UOC38" s="19"/>
      <c r="UOD38" s="19"/>
      <c r="UOE38" s="19"/>
      <c r="UOF38" s="19"/>
      <c r="UOG38" s="19"/>
      <c r="UOH38" s="19"/>
      <c r="UOI38" s="19"/>
      <c r="UOJ38" s="19"/>
      <c r="UOK38" s="19"/>
      <c r="UOL38" s="19"/>
      <c r="UOM38" s="19"/>
      <c r="UON38" s="19"/>
      <c r="UOO38" s="19"/>
      <c r="UOP38" s="19"/>
      <c r="UOQ38" s="19"/>
      <c r="UOR38" s="19"/>
      <c r="UOS38" s="19"/>
      <c r="UOT38" s="19"/>
      <c r="UOU38" s="19"/>
      <c r="UOV38" s="19"/>
      <c r="UOW38" s="19"/>
      <c r="UOX38" s="19"/>
      <c r="UOY38" s="19"/>
      <c r="UOZ38" s="19"/>
      <c r="UPA38" s="19"/>
      <c r="UPB38" s="19"/>
      <c r="UPC38" s="19"/>
      <c r="UPD38" s="19"/>
      <c r="UPE38" s="19"/>
      <c r="UPF38" s="19"/>
      <c r="UPG38" s="19"/>
      <c r="UPH38" s="19"/>
      <c r="UPI38" s="19"/>
      <c r="UPJ38" s="19"/>
      <c r="UPK38" s="19"/>
      <c r="UPL38" s="19"/>
      <c r="UPM38" s="19"/>
      <c r="UPN38" s="19"/>
      <c r="UPO38" s="19"/>
      <c r="UPP38" s="19"/>
      <c r="UPQ38" s="19"/>
      <c r="UPR38" s="19"/>
      <c r="UPS38" s="19"/>
      <c r="UPT38" s="19"/>
      <c r="UPU38" s="19"/>
      <c r="UPV38" s="19"/>
      <c r="UPW38" s="19"/>
      <c r="UPX38" s="19"/>
      <c r="UPY38" s="19"/>
      <c r="UPZ38" s="19"/>
      <c r="UQA38" s="19"/>
      <c r="UQB38" s="19"/>
      <c r="UQC38" s="19"/>
      <c r="UQD38" s="19"/>
      <c r="UQE38" s="19"/>
      <c r="UQF38" s="19"/>
      <c r="UQG38" s="19"/>
      <c r="UQH38" s="19"/>
      <c r="UQI38" s="19"/>
      <c r="UQJ38" s="19"/>
      <c r="UQK38" s="19"/>
      <c r="UQL38" s="19"/>
      <c r="UQM38" s="19"/>
      <c r="UQN38" s="19"/>
      <c r="UQO38" s="19"/>
      <c r="UQP38" s="19"/>
      <c r="UQQ38" s="19"/>
      <c r="UQR38" s="19"/>
      <c r="UQS38" s="19"/>
      <c r="UQT38" s="19"/>
      <c r="UQU38" s="19"/>
      <c r="UQV38" s="19"/>
      <c r="UQW38" s="19"/>
      <c r="UQX38" s="19"/>
      <c r="UQY38" s="19"/>
      <c r="UQZ38" s="19"/>
      <c r="URA38" s="19"/>
      <c r="URB38" s="19"/>
      <c r="URC38" s="19"/>
      <c r="URD38" s="19"/>
      <c r="URE38" s="19"/>
      <c r="URF38" s="19"/>
      <c r="URG38" s="19"/>
      <c r="URH38" s="19"/>
      <c r="URI38" s="19"/>
      <c r="URJ38" s="19"/>
      <c r="URK38" s="19"/>
      <c r="URL38" s="19"/>
      <c r="URM38" s="19"/>
      <c r="URN38" s="19"/>
      <c r="URO38" s="19"/>
      <c r="URP38" s="19"/>
      <c r="URQ38" s="19"/>
      <c r="URR38" s="19"/>
      <c r="URS38" s="19"/>
      <c r="URT38" s="19"/>
      <c r="URU38" s="19"/>
      <c r="URV38" s="19"/>
      <c r="URW38" s="19"/>
      <c r="URX38" s="19"/>
      <c r="URY38" s="19"/>
      <c r="URZ38" s="19"/>
      <c r="USA38" s="19"/>
      <c r="USB38" s="19"/>
      <c r="USC38" s="19"/>
      <c r="USD38" s="19"/>
      <c r="USE38" s="19"/>
      <c r="USF38" s="19"/>
      <c r="USG38" s="19"/>
      <c r="USH38" s="19"/>
      <c r="USI38" s="19"/>
      <c r="USJ38" s="19"/>
      <c r="USK38" s="19"/>
      <c r="USL38" s="19"/>
      <c r="USM38" s="19"/>
      <c r="USN38" s="19"/>
      <c r="USO38" s="19"/>
      <c r="USP38" s="19"/>
      <c r="USQ38" s="19"/>
      <c r="USR38" s="19"/>
      <c r="USS38" s="19"/>
      <c r="UST38" s="19"/>
      <c r="USU38" s="19"/>
      <c r="USV38" s="19"/>
      <c r="USW38" s="19"/>
      <c r="USX38" s="19"/>
      <c r="USY38" s="19"/>
      <c r="USZ38" s="19"/>
      <c r="UTA38" s="19"/>
      <c r="UTB38" s="19"/>
      <c r="UTC38" s="19"/>
      <c r="UTD38" s="19"/>
      <c r="UTE38" s="19"/>
      <c r="UTF38" s="19"/>
      <c r="UTG38" s="19"/>
      <c r="UTH38" s="19"/>
      <c r="UTI38" s="19"/>
      <c r="UTJ38" s="19"/>
      <c r="UTK38" s="19"/>
      <c r="UTL38" s="19"/>
      <c r="UTM38" s="19"/>
      <c r="UTN38" s="19"/>
      <c r="UTO38" s="19"/>
      <c r="UTP38" s="19"/>
      <c r="UTQ38" s="19"/>
      <c r="UTR38" s="19"/>
      <c r="UTS38" s="19"/>
      <c r="UTT38" s="19"/>
      <c r="UTU38" s="19"/>
      <c r="UTV38" s="19"/>
      <c r="UTW38" s="19"/>
      <c r="UTX38" s="19"/>
      <c r="UTY38" s="19"/>
      <c r="UTZ38" s="19"/>
      <c r="UUA38" s="19"/>
      <c r="UUB38" s="19"/>
      <c r="UUC38" s="19"/>
      <c r="UUD38" s="19"/>
      <c r="UUE38" s="19"/>
      <c r="UUF38" s="19"/>
      <c r="UUG38" s="19"/>
      <c r="UUH38" s="19"/>
      <c r="UUI38" s="19"/>
      <c r="UUJ38" s="19"/>
      <c r="UUK38" s="19"/>
      <c r="UUL38" s="19"/>
      <c r="UUM38" s="19"/>
      <c r="UUN38" s="19"/>
      <c r="UUO38" s="19"/>
      <c r="UUP38" s="19"/>
      <c r="UUQ38" s="19"/>
      <c r="UUR38" s="19"/>
      <c r="UUS38" s="19"/>
      <c r="UUT38" s="19"/>
      <c r="UUU38" s="19"/>
      <c r="UUV38" s="19"/>
      <c r="UUW38" s="19"/>
      <c r="UUX38" s="19"/>
      <c r="UUY38" s="19"/>
      <c r="UUZ38" s="19"/>
      <c r="UVA38" s="19"/>
      <c r="UVB38" s="19"/>
      <c r="UVC38" s="19"/>
      <c r="UVD38" s="19"/>
      <c r="UVE38" s="19"/>
      <c r="UVF38" s="19"/>
      <c r="UVG38" s="19"/>
      <c r="UVH38" s="19"/>
      <c r="UVI38" s="19"/>
      <c r="UVJ38" s="19"/>
      <c r="UVK38" s="19"/>
      <c r="UVL38" s="19"/>
      <c r="UVM38" s="19"/>
      <c r="UVN38" s="19"/>
      <c r="UVO38" s="19"/>
      <c r="UVP38" s="19"/>
      <c r="UVQ38" s="19"/>
      <c r="UVR38" s="19"/>
      <c r="UVS38" s="19"/>
      <c r="UVT38" s="19"/>
      <c r="UVU38" s="19"/>
      <c r="UVV38" s="19"/>
      <c r="UVW38" s="19"/>
      <c r="UVX38" s="19"/>
      <c r="UVY38" s="19"/>
      <c r="UVZ38" s="19"/>
      <c r="UWA38" s="19"/>
      <c r="UWB38" s="19"/>
      <c r="UWC38" s="19"/>
      <c r="UWD38" s="19"/>
      <c r="UWE38" s="19"/>
      <c r="UWF38" s="19"/>
      <c r="UWG38" s="19"/>
      <c r="UWH38" s="19"/>
      <c r="UWI38" s="19"/>
      <c r="UWJ38" s="19"/>
      <c r="UWK38" s="19"/>
      <c r="UWL38" s="19"/>
      <c r="UWM38" s="19"/>
      <c r="UWN38" s="19"/>
      <c r="UWO38" s="19"/>
      <c r="UWP38" s="19"/>
      <c r="UWQ38" s="19"/>
      <c r="UWR38" s="19"/>
      <c r="UWS38" s="19"/>
      <c r="UWT38" s="19"/>
      <c r="UWU38" s="19"/>
      <c r="UWV38" s="19"/>
      <c r="UWW38" s="19"/>
      <c r="UWX38" s="19"/>
      <c r="UWY38" s="19"/>
      <c r="UWZ38" s="19"/>
      <c r="UXA38" s="19"/>
      <c r="UXB38" s="19"/>
      <c r="UXC38" s="19"/>
      <c r="UXD38" s="19"/>
      <c r="UXE38" s="19"/>
      <c r="UXF38" s="19"/>
      <c r="UXG38" s="19"/>
      <c r="UXH38" s="19"/>
      <c r="UXI38" s="19"/>
      <c r="UXJ38" s="19"/>
      <c r="UXK38" s="19"/>
      <c r="UXL38" s="19"/>
      <c r="UXM38" s="19"/>
      <c r="UXN38" s="19"/>
      <c r="UXO38" s="19"/>
      <c r="UXP38" s="19"/>
      <c r="UXQ38" s="19"/>
      <c r="UXR38" s="19"/>
      <c r="UXS38" s="19"/>
      <c r="UXT38" s="19"/>
      <c r="UXU38" s="19"/>
      <c r="UXV38" s="19"/>
      <c r="UXW38" s="19"/>
      <c r="UXX38" s="19"/>
      <c r="UXY38" s="19"/>
      <c r="UXZ38" s="19"/>
      <c r="UYA38" s="19"/>
      <c r="UYB38" s="19"/>
      <c r="UYC38" s="19"/>
      <c r="UYD38" s="19"/>
      <c r="UYE38" s="19"/>
      <c r="UYF38" s="19"/>
      <c r="UYG38" s="19"/>
      <c r="UYH38" s="19"/>
      <c r="UYI38" s="19"/>
      <c r="UYJ38" s="19"/>
      <c r="UYK38" s="19"/>
      <c r="UYL38" s="19"/>
      <c r="UYM38" s="19"/>
      <c r="UYN38" s="19"/>
      <c r="UYO38" s="19"/>
      <c r="UYP38" s="19"/>
      <c r="UYQ38" s="19"/>
      <c r="UYR38" s="19"/>
      <c r="UYS38" s="19"/>
      <c r="UYT38" s="19"/>
      <c r="UYU38" s="19"/>
      <c r="UYV38" s="19"/>
      <c r="UYW38" s="19"/>
      <c r="UYX38" s="19"/>
      <c r="UYY38" s="19"/>
      <c r="UYZ38" s="19"/>
      <c r="UZA38" s="19"/>
      <c r="UZB38" s="19"/>
      <c r="UZC38" s="19"/>
      <c r="UZD38" s="19"/>
      <c r="UZE38" s="19"/>
      <c r="UZF38" s="19"/>
      <c r="UZG38" s="19"/>
      <c r="UZH38" s="19"/>
      <c r="UZI38" s="19"/>
      <c r="UZJ38" s="19"/>
      <c r="UZK38" s="19"/>
      <c r="UZL38" s="19"/>
      <c r="UZM38" s="19"/>
      <c r="UZN38" s="19"/>
      <c r="UZO38" s="19"/>
      <c r="UZP38" s="19"/>
      <c r="UZQ38" s="19"/>
      <c r="UZR38" s="19"/>
      <c r="UZS38" s="19"/>
      <c r="UZT38" s="19"/>
      <c r="UZU38" s="19"/>
      <c r="UZV38" s="19"/>
      <c r="UZW38" s="19"/>
      <c r="UZX38" s="19"/>
      <c r="UZY38" s="19"/>
      <c r="UZZ38" s="19"/>
      <c r="VAA38" s="19"/>
      <c r="VAB38" s="19"/>
      <c r="VAC38" s="19"/>
      <c r="VAD38" s="19"/>
      <c r="VAE38" s="19"/>
      <c r="VAF38" s="19"/>
      <c r="VAG38" s="19"/>
      <c r="VAH38" s="19"/>
      <c r="VAI38" s="19"/>
      <c r="VAJ38" s="19"/>
      <c r="VAK38" s="19"/>
      <c r="VAL38" s="19"/>
      <c r="VAM38" s="19"/>
      <c r="VAN38" s="19"/>
      <c r="VAO38" s="19"/>
      <c r="VAP38" s="19"/>
      <c r="VAQ38" s="19"/>
      <c r="VAR38" s="19"/>
      <c r="VAS38" s="19"/>
      <c r="VAT38" s="19"/>
      <c r="VAU38" s="19"/>
      <c r="VAV38" s="19"/>
      <c r="VAW38" s="19"/>
      <c r="VAX38" s="19"/>
      <c r="VAY38" s="19"/>
      <c r="VAZ38" s="19"/>
      <c r="VBA38" s="19"/>
      <c r="VBB38" s="19"/>
      <c r="VBC38" s="19"/>
      <c r="VBD38" s="19"/>
      <c r="VBE38" s="19"/>
      <c r="VBF38" s="19"/>
      <c r="VBG38" s="19"/>
      <c r="VBH38" s="19"/>
      <c r="VBI38" s="19"/>
      <c r="VBJ38" s="19"/>
      <c r="VBK38" s="19"/>
      <c r="VBL38" s="19"/>
      <c r="VBM38" s="19"/>
      <c r="VBN38" s="19"/>
      <c r="VBO38" s="19"/>
      <c r="VBP38" s="19"/>
      <c r="VBQ38" s="19"/>
      <c r="VBR38" s="19"/>
      <c r="VBS38" s="19"/>
      <c r="VBT38" s="19"/>
      <c r="VBU38" s="19"/>
      <c r="VBV38" s="19"/>
      <c r="VBW38" s="19"/>
      <c r="VBX38" s="19"/>
      <c r="VBY38" s="19"/>
      <c r="VBZ38" s="19"/>
      <c r="VCA38" s="19"/>
      <c r="VCB38" s="19"/>
      <c r="VCC38" s="19"/>
      <c r="VCD38" s="19"/>
      <c r="VCE38" s="19"/>
      <c r="VCF38" s="19"/>
      <c r="VCG38" s="19"/>
      <c r="VCH38" s="19"/>
      <c r="VCI38" s="19"/>
      <c r="VCJ38" s="19"/>
      <c r="VCK38" s="19"/>
      <c r="VCL38" s="19"/>
      <c r="VCM38" s="19"/>
      <c r="VCN38" s="19"/>
      <c r="VCO38" s="19"/>
      <c r="VCP38" s="19"/>
      <c r="VCQ38" s="19"/>
      <c r="VCR38" s="19"/>
      <c r="VCS38" s="19"/>
      <c r="VCT38" s="19"/>
      <c r="VCU38" s="19"/>
      <c r="VCV38" s="19"/>
      <c r="VCW38" s="19"/>
      <c r="VCX38" s="19"/>
      <c r="VCY38" s="19"/>
      <c r="VCZ38" s="19"/>
      <c r="VDA38" s="19"/>
      <c r="VDB38" s="19"/>
      <c r="VDC38" s="19"/>
      <c r="VDD38" s="19"/>
      <c r="VDE38" s="19"/>
      <c r="VDF38" s="19"/>
      <c r="VDG38" s="19"/>
      <c r="VDH38" s="19"/>
      <c r="VDI38" s="19"/>
      <c r="VDJ38" s="19"/>
      <c r="VDK38" s="19"/>
      <c r="VDL38" s="19"/>
      <c r="VDM38" s="19"/>
      <c r="VDN38" s="19"/>
      <c r="VDO38" s="19"/>
      <c r="VDP38" s="19"/>
      <c r="VDQ38" s="19"/>
      <c r="VDR38" s="19"/>
      <c r="VDS38" s="19"/>
      <c r="VDT38" s="19"/>
      <c r="VDU38" s="19"/>
      <c r="VDV38" s="19"/>
      <c r="VDW38" s="19"/>
      <c r="VDX38" s="19"/>
      <c r="VDY38" s="19"/>
      <c r="VDZ38" s="19"/>
      <c r="VEA38" s="19"/>
      <c r="VEB38" s="19"/>
      <c r="VEC38" s="19"/>
      <c r="VED38" s="19"/>
      <c r="VEE38" s="19"/>
      <c r="VEF38" s="19"/>
      <c r="VEG38" s="19"/>
      <c r="VEH38" s="19"/>
      <c r="VEI38" s="19"/>
      <c r="VEJ38" s="19"/>
      <c r="VEK38" s="19"/>
      <c r="VEL38" s="19"/>
      <c r="VEM38" s="19"/>
      <c r="VEN38" s="19"/>
      <c r="VEO38" s="19"/>
      <c r="VEP38" s="19"/>
      <c r="VEQ38" s="19"/>
      <c r="VER38" s="19"/>
      <c r="VES38" s="19"/>
      <c r="VET38" s="19"/>
      <c r="VEU38" s="19"/>
      <c r="VEV38" s="19"/>
      <c r="VEW38" s="19"/>
      <c r="VEX38" s="19"/>
      <c r="VEY38" s="19"/>
      <c r="VEZ38" s="19"/>
      <c r="VFA38" s="19"/>
      <c r="VFB38" s="19"/>
      <c r="VFC38" s="19"/>
      <c r="VFD38" s="19"/>
      <c r="VFE38" s="19"/>
      <c r="VFF38" s="19"/>
      <c r="VFG38" s="19"/>
      <c r="VFH38" s="19"/>
      <c r="VFI38" s="19"/>
      <c r="VFJ38" s="19"/>
      <c r="VFK38" s="19"/>
      <c r="VFL38" s="19"/>
      <c r="VFM38" s="19"/>
      <c r="VFN38" s="19"/>
      <c r="VFO38" s="19"/>
      <c r="VFP38" s="19"/>
      <c r="VFQ38" s="19"/>
      <c r="VFR38" s="19"/>
      <c r="VFS38" s="19"/>
      <c r="VFT38" s="19"/>
      <c r="VFU38" s="19"/>
      <c r="VFV38" s="19"/>
      <c r="VFW38" s="19"/>
      <c r="VFX38" s="19"/>
      <c r="VFY38" s="19"/>
      <c r="VFZ38" s="19"/>
      <c r="VGA38" s="19"/>
      <c r="VGB38" s="19"/>
      <c r="VGC38" s="19"/>
      <c r="VGD38" s="19"/>
      <c r="VGE38" s="19"/>
      <c r="VGF38" s="19"/>
      <c r="VGG38" s="19"/>
      <c r="VGH38" s="19"/>
      <c r="VGI38" s="19"/>
      <c r="VGJ38" s="19"/>
      <c r="VGK38" s="19"/>
      <c r="VGL38" s="19"/>
      <c r="VGM38" s="19"/>
      <c r="VGN38" s="19"/>
      <c r="VGO38" s="19"/>
      <c r="VGP38" s="19"/>
      <c r="VGQ38" s="19"/>
      <c r="VGR38" s="19"/>
      <c r="VGS38" s="19"/>
      <c r="VGT38" s="19"/>
      <c r="VGU38" s="19"/>
      <c r="VGV38" s="19"/>
      <c r="VGW38" s="19"/>
      <c r="VGX38" s="19"/>
      <c r="VGY38" s="19"/>
      <c r="VGZ38" s="19"/>
      <c r="VHA38" s="19"/>
      <c r="VHB38" s="19"/>
      <c r="VHC38" s="19"/>
      <c r="VHD38" s="19"/>
      <c r="VHE38" s="19"/>
      <c r="VHF38" s="19"/>
      <c r="VHG38" s="19"/>
      <c r="VHH38" s="19"/>
      <c r="VHI38" s="19"/>
      <c r="VHJ38" s="19"/>
      <c r="VHK38" s="19"/>
      <c r="VHL38" s="19"/>
      <c r="VHM38" s="19"/>
      <c r="VHN38" s="19"/>
      <c r="VHO38" s="19"/>
      <c r="VHP38" s="19"/>
      <c r="VHQ38" s="19"/>
      <c r="VHR38" s="19"/>
      <c r="VHS38" s="19"/>
      <c r="VHT38" s="19"/>
      <c r="VHU38" s="19"/>
      <c r="VHV38" s="19"/>
      <c r="VHW38" s="19"/>
      <c r="VHX38" s="19"/>
      <c r="VHY38" s="19"/>
      <c r="VHZ38" s="19"/>
      <c r="VIA38" s="19"/>
      <c r="VIB38" s="19"/>
      <c r="VIC38" s="19"/>
      <c r="VID38" s="19"/>
      <c r="VIE38" s="19"/>
      <c r="VIF38" s="19"/>
      <c r="VIG38" s="19"/>
      <c r="VIH38" s="19"/>
      <c r="VII38" s="19"/>
      <c r="VIJ38" s="19"/>
      <c r="VIK38" s="19"/>
      <c r="VIL38" s="19"/>
      <c r="VIM38" s="19"/>
      <c r="VIN38" s="19"/>
      <c r="VIO38" s="19"/>
      <c r="VIP38" s="19"/>
      <c r="VIQ38" s="19"/>
      <c r="VIR38" s="19"/>
      <c r="VIS38" s="19"/>
      <c r="VIT38" s="19"/>
      <c r="VIU38" s="19"/>
      <c r="VIV38" s="19"/>
      <c r="VIW38" s="19"/>
      <c r="VIX38" s="19"/>
      <c r="VIY38" s="19"/>
      <c r="VIZ38" s="19"/>
      <c r="VJA38" s="19"/>
      <c r="VJB38" s="19"/>
      <c r="VJC38" s="19"/>
      <c r="VJD38" s="19"/>
      <c r="VJE38" s="19"/>
      <c r="VJF38" s="19"/>
      <c r="VJG38" s="19"/>
      <c r="VJH38" s="19"/>
      <c r="VJI38" s="19"/>
      <c r="VJJ38" s="19"/>
      <c r="VJK38" s="19"/>
      <c r="VJL38" s="19"/>
      <c r="VJM38" s="19"/>
      <c r="VJN38" s="19"/>
      <c r="VJO38" s="19"/>
      <c r="VJP38" s="19"/>
      <c r="VJQ38" s="19"/>
      <c r="VJR38" s="19"/>
      <c r="VJS38" s="19"/>
      <c r="VJT38" s="19"/>
      <c r="VJU38" s="19"/>
      <c r="VJV38" s="19"/>
      <c r="VJW38" s="19"/>
      <c r="VJX38" s="19"/>
      <c r="VJY38" s="19"/>
      <c r="VJZ38" s="19"/>
      <c r="VKA38" s="19"/>
      <c r="VKB38" s="19"/>
      <c r="VKC38" s="19"/>
      <c r="VKD38" s="19"/>
      <c r="VKE38" s="19"/>
      <c r="VKF38" s="19"/>
      <c r="VKG38" s="19"/>
      <c r="VKH38" s="19"/>
      <c r="VKI38" s="19"/>
      <c r="VKJ38" s="19"/>
      <c r="VKK38" s="19"/>
      <c r="VKL38" s="19"/>
      <c r="VKM38" s="19"/>
      <c r="VKN38" s="19"/>
      <c r="VKO38" s="19"/>
      <c r="VKP38" s="19"/>
      <c r="VKQ38" s="19"/>
      <c r="VKR38" s="19"/>
      <c r="VKS38" s="19"/>
      <c r="VKT38" s="19"/>
      <c r="VKU38" s="19"/>
      <c r="VKV38" s="19"/>
      <c r="VKW38" s="19"/>
      <c r="VKX38" s="19"/>
      <c r="VKY38" s="19"/>
      <c r="VKZ38" s="19"/>
      <c r="VLA38" s="19"/>
      <c r="VLB38" s="19"/>
      <c r="VLC38" s="19"/>
      <c r="VLD38" s="19"/>
      <c r="VLE38" s="19"/>
      <c r="VLF38" s="19"/>
      <c r="VLG38" s="19"/>
      <c r="VLH38" s="19"/>
      <c r="VLI38" s="19"/>
      <c r="VLJ38" s="19"/>
      <c r="VLK38" s="19"/>
      <c r="VLL38" s="19"/>
      <c r="VLM38" s="19"/>
      <c r="VLN38" s="19"/>
      <c r="VLO38" s="19"/>
      <c r="VLP38" s="19"/>
      <c r="VLQ38" s="19"/>
      <c r="VLR38" s="19"/>
      <c r="VLS38" s="19"/>
      <c r="VLT38" s="19"/>
      <c r="VLU38" s="19"/>
      <c r="VLV38" s="19"/>
      <c r="VLW38" s="19"/>
      <c r="VLX38" s="19"/>
      <c r="VLY38" s="19"/>
      <c r="VLZ38" s="19"/>
      <c r="VMA38" s="19"/>
      <c r="VMB38" s="19"/>
      <c r="VMC38" s="19"/>
      <c r="VMD38" s="19"/>
      <c r="VME38" s="19"/>
      <c r="VMF38" s="19"/>
      <c r="VMG38" s="19"/>
      <c r="VMH38" s="19"/>
      <c r="VMI38" s="19"/>
      <c r="VMJ38" s="19"/>
      <c r="VMK38" s="19"/>
      <c r="VML38" s="19"/>
      <c r="VMM38" s="19"/>
      <c r="VMN38" s="19"/>
      <c r="VMO38" s="19"/>
      <c r="VMP38" s="19"/>
      <c r="VMQ38" s="19"/>
      <c r="VMR38" s="19"/>
      <c r="VMS38" s="19"/>
      <c r="VMT38" s="19"/>
      <c r="VMU38" s="19"/>
      <c r="VMV38" s="19"/>
      <c r="VMW38" s="19"/>
      <c r="VMX38" s="19"/>
      <c r="VMY38" s="19"/>
      <c r="VMZ38" s="19"/>
      <c r="VNA38" s="19"/>
      <c r="VNB38" s="19"/>
      <c r="VNC38" s="19"/>
      <c r="VND38" s="19"/>
      <c r="VNE38" s="19"/>
      <c r="VNF38" s="19"/>
      <c r="VNG38" s="19"/>
      <c r="VNH38" s="19"/>
      <c r="VNI38" s="19"/>
      <c r="VNJ38" s="19"/>
      <c r="VNK38" s="19"/>
      <c r="VNL38" s="19"/>
      <c r="VNM38" s="19"/>
      <c r="VNN38" s="19"/>
      <c r="VNO38" s="19"/>
      <c r="VNP38" s="19"/>
      <c r="VNQ38" s="19"/>
      <c r="VNR38" s="19"/>
      <c r="VNS38" s="19"/>
      <c r="VNT38" s="19"/>
      <c r="VNU38" s="19"/>
      <c r="VNV38" s="19"/>
      <c r="VNW38" s="19"/>
      <c r="VNX38" s="19"/>
      <c r="VNY38" s="19"/>
      <c r="VNZ38" s="19"/>
      <c r="VOA38" s="19"/>
      <c r="VOB38" s="19"/>
      <c r="VOC38" s="19"/>
      <c r="VOD38" s="19"/>
      <c r="VOE38" s="19"/>
      <c r="VOF38" s="19"/>
      <c r="VOG38" s="19"/>
      <c r="VOH38" s="19"/>
      <c r="VOI38" s="19"/>
      <c r="VOJ38" s="19"/>
      <c r="VOK38" s="19"/>
      <c r="VOL38" s="19"/>
      <c r="VOM38" s="19"/>
      <c r="VON38" s="19"/>
      <c r="VOO38" s="19"/>
      <c r="VOP38" s="19"/>
      <c r="VOQ38" s="19"/>
      <c r="VOR38" s="19"/>
      <c r="VOS38" s="19"/>
      <c r="VOT38" s="19"/>
      <c r="VOU38" s="19"/>
      <c r="VOV38" s="19"/>
      <c r="VOW38" s="19"/>
      <c r="VOX38" s="19"/>
      <c r="VOY38" s="19"/>
      <c r="VOZ38" s="19"/>
      <c r="VPA38" s="19"/>
      <c r="VPB38" s="19"/>
      <c r="VPC38" s="19"/>
      <c r="VPD38" s="19"/>
      <c r="VPE38" s="19"/>
      <c r="VPF38" s="19"/>
      <c r="VPG38" s="19"/>
      <c r="VPH38" s="19"/>
      <c r="VPI38" s="19"/>
      <c r="VPJ38" s="19"/>
      <c r="VPK38" s="19"/>
      <c r="VPL38" s="19"/>
      <c r="VPM38" s="19"/>
      <c r="VPN38" s="19"/>
      <c r="VPO38" s="19"/>
      <c r="VPP38" s="19"/>
      <c r="VPQ38" s="19"/>
      <c r="VPR38" s="19"/>
      <c r="VPS38" s="19"/>
      <c r="VPT38" s="19"/>
      <c r="VPU38" s="19"/>
      <c r="VPV38" s="19"/>
      <c r="VPW38" s="19"/>
      <c r="VPX38" s="19"/>
      <c r="VPY38" s="19"/>
      <c r="VPZ38" s="19"/>
      <c r="VQA38" s="19"/>
      <c r="VQB38" s="19"/>
      <c r="VQC38" s="19"/>
      <c r="VQD38" s="19"/>
      <c r="VQE38" s="19"/>
      <c r="VQF38" s="19"/>
      <c r="VQG38" s="19"/>
      <c r="VQH38" s="19"/>
      <c r="VQI38" s="19"/>
      <c r="VQJ38" s="19"/>
      <c r="VQK38" s="19"/>
      <c r="VQL38" s="19"/>
      <c r="VQM38" s="19"/>
      <c r="VQN38" s="19"/>
      <c r="VQO38" s="19"/>
      <c r="VQP38" s="19"/>
      <c r="VQQ38" s="19"/>
      <c r="VQR38" s="19"/>
      <c r="VQS38" s="19"/>
      <c r="VQT38" s="19"/>
      <c r="VQU38" s="19"/>
      <c r="VQV38" s="19"/>
      <c r="VQW38" s="19"/>
      <c r="VQX38" s="19"/>
      <c r="VQY38" s="19"/>
      <c r="VQZ38" s="19"/>
      <c r="VRA38" s="19"/>
      <c r="VRB38" s="19"/>
      <c r="VRC38" s="19"/>
      <c r="VRD38" s="19"/>
      <c r="VRE38" s="19"/>
      <c r="VRF38" s="19"/>
      <c r="VRG38" s="19"/>
      <c r="VRH38" s="19"/>
      <c r="VRI38" s="19"/>
      <c r="VRJ38" s="19"/>
      <c r="VRK38" s="19"/>
      <c r="VRL38" s="19"/>
      <c r="VRM38" s="19"/>
      <c r="VRN38" s="19"/>
      <c r="VRO38" s="19"/>
      <c r="VRP38" s="19"/>
      <c r="VRQ38" s="19"/>
      <c r="VRR38" s="19"/>
      <c r="VRS38" s="19"/>
      <c r="VRT38" s="19"/>
      <c r="VRU38" s="19"/>
      <c r="VRV38" s="19"/>
      <c r="VRW38" s="19"/>
      <c r="VRX38" s="19"/>
      <c r="VRY38" s="19"/>
      <c r="VRZ38" s="19"/>
      <c r="VSA38" s="19"/>
      <c r="VSB38" s="19"/>
      <c r="VSC38" s="19"/>
      <c r="VSD38" s="19"/>
      <c r="VSE38" s="19"/>
      <c r="VSF38" s="19"/>
      <c r="VSG38" s="19"/>
      <c r="VSH38" s="19"/>
      <c r="VSI38" s="19"/>
      <c r="VSJ38" s="19"/>
      <c r="VSK38" s="19"/>
      <c r="VSL38" s="19"/>
      <c r="VSM38" s="19"/>
      <c r="VSN38" s="19"/>
      <c r="VSO38" s="19"/>
      <c r="VSP38" s="19"/>
      <c r="VSQ38" s="19"/>
      <c r="VSR38" s="19"/>
      <c r="VSS38" s="19"/>
      <c r="VST38" s="19"/>
      <c r="VSU38" s="19"/>
      <c r="VSV38" s="19"/>
      <c r="VSW38" s="19"/>
      <c r="VSX38" s="19"/>
      <c r="VSY38" s="19"/>
      <c r="VSZ38" s="19"/>
      <c r="VTA38" s="19"/>
      <c r="VTB38" s="19"/>
      <c r="VTC38" s="19"/>
      <c r="VTD38" s="19"/>
      <c r="VTE38" s="19"/>
      <c r="VTF38" s="19"/>
      <c r="VTG38" s="19"/>
      <c r="VTH38" s="19"/>
      <c r="VTI38" s="19"/>
      <c r="VTJ38" s="19"/>
      <c r="VTK38" s="19"/>
      <c r="VTL38" s="19"/>
      <c r="VTM38" s="19"/>
      <c r="VTN38" s="19"/>
      <c r="VTO38" s="19"/>
      <c r="VTP38" s="19"/>
      <c r="VTQ38" s="19"/>
      <c r="VTR38" s="19"/>
      <c r="VTS38" s="19"/>
      <c r="VTT38" s="19"/>
      <c r="VTU38" s="19"/>
      <c r="VTV38" s="19"/>
      <c r="VTW38" s="19"/>
      <c r="VTX38" s="19"/>
      <c r="VTY38" s="19"/>
      <c r="VTZ38" s="19"/>
      <c r="VUA38" s="19"/>
      <c r="VUB38" s="19"/>
      <c r="VUC38" s="19"/>
      <c r="VUD38" s="19"/>
      <c r="VUE38" s="19"/>
      <c r="VUF38" s="19"/>
      <c r="VUG38" s="19"/>
      <c r="VUH38" s="19"/>
      <c r="VUI38" s="19"/>
      <c r="VUJ38" s="19"/>
      <c r="VUK38" s="19"/>
      <c r="VUL38" s="19"/>
      <c r="VUM38" s="19"/>
      <c r="VUN38" s="19"/>
      <c r="VUO38" s="19"/>
      <c r="VUP38" s="19"/>
      <c r="VUQ38" s="19"/>
      <c r="VUR38" s="19"/>
      <c r="VUS38" s="19"/>
      <c r="VUT38" s="19"/>
      <c r="VUU38" s="19"/>
      <c r="VUV38" s="19"/>
      <c r="VUW38" s="19"/>
      <c r="VUX38" s="19"/>
      <c r="VUY38" s="19"/>
      <c r="VUZ38" s="19"/>
      <c r="VVA38" s="19"/>
      <c r="VVB38" s="19"/>
      <c r="VVC38" s="19"/>
      <c r="VVD38" s="19"/>
      <c r="VVE38" s="19"/>
      <c r="VVF38" s="19"/>
      <c r="VVG38" s="19"/>
      <c r="VVH38" s="19"/>
      <c r="VVI38" s="19"/>
      <c r="VVJ38" s="19"/>
      <c r="VVK38" s="19"/>
      <c r="VVL38" s="19"/>
      <c r="VVM38" s="19"/>
      <c r="VVN38" s="19"/>
      <c r="VVO38" s="19"/>
      <c r="VVP38" s="19"/>
      <c r="VVQ38" s="19"/>
      <c r="VVR38" s="19"/>
      <c r="VVS38" s="19"/>
      <c r="VVT38" s="19"/>
      <c r="VVU38" s="19"/>
      <c r="VVV38" s="19"/>
      <c r="VVW38" s="19"/>
      <c r="VVX38" s="19"/>
      <c r="VVY38" s="19"/>
      <c r="VVZ38" s="19"/>
      <c r="VWA38" s="19"/>
      <c r="VWB38" s="19"/>
      <c r="VWC38" s="19"/>
      <c r="VWD38" s="19"/>
      <c r="VWE38" s="19"/>
      <c r="VWF38" s="19"/>
      <c r="VWG38" s="19"/>
      <c r="VWH38" s="19"/>
      <c r="VWI38" s="19"/>
      <c r="VWJ38" s="19"/>
      <c r="VWK38" s="19"/>
      <c r="VWL38" s="19"/>
      <c r="VWM38" s="19"/>
      <c r="VWN38" s="19"/>
      <c r="VWO38" s="19"/>
      <c r="VWP38" s="19"/>
      <c r="VWQ38" s="19"/>
      <c r="VWR38" s="19"/>
      <c r="VWS38" s="19"/>
      <c r="VWT38" s="19"/>
      <c r="VWU38" s="19"/>
      <c r="VWV38" s="19"/>
      <c r="VWW38" s="19"/>
      <c r="VWX38" s="19"/>
      <c r="VWY38" s="19"/>
      <c r="VWZ38" s="19"/>
      <c r="VXA38" s="19"/>
      <c r="VXB38" s="19"/>
      <c r="VXC38" s="19"/>
      <c r="VXD38" s="19"/>
      <c r="VXE38" s="19"/>
      <c r="VXF38" s="19"/>
      <c r="VXG38" s="19"/>
      <c r="VXH38" s="19"/>
      <c r="VXI38" s="19"/>
      <c r="VXJ38" s="19"/>
      <c r="VXK38" s="19"/>
      <c r="VXL38" s="19"/>
      <c r="VXM38" s="19"/>
      <c r="VXN38" s="19"/>
      <c r="VXO38" s="19"/>
      <c r="VXP38" s="19"/>
      <c r="VXQ38" s="19"/>
      <c r="VXR38" s="19"/>
      <c r="VXS38" s="19"/>
      <c r="VXT38" s="19"/>
      <c r="VXU38" s="19"/>
      <c r="VXV38" s="19"/>
      <c r="VXW38" s="19"/>
      <c r="VXX38" s="19"/>
      <c r="VXY38" s="19"/>
      <c r="VXZ38" s="19"/>
      <c r="VYA38" s="19"/>
      <c r="VYB38" s="19"/>
      <c r="VYC38" s="19"/>
      <c r="VYD38" s="19"/>
      <c r="VYE38" s="19"/>
      <c r="VYF38" s="19"/>
      <c r="VYG38" s="19"/>
      <c r="VYH38" s="19"/>
      <c r="VYI38" s="19"/>
      <c r="VYJ38" s="19"/>
      <c r="VYK38" s="19"/>
      <c r="VYL38" s="19"/>
      <c r="VYM38" s="19"/>
      <c r="VYN38" s="19"/>
      <c r="VYO38" s="19"/>
      <c r="VYP38" s="19"/>
      <c r="VYQ38" s="19"/>
      <c r="VYR38" s="19"/>
      <c r="VYS38" s="19"/>
      <c r="VYT38" s="19"/>
      <c r="VYU38" s="19"/>
      <c r="VYV38" s="19"/>
      <c r="VYW38" s="19"/>
      <c r="VYX38" s="19"/>
      <c r="VYY38" s="19"/>
      <c r="VYZ38" s="19"/>
      <c r="VZA38" s="19"/>
      <c r="VZB38" s="19"/>
      <c r="VZC38" s="19"/>
      <c r="VZD38" s="19"/>
      <c r="VZE38" s="19"/>
      <c r="VZF38" s="19"/>
      <c r="VZG38" s="19"/>
      <c r="VZH38" s="19"/>
      <c r="VZI38" s="19"/>
      <c r="VZJ38" s="19"/>
      <c r="VZK38" s="19"/>
      <c r="VZL38" s="19"/>
      <c r="VZM38" s="19"/>
      <c r="VZN38" s="19"/>
      <c r="VZO38" s="19"/>
      <c r="VZP38" s="19"/>
      <c r="VZQ38" s="19"/>
      <c r="VZR38" s="19"/>
      <c r="VZS38" s="19"/>
      <c r="VZT38" s="19"/>
      <c r="VZU38" s="19"/>
      <c r="VZV38" s="19"/>
      <c r="VZW38" s="19"/>
      <c r="VZX38" s="19"/>
      <c r="VZY38" s="19"/>
      <c r="VZZ38" s="19"/>
      <c r="WAA38" s="19"/>
      <c r="WAB38" s="19"/>
      <c r="WAC38" s="19"/>
      <c r="WAD38" s="19"/>
      <c r="WAE38" s="19"/>
      <c r="WAF38" s="19"/>
      <c r="WAG38" s="19"/>
      <c r="WAH38" s="19"/>
      <c r="WAI38" s="19"/>
      <c r="WAJ38" s="19"/>
      <c r="WAK38" s="19"/>
      <c r="WAL38" s="19"/>
      <c r="WAM38" s="19"/>
      <c r="WAN38" s="19"/>
      <c r="WAO38" s="19"/>
      <c r="WAP38" s="19"/>
      <c r="WAQ38" s="19"/>
      <c r="WAR38" s="19"/>
      <c r="WAS38" s="19"/>
      <c r="WAT38" s="19"/>
      <c r="WAU38" s="19"/>
      <c r="WAV38" s="19"/>
      <c r="WAW38" s="19"/>
      <c r="WAX38" s="19"/>
      <c r="WAY38" s="19"/>
      <c r="WAZ38" s="19"/>
      <c r="WBA38" s="19"/>
      <c r="WBB38" s="19"/>
      <c r="WBC38" s="19"/>
      <c r="WBD38" s="19"/>
      <c r="WBE38" s="19"/>
      <c r="WBF38" s="19"/>
      <c r="WBG38" s="19"/>
      <c r="WBH38" s="19"/>
      <c r="WBI38" s="19"/>
      <c r="WBJ38" s="19"/>
      <c r="WBK38" s="19"/>
      <c r="WBL38" s="19"/>
      <c r="WBM38" s="19"/>
      <c r="WBN38" s="19"/>
      <c r="WBO38" s="19"/>
      <c r="WBP38" s="19"/>
      <c r="WBQ38" s="19"/>
      <c r="WBR38" s="19"/>
      <c r="WBS38" s="19"/>
      <c r="WBT38" s="19"/>
      <c r="WBU38" s="19"/>
      <c r="WBV38" s="19"/>
      <c r="WBW38" s="19"/>
      <c r="WBX38" s="19"/>
      <c r="WBY38" s="19"/>
      <c r="WBZ38" s="19"/>
      <c r="WCA38" s="19"/>
      <c r="WCB38" s="19"/>
      <c r="WCC38" s="19"/>
      <c r="WCD38" s="19"/>
      <c r="WCE38" s="19"/>
      <c r="WCF38" s="19"/>
      <c r="WCG38" s="19"/>
      <c r="WCH38" s="19"/>
      <c r="WCI38" s="19"/>
      <c r="WCJ38" s="19"/>
      <c r="WCK38" s="19"/>
      <c r="WCL38" s="19"/>
      <c r="WCM38" s="19"/>
      <c r="WCN38" s="19"/>
      <c r="WCO38" s="19"/>
      <c r="WCP38" s="19"/>
      <c r="WCQ38" s="19"/>
      <c r="WCR38" s="19"/>
      <c r="WCS38" s="19"/>
      <c r="WCT38" s="19"/>
      <c r="WCU38" s="19"/>
      <c r="WCV38" s="19"/>
      <c r="WCW38" s="19"/>
      <c r="WCX38" s="19"/>
      <c r="WCY38" s="19"/>
      <c r="WCZ38" s="19"/>
      <c r="WDA38" s="19"/>
      <c r="WDB38" s="19"/>
      <c r="WDC38" s="19"/>
      <c r="WDD38" s="19"/>
      <c r="WDE38" s="19"/>
      <c r="WDF38" s="19"/>
      <c r="WDG38" s="19"/>
      <c r="WDH38" s="19"/>
      <c r="WDI38" s="19"/>
      <c r="WDJ38" s="19"/>
      <c r="WDK38" s="19"/>
      <c r="WDL38" s="19"/>
      <c r="WDM38" s="19"/>
      <c r="WDN38" s="19"/>
      <c r="WDO38" s="19"/>
      <c r="WDP38" s="19"/>
      <c r="WDQ38" s="19"/>
      <c r="WDR38" s="19"/>
      <c r="WDS38" s="19"/>
      <c r="WDT38" s="19"/>
      <c r="WDU38" s="19"/>
      <c r="WDV38" s="19"/>
      <c r="WDW38" s="19"/>
      <c r="WDX38" s="19"/>
      <c r="WDY38" s="19"/>
      <c r="WDZ38" s="19"/>
      <c r="WEA38" s="19"/>
      <c r="WEB38" s="19"/>
      <c r="WEC38" s="19"/>
      <c r="WED38" s="19"/>
      <c r="WEE38" s="19"/>
      <c r="WEF38" s="19"/>
      <c r="WEG38" s="19"/>
      <c r="WEH38" s="19"/>
      <c r="WEI38" s="19"/>
      <c r="WEJ38" s="19"/>
      <c r="WEK38" s="19"/>
      <c r="WEL38" s="19"/>
      <c r="WEM38" s="19"/>
      <c r="WEN38" s="19"/>
      <c r="WEO38" s="19"/>
      <c r="WEP38" s="19"/>
      <c r="WEQ38" s="19"/>
      <c r="WER38" s="19"/>
      <c r="WES38" s="19"/>
      <c r="WET38" s="19"/>
      <c r="WEU38" s="19"/>
      <c r="WEV38" s="19"/>
      <c r="WEW38" s="19"/>
      <c r="WEX38" s="19"/>
      <c r="WEY38" s="19"/>
      <c r="WEZ38" s="19"/>
      <c r="WFA38" s="19"/>
      <c r="WFB38" s="19"/>
      <c r="WFC38" s="19"/>
      <c r="WFD38" s="19"/>
      <c r="WFE38" s="19"/>
      <c r="WFF38" s="19"/>
      <c r="WFG38" s="19"/>
      <c r="WFH38" s="19"/>
      <c r="WFI38" s="19"/>
      <c r="WFJ38" s="19"/>
      <c r="WFK38" s="19"/>
      <c r="WFL38" s="19"/>
      <c r="WFM38" s="19"/>
      <c r="WFN38" s="19"/>
      <c r="WFO38" s="19"/>
      <c r="WFP38" s="19"/>
      <c r="WFQ38" s="19"/>
      <c r="WFR38" s="19"/>
      <c r="WFS38" s="19"/>
      <c r="WFT38" s="19"/>
      <c r="WFU38" s="19"/>
      <c r="WFV38" s="19"/>
      <c r="WFW38" s="19"/>
      <c r="WFX38" s="19"/>
      <c r="WFY38" s="19"/>
      <c r="WFZ38" s="19"/>
      <c r="WGA38" s="19"/>
      <c r="WGB38" s="19"/>
      <c r="WGC38" s="19"/>
      <c r="WGD38" s="19"/>
      <c r="WGE38" s="19"/>
      <c r="WGF38" s="19"/>
      <c r="WGG38" s="19"/>
      <c r="WGH38" s="19"/>
      <c r="WGI38" s="19"/>
      <c r="WGJ38" s="19"/>
      <c r="WGK38" s="19"/>
      <c r="WGL38" s="19"/>
      <c r="WGM38" s="19"/>
      <c r="WGN38" s="19"/>
      <c r="WGO38" s="19"/>
      <c r="WGP38" s="19"/>
      <c r="WGQ38" s="19"/>
      <c r="WGR38" s="19"/>
      <c r="WGS38" s="19"/>
      <c r="WGT38" s="19"/>
      <c r="WGU38" s="19"/>
      <c r="WGV38" s="19"/>
      <c r="WGW38" s="19"/>
      <c r="WGX38" s="19"/>
      <c r="WGY38" s="19"/>
      <c r="WGZ38" s="19"/>
      <c r="WHA38" s="19"/>
      <c r="WHB38" s="19"/>
      <c r="WHC38" s="19"/>
      <c r="WHD38" s="19"/>
      <c r="WHE38" s="19"/>
      <c r="WHF38" s="19"/>
      <c r="WHG38" s="19"/>
      <c r="WHH38" s="19"/>
      <c r="WHI38" s="19"/>
      <c r="WHJ38" s="19"/>
      <c r="WHK38" s="19"/>
      <c r="WHL38" s="19"/>
      <c r="WHM38" s="19"/>
      <c r="WHN38" s="19"/>
      <c r="WHO38" s="19"/>
      <c r="WHP38" s="19"/>
      <c r="WHQ38" s="19"/>
      <c r="WHR38" s="19"/>
      <c r="WHS38" s="19"/>
      <c r="WHT38" s="19"/>
      <c r="WHU38" s="19"/>
      <c r="WHV38" s="19"/>
      <c r="WHW38" s="19"/>
      <c r="WHX38" s="19"/>
      <c r="WHY38" s="19"/>
      <c r="WHZ38" s="19"/>
      <c r="WIA38" s="19"/>
      <c r="WIB38" s="19"/>
      <c r="WIC38" s="19"/>
      <c r="WID38" s="19"/>
      <c r="WIE38" s="19"/>
      <c r="WIF38" s="19"/>
      <c r="WIG38" s="19"/>
      <c r="WIH38" s="19"/>
      <c r="WII38" s="19"/>
      <c r="WIJ38" s="19"/>
      <c r="WIK38" s="19"/>
      <c r="WIL38" s="19"/>
      <c r="WIM38" s="19"/>
      <c r="WIN38" s="19"/>
      <c r="WIO38" s="19"/>
      <c r="WIP38" s="19"/>
      <c r="WIQ38" s="19"/>
      <c r="WIR38" s="19"/>
      <c r="WIS38" s="19"/>
      <c r="WIT38" s="19"/>
      <c r="WIU38" s="19"/>
      <c r="WIV38" s="19"/>
      <c r="WIW38" s="19"/>
      <c r="WIX38" s="19"/>
      <c r="WIY38" s="19"/>
      <c r="WIZ38" s="19"/>
      <c r="WJA38" s="19"/>
      <c r="WJB38" s="19"/>
      <c r="WJC38" s="19"/>
      <c r="WJD38" s="19"/>
      <c r="WJE38" s="19"/>
      <c r="WJF38" s="19"/>
      <c r="WJG38" s="19"/>
      <c r="WJH38" s="19"/>
      <c r="WJI38" s="19"/>
      <c r="WJJ38" s="19"/>
      <c r="WJK38" s="19"/>
      <c r="WJL38" s="19"/>
      <c r="WJM38" s="19"/>
      <c r="WJN38" s="19"/>
      <c r="WJO38" s="19"/>
      <c r="WJP38" s="19"/>
      <c r="WJQ38" s="19"/>
      <c r="WJR38" s="19"/>
      <c r="WJS38" s="19"/>
      <c r="WJT38" s="19"/>
      <c r="WJU38" s="19"/>
      <c r="WJV38" s="19"/>
      <c r="WJW38" s="19"/>
      <c r="WJX38" s="19"/>
      <c r="WJY38" s="19"/>
      <c r="WJZ38" s="19"/>
      <c r="WKA38" s="19"/>
      <c r="WKB38" s="19"/>
      <c r="WKC38" s="19"/>
      <c r="WKD38" s="19"/>
      <c r="WKE38" s="19"/>
      <c r="WKF38" s="19"/>
      <c r="WKG38" s="19"/>
      <c r="WKH38" s="19"/>
      <c r="WKI38" s="19"/>
      <c r="WKJ38" s="19"/>
      <c r="WKK38" s="19"/>
      <c r="WKL38" s="19"/>
      <c r="WKM38" s="19"/>
      <c r="WKN38" s="19"/>
      <c r="WKO38" s="19"/>
      <c r="WKP38" s="19"/>
      <c r="WKQ38" s="19"/>
      <c r="WKR38" s="19"/>
      <c r="WKS38" s="19"/>
      <c r="WKT38" s="19"/>
      <c r="WKU38" s="19"/>
      <c r="WKV38" s="19"/>
      <c r="WKW38" s="19"/>
      <c r="WKX38" s="19"/>
      <c r="WKY38" s="19"/>
      <c r="WKZ38" s="19"/>
      <c r="WLA38" s="19"/>
      <c r="WLB38" s="19"/>
      <c r="WLC38" s="19"/>
      <c r="WLD38" s="19"/>
      <c r="WLE38" s="19"/>
      <c r="WLF38" s="19"/>
      <c r="WLG38" s="19"/>
      <c r="WLH38" s="19"/>
      <c r="WLI38" s="19"/>
      <c r="WLJ38" s="19"/>
      <c r="WLK38" s="19"/>
      <c r="WLL38" s="19"/>
      <c r="WLM38" s="19"/>
      <c r="WLN38" s="19"/>
      <c r="WLO38" s="19"/>
      <c r="WLP38" s="19"/>
      <c r="WLQ38" s="19"/>
      <c r="WLR38" s="19"/>
      <c r="WLS38" s="19"/>
      <c r="WLT38" s="19"/>
      <c r="WLU38" s="19"/>
      <c r="WLV38" s="19"/>
      <c r="WLW38" s="19"/>
      <c r="WLX38" s="19"/>
      <c r="WLY38" s="19"/>
      <c r="WLZ38" s="19"/>
      <c r="WMA38" s="19"/>
      <c r="WMB38" s="19"/>
      <c r="WMC38" s="19"/>
      <c r="WMD38" s="19"/>
      <c r="WME38" s="19"/>
      <c r="WMF38" s="19"/>
      <c r="WMG38" s="19"/>
      <c r="WMH38" s="19"/>
      <c r="WMI38" s="19"/>
      <c r="WMJ38" s="19"/>
      <c r="WMK38" s="19"/>
      <c r="WML38" s="19"/>
      <c r="WMM38" s="19"/>
      <c r="WMN38" s="19"/>
      <c r="WMO38" s="19"/>
      <c r="WMP38" s="19"/>
      <c r="WMQ38" s="19"/>
      <c r="WMR38" s="19"/>
      <c r="WMS38" s="19"/>
      <c r="WMT38" s="19"/>
      <c r="WMU38" s="19"/>
      <c r="WMV38" s="19"/>
      <c r="WMW38" s="19"/>
      <c r="WMX38" s="19"/>
      <c r="WMY38" s="19"/>
      <c r="WMZ38" s="19"/>
      <c r="WNA38" s="19"/>
      <c r="WNB38" s="19"/>
      <c r="WNC38" s="19"/>
      <c r="WND38" s="19"/>
      <c r="WNE38" s="19"/>
      <c r="WNF38" s="19"/>
      <c r="WNG38" s="19"/>
      <c r="WNH38" s="19"/>
      <c r="WNI38" s="19"/>
      <c r="WNJ38" s="19"/>
      <c r="WNK38" s="19"/>
      <c r="WNL38" s="19"/>
      <c r="WNM38" s="19"/>
      <c r="WNN38" s="19"/>
      <c r="WNO38" s="19"/>
      <c r="WNP38" s="19"/>
      <c r="WNQ38" s="19"/>
      <c r="WNR38" s="19"/>
      <c r="WNS38" s="19"/>
      <c r="WNT38" s="19"/>
      <c r="WNU38" s="19"/>
      <c r="WNV38" s="19"/>
      <c r="WNW38" s="19"/>
      <c r="WNX38" s="19"/>
      <c r="WNY38" s="19"/>
      <c r="WNZ38" s="19"/>
      <c r="WOA38" s="19"/>
      <c r="WOB38" s="19"/>
      <c r="WOC38" s="19"/>
      <c r="WOD38" s="19"/>
      <c r="WOE38" s="19"/>
      <c r="WOF38" s="19"/>
      <c r="WOG38" s="19"/>
      <c r="WOH38" s="19"/>
      <c r="WOI38" s="19"/>
      <c r="WOJ38" s="19"/>
      <c r="WOK38" s="19"/>
      <c r="WOL38" s="19"/>
      <c r="WOM38" s="19"/>
      <c r="WON38" s="19"/>
      <c r="WOO38" s="19"/>
      <c r="WOP38" s="19"/>
      <c r="WOQ38" s="19"/>
      <c r="WOR38" s="19"/>
      <c r="WOS38" s="19"/>
      <c r="WOT38" s="19"/>
      <c r="WOU38" s="19"/>
      <c r="WOV38" s="19"/>
      <c r="WOW38" s="19"/>
      <c r="WOX38" s="19"/>
      <c r="WOY38" s="19"/>
      <c r="WOZ38" s="19"/>
      <c r="WPA38" s="19"/>
      <c r="WPB38" s="19"/>
      <c r="WPC38" s="19"/>
      <c r="WPD38" s="19"/>
      <c r="WPE38" s="19"/>
      <c r="WPF38" s="19"/>
      <c r="WPG38" s="19"/>
      <c r="WPH38" s="19"/>
      <c r="WPI38" s="19"/>
      <c r="WPJ38" s="19"/>
      <c r="WPK38" s="19"/>
      <c r="WPL38" s="19"/>
      <c r="WPM38" s="19"/>
      <c r="WPN38" s="19"/>
      <c r="WPO38" s="19"/>
      <c r="WPP38" s="19"/>
      <c r="WPQ38" s="19"/>
      <c r="WPR38" s="19"/>
      <c r="WPS38" s="19"/>
      <c r="WPT38" s="19"/>
      <c r="WPU38" s="19"/>
      <c r="WPV38" s="19"/>
      <c r="WPW38" s="19"/>
      <c r="WPX38" s="19"/>
      <c r="WPY38" s="19"/>
      <c r="WPZ38" s="19"/>
      <c r="WQA38" s="19"/>
      <c r="WQB38" s="19"/>
      <c r="WQC38" s="19"/>
      <c r="WQD38" s="19"/>
      <c r="WQE38" s="19"/>
      <c r="WQF38" s="19"/>
      <c r="WQG38" s="19"/>
      <c r="WQH38" s="19"/>
      <c r="WQI38" s="19"/>
      <c r="WQJ38" s="19"/>
      <c r="WQK38" s="19"/>
      <c r="WQL38" s="19"/>
      <c r="WQM38" s="19"/>
      <c r="WQN38" s="19"/>
      <c r="WQO38" s="19"/>
      <c r="WQP38" s="19"/>
      <c r="WQQ38" s="19"/>
      <c r="WQR38" s="19"/>
      <c r="WQS38" s="19"/>
      <c r="WQT38" s="19"/>
      <c r="WQU38" s="19"/>
      <c r="WQV38" s="19"/>
      <c r="WQW38" s="19"/>
      <c r="WQX38" s="19"/>
      <c r="WQY38" s="19"/>
      <c r="WQZ38" s="19"/>
      <c r="WRA38" s="19"/>
      <c r="WRB38" s="19"/>
      <c r="WRC38" s="19"/>
      <c r="WRD38" s="19"/>
      <c r="WRE38" s="19"/>
      <c r="WRF38" s="19"/>
      <c r="WRG38" s="19"/>
      <c r="WRH38" s="19"/>
      <c r="WRI38" s="19"/>
      <c r="WRJ38" s="19"/>
      <c r="WRK38" s="19"/>
      <c r="WRL38" s="19"/>
      <c r="WRM38" s="19"/>
      <c r="WRN38" s="19"/>
      <c r="WRO38" s="19"/>
      <c r="WRP38" s="19"/>
      <c r="WRQ38" s="19"/>
      <c r="WRR38" s="19"/>
      <c r="WRS38" s="19"/>
      <c r="WRT38" s="19"/>
      <c r="WRU38" s="19"/>
      <c r="WRV38" s="19"/>
      <c r="WRW38" s="19"/>
      <c r="WRX38" s="19"/>
      <c r="WRY38" s="19"/>
      <c r="WRZ38" s="19"/>
      <c r="WSA38" s="19"/>
      <c r="WSB38" s="19"/>
      <c r="WSC38" s="19"/>
      <c r="WSD38" s="19"/>
      <c r="WSE38" s="19"/>
      <c r="WSF38" s="19"/>
      <c r="WSG38" s="19"/>
      <c r="WSH38" s="19"/>
      <c r="WSI38" s="19"/>
      <c r="WSJ38" s="19"/>
      <c r="WSK38" s="19"/>
      <c r="WSL38" s="19"/>
      <c r="WSM38" s="19"/>
      <c r="WSN38" s="19"/>
      <c r="WSO38" s="19"/>
      <c r="WSP38" s="19"/>
      <c r="WSQ38" s="19"/>
      <c r="WSR38" s="19"/>
      <c r="WSS38" s="19"/>
      <c r="WST38" s="19"/>
      <c r="WSU38" s="19"/>
      <c r="WSV38" s="19"/>
      <c r="WSW38" s="19"/>
      <c r="WSX38" s="19"/>
      <c r="WSY38" s="19"/>
      <c r="WSZ38" s="19"/>
      <c r="WTA38" s="19"/>
      <c r="WTB38" s="19"/>
      <c r="WTC38" s="19"/>
      <c r="WTD38" s="19"/>
      <c r="WTE38" s="19"/>
      <c r="WTF38" s="19"/>
      <c r="WTG38" s="19"/>
      <c r="WTH38" s="19"/>
      <c r="WTI38" s="19"/>
      <c r="WTJ38" s="19"/>
      <c r="WTK38" s="19"/>
      <c r="WTL38" s="19"/>
      <c r="WTM38" s="19"/>
      <c r="WTN38" s="19"/>
      <c r="WTO38" s="19"/>
      <c r="WTP38" s="19"/>
      <c r="WTQ38" s="19"/>
      <c r="WTR38" s="19"/>
      <c r="WTS38" s="19"/>
      <c r="WTT38" s="19"/>
      <c r="WTU38" s="19"/>
      <c r="WTV38" s="19"/>
      <c r="WTW38" s="19"/>
      <c r="WTX38" s="19"/>
      <c r="WTY38" s="19"/>
      <c r="WTZ38" s="19"/>
      <c r="WUA38" s="19"/>
      <c r="WUB38" s="19"/>
      <c r="WUC38" s="19"/>
      <c r="WUD38" s="19"/>
      <c r="WUE38" s="19"/>
      <c r="WUF38" s="19"/>
      <c r="WUG38" s="19"/>
      <c r="WUH38" s="19"/>
      <c r="WUI38" s="19"/>
      <c r="WUJ38" s="19"/>
      <c r="WUK38" s="19"/>
      <c r="WUL38" s="19"/>
      <c r="WUM38" s="19"/>
      <c r="WUN38" s="19"/>
      <c r="WUO38" s="19"/>
      <c r="WUP38" s="19"/>
      <c r="WUQ38" s="19"/>
      <c r="WUR38" s="19"/>
      <c r="WUS38" s="19"/>
      <c r="WUT38" s="19"/>
      <c r="WUU38" s="19"/>
      <c r="WUV38" s="19"/>
      <c r="WUW38" s="19"/>
      <c r="WUX38" s="19"/>
      <c r="WUY38" s="19"/>
      <c r="WUZ38" s="19"/>
      <c r="WVA38" s="19"/>
      <c r="WVB38" s="19"/>
      <c r="WVC38" s="19"/>
      <c r="WVD38" s="19"/>
      <c r="WVE38" s="19"/>
      <c r="WVF38" s="19"/>
      <c r="WVG38" s="19"/>
      <c r="WVH38" s="19"/>
      <c r="WVI38" s="19"/>
      <c r="WVJ38" s="19"/>
      <c r="WVK38" s="19"/>
      <c r="WVL38" s="19"/>
      <c r="WVM38" s="19"/>
      <c r="WVN38" s="19"/>
      <c r="WVO38" s="19"/>
      <c r="WVP38" s="19"/>
      <c r="WVQ38" s="19"/>
      <c r="WVR38" s="19"/>
      <c r="WVS38" s="19"/>
      <c r="WVT38" s="19"/>
      <c r="WVU38" s="19"/>
      <c r="WVV38" s="19"/>
      <c r="WVW38" s="19"/>
      <c r="WVX38" s="19"/>
      <c r="WVY38" s="19"/>
      <c r="WVZ38" s="19"/>
      <c r="WWA38" s="19"/>
      <c r="WWB38" s="19"/>
      <c r="WWC38" s="19"/>
      <c r="WWD38" s="19"/>
      <c r="WWE38" s="19"/>
      <c r="WWF38" s="19"/>
      <c r="WWG38" s="19"/>
      <c r="WWH38" s="19"/>
      <c r="WWI38" s="19"/>
      <c r="WWJ38" s="19"/>
      <c r="WWK38" s="19"/>
      <c r="WWL38" s="19"/>
      <c r="WWM38" s="19"/>
      <c r="WWN38" s="19"/>
      <c r="WWO38" s="19"/>
      <c r="WWP38" s="19"/>
      <c r="WWQ38" s="19"/>
      <c r="WWR38" s="19"/>
      <c r="WWS38" s="19"/>
      <c r="WWT38" s="19"/>
      <c r="WWU38" s="19"/>
      <c r="WWV38" s="19"/>
      <c r="WWW38" s="19"/>
      <c r="WWX38" s="19"/>
      <c r="WWY38" s="19"/>
      <c r="WWZ38" s="19"/>
      <c r="WXA38" s="19"/>
      <c r="WXB38" s="19"/>
      <c r="WXC38" s="19"/>
      <c r="WXD38" s="19"/>
      <c r="WXE38" s="19"/>
      <c r="WXF38" s="19"/>
      <c r="WXG38" s="19"/>
      <c r="WXH38" s="19"/>
      <c r="WXI38" s="19"/>
      <c r="WXJ38" s="19"/>
      <c r="WXK38" s="19"/>
      <c r="WXL38" s="19"/>
      <c r="WXM38" s="19"/>
      <c r="WXN38" s="19"/>
      <c r="WXO38" s="19"/>
      <c r="WXP38" s="19"/>
      <c r="WXQ38" s="19"/>
      <c r="WXR38" s="19"/>
      <c r="WXS38" s="19"/>
      <c r="WXT38" s="19"/>
      <c r="WXU38" s="19"/>
      <c r="WXV38" s="19"/>
      <c r="WXW38" s="19"/>
      <c r="WXX38" s="19"/>
      <c r="WXY38" s="19"/>
      <c r="WXZ38" s="19"/>
      <c r="WYA38" s="19"/>
      <c r="WYB38" s="19"/>
      <c r="WYC38" s="19"/>
      <c r="WYD38" s="19"/>
      <c r="WYE38" s="19"/>
      <c r="WYF38" s="19"/>
      <c r="WYG38" s="19"/>
      <c r="WYH38" s="19"/>
      <c r="WYI38" s="19"/>
      <c r="WYJ38" s="19"/>
      <c r="WYK38" s="19"/>
      <c r="WYL38" s="19"/>
      <c r="WYM38" s="19"/>
      <c r="WYN38" s="19"/>
      <c r="WYO38" s="19"/>
      <c r="WYP38" s="19"/>
      <c r="WYQ38" s="19"/>
      <c r="WYR38" s="19"/>
      <c r="WYS38" s="19"/>
      <c r="WYT38" s="19"/>
      <c r="WYU38" s="19"/>
      <c r="WYV38" s="19"/>
      <c r="WYW38" s="19"/>
      <c r="WYX38" s="19"/>
      <c r="WYY38" s="19"/>
      <c r="WYZ38" s="19"/>
      <c r="WZA38" s="19"/>
      <c r="WZB38" s="19"/>
      <c r="WZC38" s="19"/>
      <c r="WZD38" s="19"/>
      <c r="WZE38" s="19"/>
      <c r="WZF38" s="19"/>
      <c r="WZG38" s="19"/>
      <c r="WZH38" s="19"/>
      <c r="WZI38" s="19"/>
      <c r="WZJ38" s="19"/>
      <c r="WZK38" s="19"/>
      <c r="WZL38" s="19"/>
      <c r="WZM38" s="19"/>
      <c r="WZN38" s="19"/>
      <c r="WZO38" s="19"/>
      <c r="WZP38" s="19"/>
      <c r="WZQ38" s="19"/>
      <c r="WZR38" s="19"/>
      <c r="WZS38" s="19"/>
      <c r="WZT38" s="19"/>
      <c r="WZU38" s="19"/>
      <c r="WZV38" s="19"/>
      <c r="WZW38" s="19"/>
      <c r="WZX38" s="19"/>
      <c r="WZY38" s="19"/>
      <c r="WZZ38" s="19"/>
      <c r="XAA38" s="19"/>
      <c r="XAB38" s="19"/>
      <c r="XAC38" s="19"/>
      <c r="XAD38" s="19"/>
      <c r="XAE38" s="19"/>
      <c r="XAF38" s="19"/>
      <c r="XAG38" s="19"/>
      <c r="XAH38" s="19"/>
      <c r="XAI38" s="19"/>
      <c r="XAJ38" s="19"/>
      <c r="XAK38" s="19"/>
      <c r="XAL38" s="19"/>
      <c r="XAM38" s="19"/>
      <c r="XAN38" s="19"/>
      <c r="XAO38" s="19"/>
      <c r="XAP38" s="19"/>
      <c r="XAQ38" s="19"/>
      <c r="XAR38" s="19"/>
      <c r="XAS38" s="19"/>
      <c r="XAT38" s="19"/>
      <c r="XAU38" s="19"/>
      <c r="XAV38" s="19"/>
      <c r="XAW38" s="19"/>
      <c r="XAX38" s="19"/>
      <c r="XAY38" s="19"/>
      <c r="XAZ38" s="19"/>
      <c r="XBA38" s="19"/>
      <c r="XBB38" s="19"/>
      <c r="XBC38" s="19"/>
      <c r="XBD38" s="19"/>
      <c r="XBE38" s="19"/>
      <c r="XBF38" s="19"/>
      <c r="XBG38" s="19"/>
      <c r="XBH38" s="19"/>
      <c r="XBI38" s="19"/>
      <c r="XBJ38" s="19"/>
      <c r="XBK38" s="19"/>
      <c r="XBL38" s="19"/>
      <c r="XBM38" s="19"/>
      <c r="XBN38" s="19"/>
      <c r="XBO38" s="19"/>
      <c r="XBP38" s="19"/>
      <c r="XBQ38" s="19"/>
      <c r="XBR38" s="19"/>
      <c r="XBS38" s="19"/>
      <c r="XBT38" s="19"/>
      <c r="XBU38" s="19"/>
      <c r="XBV38" s="19"/>
      <c r="XBW38" s="19"/>
      <c r="XBX38" s="19"/>
      <c r="XBY38" s="19"/>
      <c r="XBZ38" s="19"/>
      <c r="XCA38" s="19"/>
      <c r="XCB38" s="19"/>
      <c r="XCC38" s="19"/>
      <c r="XCD38" s="19"/>
      <c r="XCE38" s="19"/>
      <c r="XCF38" s="19"/>
      <c r="XCG38" s="19"/>
      <c r="XCH38" s="19"/>
      <c r="XCI38" s="19"/>
      <c r="XCJ38" s="19"/>
      <c r="XCK38" s="19"/>
      <c r="XCL38" s="19"/>
      <c r="XCM38" s="19"/>
      <c r="XCN38" s="19"/>
      <c r="XCO38" s="19"/>
      <c r="XCP38" s="19"/>
      <c r="XCQ38" s="19"/>
      <c r="XCR38" s="19"/>
      <c r="XCS38" s="19"/>
      <c r="XCT38" s="19"/>
      <c r="XCU38" s="19"/>
      <c r="XCV38" s="19"/>
      <c r="XCW38" s="19"/>
      <c r="XCX38" s="19"/>
      <c r="XCY38" s="19"/>
      <c r="XCZ38" s="19"/>
      <c r="XDA38" s="19"/>
      <c r="XDB38" s="19"/>
      <c r="XDC38" s="19"/>
      <c r="XDD38" s="19"/>
      <c r="XDE38" s="19"/>
      <c r="XDF38" s="19"/>
      <c r="XDG38" s="19"/>
      <c r="XDH38" s="19"/>
      <c r="XDI38" s="19"/>
      <c r="XDJ38" s="19"/>
      <c r="XDK38" s="19"/>
      <c r="XDL38" s="19"/>
      <c r="XDM38" s="19"/>
      <c r="XDN38" s="19"/>
      <c r="XDO38" s="19"/>
      <c r="XDP38" s="19"/>
      <c r="XDQ38" s="19"/>
      <c r="XDR38" s="19"/>
      <c r="XDS38" s="19"/>
      <c r="XDT38" s="19"/>
      <c r="XDU38" s="19"/>
      <c r="XDV38" s="19"/>
      <c r="XDW38" s="19"/>
      <c r="XDX38" s="19"/>
      <c r="XDY38" s="19"/>
      <c r="XDZ38" s="19"/>
      <c r="XEA38" s="19"/>
      <c r="XEB38" s="19"/>
      <c r="XEC38" s="19"/>
      <c r="XED38" s="19"/>
      <c r="XEE38" s="19"/>
      <c r="XEF38" s="19"/>
      <c r="XEG38" s="19"/>
      <c r="XEH38" s="19"/>
      <c r="XEI38" s="19"/>
      <c r="XEJ38" s="19"/>
      <c r="XEK38" s="19"/>
      <c r="XEL38" s="19"/>
      <c r="XEM38" s="19"/>
      <c r="XEN38" s="19"/>
      <c r="XEO38" s="19"/>
      <c r="XEP38" s="19"/>
      <c r="XEQ38" s="19"/>
      <c r="XER38" s="19"/>
      <c r="XES38" s="19"/>
      <c r="XET38" s="19"/>
      <c r="XEU38" s="19"/>
      <c r="XEV38" s="19"/>
      <c r="XEW38" s="19"/>
      <c r="XEX38" s="19"/>
      <c r="XEY38" s="19"/>
      <c r="XEZ38" s="19"/>
      <c r="XFA38" s="19"/>
      <c r="XFB38" s="19"/>
      <c r="XFC38" s="19"/>
      <c r="XFD38" s="19"/>
    </row>
    <row r="39" spans="2:16384">
      <c r="F39" s="1565">
        <f t="shared" ref="F39:U39" si="16">F38/$B$38</f>
        <v>45.903294598396499</v>
      </c>
      <c r="G39" s="1565">
        <f t="shared" si="16"/>
        <v>138.19045425618566</v>
      </c>
      <c r="H39" s="1565">
        <f t="shared" si="16"/>
        <v>167.97197852503254</v>
      </c>
      <c r="I39" s="1565">
        <f t="shared" si="16"/>
        <v>177.92307299483525</v>
      </c>
      <c r="J39" s="1565">
        <f t="shared" si="16"/>
        <v>186.90191023515803</v>
      </c>
      <c r="K39" s="1565">
        <f t="shared" si="16"/>
        <v>189.29931710125479</v>
      </c>
      <c r="L39" s="1565">
        <f t="shared" si="16"/>
        <v>189.29931710125479</v>
      </c>
      <c r="M39" s="1565">
        <f t="shared" si="16"/>
        <v>189.81794536728563</v>
      </c>
      <c r="N39" s="1565">
        <f t="shared" si="16"/>
        <v>189.29931710125479</v>
      </c>
      <c r="O39" s="1565">
        <f t="shared" si="16"/>
        <v>189.29931710125479</v>
      </c>
      <c r="P39" s="1565">
        <f t="shared" si="16"/>
        <v>189.29931710125479</v>
      </c>
      <c r="Q39" s="1565">
        <f t="shared" si="16"/>
        <v>189.81794536728563</v>
      </c>
      <c r="R39" s="1565">
        <f t="shared" si="16"/>
        <v>189.29931710125479</v>
      </c>
      <c r="S39" s="1565">
        <f t="shared" si="16"/>
        <v>189.29931710125479</v>
      </c>
      <c r="T39" s="1565">
        <f t="shared" si="16"/>
        <v>189.29931710125479</v>
      </c>
      <c r="U39" s="1565">
        <f t="shared" si="16"/>
        <v>189.81794536728563</v>
      </c>
    </row>
    <row r="40" spans="2:16384" s="19" customFormat="1"/>
    <row r="41" spans="2:16384">
      <c r="B41" s="1208" t="s">
        <v>1097</v>
      </c>
    </row>
    <row r="42" spans="2:16384" ht="25.5">
      <c r="B42" s="316" t="s">
        <v>501</v>
      </c>
      <c r="D42" s="1552"/>
      <c r="E42" s="1564">
        <f>F42-1</f>
        <v>2024</v>
      </c>
      <c r="F42" s="1564">
        <f>F5</f>
        <v>2025</v>
      </c>
      <c r="G42" s="1564">
        <f t="shared" ref="G42:U42" si="17">G5</f>
        <v>2026</v>
      </c>
      <c r="H42" s="1564">
        <f t="shared" si="17"/>
        <v>2027</v>
      </c>
      <c r="I42" s="1564">
        <f t="shared" si="17"/>
        <v>2028</v>
      </c>
      <c r="J42" s="1564">
        <f t="shared" si="17"/>
        <v>2029</v>
      </c>
      <c r="K42" s="1564">
        <f t="shared" si="17"/>
        <v>2030</v>
      </c>
      <c r="L42" s="1564">
        <f t="shared" si="17"/>
        <v>2031</v>
      </c>
      <c r="M42" s="1564">
        <f t="shared" si="17"/>
        <v>2032</v>
      </c>
      <c r="N42" s="1564">
        <f t="shared" si="17"/>
        <v>2033</v>
      </c>
      <c r="O42" s="1564">
        <f t="shared" si="17"/>
        <v>2034</v>
      </c>
      <c r="P42" s="1564">
        <f t="shared" si="17"/>
        <v>2035</v>
      </c>
      <c r="Q42" s="1564">
        <f t="shared" si="17"/>
        <v>2036</v>
      </c>
      <c r="R42" s="1564">
        <f t="shared" si="17"/>
        <v>2037</v>
      </c>
      <c r="S42" s="1564">
        <f t="shared" si="17"/>
        <v>2038</v>
      </c>
      <c r="T42" s="1564">
        <f t="shared" si="17"/>
        <v>2039</v>
      </c>
      <c r="U42" s="1564">
        <f t="shared" si="17"/>
        <v>2040</v>
      </c>
    </row>
    <row r="43" spans="2:16384">
      <c r="B43" s="1563">
        <v>3050</v>
      </c>
      <c r="D43" s="1505" t="str">
        <f>D38</f>
        <v>Итого, кол-во размещенных лиц на курорте</v>
      </c>
      <c r="E43" s="1554">
        <v>42651.666679999995</v>
      </c>
      <c r="F43" s="1554">
        <v>134659.75904210526</v>
      </c>
      <c r="G43" s="1554">
        <v>233343.69462035081</v>
      </c>
      <c r="H43" s="1554">
        <v>326253.82180210523</v>
      </c>
      <c r="I43" s="1554">
        <v>363521.70521880081</v>
      </c>
      <c r="J43" s="1554">
        <v>375114.27880280698</v>
      </c>
      <c r="K43" s="1554">
        <v>377504.06827649113</v>
      </c>
      <c r="L43" s="1554">
        <v>377504.06827649113</v>
      </c>
      <c r="M43" s="1554">
        <v>380771.17236210703</v>
      </c>
      <c r="N43" s="1554">
        <v>379454.7249484912</v>
      </c>
      <c r="O43" s="1554">
        <v>379454.7249484912</v>
      </c>
      <c r="P43" s="1554">
        <v>379454.7249484912</v>
      </c>
      <c r="Q43" s="1554">
        <v>380771.17236210703</v>
      </c>
      <c r="R43" s="1554">
        <v>379454.7249484912</v>
      </c>
      <c r="S43" s="1554">
        <v>379454.7249484912</v>
      </c>
      <c r="T43" s="1554">
        <v>379454.7249484912</v>
      </c>
      <c r="U43" s="1554">
        <v>380771.17236210703</v>
      </c>
    </row>
    <row r="44" spans="2:16384">
      <c r="E44" s="1565">
        <f>E43/$B$43</f>
        <v>13.984153009836064</v>
      </c>
      <c r="F44" s="1565">
        <f t="shared" ref="F44:U44" si="18">F43/$B$43</f>
        <v>44.150740669542706</v>
      </c>
      <c r="G44" s="1565">
        <f t="shared" si="18"/>
        <v>76.506129383721571</v>
      </c>
      <c r="H44" s="1565">
        <f t="shared" si="18"/>
        <v>106.96846616462467</v>
      </c>
      <c r="I44" s="1565">
        <f t="shared" si="18"/>
        <v>119.18744433403305</v>
      </c>
      <c r="J44" s="1565">
        <f t="shared" si="18"/>
        <v>122.98828813206786</v>
      </c>
      <c r="K44" s="1565">
        <f t="shared" si="18"/>
        <v>123.77182566442332</v>
      </c>
      <c r="L44" s="1565">
        <f t="shared" si="18"/>
        <v>123.77182566442332</v>
      </c>
      <c r="M44" s="1565">
        <f t="shared" si="18"/>
        <v>124.84300733183836</v>
      </c>
      <c r="N44" s="1565">
        <f t="shared" si="18"/>
        <v>124.4113852290135</v>
      </c>
      <c r="O44" s="1565">
        <f t="shared" si="18"/>
        <v>124.4113852290135</v>
      </c>
      <c r="P44" s="1565">
        <f t="shared" si="18"/>
        <v>124.4113852290135</v>
      </c>
      <c r="Q44" s="1565">
        <f t="shared" si="18"/>
        <v>124.84300733183836</v>
      </c>
      <c r="R44" s="1565">
        <f t="shared" si="18"/>
        <v>124.4113852290135</v>
      </c>
      <c r="S44" s="1565">
        <f t="shared" si="18"/>
        <v>124.4113852290135</v>
      </c>
      <c r="T44" s="1565">
        <f t="shared" si="18"/>
        <v>124.4113852290135</v>
      </c>
      <c r="U44" s="1565">
        <f t="shared" si="18"/>
        <v>124.84300733183836</v>
      </c>
    </row>
    <row r="49" spans="11:17">
      <c r="K49" s="19"/>
      <c r="L49" s="19"/>
      <c r="M49" s="19"/>
      <c r="N49" s="19"/>
      <c r="O49" s="19"/>
      <c r="P49" s="19"/>
      <c r="Q49" s="19"/>
    </row>
    <row r="50" spans="11:17">
      <c r="K50" s="19"/>
      <c r="L50" s="19"/>
      <c r="M50" s="19"/>
      <c r="N50" s="19"/>
      <c r="O50" s="19"/>
      <c r="P50" s="19"/>
      <c r="Q50" s="1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R951"/>
  <sheetViews>
    <sheetView showGridLines="0" zoomScale="70" zoomScaleNormal="70" workbookViewId="0">
      <pane xSplit="4" ySplit="7" topLeftCell="E538" activePane="bottomRight" state="frozen"/>
      <selection pane="topRight" activeCell="E1" sqref="E1"/>
      <selection pane="bottomLeft" activeCell="A8" sqref="A8"/>
      <selection pane="bottomRight" activeCell="C959" sqref="C959"/>
    </sheetView>
  </sheetViews>
  <sheetFormatPr defaultColWidth="9.140625" defaultRowHeight="15" customHeight="1" outlineLevelRow="1"/>
  <cols>
    <col min="1" max="1" width="15.7109375" style="19" customWidth="1"/>
    <col min="2" max="2" width="23.85546875" style="19" customWidth="1"/>
    <col min="3" max="3" width="70.85546875" style="19" customWidth="1"/>
    <col min="4" max="4" width="12.5703125" style="19" customWidth="1"/>
    <col min="5" max="11" width="11.42578125" style="19" customWidth="1"/>
    <col min="12" max="12" width="9.140625" style="19"/>
    <col min="13" max="13" width="30.42578125" style="19" customWidth="1"/>
    <col min="14" max="16384" width="9.140625" style="19"/>
  </cols>
  <sheetData>
    <row r="1" spans="1:18" ht="15.75">
      <c r="A1" s="1566"/>
      <c r="B1" s="1567"/>
      <c r="C1" s="1568"/>
      <c r="D1" s="1569"/>
      <c r="E1" s="1570"/>
      <c r="F1" s="1570"/>
      <c r="G1" s="1570"/>
      <c r="H1" s="1570"/>
      <c r="I1" s="1570"/>
      <c r="J1" s="1570"/>
      <c r="K1" s="1570"/>
    </row>
    <row r="2" spans="1:18" ht="15.75" customHeight="1">
      <c r="A2" s="1566"/>
      <c r="B2" s="1571"/>
      <c r="C2" s="1571"/>
      <c r="D2" s="1572"/>
      <c r="E2" s="1571">
        <f>YEAR(E3)</f>
        <v>2025</v>
      </c>
      <c r="F2" s="1571">
        <f t="shared" ref="F2:K2" si="0">E2+1</f>
        <v>2026</v>
      </c>
      <c r="G2" s="1571">
        <f t="shared" si="0"/>
        <v>2027</v>
      </c>
      <c r="H2" s="1571">
        <f t="shared" si="0"/>
        <v>2028</v>
      </c>
      <c r="I2" s="1571">
        <f t="shared" si="0"/>
        <v>2029</v>
      </c>
      <c r="J2" s="1571">
        <f t="shared" si="0"/>
        <v>2030</v>
      </c>
      <c r="K2" s="1571">
        <f t="shared" si="0"/>
        <v>2031</v>
      </c>
      <c r="M2" s="1571" t="s">
        <v>1246</v>
      </c>
      <c r="N2" s="1571"/>
      <c r="O2" s="1571"/>
      <c r="P2" s="1571"/>
      <c r="Q2" s="1571"/>
      <c r="R2" s="1571"/>
    </row>
    <row r="3" spans="1:18">
      <c r="A3" s="1566"/>
      <c r="B3" s="148"/>
      <c r="C3" s="1340" t="s">
        <v>1</v>
      </c>
      <c r="D3" s="1573"/>
      <c r="E3" s="1574">
        <f>Вводные!D9</f>
        <v>45839</v>
      </c>
      <c r="F3" s="1575">
        <f t="shared" ref="F3:K3" si="1">E4+1</f>
        <v>46023</v>
      </c>
      <c r="G3" s="1575">
        <f t="shared" si="1"/>
        <v>46388</v>
      </c>
      <c r="H3" s="1575">
        <f t="shared" si="1"/>
        <v>46753</v>
      </c>
      <c r="I3" s="1575">
        <f t="shared" si="1"/>
        <v>47119</v>
      </c>
      <c r="J3" s="1575">
        <f t="shared" si="1"/>
        <v>47484</v>
      </c>
      <c r="K3" s="1575">
        <f t="shared" si="1"/>
        <v>47849</v>
      </c>
    </row>
    <row r="4" spans="1:18">
      <c r="A4" s="1566"/>
      <c r="B4" s="148"/>
      <c r="C4" s="1340" t="s">
        <v>2</v>
      </c>
      <c r="D4" s="1573"/>
      <c r="E4" s="1575">
        <f t="shared" ref="E4:K4" si="2">DATE(E2,12,31)</f>
        <v>46022</v>
      </c>
      <c r="F4" s="1575">
        <f t="shared" si="2"/>
        <v>46387</v>
      </c>
      <c r="G4" s="1575">
        <f t="shared" si="2"/>
        <v>46752</v>
      </c>
      <c r="H4" s="1575">
        <f t="shared" si="2"/>
        <v>47118</v>
      </c>
      <c r="I4" s="1575">
        <f t="shared" si="2"/>
        <v>47483</v>
      </c>
      <c r="J4" s="1575">
        <f t="shared" si="2"/>
        <v>47848</v>
      </c>
      <c r="K4" s="1575">
        <f t="shared" si="2"/>
        <v>48213</v>
      </c>
    </row>
    <row r="5" spans="1:18">
      <c r="A5" s="1566"/>
      <c r="B5" s="1576"/>
      <c r="C5" s="1340" t="s">
        <v>9</v>
      </c>
      <c r="D5" s="1577"/>
      <c r="E5" s="148">
        <f>E4-E3+1</f>
        <v>184</v>
      </c>
      <c r="F5" s="148">
        <f t="shared" ref="F5:K5" si="3">F4-F3+1</f>
        <v>365</v>
      </c>
      <c r="G5" s="148">
        <f t="shared" si="3"/>
        <v>365</v>
      </c>
      <c r="H5" s="148">
        <f t="shared" si="3"/>
        <v>366</v>
      </c>
      <c r="I5" s="148">
        <f t="shared" si="3"/>
        <v>365</v>
      </c>
      <c r="J5" s="148">
        <f t="shared" si="3"/>
        <v>365</v>
      </c>
      <c r="K5" s="148">
        <f t="shared" si="3"/>
        <v>365</v>
      </c>
    </row>
    <row r="6" spans="1:18">
      <c r="A6" s="1566"/>
      <c r="B6" s="148"/>
      <c r="C6" s="1340" t="s">
        <v>37</v>
      </c>
      <c r="D6" s="1573"/>
      <c r="E6" s="148">
        <v>12</v>
      </c>
      <c r="F6" s="148">
        <v>12</v>
      </c>
      <c r="G6" s="148">
        <v>12</v>
      </c>
      <c r="H6" s="148">
        <v>12</v>
      </c>
      <c r="I6" s="148">
        <v>12</v>
      </c>
      <c r="J6" s="148">
        <v>12</v>
      </c>
      <c r="K6" s="148">
        <v>12</v>
      </c>
    </row>
    <row r="7" spans="1:18">
      <c r="A7" s="1566"/>
      <c r="B7" s="148"/>
      <c r="C7" s="1340" t="s">
        <v>5</v>
      </c>
      <c r="D7" s="1573"/>
      <c r="E7" s="1578">
        <f>LOOKUP(E2,CPI!3:3,CPI!5:5)</f>
        <v>1.1698585600000002</v>
      </c>
      <c r="F7" s="1578">
        <f>LOOKUP(F2,CPI!3:3,CPI!5:5)</f>
        <v>1.2166529024000003</v>
      </c>
      <c r="G7" s="1578">
        <f>LOOKUP(G2,CPI!3:3,CPI!5:5)</f>
        <v>1.2653190184960004</v>
      </c>
      <c r="H7" s="1578">
        <f>LOOKUP(H2,CPI!3:3,CPI!5:5)</f>
        <v>1.3159317792358405</v>
      </c>
      <c r="I7" s="1578">
        <f>LOOKUP(I2,CPI!3:3,CPI!5:5)</f>
        <v>1.3685690504052741</v>
      </c>
      <c r="J7" s="1578">
        <f>LOOKUP(J2,CPI!3:3,CPI!5:5)</f>
        <v>1.4233118124214852</v>
      </c>
      <c r="K7" s="1578">
        <f>LOOKUP(K2,CPI!3:3,CPI!5:5)</f>
        <v>1.4802442849183446</v>
      </c>
    </row>
    <row r="8" spans="1:18" ht="15" customHeight="1">
      <c r="A8" s="1566"/>
      <c r="B8" s="20"/>
      <c r="C8" s="20"/>
      <c r="D8" s="1579"/>
      <c r="E8" s="20"/>
      <c r="F8" s="20"/>
      <c r="G8" s="20"/>
      <c r="H8" s="20"/>
      <c r="I8" s="20"/>
      <c r="J8" s="20"/>
      <c r="K8" s="20"/>
    </row>
    <row r="9" spans="1:18" ht="15.75" customHeight="1">
      <c r="A9" s="1566"/>
      <c r="B9" s="1580" t="str">
        <f>Объекты!$C$31</f>
        <v xml:space="preserve">Гостиница 5* - Mövenpick </v>
      </c>
      <c r="C9" s="1571"/>
      <c r="D9" s="1581">
        <f>YEAR(Объекты!$K$5)</f>
        <v>2026</v>
      </c>
      <c r="E9" s="1571"/>
      <c r="F9" s="1571"/>
      <c r="G9" s="1571"/>
      <c r="H9" s="1571"/>
      <c r="I9" s="1571"/>
      <c r="J9" s="1571"/>
      <c r="K9" s="1571"/>
    </row>
    <row r="10" spans="1:18" ht="15.75" customHeight="1">
      <c r="A10" s="1566"/>
      <c r="B10" s="1582"/>
      <c r="C10" s="1583" t="s">
        <v>1098</v>
      </c>
      <c r="D10" s="1584"/>
      <c r="E10" s="1585">
        <f>Объекты!$F$5</f>
        <v>125</v>
      </c>
      <c r="F10" s="1616">
        <f t="shared" ref="F10:K10" si="4">E10</f>
        <v>125</v>
      </c>
      <c r="G10" s="1616">
        <f t="shared" si="4"/>
        <v>125</v>
      </c>
      <c r="H10" s="1616">
        <f t="shared" si="4"/>
        <v>125</v>
      </c>
      <c r="I10" s="1616">
        <f t="shared" si="4"/>
        <v>125</v>
      </c>
      <c r="J10" s="1616">
        <f t="shared" si="4"/>
        <v>125</v>
      </c>
      <c r="K10" s="1616">
        <f t="shared" si="4"/>
        <v>125</v>
      </c>
    </row>
    <row r="11" spans="1:18" ht="15.75" customHeight="1">
      <c r="A11" s="1566"/>
      <c r="B11" s="1582"/>
      <c r="C11" s="1583" t="s">
        <v>14</v>
      </c>
      <c r="D11" s="1584"/>
      <c r="E11" s="1586" t="str">
        <f>IFERROR(LOOKUP(E2,Отель5_PL!$D$3:$T$3,Отель5_PL!$D$10:$T$10),"не введён")</f>
        <v>не введён</v>
      </c>
      <c r="F11" s="1586">
        <f>IFERROR(LOOKUP(F2,Отель5_PL!$D$3:$T$3,Отель5_PL!$D$10:$T$10),"не введён")</f>
        <v>0.47671658417027535</v>
      </c>
      <c r="G11" s="1586">
        <f>IFERROR(LOOKUP(G2,Отель5_PL!$D$3:$T$3,Отель5_PL!$D$10:$T$10),"не введён")</f>
        <v>0.50856175862860642</v>
      </c>
      <c r="H11" s="1586">
        <f>IFERROR(LOOKUP(H2,Отель5_PL!$D$3:$T$3,Отель5_PL!$D$10:$T$10),"не введён")</f>
        <v>0.53847715619499503</v>
      </c>
      <c r="I11" s="1586">
        <f>IFERROR(LOOKUP(I2,Отель5_PL!$D$3:$T$3,Отель5_PL!$D$10:$T$10),"не введён")</f>
        <v>0.56839255376138365</v>
      </c>
      <c r="J11" s="1586">
        <f>IFERROR(LOOKUP(J2,Отель5_PL!$D$3:$T$3,Отель5_PL!$D$10:$T$10),"не введён")</f>
        <v>0.59830795132777226</v>
      </c>
      <c r="K11" s="1586">
        <f>IFERROR(LOOKUP(K2,Отель5_PL!$D$3:$T$3,Отель5_PL!$D$10:$T$10),"не введён")</f>
        <v>0.59830795132777226</v>
      </c>
    </row>
    <row r="12" spans="1:18" ht="15.75" customHeight="1">
      <c r="A12" s="1566"/>
      <c r="B12" s="1582"/>
      <c r="C12" s="1583" t="s">
        <v>1099</v>
      </c>
      <c r="D12" s="1584"/>
      <c r="E12" s="1585" t="str">
        <f t="shared" ref="E12:K12" si="5">IFERROR(E10/E68,"не введён")</f>
        <v>не введён</v>
      </c>
      <c r="F12" s="1616">
        <f t="shared" si="5"/>
        <v>17.857142857142858</v>
      </c>
      <c r="G12" s="1616">
        <f t="shared" si="5"/>
        <v>17.857142857142858</v>
      </c>
      <c r="H12" s="1616">
        <f t="shared" si="5"/>
        <v>17.857142857142858</v>
      </c>
      <c r="I12" s="1616">
        <f t="shared" si="5"/>
        <v>17.857142857142858</v>
      </c>
      <c r="J12" s="1616">
        <f t="shared" si="5"/>
        <v>17.857142857142858</v>
      </c>
      <c r="K12" s="1616">
        <f t="shared" si="5"/>
        <v>17.857142857142858</v>
      </c>
    </row>
    <row r="13" spans="1:18" ht="15" hidden="1" customHeight="1" outlineLevel="1">
      <c r="A13" s="1587" t="s">
        <v>1100</v>
      </c>
      <c r="B13" s="1588" t="s">
        <v>1101</v>
      </c>
      <c r="C13" s="1588" t="s">
        <v>1102</v>
      </c>
      <c r="D13" s="1589">
        <v>250000</v>
      </c>
      <c r="E13" s="1589"/>
      <c r="F13" s="1589">
        <v>1</v>
      </c>
      <c r="G13" s="1589">
        <v>1</v>
      </c>
      <c r="H13" s="1589">
        <v>1</v>
      </c>
      <c r="I13" s="1589">
        <v>1</v>
      </c>
      <c r="J13" s="1341">
        <f t="shared" ref="J13:J41" si="6">I13</f>
        <v>1</v>
      </c>
      <c r="K13" s="1341">
        <f t="shared" ref="K13:K29" si="7">J13</f>
        <v>1</v>
      </c>
    </row>
    <row r="14" spans="1:18" ht="15" hidden="1" customHeight="1" outlineLevel="1">
      <c r="A14" s="1587" t="s">
        <v>1100</v>
      </c>
      <c r="B14" s="1588"/>
      <c r="C14" s="1588" t="s">
        <v>1103</v>
      </c>
      <c r="D14" s="1589">
        <v>120000</v>
      </c>
      <c r="E14" s="1589"/>
      <c r="F14" s="1589">
        <v>1</v>
      </c>
      <c r="G14" s="1589">
        <v>1</v>
      </c>
      <c r="H14" s="1589">
        <v>1</v>
      </c>
      <c r="I14" s="1589">
        <v>1</v>
      </c>
      <c r="J14" s="1341">
        <f t="shared" si="6"/>
        <v>1</v>
      </c>
      <c r="K14" s="1341">
        <f t="shared" si="7"/>
        <v>1</v>
      </c>
    </row>
    <row r="15" spans="1:18" ht="15" hidden="1" customHeight="1" outlineLevel="1">
      <c r="A15" s="1587" t="s">
        <v>1100</v>
      </c>
      <c r="B15" s="1588"/>
      <c r="C15" s="1590" t="s">
        <v>1104</v>
      </c>
      <c r="D15" s="1589">
        <v>55000</v>
      </c>
      <c r="E15" s="1589"/>
      <c r="F15" s="1589">
        <v>1</v>
      </c>
      <c r="G15" s="1589">
        <v>1</v>
      </c>
      <c r="H15" s="1589">
        <v>1</v>
      </c>
      <c r="I15" s="1589">
        <v>1</v>
      </c>
      <c r="J15" s="1341">
        <f t="shared" si="6"/>
        <v>1</v>
      </c>
      <c r="K15" s="1341">
        <f t="shared" si="7"/>
        <v>1</v>
      </c>
    </row>
    <row r="16" spans="1:18" ht="15" hidden="1" customHeight="1" outlineLevel="1">
      <c r="A16" s="1587" t="s">
        <v>1100</v>
      </c>
      <c r="B16" s="1588"/>
      <c r="C16" s="1588" t="s">
        <v>1105</v>
      </c>
      <c r="D16" s="1589">
        <v>55000</v>
      </c>
      <c r="E16" s="1589"/>
      <c r="F16" s="1589">
        <v>1</v>
      </c>
      <c r="G16" s="1589">
        <v>1</v>
      </c>
      <c r="H16" s="1589">
        <v>1</v>
      </c>
      <c r="I16" s="1589">
        <v>1</v>
      </c>
      <c r="J16" s="1341">
        <f t="shared" si="6"/>
        <v>1</v>
      </c>
      <c r="K16" s="1341">
        <f t="shared" si="7"/>
        <v>1</v>
      </c>
    </row>
    <row r="17" spans="1:11" ht="15" hidden="1" customHeight="1" outlineLevel="1">
      <c r="A17" s="1587" t="s">
        <v>1100</v>
      </c>
      <c r="B17" s="1588"/>
      <c r="C17" s="1588" t="s">
        <v>1106</v>
      </c>
      <c r="D17" s="1589">
        <v>35000</v>
      </c>
      <c r="E17" s="1589"/>
      <c r="F17" s="1589">
        <v>1</v>
      </c>
      <c r="G17" s="1589">
        <v>1</v>
      </c>
      <c r="H17" s="1589">
        <v>1</v>
      </c>
      <c r="I17" s="1589">
        <v>1</v>
      </c>
      <c r="J17" s="1341">
        <f t="shared" si="6"/>
        <v>1</v>
      </c>
      <c r="K17" s="1341">
        <f t="shared" si="7"/>
        <v>1</v>
      </c>
    </row>
    <row r="18" spans="1:11" ht="15" hidden="1" customHeight="1" outlineLevel="1">
      <c r="A18" s="1587" t="s">
        <v>1100</v>
      </c>
      <c r="B18" s="1588"/>
      <c r="C18" s="1588" t="s">
        <v>36</v>
      </c>
      <c r="D18" s="1589">
        <v>30000</v>
      </c>
      <c r="E18" s="1589"/>
      <c r="F18" s="1589">
        <v>1</v>
      </c>
      <c r="G18" s="1589">
        <v>1</v>
      </c>
      <c r="H18" s="1589">
        <v>1</v>
      </c>
      <c r="I18" s="1589">
        <v>1</v>
      </c>
      <c r="J18" s="1341">
        <f t="shared" si="6"/>
        <v>1</v>
      </c>
      <c r="K18" s="1341">
        <f t="shared" si="7"/>
        <v>1</v>
      </c>
    </row>
    <row r="19" spans="1:11" ht="15" hidden="1" customHeight="1" outlineLevel="1">
      <c r="A19" s="1587" t="s">
        <v>1100</v>
      </c>
      <c r="B19" s="1591"/>
      <c r="C19" s="1588" t="s">
        <v>42</v>
      </c>
      <c r="D19" s="1589">
        <v>70000</v>
      </c>
      <c r="E19" s="1592"/>
      <c r="F19" s="1592">
        <v>1</v>
      </c>
      <c r="G19" s="1592">
        <v>1</v>
      </c>
      <c r="H19" s="1592">
        <v>1</v>
      </c>
      <c r="I19" s="1592">
        <v>1</v>
      </c>
      <c r="J19" s="1341">
        <f t="shared" si="6"/>
        <v>1</v>
      </c>
      <c r="K19" s="1341">
        <f t="shared" si="7"/>
        <v>1</v>
      </c>
    </row>
    <row r="20" spans="1:11" ht="15" hidden="1" customHeight="1" outlineLevel="1">
      <c r="A20" s="1587" t="s">
        <v>1100</v>
      </c>
      <c r="B20" s="1591"/>
      <c r="C20" s="1588" t="s">
        <v>1107</v>
      </c>
      <c r="D20" s="1589">
        <v>45000</v>
      </c>
      <c r="E20" s="1592"/>
      <c r="F20" s="1592">
        <v>1</v>
      </c>
      <c r="G20" s="1592">
        <v>1</v>
      </c>
      <c r="H20" s="1592">
        <v>1</v>
      </c>
      <c r="I20" s="1592">
        <v>1</v>
      </c>
      <c r="J20" s="1341">
        <f t="shared" si="6"/>
        <v>1</v>
      </c>
      <c r="K20" s="1341">
        <f t="shared" si="7"/>
        <v>1</v>
      </c>
    </row>
    <row r="21" spans="1:11" ht="15" hidden="1" customHeight="1" outlineLevel="1">
      <c r="A21" s="1587" t="s">
        <v>1100</v>
      </c>
      <c r="B21" s="1593" t="s">
        <v>1108</v>
      </c>
      <c r="C21" s="1594" t="s">
        <v>1109</v>
      </c>
      <c r="D21" s="1595">
        <v>80000</v>
      </c>
      <c r="E21" s="1596"/>
      <c r="F21" s="1596">
        <v>1</v>
      </c>
      <c r="G21" s="1596">
        <v>1</v>
      </c>
      <c r="H21" s="1596">
        <v>1</v>
      </c>
      <c r="I21" s="1596">
        <v>1</v>
      </c>
      <c r="J21" s="1341">
        <f t="shared" si="6"/>
        <v>1</v>
      </c>
      <c r="K21" s="1341">
        <f t="shared" si="7"/>
        <v>1</v>
      </c>
    </row>
    <row r="22" spans="1:11" ht="15" hidden="1" customHeight="1" outlineLevel="1">
      <c r="A22" s="1587" t="s">
        <v>1100</v>
      </c>
      <c r="B22" s="1593"/>
      <c r="C22" s="1594" t="s">
        <v>1110</v>
      </c>
      <c r="D22" s="1595">
        <v>60000</v>
      </c>
      <c r="E22" s="1596"/>
      <c r="F22" s="1596">
        <v>1</v>
      </c>
      <c r="G22" s="1596">
        <v>1</v>
      </c>
      <c r="H22" s="1596">
        <v>1</v>
      </c>
      <c r="I22" s="1596">
        <v>1</v>
      </c>
      <c r="J22" s="1341">
        <f t="shared" si="6"/>
        <v>1</v>
      </c>
      <c r="K22" s="1341">
        <f t="shared" si="7"/>
        <v>1</v>
      </c>
    </row>
    <row r="23" spans="1:11" ht="15" hidden="1" customHeight="1" outlineLevel="1">
      <c r="A23" s="1587" t="s">
        <v>1100</v>
      </c>
      <c r="B23" s="1593"/>
      <c r="C23" s="1594" t="s">
        <v>1111</v>
      </c>
      <c r="D23" s="1595">
        <v>115000</v>
      </c>
      <c r="E23" s="1596"/>
      <c r="F23" s="1596">
        <v>1</v>
      </c>
      <c r="G23" s="1596">
        <v>1</v>
      </c>
      <c r="H23" s="1596">
        <v>1</v>
      </c>
      <c r="I23" s="1596">
        <v>1</v>
      </c>
      <c r="J23" s="1341">
        <f t="shared" si="6"/>
        <v>1</v>
      </c>
      <c r="K23" s="1341">
        <f t="shared" si="7"/>
        <v>1</v>
      </c>
    </row>
    <row r="24" spans="1:11" ht="15" hidden="1" customHeight="1" outlineLevel="1">
      <c r="A24" s="1587" t="s">
        <v>1100</v>
      </c>
      <c r="B24" s="1593"/>
      <c r="C24" s="1597" t="s">
        <v>1112</v>
      </c>
      <c r="D24" s="1595">
        <v>38000</v>
      </c>
      <c r="E24" s="1596"/>
      <c r="F24" s="1596">
        <v>1</v>
      </c>
      <c r="G24" s="1596">
        <v>1</v>
      </c>
      <c r="H24" s="1596">
        <v>1</v>
      </c>
      <c r="I24" s="1596">
        <v>1</v>
      </c>
      <c r="J24" s="1341">
        <f t="shared" si="6"/>
        <v>1</v>
      </c>
      <c r="K24" s="1341">
        <f t="shared" si="7"/>
        <v>1</v>
      </c>
    </row>
    <row r="25" spans="1:11" ht="15" hidden="1" customHeight="1" outlineLevel="1">
      <c r="A25" s="1587" t="s">
        <v>1100</v>
      </c>
      <c r="B25" s="1593"/>
      <c r="C25" s="1597" t="s">
        <v>1113</v>
      </c>
      <c r="D25" s="1595">
        <v>38000</v>
      </c>
      <c r="E25" s="1596"/>
      <c r="F25" s="1596">
        <v>1</v>
      </c>
      <c r="G25" s="1596">
        <v>1</v>
      </c>
      <c r="H25" s="1596">
        <v>1</v>
      </c>
      <c r="I25" s="1596">
        <v>1</v>
      </c>
      <c r="J25" s="1341">
        <f t="shared" si="6"/>
        <v>1</v>
      </c>
      <c r="K25" s="1341">
        <f t="shared" si="7"/>
        <v>1</v>
      </c>
    </row>
    <row r="26" spans="1:11" ht="15" hidden="1" customHeight="1" outlineLevel="1">
      <c r="A26" s="1587" t="s">
        <v>1100</v>
      </c>
      <c r="B26" s="1593"/>
      <c r="C26" s="1597" t="s">
        <v>1114</v>
      </c>
      <c r="D26" s="1595">
        <v>38000</v>
      </c>
      <c r="E26" s="1596"/>
      <c r="F26" s="1596">
        <v>1</v>
      </c>
      <c r="G26" s="1596">
        <v>1</v>
      </c>
      <c r="H26" s="1596">
        <v>1</v>
      </c>
      <c r="I26" s="1596">
        <v>1</v>
      </c>
      <c r="J26" s="1341">
        <f t="shared" si="6"/>
        <v>1</v>
      </c>
      <c r="K26" s="1341">
        <f t="shared" si="7"/>
        <v>1</v>
      </c>
    </row>
    <row r="27" spans="1:11" ht="15" hidden="1" customHeight="1" outlineLevel="1">
      <c r="A27" s="1587" t="s">
        <v>1100</v>
      </c>
      <c r="B27" s="1593"/>
      <c r="C27" s="1597" t="s">
        <v>1115</v>
      </c>
      <c r="D27" s="1595">
        <v>38000</v>
      </c>
      <c r="E27" s="1596"/>
      <c r="F27" s="1596">
        <v>1</v>
      </c>
      <c r="G27" s="1596">
        <v>1</v>
      </c>
      <c r="H27" s="1596">
        <v>1</v>
      </c>
      <c r="I27" s="1596">
        <v>1</v>
      </c>
      <c r="J27" s="1341">
        <f t="shared" si="6"/>
        <v>1</v>
      </c>
      <c r="K27" s="1341">
        <f t="shared" si="7"/>
        <v>1</v>
      </c>
    </row>
    <row r="28" spans="1:11" ht="15" hidden="1" customHeight="1" outlineLevel="1">
      <c r="A28" s="1587" t="s">
        <v>1100</v>
      </c>
      <c r="B28" s="1593"/>
      <c r="C28" s="1597" t="s">
        <v>1116</v>
      </c>
      <c r="D28" s="1595">
        <v>35000</v>
      </c>
      <c r="E28" s="1596"/>
      <c r="F28" s="1596">
        <v>1</v>
      </c>
      <c r="G28" s="1596">
        <v>1</v>
      </c>
      <c r="H28" s="1596">
        <v>1</v>
      </c>
      <c r="I28" s="1596">
        <v>1</v>
      </c>
      <c r="J28" s="1341">
        <f t="shared" si="6"/>
        <v>1</v>
      </c>
      <c r="K28" s="1341">
        <f t="shared" si="7"/>
        <v>1</v>
      </c>
    </row>
    <row r="29" spans="1:11" ht="15" hidden="1" customHeight="1" outlineLevel="1">
      <c r="A29" s="1587" t="s">
        <v>1100</v>
      </c>
      <c r="B29" s="1593"/>
      <c r="C29" s="1597" t="s">
        <v>1117</v>
      </c>
      <c r="D29" s="1595">
        <v>35000</v>
      </c>
      <c r="E29" s="1596"/>
      <c r="F29" s="1596">
        <v>1</v>
      </c>
      <c r="G29" s="1596">
        <v>1</v>
      </c>
      <c r="H29" s="1596">
        <v>1</v>
      </c>
      <c r="I29" s="1596">
        <v>1</v>
      </c>
      <c r="J29" s="1341">
        <f t="shared" si="6"/>
        <v>1</v>
      </c>
      <c r="K29" s="1341">
        <f t="shared" si="7"/>
        <v>1</v>
      </c>
    </row>
    <row r="30" spans="1:11" ht="15" hidden="1" customHeight="1" outlineLevel="1">
      <c r="A30" s="1587" t="s">
        <v>1100</v>
      </c>
      <c r="B30" s="1593"/>
      <c r="C30" s="1597" t="s">
        <v>1118</v>
      </c>
      <c r="D30" s="1595">
        <v>35000</v>
      </c>
      <c r="E30" s="1596"/>
      <c r="F30" s="1596">
        <v>1</v>
      </c>
      <c r="G30" s="1596">
        <v>1</v>
      </c>
      <c r="H30" s="1596">
        <v>1</v>
      </c>
      <c r="I30" s="1596">
        <v>1</v>
      </c>
      <c r="J30" s="1341">
        <f t="shared" si="6"/>
        <v>1</v>
      </c>
      <c r="K30" s="1341">
        <f t="shared" ref="K30:K45" si="8">J30</f>
        <v>1</v>
      </c>
    </row>
    <row r="31" spans="1:11" ht="15" hidden="1" customHeight="1" outlineLevel="1">
      <c r="A31" s="1587" t="s">
        <v>1100</v>
      </c>
      <c r="B31" s="1593"/>
      <c r="C31" s="1597" t="s">
        <v>1119</v>
      </c>
      <c r="D31" s="1595">
        <v>38000</v>
      </c>
      <c r="E31" s="1596"/>
      <c r="F31" s="1596">
        <v>1</v>
      </c>
      <c r="G31" s="1596">
        <v>1</v>
      </c>
      <c r="H31" s="1596">
        <v>1</v>
      </c>
      <c r="I31" s="1596">
        <v>1</v>
      </c>
      <c r="J31" s="1341">
        <f t="shared" si="6"/>
        <v>1</v>
      </c>
      <c r="K31" s="1341">
        <f t="shared" si="8"/>
        <v>1</v>
      </c>
    </row>
    <row r="32" spans="1:11" ht="15" hidden="1" customHeight="1" outlineLevel="1">
      <c r="A32" s="1587" t="s">
        <v>1100</v>
      </c>
      <c r="B32" s="1593"/>
      <c r="C32" s="1594"/>
      <c r="D32" s="1595">
        <v>0</v>
      </c>
      <c r="E32" s="1596"/>
      <c r="F32" s="1596"/>
      <c r="G32" s="1596"/>
      <c r="H32" s="1596"/>
      <c r="I32" s="1596"/>
      <c r="J32" s="1341">
        <f t="shared" si="6"/>
        <v>0</v>
      </c>
      <c r="K32" s="1341">
        <f t="shared" si="8"/>
        <v>0</v>
      </c>
    </row>
    <row r="33" spans="1:11" ht="15" hidden="1" customHeight="1" outlineLevel="1">
      <c r="A33" s="1587" t="s">
        <v>1100</v>
      </c>
      <c r="B33" s="1591" t="s">
        <v>1120</v>
      </c>
      <c r="C33" s="1588" t="s">
        <v>38</v>
      </c>
      <c r="D33" s="1589">
        <v>65000</v>
      </c>
      <c r="E33" s="1592"/>
      <c r="F33" s="1592">
        <v>1</v>
      </c>
      <c r="G33" s="1592">
        <v>1</v>
      </c>
      <c r="H33" s="1592">
        <v>1</v>
      </c>
      <c r="I33" s="1592">
        <v>1</v>
      </c>
      <c r="J33" s="1341">
        <f t="shared" si="6"/>
        <v>1</v>
      </c>
      <c r="K33" s="1341">
        <f t="shared" si="8"/>
        <v>1</v>
      </c>
    </row>
    <row r="34" spans="1:11" ht="15" hidden="1" customHeight="1" outlineLevel="1">
      <c r="A34" s="1587" t="s">
        <v>1100</v>
      </c>
      <c r="B34" s="1591"/>
      <c r="C34" s="1588" t="s">
        <v>1121</v>
      </c>
      <c r="D34" s="1589">
        <v>50000</v>
      </c>
      <c r="E34" s="1592"/>
      <c r="F34" s="1592">
        <v>1</v>
      </c>
      <c r="G34" s="1592">
        <v>1</v>
      </c>
      <c r="H34" s="1592">
        <v>1</v>
      </c>
      <c r="I34" s="1592">
        <v>1</v>
      </c>
      <c r="J34" s="1341">
        <f t="shared" si="6"/>
        <v>1</v>
      </c>
      <c r="K34" s="1341">
        <f t="shared" si="8"/>
        <v>1</v>
      </c>
    </row>
    <row r="35" spans="1:11" ht="15" hidden="1" customHeight="1" outlineLevel="1">
      <c r="A35" s="1587" t="s">
        <v>1100</v>
      </c>
      <c r="B35" s="1591"/>
      <c r="C35" s="1588" t="s">
        <v>1122</v>
      </c>
      <c r="D35" s="1589">
        <v>38000</v>
      </c>
      <c r="E35" s="1592"/>
      <c r="F35" s="1592">
        <v>2</v>
      </c>
      <c r="G35" s="1592">
        <v>2</v>
      </c>
      <c r="H35" s="1592">
        <v>2</v>
      </c>
      <c r="I35" s="1592">
        <v>2</v>
      </c>
      <c r="J35" s="1341">
        <f t="shared" si="6"/>
        <v>2</v>
      </c>
      <c r="K35" s="1341">
        <f t="shared" si="8"/>
        <v>2</v>
      </c>
    </row>
    <row r="36" spans="1:11" ht="15" hidden="1" customHeight="1" outlineLevel="1">
      <c r="A36" s="1587" t="s">
        <v>1100</v>
      </c>
      <c r="B36" s="1591"/>
      <c r="C36" s="1588"/>
      <c r="D36" s="1589">
        <v>0</v>
      </c>
      <c r="E36" s="1592"/>
      <c r="F36" s="1592"/>
      <c r="G36" s="1592"/>
      <c r="H36" s="1592"/>
      <c r="I36" s="1592"/>
      <c r="J36" s="1341">
        <f t="shared" si="6"/>
        <v>0</v>
      </c>
      <c r="K36" s="1341">
        <f t="shared" si="8"/>
        <v>0</v>
      </c>
    </row>
    <row r="37" spans="1:11" ht="15" hidden="1" customHeight="1" outlineLevel="1">
      <c r="A37" s="1587" t="s">
        <v>1100</v>
      </c>
      <c r="B37" s="1593" t="s">
        <v>1123</v>
      </c>
      <c r="C37" s="1594" t="s">
        <v>1124</v>
      </c>
      <c r="D37" s="1595">
        <v>38000</v>
      </c>
      <c r="E37" s="1596"/>
      <c r="F37" s="1596">
        <v>1</v>
      </c>
      <c r="G37" s="1596">
        <v>1</v>
      </c>
      <c r="H37" s="1596">
        <v>1</v>
      </c>
      <c r="I37" s="1596">
        <v>1</v>
      </c>
      <c r="J37" s="1341">
        <f t="shared" si="6"/>
        <v>1</v>
      </c>
      <c r="K37" s="1341">
        <f t="shared" si="8"/>
        <v>1</v>
      </c>
    </row>
    <row r="38" spans="1:11" ht="15" hidden="1" customHeight="1" outlineLevel="1">
      <c r="A38" s="1587" t="s">
        <v>1100</v>
      </c>
      <c r="B38" s="1593"/>
      <c r="C38" s="1594" t="s">
        <v>1125</v>
      </c>
      <c r="D38" s="1595">
        <v>38000</v>
      </c>
      <c r="E38" s="1596"/>
      <c r="F38" s="1596">
        <v>1</v>
      </c>
      <c r="G38" s="1596">
        <v>1</v>
      </c>
      <c r="H38" s="1596">
        <v>1</v>
      </c>
      <c r="I38" s="1596">
        <v>1</v>
      </c>
      <c r="J38" s="1341">
        <f t="shared" si="6"/>
        <v>1</v>
      </c>
      <c r="K38" s="1341">
        <f t="shared" si="8"/>
        <v>1</v>
      </c>
    </row>
    <row r="39" spans="1:11" ht="15" hidden="1" customHeight="1" outlineLevel="1">
      <c r="A39" s="1587" t="s">
        <v>1100</v>
      </c>
      <c r="B39" s="1593"/>
      <c r="C39" s="1594" t="s">
        <v>1126</v>
      </c>
      <c r="D39" s="1595">
        <v>65000</v>
      </c>
      <c r="E39" s="1596"/>
      <c r="F39" s="1596">
        <v>1</v>
      </c>
      <c r="G39" s="1596">
        <v>1</v>
      </c>
      <c r="H39" s="1596">
        <v>1</v>
      </c>
      <c r="I39" s="1596">
        <v>1</v>
      </c>
      <c r="J39" s="1341">
        <f t="shared" si="6"/>
        <v>1</v>
      </c>
      <c r="K39" s="1341">
        <f t="shared" si="8"/>
        <v>1</v>
      </c>
    </row>
    <row r="40" spans="1:11" ht="15" hidden="1" customHeight="1" outlineLevel="1">
      <c r="A40" s="1587" t="s">
        <v>1100</v>
      </c>
      <c r="B40" s="1593"/>
      <c r="C40" s="1594" t="s">
        <v>1127</v>
      </c>
      <c r="D40" s="1595">
        <v>38000</v>
      </c>
      <c r="E40" s="1596"/>
      <c r="F40" s="1596">
        <v>1</v>
      </c>
      <c r="G40" s="1596">
        <v>1</v>
      </c>
      <c r="H40" s="1596">
        <v>1</v>
      </c>
      <c r="I40" s="1596">
        <v>1</v>
      </c>
      <c r="J40" s="1341">
        <f t="shared" si="6"/>
        <v>1</v>
      </c>
      <c r="K40" s="1341">
        <f t="shared" si="8"/>
        <v>1</v>
      </c>
    </row>
    <row r="41" spans="1:11" ht="15" hidden="1" customHeight="1" outlineLevel="1">
      <c r="A41" s="1587" t="s">
        <v>1100</v>
      </c>
      <c r="B41" s="1593"/>
      <c r="C41" s="1594"/>
      <c r="D41" s="1595">
        <v>0</v>
      </c>
      <c r="E41" s="1596"/>
      <c r="F41" s="1596"/>
      <c r="G41" s="1596"/>
      <c r="H41" s="1596"/>
      <c r="I41" s="1596"/>
      <c r="J41" s="1341">
        <f t="shared" si="6"/>
        <v>0</v>
      </c>
      <c r="K41" s="1341">
        <f t="shared" si="8"/>
        <v>0</v>
      </c>
    </row>
    <row r="42" spans="1:11" ht="15" hidden="1" customHeight="1" outlineLevel="1">
      <c r="A42" s="1587" t="s">
        <v>1100</v>
      </c>
      <c r="B42" s="1591" t="s">
        <v>1128</v>
      </c>
      <c r="C42" s="1588" t="s">
        <v>1129</v>
      </c>
      <c r="D42" s="1589">
        <v>65000</v>
      </c>
      <c r="E42" s="1592"/>
      <c r="F42" s="1592">
        <v>1</v>
      </c>
      <c r="G42" s="1592">
        <v>1</v>
      </c>
      <c r="H42" s="1592">
        <v>1</v>
      </c>
      <c r="I42" s="1592">
        <v>1</v>
      </c>
      <c r="J42" s="1341">
        <f t="shared" ref="J42:J74" si="9">I42</f>
        <v>1</v>
      </c>
      <c r="K42" s="1341">
        <f t="shared" si="8"/>
        <v>1</v>
      </c>
    </row>
    <row r="43" spans="1:11" ht="15" hidden="1" customHeight="1" outlineLevel="1">
      <c r="A43" s="1587" t="s">
        <v>1100</v>
      </c>
      <c r="B43" s="1591"/>
      <c r="C43" s="1588" t="s">
        <v>1130</v>
      </c>
      <c r="D43" s="1589">
        <v>40000</v>
      </c>
      <c r="E43" s="1592"/>
      <c r="F43" s="1592">
        <v>1</v>
      </c>
      <c r="G43" s="1592">
        <v>1</v>
      </c>
      <c r="H43" s="1592">
        <v>1</v>
      </c>
      <c r="I43" s="1592">
        <v>1</v>
      </c>
      <c r="J43" s="1341">
        <f t="shared" si="9"/>
        <v>1</v>
      </c>
      <c r="K43" s="1341">
        <f t="shared" si="8"/>
        <v>1</v>
      </c>
    </row>
    <row r="44" spans="1:11" ht="15" hidden="1" customHeight="1" outlineLevel="1">
      <c r="A44" s="1587" t="s">
        <v>1100</v>
      </c>
      <c r="B44" s="1591"/>
      <c r="C44" s="1588"/>
      <c r="D44" s="1589">
        <v>0</v>
      </c>
      <c r="E44" s="1592"/>
      <c r="F44" s="1592"/>
      <c r="G44" s="1592"/>
      <c r="H44" s="1592"/>
      <c r="I44" s="1592"/>
      <c r="J44" s="1341">
        <f t="shared" si="9"/>
        <v>0</v>
      </c>
      <c r="K44" s="1341">
        <f t="shared" si="8"/>
        <v>0</v>
      </c>
    </row>
    <row r="45" spans="1:11" ht="15" hidden="1" customHeight="1" outlineLevel="1">
      <c r="A45" s="1598" t="s">
        <v>1131</v>
      </c>
      <c r="B45" s="1594" t="s">
        <v>1132</v>
      </c>
      <c r="C45" s="1594" t="s">
        <v>32</v>
      </c>
      <c r="D45" s="1595">
        <v>110000</v>
      </c>
      <c r="E45" s="1595"/>
      <c r="F45" s="1595">
        <v>1</v>
      </c>
      <c r="G45" s="1595">
        <v>1</v>
      </c>
      <c r="H45" s="1595">
        <v>1</v>
      </c>
      <c r="I45" s="1595">
        <v>1</v>
      </c>
      <c r="J45" s="1341">
        <f t="shared" si="9"/>
        <v>1</v>
      </c>
      <c r="K45" s="1341">
        <f t="shared" si="8"/>
        <v>1</v>
      </c>
    </row>
    <row r="46" spans="1:11" ht="15" hidden="1" customHeight="1" outlineLevel="1">
      <c r="A46" s="1598" t="s">
        <v>1131</v>
      </c>
      <c r="B46" s="1594"/>
      <c r="C46" s="1599" t="s">
        <v>1133</v>
      </c>
      <c r="D46" s="1595">
        <v>45000</v>
      </c>
      <c r="E46" s="1595"/>
      <c r="F46" s="1595">
        <v>1</v>
      </c>
      <c r="G46" s="1595">
        <v>1</v>
      </c>
      <c r="H46" s="1595">
        <v>1</v>
      </c>
      <c r="I46" s="1595">
        <v>1</v>
      </c>
      <c r="J46" s="1341">
        <f t="shared" si="9"/>
        <v>1</v>
      </c>
      <c r="K46" s="1341">
        <f t="shared" ref="K46:K69" si="10">J46</f>
        <v>1</v>
      </c>
    </row>
    <row r="47" spans="1:11" ht="15" hidden="1" customHeight="1" outlineLevel="1">
      <c r="A47" s="1598" t="s">
        <v>1131</v>
      </c>
      <c r="B47" s="1594"/>
      <c r="C47" s="1599" t="s">
        <v>1134</v>
      </c>
      <c r="D47" s="1595">
        <v>45000</v>
      </c>
      <c r="E47" s="1595"/>
      <c r="F47" s="1595">
        <v>1</v>
      </c>
      <c r="G47" s="1595">
        <v>1</v>
      </c>
      <c r="H47" s="1595">
        <v>1</v>
      </c>
      <c r="I47" s="1595">
        <v>1</v>
      </c>
      <c r="J47" s="1341">
        <f t="shared" si="9"/>
        <v>1</v>
      </c>
      <c r="K47" s="1341">
        <f t="shared" si="10"/>
        <v>1</v>
      </c>
    </row>
    <row r="48" spans="1:11" ht="15" hidden="1" customHeight="1" outlineLevel="1">
      <c r="A48" s="1598" t="s">
        <v>1131</v>
      </c>
      <c r="B48" s="1594"/>
      <c r="C48" s="1594" t="s">
        <v>1135</v>
      </c>
      <c r="D48" s="1595">
        <v>45000</v>
      </c>
      <c r="E48" s="1595"/>
      <c r="F48" s="1595">
        <v>1</v>
      </c>
      <c r="G48" s="1595">
        <v>1</v>
      </c>
      <c r="H48" s="1595">
        <v>1</v>
      </c>
      <c r="I48" s="1595">
        <v>1</v>
      </c>
      <c r="J48" s="1341">
        <f t="shared" si="9"/>
        <v>1</v>
      </c>
      <c r="K48" s="1341">
        <f t="shared" si="10"/>
        <v>1</v>
      </c>
    </row>
    <row r="49" spans="1:11" ht="15" hidden="1" customHeight="1" outlineLevel="1">
      <c r="A49" s="1598" t="s">
        <v>1131</v>
      </c>
      <c r="B49" s="1594"/>
      <c r="C49" s="1593" t="s">
        <v>1136</v>
      </c>
      <c r="D49" s="1595">
        <v>35000</v>
      </c>
      <c r="E49" s="1596"/>
      <c r="F49" s="1596">
        <v>2</v>
      </c>
      <c r="G49" s="1596">
        <v>2</v>
      </c>
      <c r="H49" s="1596">
        <v>2</v>
      </c>
      <c r="I49" s="1596">
        <v>2</v>
      </c>
      <c r="J49" s="1341">
        <f t="shared" si="9"/>
        <v>2</v>
      </c>
      <c r="K49" s="1341">
        <f t="shared" si="10"/>
        <v>2</v>
      </c>
    </row>
    <row r="50" spans="1:11" ht="15" hidden="1" customHeight="1" outlineLevel="1">
      <c r="A50" s="1598" t="s">
        <v>1131</v>
      </c>
      <c r="B50" s="1594"/>
      <c r="C50" s="1593" t="s">
        <v>1137</v>
      </c>
      <c r="D50" s="1595">
        <v>65000</v>
      </c>
      <c r="E50" s="1596"/>
      <c r="F50" s="1595">
        <v>1</v>
      </c>
      <c r="G50" s="1595">
        <v>1</v>
      </c>
      <c r="H50" s="1595">
        <v>1</v>
      </c>
      <c r="I50" s="1595">
        <v>1</v>
      </c>
      <c r="J50" s="1341">
        <f t="shared" si="9"/>
        <v>1</v>
      </c>
      <c r="K50" s="1341">
        <f t="shared" si="10"/>
        <v>1</v>
      </c>
    </row>
    <row r="51" spans="1:11" ht="15" hidden="1" customHeight="1" outlineLevel="1">
      <c r="A51" s="1598" t="s">
        <v>1131</v>
      </c>
      <c r="B51" s="1594"/>
      <c r="C51" s="1593" t="s">
        <v>1138</v>
      </c>
      <c r="D51" s="1595">
        <v>42000</v>
      </c>
      <c r="E51" s="1596"/>
      <c r="F51" s="1595">
        <v>1</v>
      </c>
      <c r="G51" s="1595">
        <v>1</v>
      </c>
      <c r="H51" s="1595">
        <v>1</v>
      </c>
      <c r="I51" s="1595">
        <v>1</v>
      </c>
      <c r="J51" s="1341">
        <f t="shared" si="9"/>
        <v>1</v>
      </c>
      <c r="K51" s="1341">
        <f t="shared" si="10"/>
        <v>1</v>
      </c>
    </row>
    <row r="52" spans="1:11" ht="15" hidden="1" customHeight="1" outlineLevel="1">
      <c r="A52" s="1598" t="s">
        <v>1131</v>
      </c>
      <c r="B52" s="1594"/>
      <c r="C52" s="1593" t="s">
        <v>1139</v>
      </c>
      <c r="D52" s="1595">
        <v>45000</v>
      </c>
      <c r="E52" s="1596"/>
      <c r="F52" s="1596">
        <v>1</v>
      </c>
      <c r="G52" s="1596">
        <v>1</v>
      </c>
      <c r="H52" s="1596">
        <v>1</v>
      </c>
      <c r="I52" s="1596">
        <v>1</v>
      </c>
      <c r="J52" s="1341">
        <f t="shared" si="9"/>
        <v>1</v>
      </c>
      <c r="K52" s="1341">
        <f t="shared" si="10"/>
        <v>1</v>
      </c>
    </row>
    <row r="53" spans="1:11" ht="15" hidden="1" customHeight="1" outlineLevel="1">
      <c r="A53" s="1598" t="s">
        <v>1131</v>
      </c>
      <c r="B53" s="1594"/>
      <c r="C53" s="1593" t="s">
        <v>40</v>
      </c>
      <c r="D53" s="1595">
        <v>38000</v>
      </c>
      <c r="E53" s="1596"/>
      <c r="F53" s="1596">
        <v>1</v>
      </c>
      <c r="G53" s="1596">
        <v>1</v>
      </c>
      <c r="H53" s="1596">
        <v>1</v>
      </c>
      <c r="I53" s="1596">
        <v>1</v>
      </c>
      <c r="J53" s="1341">
        <f t="shared" si="9"/>
        <v>1</v>
      </c>
      <c r="K53" s="1341">
        <f t="shared" si="10"/>
        <v>1</v>
      </c>
    </row>
    <row r="54" spans="1:11" ht="15" hidden="1" customHeight="1" outlineLevel="1">
      <c r="A54" s="1598" t="s">
        <v>1131</v>
      </c>
      <c r="B54" s="1594"/>
      <c r="C54" s="1593"/>
      <c r="D54" s="1595">
        <v>0</v>
      </c>
      <c r="E54" s="1596"/>
      <c r="F54" s="1596"/>
      <c r="G54" s="1596"/>
      <c r="H54" s="1596"/>
      <c r="I54" s="1596"/>
      <c r="J54" s="1341">
        <f t="shared" si="9"/>
        <v>0</v>
      </c>
      <c r="K54" s="1341">
        <f t="shared" si="10"/>
        <v>0</v>
      </c>
    </row>
    <row r="55" spans="1:11" hidden="1" outlineLevel="1">
      <c r="A55" s="1587" t="s">
        <v>1140</v>
      </c>
      <c r="B55" s="1588" t="s">
        <v>1141</v>
      </c>
      <c r="C55" s="1591" t="s">
        <v>1142</v>
      </c>
      <c r="D55" s="1589">
        <v>100000</v>
      </c>
      <c r="E55" s="1589"/>
      <c r="F55" s="1589">
        <v>1</v>
      </c>
      <c r="G55" s="1589">
        <v>1</v>
      </c>
      <c r="H55" s="1589">
        <v>1</v>
      </c>
      <c r="I55" s="1589">
        <v>1</v>
      </c>
      <c r="J55" s="1341">
        <f t="shared" si="9"/>
        <v>1</v>
      </c>
      <c r="K55" s="1341">
        <f t="shared" si="10"/>
        <v>1</v>
      </c>
    </row>
    <row r="56" spans="1:11" hidden="1" outlineLevel="1">
      <c r="A56" s="1587" t="s">
        <v>1140</v>
      </c>
      <c r="B56" s="1588"/>
      <c r="C56" s="1600" t="s">
        <v>1143</v>
      </c>
      <c r="D56" s="1589">
        <v>50000</v>
      </c>
      <c r="E56" s="1589"/>
      <c r="F56" s="1589">
        <v>1</v>
      </c>
      <c r="G56" s="1589">
        <v>1</v>
      </c>
      <c r="H56" s="1589">
        <v>1</v>
      </c>
      <c r="I56" s="1589">
        <v>1</v>
      </c>
      <c r="J56" s="1341">
        <f t="shared" si="9"/>
        <v>1</v>
      </c>
      <c r="K56" s="1341">
        <f t="shared" si="10"/>
        <v>1</v>
      </c>
    </row>
    <row r="57" spans="1:11" hidden="1" outlineLevel="1">
      <c r="A57" s="1587" t="s">
        <v>1140</v>
      </c>
      <c r="B57" s="1588"/>
      <c r="C57" s="1601" t="s">
        <v>1144</v>
      </c>
      <c r="D57" s="1589">
        <v>38000</v>
      </c>
      <c r="E57" s="1589"/>
      <c r="F57" s="1589">
        <v>1</v>
      </c>
      <c r="G57" s="1589">
        <v>1</v>
      </c>
      <c r="H57" s="1589">
        <v>1</v>
      </c>
      <c r="I57" s="1589">
        <v>1</v>
      </c>
      <c r="J57" s="1341">
        <f t="shared" si="9"/>
        <v>1</v>
      </c>
      <c r="K57" s="1341">
        <f t="shared" si="10"/>
        <v>1</v>
      </c>
    </row>
    <row r="58" spans="1:11" hidden="1" outlineLevel="1">
      <c r="A58" s="1587" t="s">
        <v>1140</v>
      </c>
      <c r="B58" s="1588"/>
      <c r="C58" s="1588" t="s">
        <v>1145</v>
      </c>
      <c r="D58" s="1589">
        <v>35000</v>
      </c>
      <c r="E58" s="1589"/>
      <c r="F58" s="1589">
        <v>3</v>
      </c>
      <c r="G58" s="1589">
        <v>3</v>
      </c>
      <c r="H58" s="1589">
        <v>3</v>
      </c>
      <c r="I58" s="1589">
        <v>3</v>
      </c>
      <c r="J58" s="1341">
        <f t="shared" si="9"/>
        <v>3</v>
      </c>
      <c r="K58" s="1341">
        <f t="shared" si="10"/>
        <v>3</v>
      </c>
    </row>
    <row r="59" spans="1:11" hidden="1" outlineLevel="1">
      <c r="A59" s="1587" t="s">
        <v>1140</v>
      </c>
      <c r="B59" s="1588"/>
      <c r="C59" s="1588" t="s">
        <v>1146</v>
      </c>
      <c r="D59" s="1589">
        <v>38000</v>
      </c>
      <c r="E59" s="1589"/>
      <c r="F59" s="1589">
        <v>1</v>
      </c>
      <c r="G59" s="1589">
        <v>1</v>
      </c>
      <c r="H59" s="1589">
        <v>1</v>
      </c>
      <c r="I59" s="1589">
        <v>1</v>
      </c>
      <c r="J59" s="1341">
        <f t="shared" si="9"/>
        <v>1</v>
      </c>
      <c r="K59" s="1341">
        <f t="shared" si="10"/>
        <v>1</v>
      </c>
    </row>
    <row r="60" spans="1:11" hidden="1" outlineLevel="1">
      <c r="A60" s="1587" t="s">
        <v>1140</v>
      </c>
      <c r="B60" s="1588"/>
      <c r="C60" s="1602" t="s">
        <v>1147</v>
      </c>
      <c r="D60" s="1589">
        <v>35000</v>
      </c>
      <c r="E60" s="1589"/>
      <c r="F60" s="1589">
        <v>5</v>
      </c>
      <c r="G60" s="1589">
        <v>5</v>
      </c>
      <c r="H60" s="1589">
        <v>5</v>
      </c>
      <c r="I60" s="1589">
        <v>5</v>
      </c>
      <c r="J60" s="1341">
        <f t="shared" si="9"/>
        <v>5</v>
      </c>
      <c r="K60" s="1341">
        <f t="shared" si="10"/>
        <v>5</v>
      </c>
    </row>
    <row r="61" spans="1:11" hidden="1" outlineLevel="1">
      <c r="A61" s="1587" t="s">
        <v>1140</v>
      </c>
      <c r="B61" s="1588"/>
      <c r="C61" s="1591" t="s">
        <v>1148</v>
      </c>
      <c r="D61" s="1589">
        <v>32000</v>
      </c>
      <c r="E61" s="1589"/>
      <c r="F61" s="1589">
        <v>2</v>
      </c>
      <c r="G61" s="1589">
        <v>2</v>
      </c>
      <c r="H61" s="1589">
        <v>2</v>
      </c>
      <c r="I61" s="1589">
        <v>2</v>
      </c>
      <c r="J61" s="1341">
        <f t="shared" si="9"/>
        <v>2</v>
      </c>
      <c r="K61" s="1341">
        <f t="shared" si="10"/>
        <v>2</v>
      </c>
    </row>
    <row r="62" spans="1:11" hidden="1" outlineLevel="1">
      <c r="A62" s="1587" t="s">
        <v>1140</v>
      </c>
      <c r="B62" s="1588"/>
      <c r="C62" s="1591" t="s">
        <v>1149</v>
      </c>
      <c r="D62" s="1589">
        <v>32000</v>
      </c>
      <c r="E62" s="1589"/>
      <c r="F62" s="1589">
        <v>2</v>
      </c>
      <c r="G62" s="1589">
        <v>2</v>
      </c>
      <c r="H62" s="1589">
        <v>2</v>
      </c>
      <c r="I62" s="1589">
        <v>2</v>
      </c>
      <c r="J62" s="1341">
        <f t="shared" si="9"/>
        <v>2</v>
      </c>
      <c r="K62" s="1341">
        <f t="shared" si="10"/>
        <v>2</v>
      </c>
    </row>
    <row r="63" spans="1:11" hidden="1" outlineLevel="1">
      <c r="A63" s="1587" t="s">
        <v>1140</v>
      </c>
      <c r="B63" s="1588"/>
      <c r="C63" s="1591" t="s">
        <v>1150</v>
      </c>
      <c r="D63" s="1589">
        <v>32000</v>
      </c>
      <c r="E63" s="1589"/>
      <c r="F63" s="1589">
        <v>1</v>
      </c>
      <c r="G63" s="1589">
        <v>1</v>
      </c>
      <c r="H63" s="1589">
        <v>1</v>
      </c>
      <c r="I63" s="1589">
        <v>1</v>
      </c>
      <c r="J63" s="1341">
        <f t="shared" si="9"/>
        <v>1</v>
      </c>
      <c r="K63" s="1341">
        <f t="shared" si="10"/>
        <v>1</v>
      </c>
    </row>
    <row r="64" spans="1:11" ht="15" hidden="1" customHeight="1" outlineLevel="1">
      <c r="A64" s="1587" t="s">
        <v>1140</v>
      </c>
      <c r="B64" s="1588"/>
      <c r="C64" s="1591"/>
      <c r="D64" s="1589">
        <v>0</v>
      </c>
      <c r="E64" s="1589"/>
      <c r="F64" s="1589"/>
      <c r="G64" s="1589"/>
      <c r="H64" s="1589"/>
      <c r="I64" s="1589"/>
      <c r="J64" s="1341">
        <f t="shared" si="9"/>
        <v>0</v>
      </c>
      <c r="K64" s="1341">
        <f t="shared" si="10"/>
        <v>0</v>
      </c>
    </row>
    <row r="65" spans="1:11" ht="15" hidden="1" customHeight="1" outlineLevel="1">
      <c r="A65" s="1598" t="s">
        <v>1151</v>
      </c>
      <c r="B65" s="1594" t="s">
        <v>1152</v>
      </c>
      <c r="C65" s="1593" t="s">
        <v>1153</v>
      </c>
      <c r="D65" s="1595">
        <v>65000</v>
      </c>
      <c r="E65" s="1595"/>
      <c r="F65" s="1595">
        <v>1</v>
      </c>
      <c r="G65" s="1595">
        <v>1</v>
      </c>
      <c r="H65" s="1595">
        <v>1</v>
      </c>
      <c r="I65" s="1595">
        <v>1</v>
      </c>
      <c r="J65" s="1341">
        <f t="shared" si="9"/>
        <v>1</v>
      </c>
      <c r="K65" s="1341">
        <f t="shared" si="10"/>
        <v>1</v>
      </c>
    </row>
    <row r="66" spans="1:11" ht="15" hidden="1" customHeight="1" outlineLevel="1">
      <c r="A66" s="1598" t="s">
        <v>1151</v>
      </c>
      <c r="B66" s="1594"/>
      <c r="C66" s="1593" t="s">
        <v>1154</v>
      </c>
      <c r="D66" s="1595">
        <v>50000</v>
      </c>
      <c r="E66" s="1595"/>
      <c r="F66" s="1595">
        <v>1</v>
      </c>
      <c r="G66" s="1595">
        <v>4</v>
      </c>
      <c r="H66" s="1595">
        <v>4</v>
      </c>
      <c r="I66" s="1595">
        <v>4</v>
      </c>
      <c r="J66" s="1341">
        <f t="shared" si="9"/>
        <v>4</v>
      </c>
      <c r="K66" s="1341">
        <f t="shared" si="10"/>
        <v>4</v>
      </c>
    </row>
    <row r="67" spans="1:11" ht="15" hidden="1" customHeight="1" outlineLevel="1">
      <c r="A67" s="1598" t="s">
        <v>1151</v>
      </c>
      <c r="B67" s="1594"/>
      <c r="C67" s="1593" t="s">
        <v>1155</v>
      </c>
      <c r="D67" s="1595">
        <v>38000</v>
      </c>
      <c r="E67" s="1595"/>
      <c r="F67" s="1595">
        <v>2</v>
      </c>
      <c r="G67" s="1595">
        <v>2</v>
      </c>
      <c r="H67" s="1595">
        <v>2</v>
      </c>
      <c r="I67" s="1595">
        <v>2</v>
      </c>
      <c r="J67" s="1341">
        <f t="shared" si="9"/>
        <v>2</v>
      </c>
      <c r="K67" s="1341">
        <f t="shared" si="10"/>
        <v>2</v>
      </c>
    </row>
    <row r="68" spans="1:11" ht="15" hidden="1" customHeight="1" outlineLevel="1">
      <c r="A68" s="1598" t="s">
        <v>1151</v>
      </c>
      <c r="B68" s="1594"/>
      <c r="C68" s="1593" t="s">
        <v>1156</v>
      </c>
      <c r="D68" s="1595">
        <v>30000</v>
      </c>
      <c r="E68" s="1603"/>
      <c r="F68" s="1603">
        <v>7</v>
      </c>
      <c r="G68" s="1603">
        <v>7</v>
      </c>
      <c r="H68" s="1603">
        <v>7</v>
      </c>
      <c r="I68" s="1603">
        <v>7</v>
      </c>
      <c r="J68" s="1341">
        <f t="shared" si="9"/>
        <v>7</v>
      </c>
      <c r="K68" s="1341">
        <f t="shared" si="10"/>
        <v>7</v>
      </c>
    </row>
    <row r="69" spans="1:11" ht="15" hidden="1" customHeight="1" outlineLevel="1">
      <c r="A69" s="1598" t="s">
        <v>1151</v>
      </c>
      <c r="B69" s="1594"/>
      <c r="C69" s="1594" t="s">
        <v>1157</v>
      </c>
      <c r="D69" s="1595">
        <v>25000</v>
      </c>
      <c r="E69" s="1595"/>
      <c r="F69" s="1595">
        <v>5</v>
      </c>
      <c r="G69" s="1595">
        <v>5</v>
      </c>
      <c r="H69" s="1595">
        <v>5</v>
      </c>
      <c r="I69" s="1595">
        <v>5</v>
      </c>
      <c r="J69" s="1341">
        <f t="shared" si="9"/>
        <v>5</v>
      </c>
      <c r="K69" s="1341">
        <f t="shared" si="10"/>
        <v>5</v>
      </c>
    </row>
    <row r="70" spans="1:11" ht="15" hidden="1" customHeight="1" outlineLevel="1">
      <c r="A70" s="1598" t="s">
        <v>1151</v>
      </c>
      <c r="B70" s="1594"/>
      <c r="C70" s="1593" t="s">
        <v>1158</v>
      </c>
      <c r="D70" s="1595">
        <v>27000</v>
      </c>
      <c r="E70" s="1595"/>
      <c r="F70" s="1595">
        <v>4</v>
      </c>
      <c r="G70" s="1595">
        <v>4</v>
      </c>
      <c r="H70" s="1595">
        <v>4</v>
      </c>
      <c r="I70" s="1595">
        <v>4</v>
      </c>
      <c r="J70" s="1341">
        <f t="shared" si="9"/>
        <v>4</v>
      </c>
      <c r="K70" s="1341">
        <f t="shared" ref="K70:K101" si="11">J70</f>
        <v>4</v>
      </c>
    </row>
    <row r="71" spans="1:11" ht="15" hidden="1" customHeight="1" outlineLevel="1">
      <c r="A71" s="1598" t="s">
        <v>1151</v>
      </c>
      <c r="B71" s="1594"/>
      <c r="C71" s="1593"/>
      <c r="D71" s="1595">
        <v>0</v>
      </c>
      <c r="E71" s="1595"/>
      <c r="F71" s="1595"/>
      <c r="G71" s="1595"/>
      <c r="H71" s="1595"/>
      <c r="I71" s="1595"/>
      <c r="J71" s="1341">
        <f t="shared" si="9"/>
        <v>0</v>
      </c>
      <c r="K71" s="1341">
        <f t="shared" si="11"/>
        <v>0</v>
      </c>
    </row>
    <row r="72" spans="1:11" ht="15" hidden="1" customHeight="1" outlineLevel="1">
      <c r="A72" s="1598" t="s">
        <v>1151</v>
      </c>
      <c r="B72" s="1590" t="s">
        <v>1159</v>
      </c>
      <c r="C72" s="1591" t="s">
        <v>1160</v>
      </c>
      <c r="D72" s="1589">
        <v>65000</v>
      </c>
      <c r="E72" s="1589"/>
      <c r="F72" s="1589">
        <v>1</v>
      </c>
      <c r="G72" s="1589">
        <v>1</v>
      </c>
      <c r="H72" s="1589">
        <v>1</v>
      </c>
      <c r="I72" s="1589">
        <v>1</v>
      </c>
      <c r="J72" s="1341">
        <f t="shared" si="9"/>
        <v>1</v>
      </c>
      <c r="K72" s="1341">
        <f t="shared" si="11"/>
        <v>1</v>
      </c>
    </row>
    <row r="73" spans="1:11" ht="15" hidden="1" customHeight="1" outlineLevel="1">
      <c r="A73" s="1598" t="s">
        <v>1151</v>
      </c>
      <c r="B73" s="1590"/>
      <c r="C73" s="1591" t="s">
        <v>1161</v>
      </c>
      <c r="D73" s="1589">
        <v>50000</v>
      </c>
      <c r="E73" s="1589"/>
      <c r="F73" s="1589">
        <v>2</v>
      </c>
      <c r="G73" s="1589">
        <v>2</v>
      </c>
      <c r="H73" s="1589">
        <v>2</v>
      </c>
      <c r="I73" s="1589">
        <v>2</v>
      </c>
      <c r="J73" s="1341">
        <f t="shared" si="9"/>
        <v>2</v>
      </c>
      <c r="K73" s="1341">
        <f t="shared" si="11"/>
        <v>2</v>
      </c>
    </row>
    <row r="74" spans="1:11" ht="15" hidden="1" customHeight="1" outlineLevel="1">
      <c r="A74" s="1598" t="s">
        <v>1151</v>
      </c>
      <c r="B74" s="1590"/>
      <c r="C74" s="1591" t="s">
        <v>1162</v>
      </c>
      <c r="D74" s="1589">
        <v>35000</v>
      </c>
      <c r="E74" s="1589"/>
      <c r="F74" s="1589">
        <v>3</v>
      </c>
      <c r="G74" s="1589">
        <v>3</v>
      </c>
      <c r="H74" s="1589">
        <v>3</v>
      </c>
      <c r="I74" s="1589">
        <v>3</v>
      </c>
      <c r="J74" s="1341">
        <f t="shared" si="9"/>
        <v>3</v>
      </c>
      <c r="K74" s="1341">
        <f t="shared" si="11"/>
        <v>3</v>
      </c>
    </row>
    <row r="75" spans="1:11" ht="15" hidden="1" customHeight="1" outlineLevel="1">
      <c r="A75" s="1598" t="s">
        <v>1151</v>
      </c>
      <c r="B75" s="1590"/>
      <c r="C75" s="1591" t="s">
        <v>1163</v>
      </c>
      <c r="D75" s="1589">
        <v>40000</v>
      </c>
      <c r="E75" s="1589"/>
      <c r="F75" s="1589">
        <v>2</v>
      </c>
      <c r="G75" s="1589">
        <v>2</v>
      </c>
      <c r="H75" s="1589">
        <v>2</v>
      </c>
      <c r="I75" s="1589">
        <v>2</v>
      </c>
      <c r="J75" s="1341">
        <f t="shared" ref="J75:J138" si="12">I75</f>
        <v>2</v>
      </c>
      <c r="K75" s="1341">
        <f t="shared" si="11"/>
        <v>2</v>
      </c>
    </row>
    <row r="76" spans="1:11" ht="15" hidden="1" customHeight="1" outlineLevel="1">
      <c r="A76" s="1598" t="s">
        <v>1151</v>
      </c>
      <c r="B76" s="1590"/>
      <c r="C76" s="1591" t="s">
        <v>1164</v>
      </c>
      <c r="D76" s="1589">
        <v>32000</v>
      </c>
      <c r="E76" s="1589"/>
      <c r="F76" s="1589">
        <v>5</v>
      </c>
      <c r="G76" s="1589">
        <v>5</v>
      </c>
      <c r="H76" s="1589">
        <v>5</v>
      </c>
      <c r="I76" s="1589">
        <v>5</v>
      </c>
      <c r="J76" s="1341">
        <f t="shared" si="12"/>
        <v>5</v>
      </c>
      <c r="K76" s="1341">
        <f t="shared" si="11"/>
        <v>5</v>
      </c>
    </row>
    <row r="77" spans="1:11" ht="15" hidden="1" customHeight="1" outlineLevel="1">
      <c r="A77" s="1598" t="s">
        <v>1151</v>
      </c>
      <c r="B77" s="1590"/>
      <c r="C77" s="1590" t="s">
        <v>1165</v>
      </c>
      <c r="D77" s="1589">
        <v>30000</v>
      </c>
      <c r="E77" s="1589"/>
      <c r="F77" s="1589">
        <v>1</v>
      </c>
      <c r="G77" s="1589">
        <v>1</v>
      </c>
      <c r="H77" s="1589">
        <v>2</v>
      </c>
      <c r="I77" s="1589">
        <v>2</v>
      </c>
      <c r="J77" s="1341">
        <f t="shared" si="12"/>
        <v>2</v>
      </c>
      <c r="K77" s="1341">
        <f t="shared" si="11"/>
        <v>2</v>
      </c>
    </row>
    <row r="78" spans="1:11" ht="15" hidden="1" customHeight="1" outlineLevel="1">
      <c r="A78" s="1598" t="s">
        <v>1151</v>
      </c>
      <c r="B78" s="1590"/>
      <c r="C78" s="1590" t="s">
        <v>1166</v>
      </c>
      <c r="D78" s="1589">
        <v>25000</v>
      </c>
      <c r="E78" s="1589"/>
      <c r="F78" s="1589">
        <v>3</v>
      </c>
      <c r="G78" s="1589">
        <v>3</v>
      </c>
      <c r="H78" s="1589">
        <v>4</v>
      </c>
      <c r="I78" s="1589">
        <v>4</v>
      </c>
      <c r="J78" s="1341">
        <f t="shared" si="12"/>
        <v>4</v>
      </c>
      <c r="K78" s="1341">
        <f t="shared" si="11"/>
        <v>4</v>
      </c>
    </row>
    <row r="79" spans="1:11" ht="15" hidden="1" customHeight="1" outlineLevel="1">
      <c r="A79" s="1598" t="s">
        <v>1151</v>
      </c>
      <c r="B79" s="1590"/>
      <c r="C79" s="1602"/>
      <c r="D79" s="1589">
        <v>0</v>
      </c>
      <c r="E79" s="1589"/>
      <c r="F79" s="1589"/>
      <c r="G79" s="1589"/>
      <c r="H79" s="1589"/>
      <c r="I79" s="1589"/>
      <c r="J79" s="1341">
        <f t="shared" si="12"/>
        <v>0</v>
      </c>
      <c r="K79" s="1341">
        <f t="shared" si="11"/>
        <v>0</v>
      </c>
    </row>
    <row r="80" spans="1:11" ht="15" hidden="1" customHeight="1" outlineLevel="1">
      <c r="A80" s="1598" t="s">
        <v>1151</v>
      </c>
      <c r="B80" s="1599" t="s">
        <v>1167</v>
      </c>
      <c r="C80" s="1593" t="s">
        <v>1168</v>
      </c>
      <c r="D80" s="1595">
        <v>55000</v>
      </c>
      <c r="E80" s="1595"/>
      <c r="F80" s="1595">
        <v>1</v>
      </c>
      <c r="G80" s="1595">
        <v>1</v>
      </c>
      <c r="H80" s="1595">
        <v>1</v>
      </c>
      <c r="I80" s="1595">
        <v>1</v>
      </c>
      <c r="J80" s="1341">
        <f t="shared" si="12"/>
        <v>1</v>
      </c>
      <c r="K80" s="1341">
        <f t="shared" si="11"/>
        <v>1</v>
      </c>
    </row>
    <row r="81" spans="1:11" ht="15" hidden="1" customHeight="1" outlineLevel="1">
      <c r="A81" s="1598" t="s">
        <v>1151</v>
      </c>
      <c r="B81" s="1599"/>
      <c r="C81" s="1593" t="s">
        <v>1169</v>
      </c>
      <c r="D81" s="1595">
        <v>33000</v>
      </c>
      <c r="E81" s="1595"/>
      <c r="F81" s="1595">
        <v>3</v>
      </c>
      <c r="G81" s="1595">
        <v>3</v>
      </c>
      <c r="H81" s="1595">
        <v>3</v>
      </c>
      <c r="I81" s="1595">
        <v>3</v>
      </c>
      <c r="J81" s="1341">
        <f t="shared" si="12"/>
        <v>3</v>
      </c>
      <c r="K81" s="1341">
        <f t="shared" si="11"/>
        <v>3</v>
      </c>
    </row>
    <row r="82" spans="1:11" ht="15" hidden="1" customHeight="1" outlineLevel="1">
      <c r="A82" s="1598" t="s">
        <v>1151</v>
      </c>
      <c r="B82" s="1599"/>
      <c r="C82" s="1604" t="s">
        <v>1170</v>
      </c>
      <c r="D82" s="1595">
        <v>30000</v>
      </c>
      <c r="E82" s="1595"/>
      <c r="F82" s="1595">
        <v>1</v>
      </c>
      <c r="G82" s="1595">
        <v>1</v>
      </c>
      <c r="H82" s="1595">
        <v>1</v>
      </c>
      <c r="I82" s="1595">
        <v>1</v>
      </c>
      <c r="J82" s="1341">
        <f t="shared" si="12"/>
        <v>1</v>
      </c>
      <c r="K82" s="1341">
        <f t="shared" si="11"/>
        <v>1</v>
      </c>
    </row>
    <row r="83" spans="1:11" ht="15" hidden="1" customHeight="1" outlineLevel="1">
      <c r="A83" s="1598" t="s">
        <v>1151</v>
      </c>
      <c r="B83" s="1599"/>
      <c r="C83" s="1604"/>
      <c r="D83" s="1595">
        <v>0</v>
      </c>
      <c r="E83" s="1595"/>
      <c r="F83" s="1595"/>
      <c r="G83" s="1595"/>
      <c r="H83" s="1595"/>
      <c r="I83" s="1595"/>
      <c r="J83" s="1341">
        <f t="shared" si="12"/>
        <v>0</v>
      </c>
      <c r="K83" s="1341">
        <f t="shared" si="11"/>
        <v>0</v>
      </c>
    </row>
    <row r="84" spans="1:11" ht="15" hidden="1" customHeight="1" outlineLevel="1">
      <c r="A84" s="1587" t="s">
        <v>1171</v>
      </c>
      <c r="B84" s="1588" t="s">
        <v>1172</v>
      </c>
      <c r="C84" s="1591" t="s">
        <v>1173</v>
      </c>
      <c r="D84" s="1589">
        <v>65000</v>
      </c>
      <c r="E84" s="1589"/>
      <c r="F84" s="1589">
        <v>1</v>
      </c>
      <c r="G84" s="1589">
        <v>1</v>
      </c>
      <c r="H84" s="1589">
        <v>1</v>
      </c>
      <c r="I84" s="1589">
        <v>1</v>
      </c>
      <c r="J84" s="1341">
        <f t="shared" si="12"/>
        <v>1</v>
      </c>
      <c r="K84" s="1341">
        <f t="shared" si="11"/>
        <v>1</v>
      </c>
    </row>
    <row r="85" spans="1:11" ht="15" hidden="1" customHeight="1" outlineLevel="1">
      <c r="A85" s="1587" t="s">
        <v>1171</v>
      </c>
      <c r="B85" s="1588"/>
      <c r="C85" s="1591" t="s">
        <v>1174</v>
      </c>
      <c r="D85" s="1589">
        <v>150000</v>
      </c>
      <c r="E85" s="1589"/>
      <c r="F85" s="1589">
        <v>1</v>
      </c>
      <c r="G85" s="1589">
        <v>1</v>
      </c>
      <c r="H85" s="1589">
        <v>1</v>
      </c>
      <c r="I85" s="1589">
        <v>1</v>
      </c>
      <c r="J85" s="1341">
        <f t="shared" si="12"/>
        <v>1</v>
      </c>
      <c r="K85" s="1341">
        <f t="shared" si="11"/>
        <v>1</v>
      </c>
    </row>
    <row r="86" spans="1:11" ht="15" hidden="1" customHeight="1" outlineLevel="1">
      <c r="A86" s="1587" t="s">
        <v>1171</v>
      </c>
      <c r="B86" s="1588"/>
      <c r="C86" s="1591" t="s">
        <v>1175</v>
      </c>
      <c r="D86" s="1589">
        <v>80000</v>
      </c>
      <c r="E86" s="1589"/>
      <c r="F86" s="1589">
        <v>1</v>
      </c>
      <c r="G86" s="1589">
        <v>1</v>
      </c>
      <c r="H86" s="1589">
        <v>1</v>
      </c>
      <c r="I86" s="1589">
        <v>1</v>
      </c>
      <c r="J86" s="1341">
        <f t="shared" si="12"/>
        <v>1</v>
      </c>
      <c r="K86" s="1341">
        <f t="shared" si="11"/>
        <v>1</v>
      </c>
    </row>
    <row r="87" spans="1:11" ht="15" hidden="1" customHeight="1" outlineLevel="1">
      <c r="A87" s="1587" t="s">
        <v>1171</v>
      </c>
      <c r="B87" s="1588"/>
      <c r="C87" s="1591" t="s">
        <v>1176</v>
      </c>
      <c r="D87" s="1589">
        <v>50000</v>
      </c>
      <c r="E87" s="1589"/>
      <c r="F87" s="1589">
        <v>1</v>
      </c>
      <c r="G87" s="1589">
        <v>1</v>
      </c>
      <c r="H87" s="1589">
        <v>1</v>
      </c>
      <c r="I87" s="1589">
        <v>1</v>
      </c>
      <c r="J87" s="1341">
        <f t="shared" si="12"/>
        <v>1</v>
      </c>
      <c r="K87" s="1341">
        <f t="shared" si="11"/>
        <v>1</v>
      </c>
    </row>
    <row r="88" spans="1:11" ht="15" hidden="1" customHeight="1" outlineLevel="1">
      <c r="A88" s="1587" t="s">
        <v>1171</v>
      </c>
      <c r="B88" s="1588"/>
      <c r="C88" s="1588" t="s">
        <v>1177</v>
      </c>
      <c r="D88" s="1589">
        <v>45000</v>
      </c>
      <c r="E88" s="1589"/>
      <c r="F88" s="1589">
        <v>1</v>
      </c>
      <c r="G88" s="1589">
        <v>1</v>
      </c>
      <c r="H88" s="1589">
        <v>1</v>
      </c>
      <c r="I88" s="1589">
        <v>1</v>
      </c>
      <c r="J88" s="1341">
        <f t="shared" si="12"/>
        <v>1</v>
      </c>
      <c r="K88" s="1341">
        <f t="shared" si="11"/>
        <v>1</v>
      </c>
    </row>
    <row r="89" spans="1:11" ht="15" hidden="1" customHeight="1" outlineLevel="1">
      <c r="A89" s="1587" t="s">
        <v>1171</v>
      </c>
      <c r="B89" s="1588"/>
      <c r="C89" s="1591" t="s">
        <v>1178</v>
      </c>
      <c r="D89" s="1589">
        <v>40000</v>
      </c>
      <c r="E89" s="1589"/>
      <c r="F89" s="1589">
        <v>1</v>
      </c>
      <c r="G89" s="1589">
        <v>1</v>
      </c>
      <c r="H89" s="1589">
        <v>1</v>
      </c>
      <c r="I89" s="1589">
        <v>1</v>
      </c>
      <c r="J89" s="1341">
        <f t="shared" si="12"/>
        <v>1</v>
      </c>
      <c r="K89" s="1341">
        <f t="shared" si="11"/>
        <v>1</v>
      </c>
    </row>
    <row r="90" spans="1:11" ht="15" hidden="1" customHeight="1" outlineLevel="1">
      <c r="A90" s="1587" t="s">
        <v>1171</v>
      </c>
      <c r="B90" s="1588"/>
      <c r="C90" s="1602" t="s">
        <v>1179</v>
      </c>
      <c r="D90" s="1605">
        <v>25000</v>
      </c>
      <c r="E90" s="1589"/>
      <c r="F90" s="1589">
        <v>3</v>
      </c>
      <c r="G90" s="1589">
        <v>3</v>
      </c>
      <c r="H90" s="1589">
        <v>3</v>
      </c>
      <c r="I90" s="1589">
        <v>3</v>
      </c>
      <c r="J90" s="1341">
        <f t="shared" si="12"/>
        <v>3</v>
      </c>
      <c r="K90" s="1341">
        <f t="shared" si="11"/>
        <v>3</v>
      </c>
    </row>
    <row r="91" spans="1:11" ht="15" hidden="1" customHeight="1" outlineLevel="1">
      <c r="A91" s="1587" t="s">
        <v>1171</v>
      </c>
      <c r="B91" s="1588"/>
      <c r="C91" s="1591"/>
      <c r="D91" s="1589">
        <v>0</v>
      </c>
      <c r="E91" s="1589"/>
      <c r="F91" s="1589"/>
      <c r="G91" s="1589"/>
      <c r="H91" s="1589"/>
      <c r="I91" s="1589"/>
      <c r="J91" s="1341">
        <f t="shared" si="12"/>
        <v>0</v>
      </c>
      <c r="K91" s="1341">
        <f t="shared" si="11"/>
        <v>0</v>
      </c>
    </row>
    <row r="92" spans="1:11" ht="15" hidden="1" customHeight="1" outlineLevel="1">
      <c r="A92" s="1587" t="s">
        <v>1171</v>
      </c>
      <c r="B92" s="1594" t="s">
        <v>1180</v>
      </c>
      <c r="C92" s="1593" t="s">
        <v>1181</v>
      </c>
      <c r="D92" s="1595">
        <v>55000</v>
      </c>
      <c r="E92" s="1595"/>
      <c r="F92" s="1595">
        <v>1</v>
      </c>
      <c r="G92" s="1595">
        <v>1</v>
      </c>
      <c r="H92" s="1595">
        <v>1</v>
      </c>
      <c r="I92" s="1595">
        <v>1</v>
      </c>
      <c r="J92" s="1341">
        <f t="shared" si="12"/>
        <v>1</v>
      </c>
      <c r="K92" s="1341">
        <f t="shared" si="11"/>
        <v>1</v>
      </c>
    </row>
    <row r="93" spans="1:11" ht="15" hidden="1" customHeight="1" outlineLevel="1">
      <c r="A93" s="1587" t="s">
        <v>1171</v>
      </c>
      <c r="B93" s="1594"/>
      <c r="C93" s="1593" t="s">
        <v>1182</v>
      </c>
      <c r="D93" s="1595">
        <v>42000</v>
      </c>
      <c r="E93" s="1595"/>
      <c r="F93" s="1595">
        <v>3</v>
      </c>
      <c r="G93" s="1595">
        <v>3</v>
      </c>
      <c r="H93" s="1595">
        <v>3</v>
      </c>
      <c r="I93" s="1595">
        <v>3</v>
      </c>
      <c r="J93" s="1341">
        <f t="shared" si="12"/>
        <v>3</v>
      </c>
      <c r="K93" s="1341">
        <f t="shared" si="11"/>
        <v>3</v>
      </c>
    </row>
    <row r="94" spans="1:11" ht="15" hidden="1" customHeight="1" outlineLevel="1">
      <c r="A94" s="1587" t="s">
        <v>1171</v>
      </c>
      <c r="B94" s="1594"/>
      <c r="C94" s="1593" t="s">
        <v>1183</v>
      </c>
      <c r="D94" s="1595">
        <v>35000</v>
      </c>
      <c r="E94" s="1595"/>
      <c r="F94" s="1595">
        <v>10</v>
      </c>
      <c r="G94" s="1595">
        <v>10</v>
      </c>
      <c r="H94" s="1595">
        <v>10</v>
      </c>
      <c r="I94" s="1595">
        <v>10</v>
      </c>
      <c r="J94" s="1341">
        <f t="shared" si="12"/>
        <v>10</v>
      </c>
      <c r="K94" s="1341">
        <f t="shared" si="11"/>
        <v>10</v>
      </c>
    </row>
    <row r="95" spans="1:11" ht="15" hidden="1" customHeight="1" outlineLevel="1">
      <c r="A95" s="1587" t="s">
        <v>1171</v>
      </c>
      <c r="B95" s="1594"/>
      <c r="C95" s="1593" t="s">
        <v>1184</v>
      </c>
      <c r="D95" s="1595">
        <v>32000</v>
      </c>
      <c r="E95" s="1595"/>
      <c r="F95" s="1595">
        <v>3</v>
      </c>
      <c r="G95" s="1595">
        <v>3</v>
      </c>
      <c r="H95" s="1595">
        <v>3</v>
      </c>
      <c r="I95" s="1595">
        <v>3</v>
      </c>
      <c r="J95" s="1341">
        <f t="shared" si="12"/>
        <v>3</v>
      </c>
      <c r="K95" s="1341">
        <f t="shared" si="11"/>
        <v>3</v>
      </c>
    </row>
    <row r="96" spans="1:11" ht="15" hidden="1" customHeight="1" outlineLevel="1">
      <c r="A96" s="1587" t="s">
        <v>1171</v>
      </c>
      <c r="B96" s="1594"/>
      <c r="C96" s="1593" t="s">
        <v>1185</v>
      </c>
      <c r="D96" s="1595">
        <v>35000</v>
      </c>
      <c r="E96" s="1595"/>
      <c r="F96" s="1595">
        <v>2</v>
      </c>
      <c r="G96" s="1595">
        <v>2</v>
      </c>
      <c r="H96" s="1595">
        <v>2</v>
      </c>
      <c r="I96" s="1595">
        <v>2</v>
      </c>
      <c r="J96" s="1341">
        <f t="shared" si="12"/>
        <v>2</v>
      </c>
      <c r="K96" s="1341">
        <f t="shared" si="11"/>
        <v>2</v>
      </c>
    </row>
    <row r="97" spans="1:13" ht="15" hidden="1" customHeight="1" outlineLevel="1">
      <c r="A97" s="1587" t="s">
        <v>1171</v>
      </c>
      <c r="B97" s="1594"/>
      <c r="C97" s="1593" t="s">
        <v>1186</v>
      </c>
      <c r="D97" s="1595">
        <v>30000</v>
      </c>
      <c r="E97" s="1595"/>
      <c r="F97" s="1595">
        <v>5</v>
      </c>
      <c r="G97" s="1595">
        <v>5</v>
      </c>
      <c r="H97" s="1595">
        <v>5</v>
      </c>
      <c r="I97" s="1595">
        <v>5</v>
      </c>
      <c r="J97" s="1341">
        <f t="shared" si="12"/>
        <v>5</v>
      </c>
      <c r="K97" s="1341">
        <f t="shared" si="11"/>
        <v>5</v>
      </c>
    </row>
    <row r="98" spans="1:13" ht="15" hidden="1" customHeight="1" outlineLevel="1">
      <c r="A98" s="1587" t="s">
        <v>1171</v>
      </c>
      <c r="B98" s="1594"/>
      <c r="C98" s="1593" t="s">
        <v>1187</v>
      </c>
      <c r="D98" s="1595">
        <v>28000</v>
      </c>
      <c r="E98" s="1595"/>
      <c r="F98" s="1595">
        <v>10</v>
      </c>
      <c r="G98" s="1595">
        <v>12</v>
      </c>
      <c r="H98" s="1595">
        <v>12</v>
      </c>
      <c r="I98" s="1595">
        <v>12</v>
      </c>
      <c r="J98" s="1341">
        <f t="shared" si="12"/>
        <v>12</v>
      </c>
      <c r="K98" s="1341">
        <f t="shared" si="11"/>
        <v>12</v>
      </c>
    </row>
    <row r="99" spans="1:13" ht="15" hidden="1" customHeight="1" outlineLevel="1">
      <c r="A99" s="1587" t="s">
        <v>1171</v>
      </c>
      <c r="B99" s="1594"/>
      <c r="C99" s="1593" t="s">
        <v>1188</v>
      </c>
      <c r="D99" s="1595">
        <v>30000</v>
      </c>
      <c r="E99" s="1595"/>
      <c r="F99" s="1595">
        <v>5</v>
      </c>
      <c r="G99" s="1595">
        <v>5</v>
      </c>
      <c r="H99" s="1595">
        <v>5</v>
      </c>
      <c r="I99" s="1595">
        <v>5</v>
      </c>
      <c r="J99" s="1341">
        <f t="shared" si="12"/>
        <v>5</v>
      </c>
      <c r="K99" s="1341">
        <f t="shared" si="11"/>
        <v>5</v>
      </c>
    </row>
    <row r="100" spans="1:13" ht="15" hidden="1" customHeight="1" outlineLevel="1">
      <c r="A100" s="1587" t="s">
        <v>1171</v>
      </c>
      <c r="B100" s="1593"/>
      <c r="C100" s="1593"/>
      <c r="D100" s="1595">
        <v>0</v>
      </c>
      <c r="E100" s="1596"/>
      <c r="F100" s="1596"/>
      <c r="G100" s="1596"/>
      <c r="H100" s="1596"/>
      <c r="I100" s="1596"/>
      <c r="J100" s="1341">
        <f t="shared" si="12"/>
        <v>0</v>
      </c>
      <c r="K100" s="1341">
        <f t="shared" si="11"/>
        <v>0</v>
      </c>
    </row>
    <row r="101" spans="1:13" ht="15" hidden="1" customHeight="1" outlineLevel="1">
      <c r="A101" s="1587" t="s">
        <v>1171</v>
      </c>
      <c r="B101" s="1591" t="s">
        <v>1189</v>
      </c>
      <c r="C101" s="1591" t="s">
        <v>1181</v>
      </c>
      <c r="D101" s="1605">
        <v>55000</v>
      </c>
      <c r="E101" s="1592"/>
      <c r="F101" s="1592">
        <v>1</v>
      </c>
      <c r="G101" s="1592">
        <v>1</v>
      </c>
      <c r="H101" s="1592">
        <v>1</v>
      </c>
      <c r="I101" s="1592">
        <v>1</v>
      </c>
      <c r="J101" s="1341">
        <f t="shared" si="12"/>
        <v>1</v>
      </c>
      <c r="K101" s="1341">
        <f t="shared" si="11"/>
        <v>1</v>
      </c>
    </row>
    <row r="102" spans="1:13" ht="15" hidden="1" customHeight="1" outlineLevel="1">
      <c r="A102" s="1587" t="s">
        <v>1171</v>
      </c>
      <c r="B102" s="1591"/>
      <c r="C102" s="1591" t="s">
        <v>1182</v>
      </c>
      <c r="D102" s="1605">
        <v>42000</v>
      </c>
      <c r="E102" s="1592"/>
      <c r="F102" s="1592">
        <v>1</v>
      </c>
      <c r="G102" s="1592">
        <v>1</v>
      </c>
      <c r="H102" s="1592">
        <v>1</v>
      </c>
      <c r="I102" s="1592">
        <v>1</v>
      </c>
      <c r="J102" s="1341">
        <f t="shared" si="12"/>
        <v>1</v>
      </c>
      <c r="K102" s="1341">
        <f t="shared" ref="K102:K138" si="13">J102</f>
        <v>1</v>
      </c>
    </row>
    <row r="103" spans="1:13" ht="15" hidden="1" customHeight="1" outlineLevel="1">
      <c r="A103" s="1587" t="s">
        <v>1171</v>
      </c>
      <c r="B103" s="1591"/>
      <c r="C103" s="1591" t="s">
        <v>1190</v>
      </c>
      <c r="D103" s="1605">
        <v>35000</v>
      </c>
      <c r="E103" s="1592"/>
      <c r="F103" s="1592">
        <v>6</v>
      </c>
      <c r="G103" s="1592">
        <v>6</v>
      </c>
      <c r="H103" s="1592">
        <v>6</v>
      </c>
      <c r="I103" s="1592">
        <v>6</v>
      </c>
      <c r="J103" s="1341">
        <f t="shared" si="12"/>
        <v>6</v>
      </c>
      <c r="K103" s="1341">
        <f t="shared" si="13"/>
        <v>6</v>
      </c>
    </row>
    <row r="104" spans="1:13" ht="15" hidden="1" customHeight="1" outlineLevel="1">
      <c r="A104" s="1587" t="s">
        <v>1171</v>
      </c>
      <c r="B104" s="1591"/>
      <c r="C104" s="1591" t="s">
        <v>1191</v>
      </c>
      <c r="D104" s="1589">
        <v>35000</v>
      </c>
      <c r="E104" s="1592"/>
      <c r="F104" s="1592">
        <v>1</v>
      </c>
      <c r="G104" s="1592">
        <v>1</v>
      </c>
      <c r="H104" s="1592">
        <v>1</v>
      </c>
      <c r="I104" s="1592">
        <v>1</v>
      </c>
      <c r="J104" s="1341">
        <f t="shared" si="12"/>
        <v>1</v>
      </c>
      <c r="K104" s="1341">
        <f t="shared" si="13"/>
        <v>1</v>
      </c>
    </row>
    <row r="105" spans="1:13" ht="15" hidden="1" customHeight="1" outlineLevel="1">
      <c r="A105" s="1587" t="s">
        <v>1171</v>
      </c>
      <c r="B105" s="1591"/>
      <c r="C105" s="1591" t="s">
        <v>1187</v>
      </c>
      <c r="D105" s="1605">
        <v>28000</v>
      </c>
      <c r="E105" s="1592"/>
      <c r="F105" s="1592">
        <v>5</v>
      </c>
      <c r="G105" s="1592">
        <v>5</v>
      </c>
      <c r="H105" s="1592">
        <v>5</v>
      </c>
      <c r="I105" s="1592">
        <v>5</v>
      </c>
      <c r="J105" s="1341">
        <f t="shared" si="12"/>
        <v>5</v>
      </c>
      <c r="K105" s="1341">
        <f t="shared" si="13"/>
        <v>5</v>
      </c>
    </row>
    <row r="106" spans="1:13" ht="15" hidden="1" customHeight="1" outlineLevel="1">
      <c r="A106" s="1587" t="s">
        <v>1171</v>
      </c>
      <c r="B106" s="1591"/>
      <c r="C106" s="1591"/>
      <c r="D106" s="1589">
        <v>0</v>
      </c>
      <c r="E106" s="1592"/>
      <c r="F106" s="1592"/>
      <c r="G106" s="1592"/>
      <c r="H106" s="1592"/>
      <c r="I106" s="1592"/>
      <c r="J106" s="1341">
        <f t="shared" si="12"/>
        <v>0</v>
      </c>
      <c r="K106" s="1341">
        <f t="shared" si="13"/>
        <v>0</v>
      </c>
    </row>
    <row r="107" spans="1:13" ht="15" hidden="1" customHeight="1" outlineLevel="1">
      <c r="A107" s="1587" t="s">
        <v>1171</v>
      </c>
      <c r="B107" s="1604" t="s">
        <v>1192</v>
      </c>
      <c r="C107" s="1593" t="s">
        <v>1193</v>
      </c>
      <c r="D107" s="1595">
        <v>65000</v>
      </c>
      <c r="E107" s="1596"/>
      <c r="F107" s="1596">
        <v>2</v>
      </c>
      <c r="G107" s="1596">
        <v>2</v>
      </c>
      <c r="H107" s="1596">
        <v>2</v>
      </c>
      <c r="I107" s="1596">
        <v>2</v>
      </c>
      <c r="J107" s="1341">
        <f t="shared" si="12"/>
        <v>2</v>
      </c>
      <c r="K107" s="1341">
        <f t="shared" si="13"/>
        <v>2</v>
      </c>
    </row>
    <row r="108" spans="1:13" ht="15" hidden="1" customHeight="1" outlineLevel="1">
      <c r="A108" s="1587" t="s">
        <v>1171</v>
      </c>
      <c r="B108" s="1604"/>
      <c r="C108" s="1593" t="s">
        <v>1187</v>
      </c>
      <c r="D108" s="1606">
        <v>28000</v>
      </c>
      <c r="E108" s="1596"/>
      <c r="F108" s="1596">
        <v>2</v>
      </c>
      <c r="G108" s="1596">
        <v>2</v>
      </c>
      <c r="H108" s="1596">
        <v>3</v>
      </c>
      <c r="I108" s="1596">
        <v>3</v>
      </c>
      <c r="J108" s="1341">
        <f t="shared" si="12"/>
        <v>3</v>
      </c>
      <c r="K108" s="1341">
        <f t="shared" si="13"/>
        <v>3</v>
      </c>
    </row>
    <row r="109" spans="1:13" ht="15" hidden="1" customHeight="1" outlineLevel="1">
      <c r="A109" s="1587" t="s">
        <v>1171</v>
      </c>
      <c r="B109" s="1604"/>
      <c r="C109" s="1593" t="s">
        <v>1188</v>
      </c>
      <c r="D109" s="1606">
        <v>30000</v>
      </c>
      <c r="E109" s="1596"/>
      <c r="F109" s="1596">
        <v>2</v>
      </c>
      <c r="G109" s="1596">
        <v>2</v>
      </c>
      <c r="H109" s="1596">
        <v>2</v>
      </c>
      <c r="I109" s="1596">
        <v>2</v>
      </c>
      <c r="J109" s="1341">
        <f t="shared" si="12"/>
        <v>2</v>
      </c>
      <c r="K109" s="1341">
        <f t="shared" si="13"/>
        <v>2</v>
      </c>
    </row>
    <row r="110" spans="1:13" ht="15" hidden="1" customHeight="1" outlineLevel="1">
      <c r="A110" s="1587" t="s">
        <v>1171</v>
      </c>
      <c r="B110" s="1604"/>
      <c r="C110" s="1593" t="s">
        <v>1194</v>
      </c>
      <c r="D110" s="1606">
        <v>25000</v>
      </c>
      <c r="E110" s="1596"/>
      <c r="F110" s="1596">
        <v>2</v>
      </c>
      <c r="G110" s="1596">
        <v>2</v>
      </c>
      <c r="H110" s="1596">
        <v>2</v>
      </c>
      <c r="I110" s="1596">
        <v>2</v>
      </c>
      <c r="J110" s="1341">
        <f t="shared" si="12"/>
        <v>2</v>
      </c>
      <c r="K110" s="1341">
        <f t="shared" si="13"/>
        <v>2</v>
      </c>
    </row>
    <row r="111" spans="1:13" ht="15" hidden="1" customHeight="1" outlineLevel="1">
      <c r="A111" s="1587" t="s">
        <v>1171</v>
      </c>
      <c r="B111" s="1604"/>
      <c r="C111" s="1593"/>
      <c r="D111" s="1596">
        <v>0</v>
      </c>
      <c r="E111" s="1596"/>
      <c r="F111" s="1596"/>
      <c r="G111" s="1596"/>
      <c r="H111" s="1596"/>
      <c r="I111" s="1596"/>
      <c r="J111" s="1341">
        <f t="shared" si="12"/>
        <v>0</v>
      </c>
      <c r="K111" s="1341">
        <f t="shared" si="13"/>
        <v>0</v>
      </c>
    </row>
    <row r="112" spans="1:13" ht="15" hidden="1" customHeight="1" outlineLevel="1">
      <c r="A112" s="1598" t="s">
        <v>1195</v>
      </c>
      <c r="B112" s="1591" t="s">
        <v>19</v>
      </c>
      <c r="C112" s="1591" t="s">
        <v>1196</v>
      </c>
      <c r="D112" s="1589">
        <v>35000</v>
      </c>
      <c r="E112" s="1592"/>
      <c r="F112" s="1592"/>
      <c r="G112" s="1592"/>
      <c r="H112" s="1592"/>
      <c r="I112" s="1592"/>
      <c r="J112" s="1341">
        <f t="shared" si="12"/>
        <v>0</v>
      </c>
      <c r="K112" s="1341">
        <f t="shared" si="13"/>
        <v>0</v>
      </c>
      <c r="M112" s="19" t="s">
        <v>1247</v>
      </c>
    </row>
    <row r="113" spans="1:15" ht="15" hidden="1" customHeight="1" outlineLevel="1">
      <c r="A113" s="1598" t="s">
        <v>1195</v>
      </c>
      <c r="B113" s="1591"/>
      <c r="C113" s="1591" t="s">
        <v>1181</v>
      </c>
      <c r="D113" s="1605">
        <v>55000</v>
      </c>
      <c r="E113" s="1592"/>
      <c r="F113" s="1592">
        <v>1</v>
      </c>
      <c r="G113" s="1592">
        <v>1</v>
      </c>
      <c r="H113" s="1592">
        <v>1</v>
      </c>
      <c r="I113" s="1592">
        <v>1</v>
      </c>
      <c r="J113" s="1341">
        <f t="shared" si="12"/>
        <v>1</v>
      </c>
      <c r="K113" s="1341">
        <f t="shared" si="13"/>
        <v>1</v>
      </c>
      <c r="M113" s="1621" t="str">
        <f>Отель5!D17</f>
        <v>Залы и переговорные</v>
      </c>
      <c r="N113" s="1561">
        <f>Отель5!F17</f>
        <v>175</v>
      </c>
      <c r="O113" s="19" t="s">
        <v>216</v>
      </c>
    </row>
    <row r="114" spans="1:15" ht="15" hidden="1" customHeight="1" outlineLevel="1">
      <c r="A114" s="1598" t="s">
        <v>1195</v>
      </c>
      <c r="B114" s="1591"/>
      <c r="C114" s="1591" t="s">
        <v>1197</v>
      </c>
      <c r="D114" s="1605">
        <v>28000</v>
      </c>
      <c r="E114" s="1592"/>
      <c r="F114" s="1592">
        <v>2</v>
      </c>
      <c r="G114" s="1592">
        <v>2</v>
      </c>
      <c r="H114" s="1592">
        <v>2</v>
      </c>
      <c r="I114" s="1592">
        <v>2</v>
      </c>
      <c r="J114" s="1341">
        <f t="shared" si="12"/>
        <v>2</v>
      </c>
      <c r="K114" s="1341">
        <f t="shared" si="13"/>
        <v>2</v>
      </c>
      <c r="M114" s="1621" t="str">
        <f>Отель5!D18</f>
        <v>Фойе</v>
      </c>
      <c r="N114" s="1561">
        <f>Отель5!F18</f>
        <v>135</v>
      </c>
      <c r="O114" s="19" t="s">
        <v>216</v>
      </c>
    </row>
    <row r="115" spans="1:15" ht="15" hidden="1" customHeight="1" outlineLevel="1">
      <c r="A115" s="1598" t="s">
        <v>1195</v>
      </c>
      <c r="B115" s="1591"/>
      <c r="C115" s="1591" t="s">
        <v>1198</v>
      </c>
      <c r="D115" s="1589">
        <v>30000</v>
      </c>
      <c r="E115" s="1592"/>
      <c r="F115" s="1592">
        <v>0</v>
      </c>
      <c r="G115" s="1592">
        <v>0</v>
      </c>
      <c r="H115" s="1592">
        <v>0</v>
      </c>
      <c r="I115" s="1592">
        <v>0</v>
      </c>
      <c r="J115" s="1341">
        <f t="shared" si="12"/>
        <v>0</v>
      </c>
      <c r="K115" s="1341">
        <f t="shared" si="13"/>
        <v>0</v>
      </c>
    </row>
    <row r="116" spans="1:15" ht="15" hidden="1" customHeight="1" outlineLevel="1">
      <c r="A116" s="1598" t="s">
        <v>1195</v>
      </c>
      <c r="B116" s="1591"/>
      <c r="C116" s="1591" t="s">
        <v>1199</v>
      </c>
      <c r="D116" s="1589">
        <v>22000</v>
      </c>
      <c r="E116" s="1592"/>
      <c r="F116" s="1592">
        <v>1</v>
      </c>
      <c r="G116" s="1592">
        <v>1</v>
      </c>
      <c r="H116" s="1592">
        <v>1</v>
      </c>
      <c r="I116" s="1592">
        <v>1</v>
      </c>
      <c r="J116" s="1341">
        <f t="shared" si="12"/>
        <v>1</v>
      </c>
      <c r="K116" s="1341">
        <f t="shared" si="13"/>
        <v>1</v>
      </c>
    </row>
    <row r="117" spans="1:15" ht="15" hidden="1" customHeight="1" outlineLevel="1">
      <c r="A117" s="1598" t="s">
        <v>1195</v>
      </c>
      <c r="B117" s="1591"/>
      <c r="C117" s="1591" t="s">
        <v>1200</v>
      </c>
      <c r="D117" s="1605">
        <v>25000</v>
      </c>
      <c r="E117" s="1592"/>
      <c r="F117" s="1592">
        <v>2</v>
      </c>
      <c r="G117" s="1592">
        <v>2</v>
      </c>
      <c r="H117" s="1592">
        <v>2</v>
      </c>
      <c r="I117" s="1592">
        <v>2</v>
      </c>
      <c r="J117" s="1341">
        <f t="shared" si="12"/>
        <v>2</v>
      </c>
      <c r="K117" s="1341">
        <f t="shared" si="13"/>
        <v>2</v>
      </c>
    </row>
    <row r="118" spans="1:15" ht="15" hidden="1" customHeight="1" outlineLevel="1">
      <c r="A118" s="1598" t="s">
        <v>1195</v>
      </c>
      <c r="B118" s="1591"/>
      <c r="C118" s="1591"/>
      <c r="D118" s="1589">
        <v>0</v>
      </c>
      <c r="E118" s="1592"/>
      <c r="F118" s="1592"/>
      <c r="G118" s="1592"/>
      <c r="H118" s="1592"/>
      <c r="I118" s="1592"/>
      <c r="J118" s="1341">
        <f t="shared" si="12"/>
        <v>0</v>
      </c>
      <c r="K118" s="1341">
        <f t="shared" si="13"/>
        <v>0</v>
      </c>
    </row>
    <row r="119" spans="1:15" ht="15" hidden="1" customHeight="1" outlineLevel="1">
      <c r="A119" s="1587" t="s">
        <v>1201</v>
      </c>
      <c r="B119" s="1594" t="s">
        <v>1202</v>
      </c>
      <c r="C119" s="1594" t="s">
        <v>1203</v>
      </c>
      <c r="D119" s="1595">
        <v>35000</v>
      </c>
      <c r="E119" s="1603"/>
      <c r="F119" s="1603">
        <v>2</v>
      </c>
      <c r="G119" s="1595">
        <v>2</v>
      </c>
      <c r="H119" s="1595">
        <v>2</v>
      </c>
      <c r="I119" s="1595">
        <v>2</v>
      </c>
      <c r="J119" s="1341">
        <f t="shared" si="12"/>
        <v>2</v>
      </c>
      <c r="K119" s="1341">
        <f t="shared" si="13"/>
        <v>2</v>
      </c>
      <c r="M119" s="19" t="str">
        <f>Отель5!D13</f>
        <v>Наличие СПА с бассейном: 2 бассейна в составе СПА, фитнес-зал</v>
      </c>
    </row>
    <row r="120" spans="1:15" ht="15" hidden="1" customHeight="1" outlineLevel="1">
      <c r="A120" s="1587" t="s">
        <v>1201</v>
      </c>
      <c r="B120" s="1594"/>
      <c r="C120" s="1594" t="s">
        <v>1204</v>
      </c>
      <c r="D120" s="1595">
        <v>40000</v>
      </c>
      <c r="E120" s="1603"/>
      <c r="F120" s="1603">
        <v>3</v>
      </c>
      <c r="G120" s="1595">
        <v>4</v>
      </c>
      <c r="H120" s="1595">
        <v>4</v>
      </c>
      <c r="I120" s="1595">
        <v>4</v>
      </c>
      <c r="J120" s="1341">
        <f t="shared" si="12"/>
        <v>4</v>
      </c>
      <c r="K120" s="1341">
        <f t="shared" si="13"/>
        <v>4</v>
      </c>
      <c r="N120" s="1561">
        <f>Отель5!F13</f>
        <v>1943</v>
      </c>
      <c r="O120" s="19" t="s">
        <v>216</v>
      </c>
    </row>
    <row r="121" spans="1:15" ht="15" hidden="1" customHeight="1" outlineLevel="1">
      <c r="A121" s="1587" t="s">
        <v>1201</v>
      </c>
      <c r="B121" s="1594"/>
      <c r="C121" s="1594" t="s">
        <v>1205</v>
      </c>
      <c r="D121" s="1595">
        <v>40000</v>
      </c>
      <c r="E121" s="1603"/>
      <c r="F121" s="1603">
        <v>3</v>
      </c>
      <c r="G121" s="1595">
        <v>4</v>
      </c>
      <c r="H121" s="1595">
        <v>4</v>
      </c>
      <c r="I121" s="1595">
        <v>4</v>
      </c>
      <c r="J121" s="1341">
        <f t="shared" si="12"/>
        <v>4</v>
      </c>
      <c r="K121" s="1341">
        <f t="shared" si="13"/>
        <v>4</v>
      </c>
    </row>
    <row r="122" spans="1:15" ht="15" hidden="1" customHeight="1" outlineLevel="1">
      <c r="A122" s="1587" t="s">
        <v>1201</v>
      </c>
      <c r="B122" s="1594"/>
      <c r="C122" s="1594" t="s">
        <v>1206</v>
      </c>
      <c r="D122" s="1595">
        <v>35000</v>
      </c>
      <c r="E122" s="1603"/>
      <c r="F122" s="1603">
        <v>2</v>
      </c>
      <c r="G122" s="1595">
        <v>2</v>
      </c>
      <c r="H122" s="1595">
        <v>2</v>
      </c>
      <c r="I122" s="1595">
        <v>2</v>
      </c>
      <c r="J122" s="1341">
        <f t="shared" si="12"/>
        <v>2</v>
      </c>
      <c r="K122" s="1341">
        <f t="shared" si="13"/>
        <v>2</v>
      </c>
    </row>
    <row r="123" spans="1:15" ht="15" hidden="1" customHeight="1" outlineLevel="1">
      <c r="A123" s="1587" t="s">
        <v>1201</v>
      </c>
      <c r="B123" s="1594"/>
      <c r="C123" s="1594" t="s">
        <v>1207</v>
      </c>
      <c r="D123" s="1606">
        <v>25000</v>
      </c>
      <c r="E123" s="1603"/>
      <c r="F123" s="1603">
        <v>2</v>
      </c>
      <c r="G123" s="1595">
        <v>2</v>
      </c>
      <c r="H123" s="1595">
        <v>2</v>
      </c>
      <c r="I123" s="1595">
        <v>2</v>
      </c>
      <c r="J123" s="1341">
        <f t="shared" si="12"/>
        <v>2</v>
      </c>
      <c r="K123" s="1341">
        <f t="shared" si="13"/>
        <v>2</v>
      </c>
    </row>
    <row r="124" spans="1:15" ht="15" hidden="1" customHeight="1" outlineLevel="1">
      <c r="A124" s="1587" t="s">
        <v>1201</v>
      </c>
      <c r="B124" s="1593"/>
      <c r="C124" s="1593"/>
      <c r="D124" s="1595">
        <v>0</v>
      </c>
      <c r="E124" s="1607"/>
      <c r="F124" s="1607"/>
      <c r="G124" s="1596"/>
      <c r="H124" s="1596"/>
      <c r="I124" s="1596"/>
      <c r="J124" s="1341">
        <f t="shared" si="12"/>
        <v>0</v>
      </c>
      <c r="K124" s="1341">
        <f t="shared" si="13"/>
        <v>0</v>
      </c>
    </row>
    <row r="125" spans="1:15" ht="15" hidden="1" customHeight="1" outlineLevel="1">
      <c r="A125" s="1598" t="s">
        <v>1208</v>
      </c>
      <c r="B125" s="1588" t="s">
        <v>1209</v>
      </c>
      <c r="C125" s="1588" t="s">
        <v>1210</v>
      </c>
      <c r="D125" s="1589">
        <v>125000</v>
      </c>
      <c r="E125" s="1589"/>
      <c r="F125" s="1589"/>
      <c r="G125" s="1589"/>
      <c r="H125" s="1589"/>
      <c r="I125" s="1589"/>
      <c r="J125" s="1341">
        <f t="shared" si="12"/>
        <v>0</v>
      </c>
      <c r="K125" s="1341">
        <f t="shared" si="13"/>
        <v>0</v>
      </c>
    </row>
    <row r="126" spans="1:15" ht="15" hidden="1" customHeight="1" outlineLevel="1">
      <c r="A126" s="1598" t="s">
        <v>1208</v>
      </c>
      <c r="B126" s="1588"/>
      <c r="C126" s="1588" t="s">
        <v>1211</v>
      </c>
      <c r="D126" s="1589">
        <v>70000</v>
      </c>
      <c r="E126" s="1589"/>
      <c r="F126" s="1589"/>
      <c r="G126" s="1589"/>
      <c r="H126" s="1589"/>
      <c r="I126" s="1589"/>
      <c r="J126" s="1341">
        <f t="shared" si="12"/>
        <v>0</v>
      </c>
      <c r="K126" s="1341">
        <f t="shared" si="13"/>
        <v>0</v>
      </c>
    </row>
    <row r="127" spans="1:15" ht="15" hidden="1" customHeight="1" outlineLevel="1">
      <c r="A127" s="1598" t="s">
        <v>1208</v>
      </c>
      <c r="B127" s="1588"/>
      <c r="C127" s="1588" t="s">
        <v>1212</v>
      </c>
      <c r="D127" s="1589">
        <v>55000</v>
      </c>
      <c r="E127" s="1589"/>
      <c r="F127" s="1589"/>
      <c r="G127" s="1589"/>
      <c r="H127" s="1589"/>
      <c r="I127" s="1589"/>
      <c r="J127" s="1341">
        <f t="shared" si="12"/>
        <v>0</v>
      </c>
      <c r="K127" s="1341">
        <f t="shared" si="13"/>
        <v>0</v>
      </c>
    </row>
    <row r="128" spans="1:15" ht="15" hidden="1" customHeight="1" outlineLevel="1">
      <c r="A128" s="1598" t="s">
        <v>1208</v>
      </c>
      <c r="B128" s="1588"/>
      <c r="C128" s="1588" t="s">
        <v>1213</v>
      </c>
      <c r="D128" s="1589">
        <v>45000</v>
      </c>
      <c r="E128" s="1589"/>
      <c r="F128" s="1589"/>
      <c r="G128" s="1589"/>
      <c r="H128" s="1589"/>
      <c r="I128" s="1589"/>
      <c r="J128" s="1341">
        <f t="shared" si="12"/>
        <v>0</v>
      </c>
      <c r="K128" s="1341">
        <f t="shared" si="13"/>
        <v>0</v>
      </c>
    </row>
    <row r="129" spans="1:11" ht="15" hidden="1" customHeight="1" outlineLevel="1">
      <c r="A129" s="1598" t="s">
        <v>1208</v>
      </c>
      <c r="B129" s="1588"/>
      <c r="C129" s="1588" t="s">
        <v>1214</v>
      </c>
      <c r="D129" s="1589">
        <v>35000</v>
      </c>
      <c r="E129" s="1589"/>
      <c r="F129" s="1589"/>
      <c r="G129" s="1589"/>
      <c r="H129" s="1589"/>
      <c r="I129" s="1589"/>
      <c r="J129" s="1341">
        <f t="shared" si="12"/>
        <v>0</v>
      </c>
      <c r="K129" s="1341">
        <f t="shared" si="13"/>
        <v>0</v>
      </c>
    </row>
    <row r="130" spans="1:11" ht="15" hidden="1" customHeight="1" outlineLevel="1">
      <c r="A130" s="1598" t="s">
        <v>1208</v>
      </c>
      <c r="B130" s="1588"/>
      <c r="C130" s="1588" t="s">
        <v>1215</v>
      </c>
      <c r="D130" s="1605">
        <v>21000</v>
      </c>
      <c r="E130" s="1589"/>
      <c r="F130" s="1589"/>
      <c r="G130" s="1589"/>
      <c r="H130" s="1589"/>
      <c r="I130" s="1589"/>
      <c r="J130" s="1341">
        <f t="shared" si="12"/>
        <v>0</v>
      </c>
      <c r="K130" s="1341">
        <f t="shared" si="13"/>
        <v>0</v>
      </c>
    </row>
    <row r="131" spans="1:11" ht="15" hidden="1" customHeight="1" outlineLevel="1">
      <c r="A131" s="1598" t="s">
        <v>1208</v>
      </c>
      <c r="B131" s="1591"/>
      <c r="C131" s="1591"/>
      <c r="D131" s="1589">
        <v>0</v>
      </c>
      <c r="E131" s="1592"/>
      <c r="F131" s="1592"/>
      <c r="G131" s="1592"/>
      <c r="H131" s="1592"/>
      <c r="I131" s="1592"/>
      <c r="J131" s="1341">
        <f t="shared" si="12"/>
        <v>0</v>
      </c>
      <c r="K131" s="1341">
        <f t="shared" si="13"/>
        <v>0</v>
      </c>
    </row>
    <row r="132" spans="1:11" ht="15" hidden="1" customHeight="1" outlineLevel="1">
      <c r="A132" s="1587" t="s">
        <v>1151</v>
      </c>
      <c r="B132" s="1594" t="s">
        <v>1216</v>
      </c>
      <c r="C132" s="1594" t="s">
        <v>1217</v>
      </c>
      <c r="D132" s="1595">
        <v>35000</v>
      </c>
      <c r="E132" s="1595"/>
      <c r="F132" s="1595">
        <v>1</v>
      </c>
      <c r="G132" s="1595">
        <v>1</v>
      </c>
      <c r="H132" s="1595">
        <v>1</v>
      </c>
      <c r="I132" s="1595">
        <v>1</v>
      </c>
      <c r="J132" s="1341">
        <f t="shared" si="12"/>
        <v>1</v>
      </c>
      <c r="K132" s="1341">
        <f t="shared" si="13"/>
        <v>1</v>
      </c>
    </row>
    <row r="133" spans="1:11" ht="15" hidden="1" customHeight="1" outlineLevel="1">
      <c r="A133" s="1587" t="s">
        <v>1151</v>
      </c>
      <c r="B133" s="1594"/>
      <c r="C133" s="1594" t="s">
        <v>1218</v>
      </c>
      <c r="D133" s="1595">
        <v>30000</v>
      </c>
      <c r="E133" s="1595"/>
      <c r="F133" s="1595">
        <v>2</v>
      </c>
      <c r="G133" s="1595">
        <v>2</v>
      </c>
      <c r="H133" s="1595">
        <v>3</v>
      </c>
      <c r="I133" s="1595">
        <v>4</v>
      </c>
      <c r="J133" s="1341">
        <f t="shared" si="12"/>
        <v>4</v>
      </c>
      <c r="K133" s="1341">
        <f t="shared" si="13"/>
        <v>4</v>
      </c>
    </row>
    <row r="134" spans="1:11" ht="15" hidden="1" customHeight="1" outlineLevel="1">
      <c r="A134" s="1587" t="s">
        <v>1151</v>
      </c>
      <c r="B134" s="1594"/>
      <c r="C134" s="1594"/>
      <c r="D134" s="1595">
        <v>0</v>
      </c>
      <c r="E134" s="1595"/>
      <c r="F134" s="1595"/>
      <c r="G134" s="1595"/>
      <c r="H134" s="1595"/>
      <c r="I134" s="1595"/>
      <c r="J134" s="1341">
        <f t="shared" si="12"/>
        <v>0</v>
      </c>
      <c r="K134" s="1341">
        <f t="shared" si="13"/>
        <v>0</v>
      </c>
    </row>
    <row r="135" spans="1:11" ht="15" hidden="1" customHeight="1" outlineLevel="1">
      <c r="A135" s="1598" t="s">
        <v>1219</v>
      </c>
      <c r="B135" s="1588" t="s">
        <v>1220</v>
      </c>
      <c r="C135" s="1588" t="s">
        <v>1221</v>
      </c>
      <c r="D135" s="1589">
        <v>35000</v>
      </c>
      <c r="E135" s="1589"/>
      <c r="F135" s="1589">
        <v>1</v>
      </c>
      <c r="G135" s="1589">
        <v>1</v>
      </c>
      <c r="H135" s="1589">
        <v>1</v>
      </c>
      <c r="I135" s="1589">
        <v>1</v>
      </c>
      <c r="J135" s="1341">
        <f t="shared" si="12"/>
        <v>1</v>
      </c>
      <c r="K135" s="1341">
        <f t="shared" si="13"/>
        <v>1</v>
      </c>
    </row>
    <row r="136" spans="1:11" ht="15" hidden="1" customHeight="1" outlineLevel="1">
      <c r="A136" s="1598" t="s">
        <v>1219</v>
      </c>
      <c r="B136" s="1588"/>
      <c r="C136" s="1588" t="s">
        <v>1158</v>
      </c>
      <c r="D136" s="1589">
        <v>22000</v>
      </c>
      <c r="E136" s="1589"/>
      <c r="F136" s="1589">
        <v>2</v>
      </c>
      <c r="G136" s="1589">
        <v>2</v>
      </c>
      <c r="H136" s="1589">
        <v>2</v>
      </c>
      <c r="I136" s="1589">
        <v>2</v>
      </c>
      <c r="J136" s="1341">
        <f t="shared" si="12"/>
        <v>2</v>
      </c>
      <c r="K136" s="1341">
        <f t="shared" si="13"/>
        <v>2</v>
      </c>
    </row>
    <row r="137" spans="1:11" ht="15" hidden="1" customHeight="1" outlineLevel="1">
      <c r="A137" s="1598" t="s">
        <v>1219</v>
      </c>
      <c r="B137" s="1588"/>
      <c r="C137" s="1588"/>
      <c r="D137" s="1589">
        <v>0</v>
      </c>
      <c r="E137" s="1589"/>
      <c r="F137" s="1589"/>
      <c r="G137" s="1589"/>
      <c r="H137" s="1589"/>
      <c r="I137" s="1589"/>
      <c r="J137" s="1341">
        <f t="shared" si="12"/>
        <v>0</v>
      </c>
      <c r="K137" s="1341">
        <f t="shared" si="13"/>
        <v>0</v>
      </c>
    </row>
    <row r="138" spans="1:11" ht="15" hidden="1" customHeight="1" outlineLevel="1">
      <c r="A138" s="1598" t="s">
        <v>1219</v>
      </c>
      <c r="B138" s="1588"/>
      <c r="C138" s="1588"/>
      <c r="D138" s="1589">
        <v>0</v>
      </c>
      <c r="E138" s="1589"/>
      <c r="F138" s="1589"/>
      <c r="G138" s="1589"/>
      <c r="H138" s="1589"/>
      <c r="I138" s="1589"/>
      <c r="J138" s="1341">
        <f t="shared" si="12"/>
        <v>0</v>
      </c>
      <c r="K138" s="1341">
        <f t="shared" si="13"/>
        <v>0</v>
      </c>
    </row>
    <row r="139" spans="1:11" ht="15" customHeight="1" collapsed="1">
      <c r="A139" s="1566"/>
      <c r="B139" s="1348"/>
      <c r="C139" s="1348" t="s">
        <v>1222</v>
      </c>
      <c r="D139" s="1608"/>
      <c r="E139" s="1609">
        <f t="shared" ref="E139:K139" si="14">SUM(E13:E138)</f>
        <v>0</v>
      </c>
      <c r="F139" s="1609">
        <f t="shared" si="14"/>
        <v>192</v>
      </c>
      <c r="G139" s="1609">
        <f t="shared" si="14"/>
        <v>199</v>
      </c>
      <c r="H139" s="1609">
        <f t="shared" si="14"/>
        <v>203</v>
      </c>
      <c r="I139" s="1609">
        <f t="shared" si="14"/>
        <v>204</v>
      </c>
      <c r="J139" s="1609">
        <f t="shared" si="14"/>
        <v>204</v>
      </c>
      <c r="K139" s="1609">
        <f t="shared" si="14"/>
        <v>204</v>
      </c>
    </row>
    <row r="140" spans="1:11" ht="15" customHeight="1">
      <c r="A140" s="1566"/>
      <c r="B140" s="20"/>
      <c r="C140" s="20"/>
      <c r="D140" s="1610"/>
      <c r="E140" s="1611"/>
      <c r="F140" s="1611"/>
      <c r="G140" s="1611"/>
      <c r="H140" s="1611"/>
      <c r="I140" s="1611"/>
      <c r="J140" s="1611"/>
      <c r="K140" s="1611"/>
    </row>
    <row r="141" spans="1:11" ht="15.95" customHeight="1">
      <c r="A141" s="1566"/>
      <c r="B141" s="20"/>
      <c r="C141" s="20"/>
      <c r="D141" s="1610"/>
      <c r="E141" s="1611"/>
      <c r="F141" s="1611"/>
      <c r="G141" s="1611"/>
      <c r="H141" s="1611"/>
      <c r="I141" s="1611"/>
      <c r="J141" s="1611"/>
      <c r="K141" s="1611"/>
    </row>
    <row r="142" spans="1:11" ht="15.75" customHeight="1">
      <c r="A142" s="1566"/>
      <c r="B142" s="1580" t="str">
        <f>Объекты!$C$10</f>
        <v>Шале</v>
      </c>
      <c r="C142" s="1620" t="s">
        <v>1244</v>
      </c>
      <c r="D142" s="1581">
        <f>YEAR(Объекты!$K$10)</f>
        <v>2026</v>
      </c>
      <c r="E142" s="1571"/>
      <c r="F142" s="1571"/>
      <c r="G142" s="1571"/>
      <c r="H142" s="1571"/>
      <c r="I142" s="1571"/>
      <c r="J142" s="1571"/>
      <c r="K142" s="1571"/>
    </row>
    <row r="143" spans="1:11" ht="15.75" customHeight="1">
      <c r="A143" s="1566"/>
      <c r="B143" s="1582"/>
      <c r="C143" s="1583" t="s">
        <v>1098</v>
      </c>
      <c r="D143" s="1617"/>
      <c r="E143" s="1585">
        <f>Объекты!$F$10</f>
        <v>13</v>
      </c>
      <c r="F143" s="1616">
        <f t="shared" ref="F143:K143" si="15">E143</f>
        <v>13</v>
      </c>
      <c r="G143" s="1616">
        <f t="shared" si="15"/>
        <v>13</v>
      </c>
      <c r="H143" s="1616">
        <f t="shared" si="15"/>
        <v>13</v>
      </c>
      <c r="I143" s="1616">
        <f t="shared" si="15"/>
        <v>13</v>
      </c>
      <c r="J143" s="1616">
        <f t="shared" si="15"/>
        <v>13</v>
      </c>
      <c r="K143" s="1616">
        <f t="shared" si="15"/>
        <v>13</v>
      </c>
    </row>
    <row r="144" spans="1:11" ht="15.75" customHeight="1">
      <c r="A144" s="1566"/>
      <c r="B144" s="1582"/>
      <c r="C144" s="1583" t="s">
        <v>14</v>
      </c>
      <c r="D144" s="1584"/>
      <c r="E144" s="1613" t="str">
        <f>IFERROR(LOOKUP(E$2,Шале_PL!$D$3:$T$3,Шале_PL!$D$10:$T$10),"не введён")</f>
        <v>не введён</v>
      </c>
      <c r="F144" s="1613">
        <f>IFERROR(LOOKUP(F$2,Шале_PL!$D$3:$T$3,Шале_PL!$D$10:$T$10),"не введён")</f>
        <v>0.16437900454909626</v>
      </c>
      <c r="G144" s="1613">
        <f>IFERROR(LOOKUP(G$2,Шале_PL!$D$3:$T$3,Шале_PL!$D$10:$T$10),"не введён")</f>
        <v>0.35434308841843098</v>
      </c>
      <c r="H144" s="1613">
        <f>IFERROR(LOOKUP(H$2,Шале_PL!$D$3:$T$3,Шале_PL!$D$10:$T$10),"не введён")</f>
        <v>0.37518679950186812</v>
      </c>
      <c r="I144" s="1613">
        <f>IFERROR(LOOKUP(I$2,Шале_PL!$D$3:$T$3,Шале_PL!$D$10:$T$10),"не введён")</f>
        <v>0.3960305105853052</v>
      </c>
      <c r="J144" s="1613">
        <f>IFERROR(LOOKUP(J$2,Шале_PL!$D$3:$T$3,Шале_PL!$D$10:$T$10),"не введён")</f>
        <v>0.41687422166874233</v>
      </c>
      <c r="K144" s="1613">
        <f>IFERROR(LOOKUP(K$2,Шале_PL!$D$3:$T$3,Шале_PL!$D$10:$T$10),"не введён")</f>
        <v>0.41687422166874233</v>
      </c>
    </row>
    <row r="145" spans="1:11" ht="15.75" customHeight="1">
      <c r="A145" s="1566"/>
      <c r="B145" s="1582"/>
      <c r="C145" s="1583" t="s">
        <v>1099</v>
      </c>
      <c r="D145" s="1584"/>
      <c r="E145" s="1585" t="str">
        <f>IFERROR(E143/E201,"не введён")</f>
        <v>не введён</v>
      </c>
      <c r="F145" s="1585">
        <f t="shared" ref="F145:K145" si="16">IFERROR(F143/F201,"не введён")</f>
        <v>3.25</v>
      </c>
      <c r="G145" s="1585">
        <f t="shared" si="16"/>
        <v>3.25</v>
      </c>
      <c r="H145" s="1585">
        <f t="shared" si="16"/>
        <v>3.25</v>
      </c>
      <c r="I145" s="1585">
        <f t="shared" si="16"/>
        <v>3.25</v>
      </c>
      <c r="J145" s="1585">
        <f t="shared" si="16"/>
        <v>3.25</v>
      </c>
      <c r="K145" s="1585">
        <f t="shared" si="16"/>
        <v>3.25</v>
      </c>
    </row>
    <row r="146" spans="1:11" ht="15" hidden="1" customHeight="1" outlineLevel="1">
      <c r="A146" s="1587" t="s">
        <v>1233</v>
      </c>
      <c r="B146" s="1588" t="s">
        <v>1101</v>
      </c>
      <c r="C146" s="1588" t="s">
        <v>1102</v>
      </c>
      <c r="D146" s="1589">
        <v>120000</v>
      </c>
      <c r="E146" s="1589"/>
      <c r="F146" s="1589">
        <v>1</v>
      </c>
      <c r="G146" s="1589">
        <v>1</v>
      </c>
      <c r="H146" s="1589">
        <v>1</v>
      </c>
      <c r="I146" s="1589">
        <v>1</v>
      </c>
      <c r="J146" s="1341">
        <f t="shared" ref="J146:K209" si="17">I146</f>
        <v>1</v>
      </c>
      <c r="K146" s="1341">
        <f t="shared" si="17"/>
        <v>1</v>
      </c>
    </row>
    <row r="147" spans="1:11" ht="15" hidden="1" customHeight="1" outlineLevel="1">
      <c r="A147" s="1587" t="s">
        <v>1233</v>
      </c>
      <c r="B147" s="1588"/>
      <c r="C147" s="1588" t="s">
        <v>1103</v>
      </c>
      <c r="D147" s="1589">
        <v>100000</v>
      </c>
      <c r="E147" s="1589"/>
      <c r="F147" s="1589">
        <v>1</v>
      </c>
      <c r="G147" s="1589">
        <v>1</v>
      </c>
      <c r="H147" s="1589">
        <v>1</v>
      </c>
      <c r="I147" s="1589">
        <v>1</v>
      </c>
      <c r="J147" s="1341">
        <f t="shared" si="17"/>
        <v>1</v>
      </c>
      <c r="K147" s="1341">
        <f t="shared" si="17"/>
        <v>1</v>
      </c>
    </row>
    <row r="148" spans="1:11" ht="15" hidden="1" customHeight="1" outlineLevel="1">
      <c r="A148" s="1587" t="s">
        <v>1233</v>
      </c>
      <c r="B148" s="1588"/>
      <c r="C148" s="1590" t="s">
        <v>1104</v>
      </c>
      <c r="D148" s="1589">
        <v>40000</v>
      </c>
      <c r="E148" s="1589"/>
      <c r="F148" s="1589"/>
      <c r="G148" s="1589"/>
      <c r="H148" s="1589"/>
      <c r="I148" s="1589"/>
      <c r="J148" s="1341">
        <f t="shared" si="17"/>
        <v>0</v>
      </c>
      <c r="K148" s="1341">
        <f t="shared" si="17"/>
        <v>0</v>
      </c>
    </row>
    <row r="149" spans="1:11" ht="15" hidden="1" customHeight="1" outlineLevel="1">
      <c r="A149" s="1587" t="s">
        <v>1233</v>
      </c>
      <c r="B149" s="1588"/>
      <c r="C149" s="1588" t="s">
        <v>1105</v>
      </c>
      <c r="D149" s="1589">
        <v>45000</v>
      </c>
      <c r="E149" s="1589"/>
      <c r="F149" s="1589"/>
      <c r="G149" s="1589"/>
      <c r="H149" s="1589"/>
      <c r="I149" s="1589"/>
      <c r="J149" s="1341">
        <f t="shared" si="17"/>
        <v>0</v>
      </c>
      <c r="K149" s="1341">
        <f t="shared" si="17"/>
        <v>0</v>
      </c>
    </row>
    <row r="150" spans="1:11" ht="15" hidden="1" customHeight="1" outlineLevel="1">
      <c r="A150" s="1587" t="s">
        <v>1233</v>
      </c>
      <c r="B150" s="1588"/>
      <c r="C150" s="1588" t="s">
        <v>1106</v>
      </c>
      <c r="D150" s="1589">
        <v>32000</v>
      </c>
      <c r="E150" s="1589"/>
      <c r="F150" s="1589"/>
      <c r="G150" s="1589"/>
      <c r="H150" s="1589"/>
      <c r="I150" s="1589"/>
      <c r="J150" s="1341">
        <f t="shared" si="17"/>
        <v>0</v>
      </c>
      <c r="K150" s="1341">
        <f t="shared" si="17"/>
        <v>0</v>
      </c>
    </row>
    <row r="151" spans="1:11" ht="15" hidden="1" customHeight="1" outlineLevel="1">
      <c r="A151" s="1587" t="s">
        <v>1233</v>
      </c>
      <c r="B151" s="1588"/>
      <c r="C151" s="1588" t="s">
        <v>36</v>
      </c>
      <c r="D151" s="1589">
        <v>32000</v>
      </c>
      <c r="E151" s="1589"/>
      <c r="F151" s="1589">
        <v>2</v>
      </c>
      <c r="G151" s="1589">
        <v>2</v>
      </c>
      <c r="H151" s="1589">
        <v>2</v>
      </c>
      <c r="I151" s="1589">
        <v>2</v>
      </c>
      <c r="J151" s="1341">
        <f t="shared" si="17"/>
        <v>2</v>
      </c>
      <c r="K151" s="1341">
        <f t="shared" si="17"/>
        <v>2</v>
      </c>
    </row>
    <row r="152" spans="1:11" ht="15" hidden="1" customHeight="1" outlineLevel="1">
      <c r="A152" s="1587" t="s">
        <v>1233</v>
      </c>
      <c r="B152" s="1591"/>
      <c r="C152" s="1588" t="s">
        <v>42</v>
      </c>
      <c r="D152" s="1589">
        <v>45000</v>
      </c>
      <c r="E152" s="1592"/>
      <c r="F152" s="1589">
        <v>1</v>
      </c>
      <c r="G152" s="1589">
        <v>1</v>
      </c>
      <c r="H152" s="1589">
        <v>1</v>
      </c>
      <c r="I152" s="1589">
        <v>1</v>
      </c>
      <c r="J152" s="1341">
        <f t="shared" si="17"/>
        <v>1</v>
      </c>
      <c r="K152" s="1341">
        <f t="shared" si="17"/>
        <v>1</v>
      </c>
    </row>
    <row r="153" spans="1:11" ht="15" hidden="1" customHeight="1" outlineLevel="1">
      <c r="A153" s="1587" t="s">
        <v>1233</v>
      </c>
      <c r="B153" s="1591"/>
      <c r="C153" s="1588" t="s">
        <v>1107</v>
      </c>
      <c r="D153" s="1589">
        <v>40000</v>
      </c>
      <c r="E153" s="1592"/>
      <c r="F153" s="1592"/>
      <c r="G153" s="1592"/>
      <c r="H153" s="1592"/>
      <c r="I153" s="1592"/>
      <c r="J153" s="1341">
        <f t="shared" si="17"/>
        <v>0</v>
      </c>
      <c r="K153" s="1341">
        <f t="shared" si="17"/>
        <v>0</v>
      </c>
    </row>
    <row r="154" spans="1:11" ht="15" hidden="1" customHeight="1" outlineLevel="1">
      <c r="A154" s="1587" t="s">
        <v>1233</v>
      </c>
      <c r="B154" s="1593" t="s">
        <v>1108</v>
      </c>
      <c r="C154" s="1594" t="s">
        <v>1109</v>
      </c>
      <c r="D154" s="1595">
        <v>65000</v>
      </c>
      <c r="E154" s="1607"/>
      <c r="F154" s="1607"/>
      <c r="G154" s="1607"/>
      <c r="H154" s="1607"/>
      <c r="I154" s="1607"/>
      <c r="J154" s="1341">
        <f t="shared" si="17"/>
        <v>0</v>
      </c>
      <c r="K154" s="1341">
        <f t="shared" si="17"/>
        <v>0</v>
      </c>
    </row>
    <row r="155" spans="1:11" ht="15" hidden="1" customHeight="1" outlineLevel="1">
      <c r="A155" s="1587" t="s">
        <v>1233</v>
      </c>
      <c r="B155" s="1593"/>
      <c r="C155" s="1594" t="s">
        <v>1110</v>
      </c>
      <c r="D155" s="1595">
        <v>45000</v>
      </c>
      <c r="E155" s="1607"/>
      <c r="F155" s="1607"/>
      <c r="G155" s="1607"/>
      <c r="H155" s="1607"/>
      <c r="I155" s="1607"/>
      <c r="J155" s="1341">
        <f t="shared" si="17"/>
        <v>0</v>
      </c>
      <c r="K155" s="1341">
        <f t="shared" si="17"/>
        <v>0</v>
      </c>
    </row>
    <row r="156" spans="1:11" ht="15" hidden="1" customHeight="1" outlineLevel="1">
      <c r="A156" s="1587" t="s">
        <v>1233</v>
      </c>
      <c r="B156" s="1593"/>
      <c r="C156" s="1594" t="s">
        <v>1111</v>
      </c>
      <c r="D156" s="1595">
        <v>90000</v>
      </c>
      <c r="E156" s="1607"/>
      <c r="F156" s="1607">
        <v>1</v>
      </c>
      <c r="G156" s="1607">
        <v>1</v>
      </c>
      <c r="H156" s="1607">
        <v>1</v>
      </c>
      <c r="I156" s="1607">
        <v>1</v>
      </c>
      <c r="J156" s="1341">
        <f t="shared" si="17"/>
        <v>1</v>
      </c>
      <c r="K156" s="1341">
        <f t="shared" si="17"/>
        <v>1</v>
      </c>
    </row>
    <row r="157" spans="1:11" ht="15" hidden="1" customHeight="1" outlineLevel="1">
      <c r="A157" s="1587" t="s">
        <v>1233</v>
      </c>
      <c r="B157" s="1593"/>
      <c r="C157" s="1597" t="s">
        <v>1112</v>
      </c>
      <c r="D157" s="1595">
        <v>38000</v>
      </c>
      <c r="E157" s="1607"/>
      <c r="F157" s="1607"/>
      <c r="G157" s="1607"/>
      <c r="H157" s="1607"/>
      <c r="I157" s="1607"/>
      <c r="J157" s="1341">
        <f t="shared" si="17"/>
        <v>0</v>
      </c>
      <c r="K157" s="1341">
        <f t="shared" si="17"/>
        <v>0</v>
      </c>
    </row>
    <row r="158" spans="1:11" ht="15" hidden="1" customHeight="1" outlineLevel="1">
      <c r="A158" s="1587" t="s">
        <v>1233</v>
      </c>
      <c r="B158" s="1593"/>
      <c r="C158" s="1597" t="s">
        <v>1113</v>
      </c>
      <c r="D158" s="1595">
        <v>38000</v>
      </c>
      <c r="E158" s="1607"/>
      <c r="F158" s="1607"/>
      <c r="G158" s="1607"/>
      <c r="H158" s="1607"/>
      <c r="I158" s="1607"/>
      <c r="J158" s="1341">
        <f t="shared" si="17"/>
        <v>0</v>
      </c>
      <c r="K158" s="1341">
        <f t="shared" si="17"/>
        <v>0</v>
      </c>
    </row>
    <row r="159" spans="1:11" ht="15" hidden="1" customHeight="1" outlineLevel="1">
      <c r="A159" s="1587" t="s">
        <v>1233</v>
      </c>
      <c r="B159" s="1593"/>
      <c r="C159" s="1597" t="s">
        <v>1114</v>
      </c>
      <c r="D159" s="1595">
        <v>38000</v>
      </c>
      <c r="E159" s="1607"/>
      <c r="F159" s="1607"/>
      <c r="G159" s="1607"/>
      <c r="H159" s="1607"/>
      <c r="I159" s="1607"/>
      <c r="J159" s="1341">
        <f t="shared" si="17"/>
        <v>0</v>
      </c>
      <c r="K159" s="1341">
        <f t="shared" si="17"/>
        <v>0</v>
      </c>
    </row>
    <row r="160" spans="1:11" ht="15" hidden="1" customHeight="1" outlineLevel="1">
      <c r="A160" s="1587" t="s">
        <v>1233</v>
      </c>
      <c r="B160" s="1593"/>
      <c r="C160" s="1597" t="s">
        <v>1115</v>
      </c>
      <c r="D160" s="1595">
        <v>38000</v>
      </c>
      <c r="E160" s="1607"/>
      <c r="F160" s="1607"/>
      <c r="G160" s="1607"/>
      <c r="H160" s="1607"/>
      <c r="I160" s="1607"/>
      <c r="J160" s="1341">
        <f t="shared" si="17"/>
        <v>0</v>
      </c>
      <c r="K160" s="1341">
        <f t="shared" si="17"/>
        <v>0</v>
      </c>
    </row>
    <row r="161" spans="1:11" ht="15" hidden="1" customHeight="1" outlineLevel="1">
      <c r="A161" s="1587" t="s">
        <v>1233</v>
      </c>
      <c r="B161" s="1593"/>
      <c r="C161" s="1597" t="s">
        <v>1116</v>
      </c>
      <c r="D161" s="1595">
        <v>32000</v>
      </c>
      <c r="E161" s="1607"/>
      <c r="F161" s="1607"/>
      <c r="G161" s="1607"/>
      <c r="H161" s="1607"/>
      <c r="I161" s="1607"/>
      <c r="J161" s="1341">
        <f t="shared" si="17"/>
        <v>0</v>
      </c>
      <c r="K161" s="1341">
        <f t="shared" si="17"/>
        <v>0</v>
      </c>
    </row>
    <row r="162" spans="1:11" ht="15" hidden="1" customHeight="1" outlineLevel="1">
      <c r="A162" s="1587" t="s">
        <v>1233</v>
      </c>
      <c r="B162" s="1593"/>
      <c r="C162" s="1597" t="s">
        <v>1117</v>
      </c>
      <c r="D162" s="1595">
        <v>32000</v>
      </c>
      <c r="E162" s="1607"/>
      <c r="F162" s="1607"/>
      <c r="G162" s="1607"/>
      <c r="H162" s="1607"/>
      <c r="I162" s="1607"/>
      <c r="J162" s="1341">
        <f t="shared" si="17"/>
        <v>0</v>
      </c>
      <c r="K162" s="1341">
        <f t="shared" si="17"/>
        <v>0</v>
      </c>
    </row>
    <row r="163" spans="1:11" ht="15" hidden="1" customHeight="1" outlineLevel="1">
      <c r="A163" s="1587" t="s">
        <v>1233</v>
      </c>
      <c r="B163" s="1593"/>
      <c r="C163" s="1597" t="s">
        <v>1118</v>
      </c>
      <c r="D163" s="1595">
        <v>35000</v>
      </c>
      <c r="E163" s="1607"/>
      <c r="F163" s="1607"/>
      <c r="G163" s="1607"/>
      <c r="H163" s="1607"/>
      <c r="I163" s="1607"/>
      <c r="J163" s="1341">
        <f t="shared" si="17"/>
        <v>0</v>
      </c>
      <c r="K163" s="1341">
        <f t="shared" si="17"/>
        <v>0</v>
      </c>
    </row>
    <row r="164" spans="1:11" ht="15" hidden="1" customHeight="1" outlineLevel="1">
      <c r="A164" s="1587" t="s">
        <v>1233</v>
      </c>
      <c r="B164" s="1593"/>
      <c r="C164" s="1597" t="s">
        <v>1119</v>
      </c>
      <c r="D164" s="1595">
        <v>35000</v>
      </c>
      <c r="E164" s="1607"/>
      <c r="F164" s="1607">
        <v>1</v>
      </c>
      <c r="G164" s="1607">
        <v>1</v>
      </c>
      <c r="H164" s="1607">
        <v>1</v>
      </c>
      <c r="I164" s="1607">
        <v>1</v>
      </c>
      <c r="J164" s="1341">
        <f t="shared" si="17"/>
        <v>1</v>
      </c>
      <c r="K164" s="1341">
        <f t="shared" si="17"/>
        <v>1</v>
      </c>
    </row>
    <row r="165" spans="1:11" ht="15" hidden="1" customHeight="1" outlineLevel="1">
      <c r="A165" s="1587" t="s">
        <v>1233</v>
      </c>
      <c r="B165" s="1593"/>
      <c r="C165" s="1594"/>
      <c r="D165" s="1595">
        <v>0</v>
      </c>
      <c r="E165" s="1607"/>
      <c r="F165" s="1607"/>
      <c r="G165" s="1607"/>
      <c r="H165" s="1607"/>
      <c r="I165" s="1607"/>
      <c r="J165" s="1341">
        <f t="shared" si="17"/>
        <v>0</v>
      </c>
      <c r="K165" s="1341">
        <f t="shared" si="17"/>
        <v>0</v>
      </c>
    </row>
    <row r="166" spans="1:11" ht="15" hidden="1" customHeight="1" outlineLevel="1">
      <c r="A166" s="1587" t="s">
        <v>1233</v>
      </c>
      <c r="B166" s="1591" t="s">
        <v>1120</v>
      </c>
      <c r="C166" s="1588" t="s">
        <v>38</v>
      </c>
      <c r="D166" s="1589">
        <v>65000</v>
      </c>
      <c r="E166" s="1592"/>
      <c r="F166" s="1592">
        <v>1</v>
      </c>
      <c r="G166" s="1592">
        <v>1</v>
      </c>
      <c r="H166" s="1592">
        <v>1</v>
      </c>
      <c r="I166" s="1592">
        <v>1</v>
      </c>
      <c r="J166" s="1341">
        <f t="shared" si="17"/>
        <v>1</v>
      </c>
      <c r="K166" s="1341">
        <f t="shared" si="17"/>
        <v>1</v>
      </c>
    </row>
    <row r="167" spans="1:11" ht="15" hidden="1" customHeight="1" outlineLevel="1">
      <c r="A167" s="1587" t="s">
        <v>1233</v>
      </c>
      <c r="B167" s="1591"/>
      <c r="C167" s="1588" t="s">
        <v>1121</v>
      </c>
      <c r="D167" s="1589">
        <v>40000</v>
      </c>
      <c r="E167" s="1592"/>
      <c r="F167" s="1592"/>
      <c r="G167" s="1592"/>
      <c r="H167" s="1592"/>
      <c r="I167" s="1592"/>
      <c r="J167" s="1341">
        <f t="shared" si="17"/>
        <v>0</v>
      </c>
      <c r="K167" s="1341">
        <f t="shared" si="17"/>
        <v>0</v>
      </c>
    </row>
    <row r="168" spans="1:11" ht="15" hidden="1" customHeight="1" outlineLevel="1">
      <c r="A168" s="1587" t="s">
        <v>1233</v>
      </c>
      <c r="B168" s="1591"/>
      <c r="C168" s="1588" t="s">
        <v>1122</v>
      </c>
      <c r="D168" s="1589">
        <v>32000</v>
      </c>
      <c r="E168" s="1592"/>
      <c r="F168" s="1592"/>
      <c r="G168" s="1592"/>
      <c r="H168" s="1592"/>
      <c r="I168" s="1592"/>
      <c r="J168" s="1341">
        <f t="shared" si="17"/>
        <v>0</v>
      </c>
      <c r="K168" s="1341">
        <f t="shared" si="17"/>
        <v>0</v>
      </c>
    </row>
    <row r="169" spans="1:11" ht="15" hidden="1" customHeight="1" outlineLevel="1">
      <c r="A169" s="1587" t="s">
        <v>1233</v>
      </c>
      <c r="B169" s="1591"/>
      <c r="C169" s="1588"/>
      <c r="D169" s="1589">
        <v>0</v>
      </c>
      <c r="E169" s="1592"/>
      <c r="F169" s="1592"/>
      <c r="G169" s="1592"/>
      <c r="H169" s="1592"/>
      <c r="I169" s="1592"/>
      <c r="J169" s="1341">
        <f t="shared" si="17"/>
        <v>0</v>
      </c>
      <c r="K169" s="1341">
        <f t="shared" si="17"/>
        <v>0</v>
      </c>
    </row>
    <row r="170" spans="1:11" ht="15" hidden="1" customHeight="1" outlineLevel="1">
      <c r="A170" s="1587" t="s">
        <v>1233</v>
      </c>
      <c r="B170" s="1593" t="s">
        <v>1123</v>
      </c>
      <c r="C170" s="1594" t="s">
        <v>1124</v>
      </c>
      <c r="D170" s="1595">
        <v>32000</v>
      </c>
      <c r="E170" s="1607"/>
      <c r="F170" s="1607"/>
      <c r="G170" s="1607"/>
      <c r="H170" s="1607"/>
      <c r="I170" s="1607"/>
      <c r="J170" s="1341">
        <f t="shared" si="17"/>
        <v>0</v>
      </c>
      <c r="K170" s="1341">
        <f t="shared" si="17"/>
        <v>0</v>
      </c>
    </row>
    <row r="171" spans="1:11" ht="15" hidden="1" customHeight="1" outlineLevel="1">
      <c r="A171" s="1587" t="s">
        <v>1233</v>
      </c>
      <c r="B171" s="1593"/>
      <c r="C171" s="1594" t="s">
        <v>1125</v>
      </c>
      <c r="D171" s="1595">
        <v>32000</v>
      </c>
      <c r="E171" s="1607"/>
      <c r="F171" s="1607"/>
      <c r="G171" s="1607"/>
      <c r="H171" s="1607"/>
      <c r="I171" s="1607"/>
      <c r="J171" s="1341">
        <f t="shared" si="17"/>
        <v>0</v>
      </c>
      <c r="K171" s="1341">
        <f t="shared" si="17"/>
        <v>0</v>
      </c>
    </row>
    <row r="172" spans="1:11" ht="15" hidden="1" customHeight="1" outlineLevel="1">
      <c r="A172" s="1587" t="s">
        <v>1233</v>
      </c>
      <c r="B172" s="1593"/>
      <c r="C172" s="1594" t="s">
        <v>1126</v>
      </c>
      <c r="D172" s="1595">
        <v>65000</v>
      </c>
      <c r="E172" s="1607"/>
      <c r="F172" s="1607"/>
      <c r="G172" s="1607"/>
      <c r="H172" s="1607"/>
      <c r="I172" s="1607"/>
      <c r="J172" s="1341">
        <f t="shared" si="17"/>
        <v>0</v>
      </c>
      <c r="K172" s="1341">
        <f t="shared" si="17"/>
        <v>0</v>
      </c>
    </row>
    <row r="173" spans="1:11" ht="15" hidden="1" customHeight="1" outlineLevel="1">
      <c r="A173" s="1587" t="s">
        <v>1233</v>
      </c>
      <c r="B173" s="1593"/>
      <c r="C173" s="1594" t="s">
        <v>1127</v>
      </c>
      <c r="D173" s="1595">
        <v>35000</v>
      </c>
      <c r="E173" s="1607"/>
      <c r="F173" s="1607"/>
      <c r="G173" s="1607"/>
      <c r="H173" s="1607"/>
      <c r="I173" s="1607"/>
      <c r="J173" s="1341">
        <f t="shared" si="17"/>
        <v>0</v>
      </c>
      <c r="K173" s="1341">
        <f t="shared" si="17"/>
        <v>0</v>
      </c>
    </row>
    <row r="174" spans="1:11" ht="15" hidden="1" customHeight="1" outlineLevel="1">
      <c r="A174" s="1587" t="s">
        <v>1233</v>
      </c>
      <c r="B174" s="1593"/>
      <c r="C174" s="1594"/>
      <c r="D174" s="1595">
        <v>0</v>
      </c>
      <c r="E174" s="1607"/>
      <c r="F174" s="1607"/>
      <c r="G174" s="1607"/>
      <c r="H174" s="1607"/>
      <c r="I174" s="1607"/>
      <c r="J174" s="1341">
        <f t="shared" si="17"/>
        <v>0</v>
      </c>
      <c r="K174" s="1341">
        <f t="shared" si="17"/>
        <v>0</v>
      </c>
    </row>
    <row r="175" spans="1:11" ht="15" hidden="1" customHeight="1" outlineLevel="1">
      <c r="A175" s="1587" t="s">
        <v>1233</v>
      </c>
      <c r="B175" s="1591" t="s">
        <v>1128</v>
      </c>
      <c r="C175" s="1588" t="s">
        <v>1129</v>
      </c>
      <c r="D175" s="1589">
        <v>60000</v>
      </c>
      <c r="E175" s="1592"/>
      <c r="F175" s="1592">
        <v>1</v>
      </c>
      <c r="G175" s="1592">
        <v>1</v>
      </c>
      <c r="H175" s="1592">
        <v>1</v>
      </c>
      <c r="I175" s="1592">
        <v>1</v>
      </c>
      <c r="J175" s="1341">
        <f t="shared" si="17"/>
        <v>1</v>
      </c>
      <c r="K175" s="1341">
        <f t="shared" si="17"/>
        <v>1</v>
      </c>
    </row>
    <row r="176" spans="1:11" ht="15" hidden="1" customHeight="1" outlineLevel="1">
      <c r="A176" s="1587" t="s">
        <v>1233</v>
      </c>
      <c r="B176" s="1591"/>
      <c r="C176" s="1588" t="s">
        <v>1130</v>
      </c>
      <c r="D176" s="1589">
        <v>35000</v>
      </c>
      <c r="E176" s="1592"/>
      <c r="F176" s="1592">
        <v>1</v>
      </c>
      <c r="G176" s="1592">
        <v>1</v>
      </c>
      <c r="H176" s="1592">
        <v>1</v>
      </c>
      <c r="I176" s="1592">
        <v>1</v>
      </c>
      <c r="J176" s="1341">
        <f t="shared" si="17"/>
        <v>1</v>
      </c>
      <c r="K176" s="1341">
        <f t="shared" si="17"/>
        <v>1</v>
      </c>
    </row>
    <row r="177" spans="1:11" ht="15" hidden="1" customHeight="1" outlineLevel="1">
      <c r="A177" s="1587" t="s">
        <v>1233</v>
      </c>
      <c r="B177" s="1591"/>
      <c r="C177" s="1588"/>
      <c r="D177" s="1589">
        <v>0</v>
      </c>
      <c r="E177" s="1592"/>
      <c r="F177" s="1592"/>
      <c r="G177" s="1592"/>
      <c r="H177" s="1592"/>
      <c r="I177" s="1592"/>
      <c r="J177" s="1341">
        <f t="shared" si="17"/>
        <v>0</v>
      </c>
      <c r="K177" s="1341">
        <f t="shared" si="17"/>
        <v>0</v>
      </c>
    </row>
    <row r="178" spans="1:11" ht="15" hidden="1" customHeight="1" outlineLevel="1">
      <c r="A178" s="1598" t="s">
        <v>1234</v>
      </c>
      <c r="B178" s="1594" t="s">
        <v>1132</v>
      </c>
      <c r="C178" s="1594" t="s">
        <v>32</v>
      </c>
      <c r="D178" s="1595">
        <v>65000</v>
      </c>
      <c r="E178" s="1603"/>
      <c r="F178" s="1603"/>
      <c r="G178" s="1603"/>
      <c r="H178" s="1603"/>
      <c r="I178" s="1603"/>
      <c r="J178" s="1341">
        <f t="shared" si="17"/>
        <v>0</v>
      </c>
      <c r="K178" s="1341">
        <f t="shared" si="17"/>
        <v>0</v>
      </c>
    </row>
    <row r="179" spans="1:11" ht="15" hidden="1" customHeight="1" outlineLevel="1">
      <c r="A179" s="1598" t="s">
        <v>1234</v>
      </c>
      <c r="B179" s="1594"/>
      <c r="C179" s="1599" t="s">
        <v>1133</v>
      </c>
      <c r="D179" s="1595">
        <v>45000</v>
      </c>
      <c r="E179" s="1603"/>
      <c r="F179" s="1603">
        <v>1</v>
      </c>
      <c r="G179" s="1603">
        <v>1</v>
      </c>
      <c r="H179" s="1603">
        <v>1</v>
      </c>
      <c r="I179" s="1603">
        <v>1</v>
      </c>
      <c r="J179" s="1341">
        <f t="shared" si="17"/>
        <v>1</v>
      </c>
      <c r="K179" s="1341">
        <f t="shared" si="17"/>
        <v>1</v>
      </c>
    </row>
    <row r="180" spans="1:11" ht="15" hidden="1" customHeight="1" outlineLevel="1">
      <c r="A180" s="1598" t="s">
        <v>1234</v>
      </c>
      <c r="B180" s="1594"/>
      <c r="C180" s="1599" t="s">
        <v>1134</v>
      </c>
      <c r="D180" s="1595">
        <v>45000</v>
      </c>
      <c r="E180" s="1603"/>
      <c r="F180" s="1603"/>
      <c r="G180" s="1603"/>
      <c r="H180" s="1603"/>
      <c r="I180" s="1603"/>
      <c r="J180" s="1341">
        <f t="shared" si="17"/>
        <v>0</v>
      </c>
      <c r="K180" s="1341">
        <f t="shared" si="17"/>
        <v>0</v>
      </c>
    </row>
    <row r="181" spans="1:11" ht="15" hidden="1" customHeight="1" outlineLevel="1">
      <c r="A181" s="1598" t="s">
        <v>1234</v>
      </c>
      <c r="B181" s="1594"/>
      <c r="C181" s="1594" t="s">
        <v>1135</v>
      </c>
      <c r="D181" s="1595">
        <v>45000</v>
      </c>
      <c r="E181" s="1603"/>
      <c r="F181" s="1603"/>
      <c r="G181" s="1603"/>
      <c r="H181" s="1603"/>
      <c r="I181" s="1603"/>
      <c r="J181" s="1341">
        <f t="shared" si="17"/>
        <v>0</v>
      </c>
      <c r="K181" s="1341">
        <f t="shared" si="17"/>
        <v>0</v>
      </c>
    </row>
    <row r="182" spans="1:11" ht="15" hidden="1" customHeight="1" outlineLevel="1">
      <c r="A182" s="1598" t="s">
        <v>1234</v>
      </c>
      <c r="B182" s="1594"/>
      <c r="C182" s="1593" t="s">
        <v>1136</v>
      </c>
      <c r="D182" s="1595">
        <v>32000</v>
      </c>
      <c r="E182" s="1607"/>
      <c r="F182" s="1607"/>
      <c r="G182" s="1607"/>
      <c r="H182" s="1607"/>
      <c r="I182" s="1607"/>
      <c r="J182" s="1341">
        <f t="shared" si="17"/>
        <v>0</v>
      </c>
      <c r="K182" s="1341">
        <f t="shared" si="17"/>
        <v>0</v>
      </c>
    </row>
    <row r="183" spans="1:11" ht="15" hidden="1" customHeight="1" outlineLevel="1">
      <c r="A183" s="1598" t="s">
        <v>1234</v>
      </c>
      <c r="B183" s="1594"/>
      <c r="C183" s="1593" t="s">
        <v>1137</v>
      </c>
      <c r="D183" s="1595">
        <v>65000</v>
      </c>
      <c r="E183" s="1607"/>
      <c r="F183" s="1607"/>
      <c r="G183" s="1607"/>
      <c r="H183" s="1607"/>
      <c r="I183" s="1607"/>
      <c r="J183" s="1341">
        <f t="shared" si="17"/>
        <v>0</v>
      </c>
      <c r="K183" s="1341">
        <f t="shared" si="17"/>
        <v>0</v>
      </c>
    </row>
    <row r="184" spans="1:11" ht="15" hidden="1" customHeight="1" outlineLevel="1">
      <c r="A184" s="1598" t="s">
        <v>1234</v>
      </c>
      <c r="B184" s="1594"/>
      <c r="C184" s="1593" t="s">
        <v>1138</v>
      </c>
      <c r="D184" s="1595">
        <v>35000</v>
      </c>
      <c r="E184" s="1607"/>
      <c r="F184" s="1607"/>
      <c r="G184" s="1607"/>
      <c r="H184" s="1607"/>
      <c r="I184" s="1607"/>
      <c r="J184" s="1341">
        <f t="shared" si="17"/>
        <v>0</v>
      </c>
      <c r="K184" s="1341">
        <f t="shared" si="17"/>
        <v>0</v>
      </c>
    </row>
    <row r="185" spans="1:11" ht="15" hidden="1" customHeight="1" outlineLevel="1">
      <c r="A185" s="1598" t="s">
        <v>1234</v>
      </c>
      <c r="B185" s="1594"/>
      <c r="C185" s="1593" t="s">
        <v>1139</v>
      </c>
      <c r="D185" s="1595">
        <v>45000</v>
      </c>
      <c r="E185" s="1607"/>
      <c r="F185" s="1607"/>
      <c r="G185" s="1607"/>
      <c r="H185" s="1607"/>
      <c r="I185" s="1607"/>
      <c r="J185" s="1341">
        <f t="shared" si="17"/>
        <v>0</v>
      </c>
      <c r="K185" s="1341">
        <f t="shared" si="17"/>
        <v>0</v>
      </c>
    </row>
    <row r="186" spans="1:11" ht="15" hidden="1" customHeight="1" outlineLevel="1">
      <c r="A186" s="1598" t="s">
        <v>1234</v>
      </c>
      <c r="B186" s="1594"/>
      <c r="C186" s="1593" t="s">
        <v>40</v>
      </c>
      <c r="D186" s="1595">
        <v>32000</v>
      </c>
      <c r="E186" s="1607"/>
      <c r="F186" s="1607"/>
      <c r="G186" s="1607"/>
      <c r="H186" s="1607"/>
      <c r="I186" s="1607"/>
      <c r="J186" s="1341">
        <f t="shared" si="17"/>
        <v>0</v>
      </c>
      <c r="K186" s="1341">
        <f t="shared" si="17"/>
        <v>0</v>
      </c>
    </row>
    <row r="187" spans="1:11" ht="15" hidden="1" customHeight="1" outlineLevel="1">
      <c r="A187" s="1598" t="s">
        <v>1234</v>
      </c>
      <c r="B187" s="1594"/>
      <c r="C187" s="1593"/>
      <c r="D187" s="1595">
        <v>0</v>
      </c>
      <c r="E187" s="1607"/>
      <c r="F187" s="1607"/>
      <c r="G187" s="1607"/>
      <c r="H187" s="1607"/>
      <c r="I187" s="1607"/>
      <c r="J187" s="1341">
        <f t="shared" si="17"/>
        <v>0</v>
      </c>
      <c r="K187" s="1341">
        <f t="shared" si="17"/>
        <v>0</v>
      </c>
    </row>
    <row r="188" spans="1:11" ht="15" hidden="1" customHeight="1" outlineLevel="1">
      <c r="A188" s="1587" t="s">
        <v>1235</v>
      </c>
      <c r="B188" s="1588" t="s">
        <v>1141</v>
      </c>
      <c r="C188" s="1591" t="s">
        <v>1142</v>
      </c>
      <c r="D188" s="1589">
        <v>65000</v>
      </c>
      <c r="E188" s="1589"/>
      <c r="F188" s="1589">
        <v>1</v>
      </c>
      <c r="G188" s="1589">
        <v>1</v>
      </c>
      <c r="H188" s="1589">
        <v>1</v>
      </c>
      <c r="I188" s="1589">
        <v>1</v>
      </c>
      <c r="J188" s="1341">
        <f t="shared" si="17"/>
        <v>1</v>
      </c>
      <c r="K188" s="1341">
        <f t="shared" si="17"/>
        <v>1</v>
      </c>
    </row>
    <row r="189" spans="1:11" ht="15" hidden="1" customHeight="1" outlineLevel="1">
      <c r="A189" s="1587" t="s">
        <v>1235</v>
      </c>
      <c r="B189" s="1588"/>
      <c r="C189" s="1600" t="s">
        <v>1143</v>
      </c>
      <c r="D189" s="1589">
        <v>50000</v>
      </c>
      <c r="E189" s="1589"/>
      <c r="F189" s="1589">
        <v>1</v>
      </c>
      <c r="G189" s="1589">
        <v>1</v>
      </c>
      <c r="H189" s="1589">
        <v>1</v>
      </c>
      <c r="I189" s="1589">
        <v>1</v>
      </c>
      <c r="J189" s="1341">
        <f t="shared" si="17"/>
        <v>1</v>
      </c>
      <c r="K189" s="1341">
        <f t="shared" si="17"/>
        <v>1</v>
      </c>
    </row>
    <row r="190" spans="1:11" ht="15" hidden="1" customHeight="1" outlineLevel="1">
      <c r="A190" s="1587" t="s">
        <v>1235</v>
      </c>
      <c r="B190" s="1588"/>
      <c r="C190" s="1601" t="s">
        <v>1144</v>
      </c>
      <c r="D190" s="1589">
        <v>35000</v>
      </c>
      <c r="E190" s="1589"/>
      <c r="F190" s="1589"/>
      <c r="G190" s="1589"/>
      <c r="H190" s="1589"/>
      <c r="I190" s="1589"/>
      <c r="J190" s="1341">
        <f t="shared" si="17"/>
        <v>0</v>
      </c>
      <c r="K190" s="1341">
        <f t="shared" si="17"/>
        <v>0</v>
      </c>
    </row>
    <row r="191" spans="1:11" ht="15" hidden="1" customHeight="1" outlineLevel="1">
      <c r="A191" s="1587" t="s">
        <v>1235</v>
      </c>
      <c r="B191" s="1588"/>
      <c r="C191" s="1588" t="s">
        <v>1145</v>
      </c>
      <c r="D191" s="1589">
        <v>32000</v>
      </c>
      <c r="E191" s="1589"/>
      <c r="F191" s="1589">
        <v>1</v>
      </c>
      <c r="G191" s="1589">
        <v>1</v>
      </c>
      <c r="H191" s="1589">
        <v>1</v>
      </c>
      <c r="I191" s="1589">
        <v>1</v>
      </c>
      <c r="J191" s="1341">
        <f t="shared" si="17"/>
        <v>1</v>
      </c>
      <c r="K191" s="1341">
        <f t="shared" si="17"/>
        <v>1</v>
      </c>
    </row>
    <row r="192" spans="1:11" ht="15" hidden="1" customHeight="1" outlineLevel="1">
      <c r="A192" s="1587" t="s">
        <v>1235</v>
      </c>
      <c r="B192" s="1588"/>
      <c r="C192" s="1588" t="s">
        <v>1146</v>
      </c>
      <c r="D192" s="1589">
        <v>35000</v>
      </c>
      <c r="E192" s="1589"/>
      <c r="F192" s="1589"/>
      <c r="G192" s="1589"/>
      <c r="H192" s="1589"/>
      <c r="I192" s="1589"/>
      <c r="J192" s="1341">
        <f t="shared" si="17"/>
        <v>0</v>
      </c>
      <c r="K192" s="1341">
        <f t="shared" si="17"/>
        <v>0</v>
      </c>
    </row>
    <row r="193" spans="1:11" ht="15" hidden="1" customHeight="1" outlineLevel="1">
      <c r="A193" s="1587" t="s">
        <v>1235</v>
      </c>
      <c r="B193" s="1588"/>
      <c r="C193" s="1602" t="s">
        <v>1147</v>
      </c>
      <c r="D193" s="1589">
        <v>32000</v>
      </c>
      <c r="E193" s="1589"/>
      <c r="F193" s="1589"/>
      <c r="G193" s="1589"/>
      <c r="H193" s="1589"/>
      <c r="I193" s="1589"/>
      <c r="J193" s="1341">
        <f t="shared" si="17"/>
        <v>0</v>
      </c>
      <c r="K193" s="1341">
        <f t="shared" si="17"/>
        <v>0</v>
      </c>
    </row>
    <row r="194" spans="1:11" ht="15" hidden="1" customHeight="1" outlineLevel="1">
      <c r="A194" s="1587" t="s">
        <v>1235</v>
      </c>
      <c r="B194" s="1588"/>
      <c r="C194" s="1591" t="s">
        <v>1148</v>
      </c>
      <c r="D194" s="1589">
        <v>30000</v>
      </c>
      <c r="E194" s="1589"/>
      <c r="F194" s="1589"/>
      <c r="G194" s="1589"/>
      <c r="H194" s="1589"/>
      <c r="I194" s="1589"/>
      <c r="J194" s="1341">
        <f t="shared" si="17"/>
        <v>0</v>
      </c>
      <c r="K194" s="1341">
        <f t="shared" si="17"/>
        <v>0</v>
      </c>
    </row>
    <row r="195" spans="1:11" ht="15" hidden="1" customHeight="1" outlineLevel="1">
      <c r="A195" s="1587" t="s">
        <v>1235</v>
      </c>
      <c r="B195" s="1588"/>
      <c r="C195" s="1591" t="s">
        <v>1149</v>
      </c>
      <c r="D195" s="1589">
        <v>30000</v>
      </c>
      <c r="E195" s="1589"/>
      <c r="F195" s="1589"/>
      <c r="G195" s="1589"/>
      <c r="H195" s="1589"/>
      <c r="I195" s="1589"/>
      <c r="J195" s="1341">
        <f t="shared" si="17"/>
        <v>0</v>
      </c>
      <c r="K195" s="1341">
        <f t="shared" si="17"/>
        <v>0</v>
      </c>
    </row>
    <row r="196" spans="1:11" ht="15" hidden="1" customHeight="1" outlineLevel="1">
      <c r="A196" s="1587" t="s">
        <v>1235</v>
      </c>
      <c r="B196" s="1588"/>
      <c r="C196" s="1591" t="s">
        <v>1150</v>
      </c>
      <c r="D196" s="1589">
        <v>30000</v>
      </c>
      <c r="E196" s="1589"/>
      <c r="F196" s="1589">
        <v>4</v>
      </c>
      <c r="G196" s="1589">
        <v>4</v>
      </c>
      <c r="H196" s="1589">
        <v>4</v>
      </c>
      <c r="I196" s="1589">
        <v>4</v>
      </c>
      <c r="J196" s="1341">
        <f t="shared" si="17"/>
        <v>4</v>
      </c>
      <c r="K196" s="1341">
        <f t="shared" si="17"/>
        <v>4</v>
      </c>
    </row>
    <row r="197" spans="1:11" ht="15" hidden="1" customHeight="1" outlineLevel="1">
      <c r="A197" s="1587" t="s">
        <v>1235</v>
      </c>
      <c r="B197" s="1588"/>
      <c r="C197" s="1591"/>
      <c r="D197" s="1589">
        <v>0</v>
      </c>
      <c r="E197" s="1589"/>
      <c r="F197" s="1589"/>
      <c r="G197" s="1589"/>
      <c r="H197" s="1589"/>
      <c r="I197" s="1589"/>
      <c r="J197" s="1341">
        <f t="shared" si="17"/>
        <v>0</v>
      </c>
      <c r="K197" s="1341">
        <f t="shared" si="17"/>
        <v>0</v>
      </c>
    </row>
    <row r="198" spans="1:11" ht="15" hidden="1" customHeight="1" outlineLevel="1">
      <c r="A198" s="1598" t="s">
        <v>1236</v>
      </c>
      <c r="B198" s="1594" t="s">
        <v>1152</v>
      </c>
      <c r="C198" s="1593" t="s">
        <v>1153</v>
      </c>
      <c r="D198" s="1595">
        <v>65000</v>
      </c>
      <c r="E198" s="1595"/>
      <c r="F198" s="1595"/>
      <c r="G198" s="1595"/>
      <c r="H198" s="1595"/>
      <c r="I198" s="1595"/>
      <c r="J198" s="1341">
        <f t="shared" si="17"/>
        <v>0</v>
      </c>
      <c r="K198" s="1341">
        <f t="shared" si="17"/>
        <v>0</v>
      </c>
    </row>
    <row r="199" spans="1:11" ht="15" hidden="1" customHeight="1" outlineLevel="1">
      <c r="A199" s="1598" t="s">
        <v>1236</v>
      </c>
      <c r="B199" s="1594"/>
      <c r="C199" s="1593" t="s">
        <v>1154</v>
      </c>
      <c r="D199" s="1595">
        <v>45000</v>
      </c>
      <c r="E199" s="1595"/>
      <c r="F199" s="1595">
        <v>1</v>
      </c>
      <c r="G199" s="1595">
        <v>1</v>
      </c>
      <c r="H199" s="1595">
        <v>1</v>
      </c>
      <c r="I199" s="1595">
        <v>1</v>
      </c>
      <c r="J199" s="1341">
        <f t="shared" si="17"/>
        <v>1</v>
      </c>
      <c r="K199" s="1341">
        <f t="shared" si="17"/>
        <v>1</v>
      </c>
    </row>
    <row r="200" spans="1:11" ht="15" hidden="1" customHeight="1" outlineLevel="1">
      <c r="A200" s="1598" t="s">
        <v>1236</v>
      </c>
      <c r="B200" s="1594"/>
      <c r="C200" s="1593" t="s">
        <v>1155</v>
      </c>
      <c r="D200" s="1595">
        <v>38000</v>
      </c>
      <c r="E200" s="1595"/>
      <c r="F200" s="1595">
        <v>2</v>
      </c>
      <c r="G200" s="1595">
        <v>2</v>
      </c>
      <c r="H200" s="1595">
        <v>2</v>
      </c>
      <c r="I200" s="1595">
        <v>2</v>
      </c>
      <c r="J200" s="1341">
        <f t="shared" si="17"/>
        <v>2</v>
      </c>
      <c r="K200" s="1341">
        <f t="shared" si="17"/>
        <v>2</v>
      </c>
    </row>
    <row r="201" spans="1:11" ht="15" hidden="1" customHeight="1" outlineLevel="1">
      <c r="A201" s="1598" t="s">
        <v>1236</v>
      </c>
      <c r="B201" s="1594"/>
      <c r="C201" s="1593" t="s">
        <v>1156</v>
      </c>
      <c r="D201" s="1595">
        <v>28000</v>
      </c>
      <c r="E201" s="1603"/>
      <c r="F201" s="1603">
        <v>4</v>
      </c>
      <c r="G201" s="1603">
        <v>4</v>
      </c>
      <c r="H201" s="1603">
        <v>4</v>
      </c>
      <c r="I201" s="1603">
        <v>4</v>
      </c>
      <c r="J201" s="1341">
        <f t="shared" si="17"/>
        <v>4</v>
      </c>
      <c r="K201" s="1341">
        <f t="shared" si="17"/>
        <v>4</v>
      </c>
    </row>
    <row r="202" spans="1:11" ht="15" hidden="1" customHeight="1" outlineLevel="1">
      <c r="A202" s="1598" t="s">
        <v>1236</v>
      </c>
      <c r="B202" s="1594"/>
      <c r="C202" s="1594" t="s">
        <v>1157</v>
      </c>
      <c r="D202" s="1603">
        <v>23000</v>
      </c>
      <c r="E202" s="1595"/>
      <c r="F202" s="1595"/>
      <c r="G202" s="1595"/>
      <c r="H202" s="1595"/>
      <c r="I202" s="1595"/>
      <c r="J202" s="1341">
        <f t="shared" si="17"/>
        <v>0</v>
      </c>
      <c r="K202" s="1341">
        <f t="shared" si="17"/>
        <v>0</v>
      </c>
    </row>
    <row r="203" spans="1:11" ht="15" hidden="1" customHeight="1" outlineLevel="1">
      <c r="A203" s="1598" t="s">
        <v>1236</v>
      </c>
      <c r="B203" s="1594"/>
      <c r="C203" s="1593" t="s">
        <v>1158</v>
      </c>
      <c r="D203" s="1595">
        <v>21000</v>
      </c>
      <c r="E203" s="1595"/>
      <c r="F203" s="1595"/>
      <c r="G203" s="1595"/>
      <c r="H203" s="1595"/>
      <c r="I203" s="1595"/>
      <c r="J203" s="1341">
        <f t="shared" si="17"/>
        <v>0</v>
      </c>
      <c r="K203" s="1341">
        <f t="shared" si="17"/>
        <v>0</v>
      </c>
    </row>
    <row r="204" spans="1:11" ht="15" hidden="1" customHeight="1" outlineLevel="1">
      <c r="A204" s="1598" t="s">
        <v>1236</v>
      </c>
      <c r="B204" s="1594"/>
      <c r="C204" s="1593"/>
      <c r="D204" s="1595">
        <v>0</v>
      </c>
      <c r="E204" s="1595"/>
      <c r="F204" s="1595"/>
      <c r="G204" s="1595"/>
      <c r="H204" s="1595"/>
      <c r="I204" s="1595"/>
      <c r="J204" s="1341">
        <f t="shared" si="17"/>
        <v>0</v>
      </c>
      <c r="K204" s="1341">
        <f t="shared" si="17"/>
        <v>0</v>
      </c>
    </row>
    <row r="205" spans="1:11" ht="15" hidden="1" customHeight="1" outlineLevel="1">
      <c r="A205" s="1598" t="s">
        <v>1236</v>
      </c>
      <c r="B205" s="1590" t="s">
        <v>1159</v>
      </c>
      <c r="C205" s="1591" t="s">
        <v>1160</v>
      </c>
      <c r="D205" s="1589">
        <v>65000</v>
      </c>
      <c r="E205" s="1589"/>
      <c r="F205" s="1589"/>
      <c r="G205" s="1589"/>
      <c r="H205" s="1589"/>
      <c r="I205" s="1589"/>
      <c r="J205" s="1341">
        <f t="shared" si="17"/>
        <v>0</v>
      </c>
      <c r="K205" s="1341">
        <f t="shared" si="17"/>
        <v>0</v>
      </c>
    </row>
    <row r="206" spans="1:11" ht="15" hidden="1" customHeight="1" outlineLevel="1">
      <c r="A206" s="1598" t="s">
        <v>1236</v>
      </c>
      <c r="B206" s="1590"/>
      <c r="C206" s="1591" t="s">
        <v>1161</v>
      </c>
      <c r="D206" s="1589">
        <v>40000</v>
      </c>
      <c r="E206" s="1589"/>
      <c r="F206" s="1589"/>
      <c r="G206" s="1589"/>
      <c r="H206" s="1589"/>
      <c r="I206" s="1589"/>
      <c r="J206" s="1341">
        <f t="shared" si="17"/>
        <v>0</v>
      </c>
      <c r="K206" s="1341">
        <f t="shared" si="17"/>
        <v>0</v>
      </c>
    </row>
    <row r="207" spans="1:11" ht="15" hidden="1" customHeight="1" outlineLevel="1">
      <c r="A207" s="1598" t="s">
        <v>1236</v>
      </c>
      <c r="B207" s="1590"/>
      <c r="C207" s="1591" t="s">
        <v>1162</v>
      </c>
      <c r="D207" s="1589">
        <v>30000</v>
      </c>
      <c r="E207" s="1589"/>
      <c r="F207" s="1589"/>
      <c r="G207" s="1589"/>
      <c r="H207" s="1589"/>
      <c r="I207" s="1589"/>
      <c r="J207" s="1341">
        <f t="shared" si="17"/>
        <v>0</v>
      </c>
      <c r="K207" s="1341">
        <f t="shared" si="17"/>
        <v>0</v>
      </c>
    </row>
    <row r="208" spans="1:11" ht="15" hidden="1" customHeight="1" outlineLevel="1">
      <c r="A208" s="1598" t="s">
        <v>1236</v>
      </c>
      <c r="B208" s="1590"/>
      <c r="C208" s="1591" t="s">
        <v>1163</v>
      </c>
      <c r="D208" s="1589">
        <v>35000</v>
      </c>
      <c r="E208" s="1589"/>
      <c r="F208" s="1589"/>
      <c r="G208" s="1589"/>
      <c r="H208" s="1589"/>
      <c r="I208" s="1589"/>
      <c r="J208" s="1341">
        <f t="shared" si="17"/>
        <v>0</v>
      </c>
      <c r="K208" s="1341">
        <f t="shared" si="17"/>
        <v>0</v>
      </c>
    </row>
    <row r="209" spans="1:11" ht="15" hidden="1" customHeight="1" outlineLevel="1">
      <c r="A209" s="1598" t="s">
        <v>1236</v>
      </c>
      <c r="B209" s="1590"/>
      <c r="C209" s="1591" t="s">
        <v>1164</v>
      </c>
      <c r="D209" s="1589">
        <v>30000</v>
      </c>
      <c r="E209" s="1589"/>
      <c r="F209" s="1589"/>
      <c r="G209" s="1589"/>
      <c r="H209" s="1589"/>
      <c r="I209" s="1589"/>
      <c r="J209" s="1341">
        <f t="shared" si="17"/>
        <v>0</v>
      </c>
      <c r="K209" s="1341">
        <f t="shared" si="17"/>
        <v>0</v>
      </c>
    </row>
    <row r="210" spans="1:11" ht="15" hidden="1" customHeight="1" outlineLevel="1">
      <c r="A210" s="1598" t="s">
        <v>1236</v>
      </c>
      <c r="B210" s="1590"/>
      <c r="C210" s="1590" t="s">
        <v>1165</v>
      </c>
      <c r="D210" s="1589">
        <v>25000</v>
      </c>
      <c r="E210" s="1589"/>
      <c r="F210" s="1589">
        <v>5</v>
      </c>
      <c r="G210" s="1589">
        <v>5</v>
      </c>
      <c r="H210" s="1589">
        <v>5</v>
      </c>
      <c r="I210" s="1589">
        <v>5</v>
      </c>
      <c r="J210" s="1341">
        <f t="shared" ref="J210:K271" si="18">I210</f>
        <v>5</v>
      </c>
      <c r="K210" s="1341">
        <f t="shared" si="18"/>
        <v>5</v>
      </c>
    </row>
    <row r="211" spans="1:11" ht="15" hidden="1" customHeight="1" outlineLevel="1">
      <c r="A211" s="1598" t="s">
        <v>1236</v>
      </c>
      <c r="B211" s="1590"/>
      <c r="C211" s="1590" t="s">
        <v>1166</v>
      </c>
      <c r="D211" s="1589">
        <v>21000</v>
      </c>
      <c r="E211" s="1589"/>
      <c r="F211" s="1589">
        <v>2</v>
      </c>
      <c r="G211" s="1589">
        <v>2</v>
      </c>
      <c r="H211" s="1589">
        <v>2</v>
      </c>
      <c r="I211" s="1589">
        <v>2</v>
      </c>
      <c r="J211" s="1341">
        <f t="shared" si="18"/>
        <v>2</v>
      </c>
      <c r="K211" s="1341">
        <f t="shared" si="18"/>
        <v>2</v>
      </c>
    </row>
    <row r="212" spans="1:11" ht="15" hidden="1" customHeight="1" outlineLevel="1">
      <c r="A212" s="1598" t="s">
        <v>1236</v>
      </c>
      <c r="B212" s="1590"/>
      <c r="C212" s="1602"/>
      <c r="D212" s="1589">
        <v>0</v>
      </c>
      <c r="E212" s="1589"/>
      <c r="F212" s="1589"/>
      <c r="G212" s="1589"/>
      <c r="H212" s="1589"/>
      <c r="I212" s="1589"/>
      <c r="J212" s="1341">
        <f t="shared" si="18"/>
        <v>0</v>
      </c>
      <c r="K212" s="1341">
        <f t="shared" si="18"/>
        <v>0</v>
      </c>
    </row>
    <row r="213" spans="1:11" ht="15" hidden="1" customHeight="1" outlineLevel="1">
      <c r="A213" s="1598" t="s">
        <v>1236</v>
      </c>
      <c r="B213" s="1599" t="s">
        <v>1167</v>
      </c>
      <c r="C213" s="1593" t="s">
        <v>1168</v>
      </c>
      <c r="D213" s="1595">
        <v>40000</v>
      </c>
      <c r="E213" s="1595"/>
      <c r="F213" s="1595"/>
      <c r="G213" s="1595"/>
      <c r="H213" s="1595"/>
      <c r="I213" s="1595"/>
      <c r="J213" s="1341">
        <f t="shared" si="18"/>
        <v>0</v>
      </c>
      <c r="K213" s="1341">
        <f t="shared" si="18"/>
        <v>0</v>
      </c>
    </row>
    <row r="214" spans="1:11" ht="15" hidden="1" customHeight="1" outlineLevel="1">
      <c r="A214" s="1598" t="s">
        <v>1236</v>
      </c>
      <c r="B214" s="1599"/>
      <c r="C214" s="1593" t="s">
        <v>1169</v>
      </c>
      <c r="D214" s="1595">
        <v>25000</v>
      </c>
      <c r="E214" s="1595"/>
      <c r="F214" s="1595"/>
      <c r="G214" s="1595"/>
      <c r="H214" s="1595"/>
      <c r="I214" s="1595"/>
      <c r="J214" s="1341">
        <f t="shared" si="18"/>
        <v>0</v>
      </c>
      <c r="K214" s="1341">
        <f t="shared" si="18"/>
        <v>0</v>
      </c>
    </row>
    <row r="215" spans="1:11" ht="15" hidden="1" customHeight="1" outlineLevel="1">
      <c r="A215" s="1598" t="s">
        <v>1236</v>
      </c>
      <c r="B215" s="1599"/>
      <c r="C215" s="1604" t="s">
        <v>1170</v>
      </c>
      <c r="D215" s="1595">
        <v>23000</v>
      </c>
      <c r="E215" s="1595"/>
      <c r="F215" s="1595"/>
      <c r="G215" s="1595"/>
      <c r="H215" s="1595"/>
      <c r="I215" s="1595"/>
      <c r="J215" s="1341">
        <f t="shared" si="18"/>
        <v>0</v>
      </c>
      <c r="K215" s="1341">
        <f t="shared" si="18"/>
        <v>0</v>
      </c>
    </row>
    <row r="216" spans="1:11" ht="15" hidden="1" customHeight="1" outlineLevel="1">
      <c r="A216" s="1598" t="s">
        <v>1236</v>
      </c>
      <c r="B216" s="1599"/>
      <c r="C216" s="1604"/>
      <c r="D216" s="1595">
        <v>0</v>
      </c>
      <c r="E216" s="1595"/>
      <c r="F216" s="1595"/>
      <c r="G216" s="1595"/>
      <c r="H216" s="1595"/>
      <c r="I216" s="1595"/>
      <c r="J216" s="1341">
        <f t="shared" si="18"/>
        <v>0</v>
      </c>
      <c r="K216" s="1341">
        <f t="shared" si="18"/>
        <v>0</v>
      </c>
    </row>
    <row r="217" spans="1:11" ht="15" hidden="1" customHeight="1" outlineLevel="1">
      <c r="A217" s="1587" t="s">
        <v>1237</v>
      </c>
      <c r="B217" s="1588" t="s">
        <v>1172</v>
      </c>
      <c r="C217" s="1591" t="s">
        <v>1173</v>
      </c>
      <c r="D217" s="1589">
        <v>65000</v>
      </c>
      <c r="E217" s="1589"/>
      <c r="F217" s="1589"/>
      <c r="G217" s="1589"/>
      <c r="H217" s="1589"/>
      <c r="I217" s="1589"/>
      <c r="J217" s="1341">
        <f t="shared" si="18"/>
        <v>0</v>
      </c>
      <c r="K217" s="1341">
        <f t="shared" si="18"/>
        <v>0</v>
      </c>
    </row>
    <row r="218" spans="1:11" ht="15" hidden="1" customHeight="1" outlineLevel="1">
      <c r="A218" s="1587" t="s">
        <v>1237</v>
      </c>
      <c r="B218" s="1588"/>
      <c r="C218" s="1591" t="s">
        <v>1174</v>
      </c>
      <c r="D218" s="1589">
        <v>90000</v>
      </c>
      <c r="E218" s="1589"/>
      <c r="F218" s="1589"/>
      <c r="G218" s="1589"/>
      <c r="H218" s="1589"/>
      <c r="I218" s="1589"/>
      <c r="J218" s="1341">
        <f t="shared" si="18"/>
        <v>0</v>
      </c>
      <c r="K218" s="1341">
        <f t="shared" si="18"/>
        <v>0</v>
      </c>
    </row>
    <row r="219" spans="1:11" ht="15" hidden="1" customHeight="1" outlineLevel="1">
      <c r="A219" s="1587" t="s">
        <v>1237</v>
      </c>
      <c r="B219" s="1588"/>
      <c r="C219" s="1591" t="s">
        <v>1175</v>
      </c>
      <c r="D219" s="1589">
        <v>55000</v>
      </c>
      <c r="E219" s="1589"/>
      <c r="F219" s="1589"/>
      <c r="G219" s="1589"/>
      <c r="H219" s="1589"/>
      <c r="I219" s="1589"/>
      <c r="J219" s="1341">
        <f t="shared" si="18"/>
        <v>0</v>
      </c>
      <c r="K219" s="1341">
        <f t="shared" si="18"/>
        <v>0</v>
      </c>
    </row>
    <row r="220" spans="1:11" ht="15" hidden="1" customHeight="1" outlineLevel="1">
      <c r="A220" s="1587" t="s">
        <v>1237</v>
      </c>
      <c r="B220" s="1588"/>
      <c r="C220" s="1591" t="s">
        <v>1176</v>
      </c>
      <c r="D220" s="1589">
        <v>40000</v>
      </c>
      <c r="E220" s="1589"/>
      <c r="F220" s="1589"/>
      <c r="G220" s="1589"/>
      <c r="H220" s="1589"/>
      <c r="I220" s="1589"/>
      <c r="J220" s="1341">
        <f t="shared" si="18"/>
        <v>0</v>
      </c>
      <c r="K220" s="1341">
        <f t="shared" si="18"/>
        <v>0</v>
      </c>
    </row>
    <row r="221" spans="1:11" ht="15" hidden="1" customHeight="1" outlineLevel="1">
      <c r="A221" s="1587" t="s">
        <v>1237</v>
      </c>
      <c r="B221" s="1588"/>
      <c r="C221" s="1588" t="s">
        <v>1177</v>
      </c>
      <c r="D221" s="1589">
        <v>35000</v>
      </c>
      <c r="E221" s="1589"/>
      <c r="F221" s="1589"/>
      <c r="G221" s="1589"/>
      <c r="H221" s="1589"/>
      <c r="I221" s="1589"/>
      <c r="J221" s="1341">
        <f t="shared" si="18"/>
        <v>0</v>
      </c>
      <c r="K221" s="1341">
        <f t="shared" si="18"/>
        <v>0</v>
      </c>
    </row>
    <row r="222" spans="1:11" ht="15" hidden="1" customHeight="1" outlineLevel="1">
      <c r="A222" s="1587" t="s">
        <v>1237</v>
      </c>
      <c r="B222" s="1588"/>
      <c r="C222" s="1591" t="s">
        <v>1178</v>
      </c>
      <c r="D222" s="1589">
        <v>35000</v>
      </c>
      <c r="E222" s="1589"/>
      <c r="F222" s="1589"/>
      <c r="G222" s="1589"/>
      <c r="H222" s="1589"/>
      <c r="I222" s="1589"/>
      <c r="J222" s="1341">
        <f t="shared" si="18"/>
        <v>0</v>
      </c>
      <c r="K222" s="1341">
        <f t="shared" si="18"/>
        <v>0</v>
      </c>
    </row>
    <row r="223" spans="1:11" ht="15" hidden="1" customHeight="1" outlineLevel="1">
      <c r="A223" s="1587" t="s">
        <v>1237</v>
      </c>
      <c r="B223" s="1588"/>
      <c r="C223" s="1602" t="s">
        <v>1179</v>
      </c>
      <c r="D223" s="1605">
        <v>21000</v>
      </c>
      <c r="E223" s="1589"/>
      <c r="F223" s="1589"/>
      <c r="G223" s="1589"/>
      <c r="H223" s="1589"/>
      <c r="I223" s="1589"/>
      <c r="J223" s="1341">
        <f t="shared" si="18"/>
        <v>0</v>
      </c>
      <c r="K223" s="1341">
        <f t="shared" si="18"/>
        <v>0</v>
      </c>
    </row>
    <row r="224" spans="1:11" ht="15" hidden="1" customHeight="1" outlineLevel="1">
      <c r="A224" s="1587" t="s">
        <v>1237</v>
      </c>
      <c r="B224" s="1588"/>
      <c r="C224" s="1591"/>
      <c r="D224" s="1589">
        <v>0</v>
      </c>
      <c r="E224" s="1589"/>
      <c r="F224" s="1589"/>
      <c r="G224" s="1589"/>
      <c r="H224" s="1589"/>
      <c r="I224" s="1589"/>
      <c r="J224" s="1341">
        <f t="shared" si="18"/>
        <v>0</v>
      </c>
      <c r="K224" s="1341">
        <f t="shared" si="18"/>
        <v>0</v>
      </c>
    </row>
    <row r="225" spans="1:11" ht="15" hidden="1" customHeight="1" outlineLevel="1">
      <c r="A225" s="1587" t="s">
        <v>1237</v>
      </c>
      <c r="B225" s="1594" t="s">
        <v>1238</v>
      </c>
      <c r="C225" s="1593" t="s">
        <v>1181</v>
      </c>
      <c r="D225" s="1595">
        <v>50000</v>
      </c>
      <c r="E225" s="1595"/>
      <c r="F225" s="1595"/>
      <c r="G225" s="1595"/>
      <c r="H225" s="1595"/>
      <c r="I225" s="1595"/>
      <c r="J225" s="1341">
        <f t="shared" si="18"/>
        <v>0</v>
      </c>
      <c r="K225" s="1341">
        <f t="shared" si="18"/>
        <v>0</v>
      </c>
    </row>
    <row r="226" spans="1:11" ht="15" hidden="1" customHeight="1" outlineLevel="1">
      <c r="A226" s="1587" t="s">
        <v>1237</v>
      </c>
      <c r="B226" s="1594"/>
      <c r="C226" s="1593" t="s">
        <v>1182</v>
      </c>
      <c r="D226" s="1595">
        <v>35000</v>
      </c>
      <c r="E226" s="1595"/>
      <c r="F226" s="1595"/>
      <c r="G226" s="1595"/>
      <c r="H226" s="1595"/>
      <c r="I226" s="1595"/>
      <c r="J226" s="1341">
        <f t="shared" si="18"/>
        <v>0</v>
      </c>
      <c r="K226" s="1341">
        <f t="shared" si="18"/>
        <v>0</v>
      </c>
    </row>
    <row r="227" spans="1:11" ht="15" hidden="1" customHeight="1" outlineLevel="1">
      <c r="A227" s="1587" t="s">
        <v>1237</v>
      </c>
      <c r="B227" s="1594"/>
      <c r="C227" s="1593" t="s">
        <v>1183</v>
      </c>
      <c r="D227" s="1595">
        <v>30000</v>
      </c>
      <c r="E227" s="1595"/>
      <c r="F227" s="1595"/>
      <c r="G227" s="1595"/>
      <c r="H227" s="1595"/>
      <c r="I227" s="1595"/>
      <c r="J227" s="1341">
        <f t="shared" si="18"/>
        <v>0</v>
      </c>
      <c r="K227" s="1341">
        <f t="shared" si="18"/>
        <v>0</v>
      </c>
    </row>
    <row r="228" spans="1:11" ht="15" hidden="1" customHeight="1" outlineLevel="1">
      <c r="A228" s="1587" t="s">
        <v>1237</v>
      </c>
      <c r="B228" s="1594"/>
      <c r="C228" s="1593" t="s">
        <v>1184</v>
      </c>
      <c r="D228" s="1595">
        <v>30000</v>
      </c>
      <c r="E228" s="1595"/>
      <c r="F228" s="1595"/>
      <c r="G228" s="1595"/>
      <c r="H228" s="1595"/>
      <c r="I228" s="1595"/>
      <c r="J228" s="1341">
        <f t="shared" si="18"/>
        <v>0</v>
      </c>
      <c r="K228" s="1341">
        <f t="shared" si="18"/>
        <v>0</v>
      </c>
    </row>
    <row r="229" spans="1:11" ht="15" hidden="1" customHeight="1" outlineLevel="1">
      <c r="A229" s="1587" t="s">
        <v>1237</v>
      </c>
      <c r="B229" s="1594"/>
      <c r="C229" s="1593" t="s">
        <v>1185</v>
      </c>
      <c r="D229" s="1595">
        <v>32000</v>
      </c>
      <c r="E229" s="1595"/>
      <c r="F229" s="1595"/>
      <c r="G229" s="1595"/>
      <c r="H229" s="1595"/>
      <c r="I229" s="1595"/>
      <c r="J229" s="1341">
        <f t="shared" si="18"/>
        <v>0</v>
      </c>
      <c r="K229" s="1341">
        <f t="shared" si="18"/>
        <v>0</v>
      </c>
    </row>
    <row r="230" spans="1:11" ht="15" hidden="1" customHeight="1" outlineLevel="1">
      <c r="A230" s="1587" t="s">
        <v>1237</v>
      </c>
      <c r="B230" s="1594"/>
      <c r="C230" s="1593" t="s">
        <v>1186</v>
      </c>
      <c r="D230" s="1595">
        <v>30000</v>
      </c>
      <c r="E230" s="1595"/>
      <c r="F230" s="1595"/>
      <c r="G230" s="1595"/>
      <c r="H230" s="1595"/>
      <c r="I230" s="1595"/>
      <c r="J230" s="1341">
        <f t="shared" si="18"/>
        <v>0</v>
      </c>
      <c r="K230" s="1341">
        <f t="shared" si="18"/>
        <v>0</v>
      </c>
    </row>
    <row r="231" spans="1:11" ht="15" hidden="1" customHeight="1" outlineLevel="1">
      <c r="A231" s="1587" t="s">
        <v>1237</v>
      </c>
      <c r="B231" s="1594"/>
      <c r="C231" s="1593" t="s">
        <v>1187</v>
      </c>
      <c r="D231" s="1595">
        <v>25000</v>
      </c>
      <c r="E231" s="1595"/>
      <c r="F231" s="1595"/>
      <c r="G231" s="1595"/>
      <c r="H231" s="1595"/>
      <c r="I231" s="1595"/>
      <c r="J231" s="1341">
        <f t="shared" si="18"/>
        <v>0</v>
      </c>
      <c r="K231" s="1341">
        <f t="shared" si="18"/>
        <v>0</v>
      </c>
    </row>
    <row r="232" spans="1:11" ht="15" hidden="1" customHeight="1" outlineLevel="1">
      <c r="A232" s="1587" t="s">
        <v>1237</v>
      </c>
      <c r="B232" s="1594"/>
      <c r="C232" s="1593" t="s">
        <v>1188</v>
      </c>
      <c r="D232" s="1595">
        <v>28000</v>
      </c>
      <c r="E232" s="1595"/>
      <c r="F232" s="1595"/>
      <c r="G232" s="1595"/>
      <c r="H232" s="1595"/>
      <c r="I232" s="1595"/>
      <c r="J232" s="1341">
        <f t="shared" si="18"/>
        <v>0</v>
      </c>
      <c r="K232" s="1341">
        <f t="shared" si="18"/>
        <v>0</v>
      </c>
    </row>
    <row r="233" spans="1:11" ht="15" hidden="1" customHeight="1" outlineLevel="1">
      <c r="A233" s="1587" t="s">
        <v>1237</v>
      </c>
      <c r="B233" s="1593"/>
      <c r="C233" s="1593"/>
      <c r="D233" s="1595">
        <v>0</v>
      </c>
      <c r="E233" s="1596"/>
      <c r="F233" s="1596"/>
      <c r="G233" s="1596"/>
      <c r="H233" s="1596"/>
      <c r="I233" s="1596"/>
      <c r="J233" s="1341">
        <f t="shared" si="18"/>
        <v>0</v>
      </c>
      <c r="K233" s="1341">
        <f t="shared" si="18"/>
        <v>0</v>
      </c>
    </row>
    <row r="234" spans="1:11" ht="15" hidden="1" customHeight="1" outlineLevel="1">
      <c r="A234" s="1587" t="s">
        <v>1237</v>
      </c>
      <c r="B234" s="1591" t="s">
        <v>1189</v>
      </c>
      <c r="C234" s="1591" t="s">
        <v>1181</v>
      </c>
      <c r="D234" s="1605">
        <v>45000</v>
      </c>
      <c r="E234" s="1592"/>
      <c r="F234" s="1592"/>
      <c r="G234" s="1592"/>
      <c r="H234" s="1592"/>
      <c r="I234" s="1592"/>
      <c r="J234" s="1341">
        <f t="shared" si="18"/>
        <v>0</v>
      </c>
      <c r="K234" s="1341">
        <f t="shared" si="18"/>
        <v>0</v>
      </c>
    </row>
    <row r="235" spans="1:11" ht="15" hidden="1" customHeight="1" outlineLevel="1">
      <c r="A235" s="1587" t="s">
        <v>1237</v>
      </c>
      <c r="B235" s="1591"/>
      <c r="C235" s="1591" t="s">
        <v>1182</v>
      </c>
      <c r="D235" s="1605">
        <v>35000</v>
      </c>
      <c r="E235" s="1592"/>
      <c r="F235" s="1592"/>
      <c r="G235" s="1592"/>
      <c r="H235" s="1592"/>
      <c r="I235" s="1592"/>
      <c r="J235" s="1341">
        <f t="shared" si="18"/>
        <v>0</v>
      </c>
      <c r="K235" s="1341">
        <f t="shared" si="18"/>
        <v>0</v>
      </c>
    </row>
    <row r="236" spans="1:11" ht="15" hidden="1" customHeight="1" outlineLevel="1">
      <c r="A236" s="1587" t="s">
        <v>1237</v>
      </c>
      <c r="B236" s="1591"/>
      <c r="C236" s="1591" t="s">
        <v>1190</v>
      </c>
      <c r="D236" s="1605">
        <v>30000</v>
      </c>
      <c r="E236" s="1592"/>
      <c r="F236" s="1592"/>
      <c r="G236" s="1592"/>
      <c r="H236" s="1592"/>
      <c r="I236" s="1592"/>
      <c r="J236" s="1341">
        <f t="shared" si="18"/>
        <v>0</v>
      </c>
      <c r="K236" s="1341">
        <f t="shared" si="18"/>
        <v>0</v>
      </c>
    </row>
    <row r="237" spans="1:11" ht="15" hidden="1" customHeight="1" outlineLevel="1">
      <c r="A237" s="1587" t="s">
        <v>1237</v>
      </c>
      <c r="B237" s="1591"/>
      <c r="C237" s="1591" t="s">
        <v>1191</v>
      </c>
      <c r="D237" s="1589">
        <v>35000</v>
      </c>
      <c r="E237" s="1592"/>
      <c r="F237" s="1592"/>
      <c r="G237" s="1592"/>
      <c r="H237" s="1592"/>
      <c r="I237" s="1592"/>
      <c r="J237" s="1341">
        <f t="shared" si="18"/>
        <v>0</v>
      </c>
      <c r="K237" s="1341">
        <f t="shared" si="18"/>
        <v>0</v>
      </c>
    </row>
    <row r="238" spans="1:11" ht="15" hidden="1" customHeight="1" outlineLevel="1">
      <c r="A238" s="1587" t="s">
        <v>1237</v>
      </c>
      <c r="B238" s="1591"/>
      <c r="C238" s="1591" t="s">
        <v>1187</v>
      </c>
      <c r="D238" s="1605">
        <v>25000</v>
      </c>
      <c r="E238" s="1592"/>
      <c r="F238" s="1592"/>
      <c r="G238" s="1592"/>
      <c r="H238" s="1592"/>
      <c r="I238" s="1592"/>
      <c r="J238" s="1341">
        <f t="shared" si="18"/>
        <v>0</v>
      </c>
      <c r="K238" s="1341">
        <f t="shared" si="18"/>
        <v>0</v>
      </c>
    </row>
    <row r="239" spans="1:11" ht="15" hidden="1" customHeight="1" outlineLevel="1">
      <c r="A239" s="1587" t="s">
        <v>1237</v>
      </c>
      <c r="B239" s="1591"/>
      <c r="C239" s="1591"/>
      <c r="D239" s="1589">
        <v>0</v>
      </c>
      <c r="E239" s="1592"/>
      <c r="F239" s="1592"/>
      <c r="G239" s="1592"/>
      <c r="H239" s="1592"/>
      <c r="I239" s="1592"/>
      <c r="J239" s="1341">
        <f t="shared" si="18"/>
        <v>0</v>
      </c>
      <c r="K239" s="1341">
        <f t="shared" si="18"/>
        <v>0</v>
      </c>
    </row>
    <row r="240" spans="1:11" ht="15" hidden="1" customHeight="1" outlineLevel="1">
      <c r="A240" s="1587" t="s">
        <v>1237</v>
      </c>
      <c r="B240" s="1604" t="s">
        <v>1192</v>
      </c>
      <c r="C240" s="1593" t="s">
        <v>1193</v>
      </c>
      <c r="D240" s="1595">
        <v>45000</v>
      </c>
      <c r="E240" s="1596"/>
      <c r="F240" s="1596"/>
      <c r="G240" s="1596"/>
      <c r="H240" s="1596"/>
      <c r="I240" s="1596"/>
      <c r="J240" s="1341">
        <f t="shared" si="18"/>
        <v>0</v>
      </c>
      <c r="K240" s="1341">
        <f t="shared" si="18"/>
        <v>0</v>
      </c>
    </row>
    <row r="241" spans="1:11" ht="15" hidden="1" customHeight="1" outlineLevel="1">
      <c r="A241" s="1587" t="s">
        <v>1237</v>
      </c>
      <c r="B241" s="1604"/>
      <c r="C241" s="1593" t="s">
        <v>1187</v>
      </c>
      <c r="D241" s="1606">
        <v>25000</v>
      </c>
      <c r="E241" s="1596"/>
      <c r="F241" s="1596"/>
      <c r="G241" s="1596"/>
      <c r="H241" s="1596"/>
      <c r="I241" s="1596"/>
      <c r="J241" s="1341">
        <f t="shared" si="18"/>
        <v>0</v>
      </c>
      <c r="K241" s="1341">
        <f t="shared" si="18"/>
        <v>0</v>
      </c>
    </row>
    <row r="242" spans="1:11" ht="15" hidden="1" customHeight="1" outlineLevel="1">
      <c r="A242" s="1587" t="s">
        <v>1237</v>
      </c>
      <c r="B242" s="1604"/>
      <c r="C242" s="1593" t="s">
        <v>1188</v>
      </c>
      <c r="D242" s="1606">
        <v>28000</v>
      </c>
      <c r="E242" s="1596"/>
      <c r="F242" s="1596"/>
      <c r="G242" s="1596"/>
      <c r="H242" s="1596"/>
      <c r="I242" s="1596"/>
      <c r="J242" s="1341">
        <f t="shared" si="18"/>
        <v>0</v>
      </c>
      <c r="K242" s="1341">
        <f t="shared" si="18"/>
        <v>0</v>
      </c>
    </row>
    <row r="243" spans="1:11" ht="15" hidden="1" customHeight="1" outlineLevel="1">
      <c r="A243" s="1587" t="s">
        <v>1237</v>
      </c>
      <c r="B243" s="1604"/>
      <c r="C243" s="1593" t="s">
        <v>1194</v>
      </c>
      <c r="D243" s="1606">
        <v>21000</v>
      </c>
      <c r="E243" s="1596"/>
      <c r="F243" s="1596"/>
      <c r="G243" s="1596"/>
      <c r="H243" s="1596"/>
      <c r="I243" s="1596"/>
      <c r="J243" s="1341">
        <f t="shared" si="18"/>
        <v>0</v>
      </c>
      <c r="K243" s="1341">
        <f t="shared" si="18"/>
        <v>0</v>
      </c>
    </row>
    <row r="244" spans="1:11" ht="15" hidden="1" customHeight="1" outlineLevel="1">
      <c r="A244" s="1587" t="s">
        <v>1237</v>
      </c>
      <c r="B244" s="1604"/>
      <c r="C244" s="1593"/>
      <c r="D244" s="1596">
        <v>0</v>
      </c>
      <c r="E244" s="1596"/>
      <c r="F244" s="1596"/>
      <c r="G244" s="1596"/>
      <c r="H244" s="1596"/>
      <c r="I244" s="1596"/>
      <c r="J244" s="1341">
        <f t="shared" si="18"/>
        <v>0</v>
      </c>
      <c r="K244" s="1341">
        <f t="shared" si="18"/>
        <v>0</v>
      </c>
    </row>
    <row r="245" spans="1:11" ht="15" hidden="1" customHeight="1" outlineLevel="1">
      <c r="A245" s="1598" t="s">
        <v>1239</v>
      </c>
      <c r="B245" s="1591" t="s">
        <v>19</v>
      </c>
      <c r="C245" s="1591" t="s">
        <v>1196</v>
      </c>
      <c r="D245" s="1589">
        <v>35000</v>
      </c>
      <c r="E245" s="1592"/>
      <c r="F245" s="1592"/>
      <c r="G245" s="1592"/>
      <c r="H245" s="1592"/>
      <c r="I245" s="1592"/>
      <c r="J245" s="1341">
        <f t="shared" si="18"/>
        <v>0</v>
      </c>
      <c r="K245" s="1341">
        <f t="shared" si="18"/>
        <v>0</v>
      </c>
    </row>
    <row r="246" spans="1:11" ht="15" hidden="1" customHeight="1" outlineLevel="1">
      <c r="A246" s="1598" t="s">
        <v>1239</v>
      </c>
      <c r="B246" s="1591"/>
      <c r="C246" s="1591" t="s">
        <v>1181</v>
      </c>
      <c r="D246" s="1605">
        <v>45000</v>
      </c>
      <c r="E246" s="1592"/>
      <c r="F246" s="1592"/>
      <c r="G246" s="1592"/>
      <c r="H246" s="1592"/>
      <c r="I246" s="1592"/>
      <c r="J246" s="1341">
        <f t="shared" si="18"/>
        <v>0</v>
      </c>
      <c r="K246" s="1341">
        <f t="shared" si="18"/>
        <v>0</v>
      </c>
    </row>
    <row r="247" spans="1:11" ht="15" hidden="1" customHeight="1" outlineLevel="1">
      <c r="A247" s="1598" t="s">
        <v>1239</v>
      </c>
      <c r="B247" s="1591"/>
      <c r="C247" s="1591" t="s">
        <v>1197</v>
      </c>
      <c r="D247" s="1605">
        <v>25000</v>
      </c>
      <c r="E247" s="1592"/>
      <c r="F247" s="1592"/>
      <c r="G247" s="1592"/>
      <c r="H247" s="1592"/>
      <c r="I247" s="1592"/>
      <c r="J247" s="1341">
        <f t="shared" si="18"/>
        <v>0</v>
      </c>
      <c r="K247" s="1341">
        <f t="shared" si="18"/>
        <v>0</v>
      </c>
    </row>
    <row r="248" spans="1:11" ht="15" hidden="1" customHeight="1" outlineLevel="1">
      <c r="A248" s="1598" t="s">
        <v>1239</v>
      </c>
      <c r="B248" s="1591"/>
      <c r="C248" s="1591" t="s">
        <v>1198</v>
      </c>
      <c r="D248" s="1589">
        <v>25000</v>
      </c>
      <c r="E248" s="1592"/>
      <c r="F248" s="1592"/>
      <c r="G248" s="1592"/>
      <c r="H248" s="1592"/>
      <c r="I248" s="1592"/>
      <c r="J248" s="1341">
        <f t="shared" si="18"/>
        <v>0</v>
      </c>
      <c r="K248" s="1341">
        <f t="shared" si="18"/>
        <v>0</v>
      </c>
    </row>
    <row r="249" spans="1:11" ht="15" hidden="1" customHeight="1" outlineLevel="1">
      <c r="A249" s="1598" t="s">
        <v>1239</v>
      </c>
      <c r="B249" s="1591"/>
      <c r="C249" s="1591" t="s">
        <v>1199</v>
      </c>
      <c r="D249" s="1589">
        <v>20000</v>
      </c>
      <c r="E249" s="1592"/>
      <c r="F249" s="1592"/>
      <c r="G249" s="1592"/>
      <c r="H249" s="1592"/>
      <c r="I249" s="1592"/>
      <c r="J249" s="1341">
        <f t="shared" si="18"/>
        <v>0</v>
      </c>
      <c r="K249" s="1341">
        <f t="shared" si="18"/>
        <v>0</v>
      </c>
    </row>
    <row r="250" spans="1:11" ht="15" hidden="1" customHeight="1" outlineLevel="1">
      <c r="A250" s="1598" t="s">
        <v>1239</v>
      </c>
      <c r="B250" s="1591"/>
      <c r="C250" s="1591" t="s">
        <v>1200</v>
      </c>
      <c r="D250" s="1605">
        <v>21000</v>
      </c>
      <c r="E250" s="1592"/>
      <c r="F250" s="1592"/>
      <c r="G250" s="1592"/>
      <c r="H250" s="1592"/>
      <c r="I250" s="1592"/>
      <c r="J250" s="1341">
        <f t="shared" si="18"/>
        <v>0</v>
      </c>
      <c r="K250" s="1341">
        <f t="shared" si="18"/>
        <v>0</v>
      </c>
    </row>
    <row r="251" spans="1:11" ht="15" hidden="1" customHeight="1" outlineLevel="1">
      <c r="A251" s="1598" t="s">
        <v>1239</v>
      </c>
      <c r="B251" s="1591"/>
      <c r="C251" s="1591"/>
      <c r="D251" s="1589">
        <v>0</v>
      </c>
      <c r="E251" s="1592"/>
      <c r="F251" s="1592"/>
      <c r="G251" s="1592"/>
      <c r="H251" s="1592"/>
      <c r="I251" s="1592"/>
      <c r="J251" s="1341">
        <f t="shared" si="18"/>
        <v>0</v>
      </c>
      <c r="K251" s="1341">
        <f t="shared" si="18"/>
        <v>0</v>
      </c>
    </row>
    <row r="252" spans="1:11" ht="15" hidden="1" customHeight="1" outlineLevel="1">
      <c r="A252" s="1587" t="s">
        <v>1240</v>
      </c>
      <c r="B252" s="1594" t="s">
        <v>1202</v>
      </c>
      <c r="C252" s="1594" t="s">
        <v>1203</v>
      </c>
      <c r="D252" s="1595">
        <v>35000</v>
      </c>
      <c r="E252" s="1595"/>
      <c r="F252" s="1595"/>
      <c r="G252" s="1595"/>
      <c r="H252" s="1595"/>
      <c r="I252" s="1595"/>
      <c r="J252" s="1341">
        <f t="shared" si="18"/>
        <v>0</v>
      </c>
      <c r="K252" s="1341">
        <f t="shared" si="18"/>
        <v>0</v>
      </c>
    </row>
    <row r="253" spans="1:11" ht="15" hidden="1" customHeight="1" outlineLevel="1">
      <c r="A253" s="1587" t="s">
        <v>1240</v>
      </c>
      <c r="B253" s="1594"/>
      <c r="C253" s="1594" t="s">
        <v>1204</v>
      </c>
      <c r="D253" s="1595">
        <v>28000</v>
      </c>
      <c r="E253" s="1595"/>
      <c r="F253" s="1595"/>
      <c r="G253" s="1595"/>
      <c r="H253" s="1595"/>
      <c r="I253" s="1595"/>
      <c r="J253" s="1341">
        <f t="shared" si="18"/>
        <v>0</v>
      </c>
      <c r="K253" s="1341">
        <f t="shared" si="18"/>
        <v>0</v>
      </c>
    </row>
    <row r="254" spans="1:11" ht="15" hidden="1" customHeight="1" outlineLevel="1">
      <c r="A254" s="1587" t="s">
        <v>1240</v>
      </c>
      <c r="B254" s="1594"/>
      <c r="C254" s="1594" t="s">
        <v>1205</v>
      </c>
      <c r="D254" s="1595">
        <v>35000</v>
      </c>
      <c r="E254" s="1595"/>
      <c r="F254" s="1595"/>
      <c r="G254" s="1595"/>
      <c r="H254" s="1595"/>
      <c r="I254" s="1595"/>
      <c r="J254" s="1341">
        <f t="shared" si="18"/>
        <v>0</v>
      </c>
      <c r="K254" s="1341">
        <f t="shared" si="18"/>
        <v>0</v>
      </c>
    </row>
    <row r="255" spans="1:11" ht="15" hidden="1" customHeight="1" outlineLevel="1">
      <c r="A255" s="1587" t="s">
        <v>1240</v>
      </c>
      <c r="B255" s="1594"/>
      <c r="C255" s="1594" t="s">
        <v>1206</v>
      </c>
      <c r="D255" s="1595">
        <v>25000</v>
      </c>
      <c r="E255" s="1595"/>
      <c r="F255" s="1595"/>
      <c r="G255" s="1595"/>
      <c r="H255" s="1595"/>
      <c r="I255" s="1595"/>
      <c r="J255" s="1341">
        <f t="shared" si="18"/>
        <v>0</v>
      </c>
      <c r="K255" s="1341">
        <f t="shared" si="18"/>
        <v>0</v>
      </c>
    </row>
    <row r="256" spans="1:11" ht="15" hidden="1" customHeight="1" outlineLevel="1">
      <c r="A256" s="1587" t="s">
        <v>1240</v>
      </c>
      <c r="B256" s="1594"/>
      <c r="C256" s="1594" t="s">
        <v>1207</v>
      </c>
      <c r="D256" s="1606">
        <v>21000</v>
      </c>
      <c r="E256" s="1595"/>
      <c r="F256" s="1595"/>
      <c r="G256" s="1595"/>
      <c r="H256" s="1595"/>
      <c r="I256" s="1595"/>
      <c r="J256" s="1341">
        <f t="shared" si="18"/>
        <v>0</v>
      </c>
      <c r="K256" s="1341">
        <f t="shared" si="18"/>
        <v>0</v>
      </c>
    </row>
    <row r="257" spans="1:11" ht="15" hidden="1" customHeight="1" outlineLevel="1">
      <c r="A257" s="1587" t="s">
        <v>1240</v>
      </c>
      <c r="B257" s="1593"/>
      <c r="C257" s="1593"/>
      <c r="D257" s="1595">
        <v>0</v>
      </c>
      <c r="E257" s="1596"/>
      <c r="F257" s="1596"/>
      <c r="G257" s="1596"/>
      <c r="H257" s="1596"/>
      <c r="I257" s="1596"/>
      <c r="J257" s="1341">
        <f t="shared" si="18"/>
        <v>0</v>
      </c>
      <c r="K257" s="1341">
        <f t="shared" si="18"/>
        <v>0</v>
      </c>
    </row>
    <row r="258" spans="1:11" ht="15" hidden="1" customHeight="1" outlineLevel="1">
      <c r="A258" s="1598" t="s">
        <v>1241</v>
      </c>
      <c r="B258" s="1588" t="s">
        <v>1209</v>
      </c>
      <c r="C258" s="1588" t="s">
        <v>1210</v>
      </c>
      <c r="D258" s="1589">
        <v>90000</v>
      </c>
      <c r="E258" s="1589"/>
      <c r="F258" s="1589"/>
      <c r="G258" s="1589"/>
      <c r="H258" s="1589"/>
      <c r="I258" s="1589"/>
      <c r="J258" s="1341">
        <f t="shared" si="18"/>
        <v>0</v>
      </c>
      <c r="K258" s="1341">
        <f t="shared" si="18"/>
        <v>0</v>
      </c>
    </row>
    <row r="259" spans="1:11" ht="15" hidden="1" customHeight="1" outlineLevel="1">
      <c r="A259" s="1598" t="s">
        <v>1241</v>
      </c>
      <c r="B259" s="1588"/>
      <c r="C259" s="1588" t="s">
        <v>1211</v>
      </c>
      <c r="D259" s="1589">
        <v>70000</v>
      </c>
      <c r="E259" s="1589"/>
      <c r="F259" s="1589"/>
      <c r="G259" s="1589"/>
      <c r="H259" s="1589"/>
      <c r="I259" s="1589"/>
      <c r="J259" s="1341">
        <f t="shared" si="18"/>
        <v>0</v>
      </c>
      <c r="K259" s="1341">
        <f t="shared" si="18"/>
        <v>0</v>
      </c>
    </row>
    <row r="260" spans="1:11" ht="15" hidden="1" customHeight="1" outlineLevel="1">
      <c r="A260" s="1598" t="s">
        <v>1241</v>
      </c>
      <c r="B260" s="1588"/>
      <c r="C260" s="1588" t="s">
        <v>1212</v>
      </c>
      <c r="D260" s="1589">
        <v>45000</v>
      </c>
      <c r="E260" s="1589"/>
      <c r="F260" s="1589"/>
      <c r="G260" s="1589"/>
      <c r="H260" s="1589"/>
      <c r="I260" s="1589"/>
      <c r="J260" s="1341">
        <f t="shared" si="18"/>
        <v>0</v>
      </c>
      <c r="K260" s="1341">
        <f t="shared" si="18"/>
        <v>0</v>
      </c>
    </row>
    <row r="261" spans="1:11" ht="15" hidden="1" customHeight="1" outlineLevel="1">
      <c r="A261" s="1598" t="s">
        <v>1241</v>
      </c>
      <c r="B261" s="1588"/>
      <c r="C261" s="1588" t="s">
        <v>1213</v>
      </c>
      <c r="D261" s="1589">
        <v>35000</v>
      </c>
      <c r="E261" s="1589"/>
      <c r="F261" s="1589"/>
      <c r="G261" s="1589"/>
      <c r="H261" s="1589"/>
      <c r="I261" s="1589"/>
      <c r="J261" s="1341">
        <f t="shared" si="18"/>
        <v>0</v>
      </c>
      <c r="K261" s="1341">
        <f t="shared" si="18"/>
        <v>0</v>
      </c>
    </row>
    <row r="262" spans="1:11" ht="15" hidden="1" customHeight="1" outlineLevel="1">
      <c r="A262" s="1598" t="s">
        <v>1241</v>
      </c>
      <c r="B262" s="1588"/>
      <c r="C262" s="1588" t="s">
        <v>1214</v>
      </c>
      <c r="D262" s="1589">
        <v>30000</v>
      </c>
      <c r="E262" s="1589"/>
      <c r="F262" s="1589"/>
      <c r="G262" s="1589"/>
      <c r="H262" s="1589"/>
      <c r="I262" s="1589"/>
      <c r="J262" s="1341">
        <f t="shared" si="18"/>
        <v>0</v>
      </c>
      <c r="K262" s="1341">
        <f t="shared" si="18"/>
        <v>0</v>
      </c>
    </row>
    <row r="263" spans="1:11" ht="15" hidden="1" customHeight="1" outlineLevel="1">
      <c r="A263" s="1598" t="s">
        <v>1241</v>
      </c>
      <c r="B263" s="1588"/>
      <c r="C263" s="1588" t="s">
        <v>1215</v>
      </c>
      <c r="D263" s="1605">
        <v>21000</v>
      </c>
      <c r="E263" s="1589"/>
      <c r="F263" s="1589"/>
      <c r="G263" s="1589"/>
      <c r="H263" s="1589"/>
      <c r="I263" s="1589"/>
      <c r="J263" s="1341">
        <f t="shared" si="18"/>
        <v>0</v>
      </c>
      <c r="K263" s="1341">
        <f t="shared" si="18"/>
        <v>0</v>
      </c>
    </row>
    <row r="264" spans="1:11" ht="15" hidden="1" customHeight="1" outlineLevel="1">
      <c r="A264" s="1598" t="s">
        <v>1241</v>
      </c>
      <c r="B264" s="1591"/>
      <c r="C264" s="1591"/>
      <c r="D264" s="1589">
        <v>0</v>
      </c>
      <c r="E264" s="1592"/>
      <c r="F264" s="1592"/>
      <c r="G264" s="1592"/>
      <c r="H264" s="1592"/>
      <c r="I264" s="1592"/>
      <c r="J264" s="1341">
        <f t="shared" si="18"/>
        <v>0</v>
      </c>
      <c r="K264" s="1341">
        <f t="shared" si="18"/>
        <v>0</v>
      </c>
    </row>
    <row r="265" spans="1:11" ht="15" hidden="1" customHeight="1" outlineLevel="1">
      <c r="A265" s="1587" t="s">
        <v>1236</v>
      </c>
      <c r="B265" s="1594" t="s">
        <v>1216</v>
      </c>
      <c r="C265" s="1594" t="s">
        <v>1217</v>
      </c>
      <c r="D265" s="1595">
        <v>35000</v>
      </c>
      <c r="E265" s="1595"/>
      <c r="F265" s="1595"/>
      <c r="G265" s="1595"/>
      <c r="H265" s="1595"/>
      <c r="I265" s="1595"/>
      <c r="J265" s="1341">
        <f t="shared" si="18"/>
        <v>0</v>
      </c>
      <c r="K265" s="1341">
        <f t="shared" si="18"/>
        <v>0</v>
      </c>
    </row>
    <row r="266" spans="1:11" ht="15" hidden="1" customHeight="1" outlineLevel="1">
      <c r="A266" s="1587" t="s">
        <v>1236</v>
      </c>
      <c r="B266" s="1594"/>
      <c r="C266" s="1594" t="s">
        <v>1218</v>
      </c>
      <c r="D266" s="1595">
        <v>25000</v>
      </c>
      <c r="E266" s="1595"/>
      <c r="F266" s="1595"/>
      <c r="G266" s="1595"/>
      <c r="H266" s="1595"/>
      <c r="I266" s="1595"/>
      <c r="J266" s="1341">
        <f t="shared" si="18"/>
        <v>0</v>
      </c>
      <c r="K266" s="1341">
        <f t="shared" si="18"/>
        <v>0</v>
      </c>
    </row>
    <row r="267" spans="1:11" ht="15" hidden="1" customHeight="1" outlineLevel="1">
      <c r="A267" s="1587" t="s">
        <v>1236</v>
      </c>
      <c r="B267" s="1594"/>
      <c r="C267" s="1594"/>
      <c r="D267" s="1595">
        <v>0</v>
      </c>
      <c r="E267" s="1595"/>
      <c r="F267" s="1595"/>
      <c r="G267" s="1595"/>
      <c r="H267" s="1595"/>
      <c r="I267" s="1595"/>
      <c r="J267" s="1341">
        <f t="shared" si="18"/>
        <v>0</v>
      </c>
      <c r="K267" s="1341">
        <f t="shared" si="18"/>
        <v>0</v>
      </c>
    </row>
    <row r="268" spans="1:11" ht="15" hidden="1" customHeight="1" outlineLevel="1">
      <c r="A268" s="1598" t="s">
        <v>1242</v>
      </c>
      <c r="B268" s="1588" t="s">
        <v>1220</v>
      </c>
      <c r="C268" s="1588" t="s">
        <v>1221</v>
      </c>
      <c r="D268" s="1589">
        <v>30000</v>
      </c>
      <c r="E268" s="1589"/>
      <c r="F268" s="1589"/>
      <c r="G268" s="1589"/>
      <c r="H268" s="1589"/>
      <c r="I268" s="1589"/>
      <c r="J268" s="1341">
        <f t="shared" si="18"/>
        <v>0</v>
      </c>
      <c r="K268" s="1341">
        <f t="shared" si="18"/>
        <v>0</v>
      </c>
    </row>
    <row r="269" spans="1:11" ht="15" hidden="1" customHeight="1" outlineLevel="1">
      <c r="A269" s="1598" t="s">
        <v>1242</v>
      </c>
      <c r="B269" s="1588"/>
      <c r="C269" s="1588" t="s">
        <v>1158</v>
      </c>
      <c r="D269" s="1589">
        <v>22000</v>
      </c>
      <c r="E269" s="1589"/>
      <c r="F269" s="1589"/>
      <c r="G269" s="1589"/>
      <c r="H269" s="1589"/>
      <c r="I269" s="1589"/>
      <c r="J269" s="1341">
        <f t="shared" si="18"/>
        <v>0</v>
      </c>
      <c r="K269" s="1341">
        <f t="shared" si="18"/>
        <v>0</v>
      </c>
    </row>
    <row r="270" spans="1:11" ht="15" hidden="1" customHeight="1" outlineLevel="1">
      <c r="A270" s="1598" t="s">
        <v>1242</v>
      </c>
      <c r="B270" s="1588"/>
      <c r="C270" s="1588"/>
      <c r="D270" s="1589">
        <v>22000</v>
      </c>
      <c r="E270" s="1589"/>
      <c r="F270" s="1589"/>
      <c r="G270" s="1589"/>
      <c r="H270" s="1589"/>
      <c r="I270" s="1589"/>
      <c r="J270" s="1341">
        <f t="shared" si="18"/>
        <v>0</v>
      </c>
      <c r="K270" s="1341">
        <f t="shared" si="18"/>
        <v>0</v>
      </c>
    </row>
    <row r="271" spans="1:11" ht="15" hidden="1" customHeight="1" outlineLevel="1">
      <c r="A271" s="1598" t="s">
        <v>1242</v>
      </c>
      <c r="B271" s="1588"/>
      <c r="C271" s="1588"/>
      <c r="D271" s="1589">
        <v>0</v>
      </c>
      <c r="E271" s="1589"/>
      <c r="F271" s="1589"/>
      <c r="G271" s="1589"/>
      <c r="H271" s="1589"/>
      <c r="I271" s="1589"/>
      <c r="J271" s="1341">
        <f t="shared" si="18"/>
        <v>0</v>
      </c>
      <c r="K271" s="1341">
        <f t="shared" si="18"/>
        <v>0</v>
      </c>
    </row>
    <row r="272" spans="1:11" ht="15" customHeight="1" collapsed="1">
      <c r="A272" s="1566"/>
      <c r="B272" s="1348"/>
      <c r="C272" s="1348" t="s">
        <v>1222</v>
      </c>
      <c r="D272" s="1608"/>
      <c r="E272" s="1609">
        <f>SUM(E146:E271)</f>
        <v>0</v>
      </c>
      <c r="F272" s="1609">
        <f t="shared" ref="F272:K272" si="19">SUM(F146:F271)</f>
        <v>32</v>
      </c>
      <c r="G272" s="1609">
        <f t="shared" si="19"/>
        <v>32</v>
      </c>
      <c r="H272" s="1609">
        <f t="shared" si="19"/>
        <v>32</v>
      </c>
      <c r="I272" s="1609">
        <f t="shared" si="19"/>
        <v>32</v>
      </c>
      <c r="J272" s="1609">
        <f t="shared" si="19"/>
        <v>32</v>
      </c>
      <c r="K272" s="1609">
        <f t="shared" si="19"/>
        <v>32</v>
      </c>
    </row>
    <row r="273" spans="1:11" ht="15" customHeight="1">
      <c r="A273" s="1566"/>
      <c r="B273" s="20"/>
      <c r="C273" s="20"/>
      <c r="D273" s="1610"/>
      <c r="E273" s="20"/>
      <c r="F273" s="20"/>
      <c r="G273" s="20"/>
      <c r="H273" s="20"/>
      <c r="I273" s="20"/>
      <c r="J273" s="20"/>
      <c r="K273" s="20"/>
    </row>
    <row r="274" spans="1:11" ht="15" customHeight="1">
      <c r="A274" s="1566"/>
      <c r="B274" s="20"/>
      <c r="C274" s="20"/>
      <c r="D274" s="1610"/>
      <c r="E274" s="1611"/>
      <c r="F274" s="1611"/>
      <c r="G274" s="1611"/>
      <c r="H274" s="1611"/>
      <c r="I274" s="1611"/>
      <c r="J274" s="1611"/>
      <c r="K274" s="1611"/>
    </row>
    <row r="275" spans="1:11" ht="15.75" customHeight="1">
      <c r="A275" s="1566"/>
      <c r="B275" s="1580" t="str">
        <f>Объекты!$C$37</f>
        <v>Гостиница 4* - Mercure</v>
      </c>
      <c r="C275" s="1571"/>
      <c r="D275" s="1581">
        <f>YEAR(Объекты!$K$6)</f>
        <v>2026</v>
      </c>
      <c r="E275" s="1571"/>
      <c r="F275" s="1571"/>
      <c r="G275" s="1571"/>
      <c r="H275" s="1571"/>
      <c r="I275" s="1571"/>
      <c r="J275" s="1571"/>
      <c r="K275" s="1571"/>
    </row>
    <row r="276" spans="1:11" ht="15.75" customHeight="1">
      <c r="A276" s="1566"/>
      <c r="B276" s="1582"/>
      <c r="C276" s="1583" t="s">
        <v>1098</v>
      </c>
      <c r="D276" s="1584"/>
      <c r="E276" s="1585">
        <f>Объекты!$F$6</f>
        <v>160</v>
      </c>
      <c r="F276" s="1616">
        <f t="shared" ref="F276:K276" si="20">E276</f>
        <v>160</v>
      </c>
      <c r="G276" s="1616">
        <f t="shared" si="20"/>
        <v>160</v>
      </c>
      <c r="H276" s="1616">
        <f t="shared" si="20"/>
        <v>160</v>
      </c>
      <c r="I276" s="1616">
        <f t="shared" si="20"/>
        <v>160</v>
      </c>
      <c r="J276" s="1616">
        <f t="shared" si="20"/>
        <v>160</v>
      </c>
      <c r="K276" s="1616">
        <f t="shared" si="20"/>
        <v>160</v>
      </c>
    </row>
    <row r="277" spans="1:11" ht="15.75" customHeight="1">
      <c r="A277" s="1566"/>
      <c r="B277" s="1612"/>
      <c r="C277" s="1583" t="s">
        <v>14</v>
      </c>
      <c r="D277" s="1584"/>
      <c r="E277" s="1586" t="str">
        <f>IFERROR(LOOKUP(E$2,Отель4_PL!$D$3:$T$3,Отель4_PL!$D$10:$T$10),"не введён")</f>
        <v>не введён</v>
      </c>
      <c r="F277" s="1586">
        <f>IFERROR(LOOKUP(F$2,Отель4_PL!$D$3:$T$3,Отель4_PL!$D$10:$T$10),"не введён")</f>
        <v>0.45542361124124159</v>
      </c>
      <c r="G277" s="1586">
        <f>IFERROR(LOOKUP(G$2,Отель4_PL!$D$3:$T$3,Отель4_PL!$D$10:$T$10),"не введён")</f>
        <v>0.51293460963689974</v>
      </c>
      <c r="H277" s="1586">
        <f>IFERROR(LOOKUP(H$2,Отель4_PL!$D$3:$T$3,Отель4_PL!$D$10:$T$10),"не введён")</f>
        <v>0.54310723373318792</v>
      </c>
      <c r="I277" s="1586">
        <f>IFERROR(LOOKUP(I$2,Отель4_PL!$D$3:$T$3,Отель4_PL!$D$10:$T$10),"не введён")</f>
        <v>0.5732798578294761</v>
      </c>
      <c r="J277" s="1586">
        <f>IFERROR(LOOKUP(J$2,Отель4_PL!$D$3:$T$3,Отель4_PL!$D$10:$T$10),"не введён")</f>
        <v>0.60345248192576439</v>
      </c>
      <c r="K277" s="1586">
        <f>IFERROR(LOOKUP(K$2,Отель4_PL!$D$3:$T$3,Отель4_PL!$D$10:$T$10),"не введён")</f>
        <v>0.60345248192576439</v>
      </c>
    </row>
    <row r="278" spans="1:11" ht="15.75" customHeight="1">
      <c r="A278" s="1566"/>
      <c r="B278" s="1582"/>
      <c r="C278" s="1583" t="s">
        <v>1099</v>
      </c>
      <c r="D278" s="1584"/>
      <c r="E278" s="1585" t="str">
        <f>IFERROR(E276/E334,"не введён")</f>
        <v>не введён</v>
      </c>
      <c r="F278" s="1585">
        <f t="shared" ref="F278:K278" si="21">IFERROR(F276/F334,"не введён")</f>
        <v>17.777777777777779</v>
      </c>
      <c r="G278" s="1585">
        <f t="shared" si="21"/>
        <v>17.777777777777779</v>
      </c>
      <c r="H278" s="1585">
        <f t="shared" si="21"/>
        <v>17.777777777777779</v>
      </c>
      <c r="I278" s="1585">
        <f t="shared" si="21"/>
        <v>17.777777777777779</v>
      </c>
      <c r="J278" s="1585">
        <f t="shared" si="21"/>
        <v>17.777777777777779</v>
      </c>
      <c r="K278" s="1585">
        <f t="shared" si="21"/>
        <v>17.777777777777779</v>
      </c>
    </row>
    <row r="279" spans="1:11" ht="15" hidden="1" customHeight="1" outlineLevel="1">
      <c r="A279" s="1587" t="s">
        <v>1223</v>
      </c>
      <c r="B279" s="1588" t="s">
        <v>1101</v>
      </c>
      <c r="C279" s="1588" t="s">
        <v>1102</v>
      </c>
      <c r="D279" s="1589">
        <v>200000</v>
      </c>
      <c r="E279" s="1589"/>
      <c r="F279" s="1589">
        <v>1</v>
      </c>
      <c r="G279" s="1589">
        <v>1</v>
      </c>
      <c r="H279" s="1589">
        <v>1</v>
      </c>
      <c r="I279" s="1589">
        <v>1</v>
      </c>
      <c r="J279" s="1341">
        <f t="shared" ref="J279:J342" si="22">I279</f>
        <v>1</v>
      </c>
      <c r="K279" s="1341">
        <f t="shared" ref="K279:K342" si="23">J279</f>
        <v>1</v>
      </c>
    </row>
    <row r="280" spans="1:11" ht="15" hidden="1" customHeight="1" outlineLevel="1">
      <c r="A280" s="1587" t="s">
        <v>1223</v>
      </c>
      <c r="B280" s="1588"/>
      <c r="C280" s="1588" t="s">
        <v>1103</v>
      </c>
      <c r="D280" s="1589">
        <v>100000</v>
      </c>
      <c r="E280" s="1589"/>
      <c r="F280" s="1589">
        <v>1</v>
      </c>
      <c r="G280" s="1589">
        <v>1</v>
      </c>
      <c r="H280" s="1589">
        <v>1</v>
      </c>
      <c r="I280" s="1589">
        <v>1</v>
      </c>
      <c r="J280" s="1341">
        <f t="shared" si="22"/>
        <v>1</v>
      </c>
      <c r="K280" s="1341">
        <f t="shared" si="23"/>
        <v>1</v>
      </c>
    </row>
    <row r="281" spans="1:11" ht="15" hidden="1" customHeight="1" outlineLevel="1">
      <c r="A281" s="1587" t="s">
        <v>1223</v>
      </c>
      <c r="B281" s="1588"/>
      <c r="C281" s="1590" t="s">
        <v>1104</v>
      </c>
      <c r="D281" s="1589">
        <v>55000</v>
      </c>
      <c r="E281" s="1589"/>
      <c r="F281" s="1589">
        <v>1</v>
      </c>
      <c r="G281" s="1589">
        <v>1</v>
      </c>
      <c r="H281" s="1589">
        <v>1</v>
      </c>
      <c r="I281" s="1589">
        <v>1</v>
      </c>
      <c r="J281" s="1341">
        <f t="shared" si="22"/>
        <v>1</v>
      </c>
      <c r="K281" s="1341">
        <f t="shared" si="23"/>
        <v>1</v>
      </c>
    </row>
    <row r="282" spans="1:11" ht="15" hidden="1" customHeight="1" outlineLevel="1">
      <c r="A282" s="1587" t="s">
        <v>1223</v>
      </c>
      <c r="B282" s="1588"/>
      <c r="C282" s="1588" t="s">
        <v>1105</v>
      </c>
      <c r="D282" s="1589">
        <v>55000</v>
      </c>
      <c r="E282" s="1589"/>
      <c r="F282" s="1589">
        <v>1</v>
      </c>
      <c r="G282" s="1589">
        <v>1</v>
      </c>
      <c r="H282" s="1589">
        <v>1</v>
      </c>
      <c r="I282" s="1589">
        <v>1</v>
      </c>
      <c r="J282" s="1341">
        <f t="shared" si="22"/>
        <v>1</v>
      </c>
      <c r="K282" s="1341">
        <f t="shared" si="23"/>
        <v>1</v>
      </c>
    </row>
    <row r="283" spans="1:11" ht="15" hidden="1" customHeight="1" outlineLevel="1">
      <c r="A283" s="1587" t="s">
        <v>1223</v>
      </c>
      <c r="B283" s="1588"/>
      <c r="C283" s="1588" t="s">
        <v>1106</v>
      </c>
      <c r="D283" s="1589">
        <v>35000</v>
      </c>
      <c r="E283" s="1589"/>
      <c r="F283" s="1589">
        <v>1</v>
      </c>
      <c r="G283" s="1589">
        <v>1</v>
      </c>
      <c r="H283" s="1589">
        <v>1</v>
      </c>
      <c r="I283" s="1589">
        <v>1</v>
      </c>
      <c r="J283" s="1341">
        <f t="shared" si="22"/>
        <v>1</v>
      </c>
      <c r="K283" s="1341">
        <f t="shared" si="23"/>
        <v>1</v>
      </c>
    </row>
    <row r="284" spans="1:11" ht="15" hidden="1" customHeight="1" outlineLevel="1">
      <c r="A284" s="1587" t="s">
        <v>1223</v>
      </c>
      <c r="B284" s="1588"/>
      <c r="C284" s="1588" t="s">
        <v>36</v>
      </c>
      <c r="D284" s="1589">
        <v>32000</v>
      </c>
      <c r="E284" s="1589"/>
      <c r="F284" s="1589">
        <v>1</v>
      </c>
      <c r="G284" s="1589">
        <v>1</v>
      </c>
      <c r="H284" s="1589">
        <v>1</v>
      </c>
      <c r="I284" s="1589">
        <v>1</v>
      </c>
      <c r="J284" s="1341">
        <f t="shared" si="22"/>
        <v>1</v>
      </c>
      <c r="K284" s="1341">
        <f t="shared" si="23"/>
        <v>1</v>
      </c>
    </row>
    <row r="285" spans="1:11" ht="15" hidden="1" customHeight="1" outlineLevel="1">
      <c r="A285" s="1587" t="s">
        <v>1223</v>
      </c>
      <c r="B285" s="1591"/>
      <c r="C285" s="1588" t="s">
        <v>42</v>
      </c>
      <c r="D285" s="1589">
        <v>55000</v>
      </c>
      <c r="E285" s="1592"/>
      <c r="F285" s="1592">
        <v>1</v>
      </c>
      <c r="G285" s="1592">
        <v>1</v>
      </c>
      <c r="H285" s="1592">
        <v>1</v>
      </c>
      <c r="I285" s="1592">
        <v>1</v>
      </c>
      <c r="J285" s="1341">
        <f t="shared" si="22"/>
        <v>1</v>
      </c>
      <c r="K285" s="1341">
        <f t="shared" si="23"/>
        <v>1</v>
      </c>
    </row>
    <row r="286" spans="1:11" ht="15" hidden="1" customHeight="1" outlineLevel="1">
      <c r="A286" s="1587" t="s">
        <v>1223</v>
      </c>
      <c r="B286" s="1591"/>
      <c r="C286" s="1588" t="s">
        <v>1107</v>
      </c>
      <c r="D286" s="1589">
        <v>45000</v>
      </c>
      <c r="E286" s="1592"/>
      <c r="F286" s="1592">
        <v>1</v>
      </c>
      <c r="G286" s="1592">
        <v>1</v>
      </c>
      <c r="H286" s="1592">
        <v>1</v>
      </c>
      <c r="I286" s="1592">
        <v>1</v>
      </c>
      <c r="J286" s="1341">
        <f t="shared" si="22"/>
        <v>1</v>
      </c>
      <c r="K286" s="1341">
        <f t="shared" si="23"/>
        <v>1</v>
      </c>
    </row>
    <row r="287" spans="1:11" ht="15" hidden="1" customHeight="1" outlineLevel="1">
      <c r="A287" s="1587" t="s">
        <v>1223</v>
      </c>
      <c r="B287" s="1593" t="s">
        <v>1108</v>
      </c>
      <c r="C287" s="1594" t="s">
        <v>1109</v>
      </c>
      <c r="D287" s="1595">
        <v>85000</v>
      </c>
      <c r="E287" s="1607"/>
      <c r="F287" s="1607">
        <v>1</v>
      </c>
      <c r="G287" s="1596">
        <v>1</v>
      </c>
      <c r="H287" s="1596">
        <v>1</v>
      </c>
      <c r="I287" s="1596">
        <v>1</v>
      </c>
      <c r="J287" s="1341">
        <f t="shared" si="22"/>
        <v>1</v>
      </c>
      <c r="K287" s="1341">
        <f t="shared" si="23"/>
        <v>1</v>
      </c>
    </row>
    <row r="288" spans="1:11" ht="15" hidden="1" customHeight="1" outlineLevel="1">
      <c r="A288" s="1587" t="s">
        <v>1223</v>
      </c>
      <c r="B288" s="1593"/>
      <c r="C288" s="1594" t="s">
        <v>1110</v>
      </c>
      <c r="D288" s="1595">
        <v>65000</v>
      </c>
      <c r="E288" s="1607"/>
      <c r="F288" s="1607">
        <v>1</v>
      </c>
      <c r="G288" s="1596">
        <v>1</v>
      </c>
      <c r="H288" s="1596">
        <v>1</v>
      </c>
      <c r="I288" s="1596">
        <v>1</v>
      </c>
      <c r="J288" s="1341">
        <f t="shared" si="22"/>
        <v>1</v>
      </c>
      <c r="K288" s="1341">
        <f t="shared" si="23"/>
        <v>1</v>
      </c>
    </row>
    <row r="289" spans="1:11" ht="15" hidden="1" customHeight="1" outlineLevel="1">
      <c r="A289" s="1587" t="s">
        <v>1223</v>
      </c>
      <c r="B289" s="1593"/>
      <c r="C289" s="1594" t="s">
        <v>1111</v>
      </c>
      <c r="D289" s="1595">
        <v>110000</v>
      </c>
      <c r="E289" s="1607"/>
      <c r="F289" s="1607">
        <v>1</v>
      </c>
      <c r="G289" s="1596">
        <v>1</v>
      </c>
      <c r="H289" s="1596">
        <v>1</v>
      </c>
      <c r="I289" s="1596">
        <v>1</v>
      </c>
      <c r="J289" s="1341">
        <f t="shared" si="22"/>
        <v>1</v>
      </c>
      <c r="K289" s="1341">
        <f t="shared" si="23"/>
        <v>1</v>
      </c>
    </row>
    <row r="290" spans="1:11" ht="15" hidden="1" customHeight="1" outlineLevel="1">
      <c r="A290" s="1587" t="s">
        <v>1223</v>
      </c>
      <c r="B290" s="1593"/>
      <c r="C290" s="1597" t="s">
        <v>1112</v>
      </c>
      <c r="D290" s="1595">
        <v>40000</v>
      </c>
      <c r="E290" s="1607"/>
      <c r="F290" s="1607">
        <v>1</v>
      </c>
      <c r="G290" s="1596">
        <v>1</v>
      </c>
      <c r="H290" s="1596">
        <v>1</v>
      </c>
      <c r="I290" s="1596">
        <v>1</v>
      </c>
      <c r="J290" s="1341">
        <f t="shared" si="22"/>
        <v>1</v>
      </c>
      <c r="K290" s="1341">
        <f t="shared" si="23"/>
        <v>1</v>
      </c>
    </row>
    <row r="291" spans="1:11" ht="15" hidden="1" customHeight="1" outlineLevel="1">
      <c r="A291" s="1587" t="s">
        <v>1223</v>
      </c>
      <c r="B291" s="1593"/>
      <c r="C291" s="1597" t="s">
        <v>1113</v>
      </c>
      <c r="D291" s="1595">
        <v>40000</v>
      </c>
      <c r="E291" s="1607"/>
      <c r="F291" s="1607">
        <v>1</v>
      </c>
      <c r="G291" s="1596">
        <v>1</v>
      </c>
      <c r="H291" s="1596">
        <v>1</v>
      </c>
      <c r="I291" s="1596">
        <v>1</v>
      </c>
      <c r="J291" s="1341">
        <f t="shared" si="22"/>
        <v>1</v>
      </c>
      <c r="K291" s="1341">
        <f t="shared" si="23"/>
        <v>1</v>
      </c>
    </row>
    <row r="292" spans="1:11" ht="15" hidden="1" customHeight="1" outlineLevel="1">
      <c r="A292" s="1587" t="s">
        <v>1223</v>
      </c>
      <c r="B292" s="1593"/>
      <c r="C292" s="1597" t="s">
        <v>1114</v>
      </c>
      <c r="D292" s="1595">
        <v>40000</v>
      </c>
      <c r="E292" s="1607"/>
      <c r="F292" s="1607">
        <v>0</v>
      </c>
      <c r="G292" s="1596">
        <v>0</v>
      </c>
      <c r="H292" s="1596">
        <v>0</v>
      </c>
      <c r="I292" s="1596">
        <v>0</v>
      </c>
      <c r="J292" s="1341">
        <f t="shared" si="22"/>
        <v>0</v>
      </c>
      <c r="K292" s="1341">
        <f t="shared" si="23"/>
        <v>0</v>
      </c>
    </row>
    <row r="293" spans="1:11" ht="15" hidden="1" customHeight="1" outlineLevel="1">
      <c r="A293" s="1587" t="s">
        <v>1223</v>
      </c>
      <c r="B293" s="1593"/>
      <c r="C293" s="1597" t="s">
        <v>1115</v>
      </c>
      <c r="D293" s="1595">
        <v>40000</v>
      </c>
      <c r="E293" s="1607"/>
      <c r="F293" s="1607">
        <v>1</v>
      </c>
      <c r="G293" s="1596">
        <v>1</v>
      </c>
      <c r="H293" s="1596">
        <v>1</v>
      </c>
      <c r="I293" s="1596">
        <v>1</v>
      </c>
      <c r="J293" s="1341">
        <f t="shared" si="22"/>
        <v>1</v>
      </c>
      <c r="K293" s="1341">
        <f t="shared" si="23"/>
        <v>1</v>
      </c>
    </row>
    <row r="294" spans="1:11" ht="15" hidden="1" customHeight="1" outlineLevel="1">
      <c r="A294" s="1587" t="s">
        <v>1223</v>
      </c>
      <c r="B294" s="1593"/>
      <c r="C294" s="1597" t="s">
        <v>1116</v>
      </c>
      <c r="D294" s="1595">
        <v>35000</v>
      </c>
      <c r="E294" s="1607"/>
      <c r="F294" s="1607">
        <v>0</v>
      </c>
      <c r="G294" s="1596">
        <v>0</v>
      </c>
      <c r="H294" s="1596">
        <v>0</v>
      </c>
      <c r="I294" s="1596">
        <v>0</v>
      </c>
      <c r="J294" s="1341">
        <f t="shared" si="22"/>
        <v>0</v>
      </c>
      <c r="K294" s="1341">
        <f t="shared" si="23"/>
        <v>0</v>
      </c>
    </row>
    <row r="295" spans="1:11" ht="15" hidden="1" customHeight="1" outlineLevel="1">
      <c r="A295" s="1587" t="s">
        <v>1223</v>
      </c>
      <c r="B295" s="1593"/>
      <c r="C295" s="1597" t="s">
        <v>1117</v>
      </c>
      <c r="D295" s="1595">
        <v>35000</v>
      </c>
      <c r="E295" s="1607"/>
      <c r="F295" s="1607">
        <v>1</v>
      </c>
      <c r="G295" s="1596">
        <v>1</v>
      </c>
      <c r="H295" s="1596">
        <v>1</v>
      </c>
      <c r="I295" s="1596">
        <v>1</v>
      </c>
      <c r="J295" s="1341">
        <f t="shared" si="22"/>
        <v>1</v>
      </c>
      <c r="K295" s="1341">
        <f t="shared" si="23"/>
        <v>1</v>
      </c>
    </row>
    <row r="296" spans="1:11" ht="15" hidden="1" customHeight="1" outlineLevel="1">
      <c r="A296" s="1587" t="s">
        <v>1223</v>
      </c>
      <c r="B296" s="1593"/>
      <c r="C296" s="1597" t="s">
        <v>1118</v>
      </c>
      <c r="D296" s="1595">
        <v>40000</v>
      </c>
      <c r="E296" s="1607"/>
      <c r="F296" s="1607">
        <v>0</v>
      </c>
      <c r="G296" s="1596">
        <v>0</v>
      </c>
      <c r="H296" s="1596">
        <v>0</v>
      </c>
      <c r="I296" s="1596">
        <v>0</v>
      </c>
      <c r="J296" s="1341">
        <f t="shared" si="22"/>
        <v>0</v>
      </c>
      <c r="K296" s="1341">
        <f t="shared" si="23"/>
        <v>0</v>
      </c>
    </row>
    <row r="297" spans="1:11" ht="15" hidden="1" customHeight="1" outlineLevel="1">
      <c r="A297" s="1587" t="s">
        <v>1223</v>
      </c>
      <c r="B297" s="1593"/>
      <c r="C297" s="1597" t="s">
        <v>1119</v>
      </c>
      <c r="D297" s="1595">
        <v>38000</v>
      </c>
      <c r="E297" s="1607"/>
      <c r="F297" s="1607">
        <v>1</v>
      </c>
      <c r="G297" s="1596">
        <v>1</v>
      </c>
      <c r="H297" s="1596">
        <v>1</v>
      </c>
      <c r="I297" s="1596">
        <v>1</v>
      </c>
      <c r="J297" s="1341">
        <f t="shared" si="22"/>
        <v>1</v>
      </c>
      <c r="K297" s="1341">
        <f t="shared" si="23"/>
        <v>1</v>
      </c>
    </row>
    <row r="298" spans="1:11" ht="15" hidden="1" customHeight="1" outlineLevel="1">
      <c r="A298" s="1587" t="s">
        <v>1223</v>
      </c>
      <c r="B298" s="1593"/>
      <c r="C298" s="1594"/>
      <c r="D298" s="1595">
        <v>0</v>
      </c>
      <c r="E298" s="1607"/>
      <c r="F298" s="1607"/>
      <c r="G298" s="1596"/>
      <c r="H298" s="1596"/>
      <c r="I298" s="1596"/>
      <c r="J298" s="1341">
        <f t="shared" si="22"/>
        <v>0</v>
      </c>
      <c r="K298" s="1341">
        <f t="shared" si="23"/>
        <v>0</v>
      </c>
    </row>
    <row r="299" spans="1:11" ht="15" hidden="1" customHeight="1" outlineLevel="1">
      <c r="A299" s="1587" t="s">
        <v>1223</v>
      </c>
      <c r="B299" s="1591" t="s">
        <v>1120</v>
      </c>
      <c r="C299" s="1588" t="s">
        <v>38</v>
      </c>
      <c r="D299" s="1589">
        <v>65000</v>
      </c>
      <c r="E299" s="1592"/>
      <c r="F299" s="1592">
        <v>1</v>
      </c>
      <c r="G299" s="1592">
        <v>1</v>
      </c>
      <c r="H299" s="1592">
        <v>1</v>
      </c>
      <c r="I299" s="1592">
        <v>1</v>
      </c>
      <c r="J299" s="1341">
        <f t="shared" si="22"/>
        <v>1</v>
      </c>
      <c r="K299" s="1341">
        <f t="shared" si="23"/>
        <v>1</v>
      </c>
    </row>
    <row r="300" spans="1:11" ht="15" hidden="1" customHeight="1" outlineLevel="1">
      <c r="A300" s="1587" t="s">
        <v>1223</v>
      </c>
      <c r="B300" s="1591"/>
      <c r="C300" s="1588" t="s">
        <v>1121</v>
      </c>
      <c r="D300" s="1589">
        <v>45000</v>
      </c>
      <c r="E300" s="1592"/>
      <c r="F300" s="1592">
        <v>1</v>
      </c>
      <c r="G300" s="1592">
        <v>1</v>
      </c>
      <c r="H300" s="1592">
        <v>1</v>
      </c>
      <c r="I300" s="1592">
        <v>1</v>
      </c>
      <c r="J300" s="1341">
        <f t="shared" si="22"/>
        <v>1</v>
      </c>
      <c r="K300" s="1341">
        <f t="shared" si="23"/>
        <v>1</v>
      </c>
    </row>
    <row r="301" spans="1:11" ht="15" hidden="1" customHeight="1" outlineLevel="1">
      <c r="A301" s="1587" t="s">
        <v>1223</v>
      </c>
      <c r="B301" s="1591"/>
      <c r="C301" s="1588" t="s">
        <v>1122</v>
      </c>
      <c r="D301" s="1589">
        <v>35000</v>
      </c>
      <c r="E301" s="1592"/>
      <c r="F301" s="1592">
        <v>2</v>
      </c>
      <c r="G301" s="1592">
        <v>2</v>
      </c>
      <c r="H301" s="1592">
        <v>2</v>
      </c>
      <c r="I301" s="1592">
        <v>2</v>
      </c>
      <c r="J301" s="1341">
        <f t="shared" si="22"/>
        <v>2</v>
      </c>
      <c r="K301" s="1341">
        <f t="shared" si="23"/>
        <v>2</v>
      </c>
    </row>
    <row r="302" spans="1:11" ht="15" hidden="1" customHeight="1" outlineLevel="1">
      <c r="A302" s="1587" t="s">
        <v>1223</v>
      </c>
      <c r="B302" s="1591"/>
      <c r="C302" s="1588"/>
      <c r="D302" s="1589">
        <v>0</v>
      </c>
      <c r="E302" s="1592"/>
      <c r="F302" s="1592"/>
      <c r="G302" s="1592"/>
      <c r="H302" s="1592"/>
      <c r="I302" s="1592"/>
      <c r="J302" s="1341">
        <f t="shared" si="22"/>
        <v>0</v>
      </c>
      <c r="K302" s="1341">
        <f t="shared" si="23"/>
        <v>0</v>
      </c>
    </row>
    <row r="303" spans="1:11" ht="15" hidden="1" customHeight="1" outlineLevel="1">
      <c r="A303" s="1587" t="s">
        <v>1223</v>
      </c>
      <c r="B303" s="1593" t="s">
        <v>1123</v>
      </c>
      <c r="C303" s="1594" t="s">
        <v>1124</v>
      </c>
      <c r="D303" s="1595">
        <v>38000</v>
      </c>
      <c r="E303" s="1607"/>
      <c r="F303" s="1607">
        <v>1</v>
      </c>
      <c r="G303" s="1596">
        <v>1</v>
      </c>
      <c r="H303" s="1596">
        <v>1</v>
      </c>
      <c r="I303" s="1596">
        <v>1</v>
      </c>
      <c r="J303" s="1341">
        <f t="shared" si="22"/>
        <v>1</v>
      </c>
      <c r="K303" s="1341">
        <f t="shared" si="23"/>
        <v>1</v>
      </c>
    </row>
    <row r="304" spans="1:11" ht="15" hidden="1" customHeight="1" outlineLevel="1">
      <c r="A304" s="1587" t="s">
        <v>1223</v>
      </c>
      <c r="B304" s="1593"/>
      <c r="C304" s="1594" t="s">
        <v>1125</v>
      </c>
      <c r="D304" s="1595">
        <v>38000</v>
      </c>
      <c r="E304" s="1607"/>
      <c r="F304" s="1607">
        <v>1</v>
      </c>
      <c r="G304" s="1596">
        <v>1</v>
      </c>
      <c r="H304" s="1596">
        <v>1</v>
      </c>
      <c r="I304" s="1596">
        <v>1</v>
      </c>
      <c r="J304" s="1341">
        <f t="shared" si="22"/>
        <v>1</v>
      </c>
      <c r="K304" s="1341">
        <f t="shared" si="23"/>
        <v>1</v>
      </c>
    </row>
    <row r="305" spans="1:11" ht="15" hidden="1" customHeight="1" outlineLevel="1">
      <c r="A305" s="1587" t="s">
        <v>1223</v>
      </c>
      <c r="B305" s="1593"/>
      <c r="C305" s="1614" t="s">
        <v>1126</v>
      </c>
      <c r="D305" s="1595">
        <v>65000</v>
      </c>
      <c r="E305" s="1607"/>
      <c r="F305" s="1607">
        <v>1</v>
      </c>
      <c r="G305" s="1596">
        <v>1</v>
      </c>
      <c r="H305" s="1596">
        <v>1</v>
      </c>
      <c r="I305" s="1596">
        <v>1</v>
      </c>
      <c r="J305" s="1341">
        <f t="shared" si="22"/>
        <v>1</v>
      </c>
      <c r="K305" s="1341">
        <f t="shared" si="23"/>
        <v>1</v>
      </c>
    </row>
    <row r="306" spans="1:11" ht="15" hidden="1" customHeight="1" outlineLevel="1">
      <c r="A306" s="1587" t="s">
        <v>1223</v>
      </c>
      <c r="B306" s="1593"/>
      <c r="C306" s="1594" t="s">
        <v>1127</v>
      </c>
      <c r="D306" s="1595">
        <v>38000</v>
      </c>
      <c r="E306" s="1607"/>
      <c r="F306" s="1607">
        <v>1</v>
      </c>
      <c r="G306" s="1596">
        <v>1</v>
      </c>
      <c r="H306" s="1596">
        <v>1</v>
      </c>
      <c r="I306" s="1596">
        <v>1</v>
      </c>
      <c r="J306" s="1341">
        <f t="shared" si="22"/>
        <v>1</v>
      </c>
      <c r="K306" s="1341">
        <f t="shared" si="23"/>
        <v>1</v>
      </c>
    </row>
    <row r="307" spans="1:11" ht="15" hidden="1" customHeight="1" outlineLevel="1">
      <c r="A307" s="1587" t="s">
        <v>1223</v>
      </c>
      <c r="B307" s="1593"/>
      <c r="C307" s="1594"/>
      <c r="D307" s="1595">
        <v>0</v>
      </c>
      <c r="E307" s="1607"/>
      <c r="F307" s="1607"/>
      <c r="G307" s="1596"/>
      <c r="H307" s="1596"/>
      <c r="I307" s="1596"/>
      <c r="J307" s="1341">
        <f t="shared" si="22"/>
        <v>0</v>
      </c>
      <c r="K307" s="1341">
        <f t="shared" si="23"/>
        <v>0</v>
      </c>
    </row>
    <row r="308" spans="1:11" ht="15" hidden="1" customHeight="1" outlineLevel="1">
      <c r="A308" s="1587" t="s">
        <v>1223</v>
      </c>
      <c r="B308" s="1591" t="s">
        <v>1128</v>
      </c>
      <c r="C308" s="1588" t="s">
        <v>1129</v>
      </c>
      <c r="D308" s="1589">
        <v>65000</v>
      </c>
      <c r="E308" s="1592"/>
      <c r="F308" s="1592">
        <v>1</v>
      </c>
      <c r="G308" s="1592">
        <v>1</v>
      </c>
      <c r="H308" s="1592">
        <v>1</v>
      </c>
      <c r="I308" s="1592">
        <v>1</v>
      </c>
      <c r="J308" s="1341">
        <f t="shared" si="22"/>
        <v>1</v>
      </c>
      <c r="K308" s="1341">
        <f t="shared" si="23"/>
        <v>1</v>
      </c>
    </row>
    <row r="309" spans="1:11" ht="15" hidden="1" customHeight="1" outlineLevel="1">
      <c r="A309" s="1587" t="s">
        <v>1223</v>
      </c>
      <c r="B309" s="1591"/>
      <c r="C309" s="1588" t="s">
        <v>1130</v>
      </c>
      <c r="D309" s="1589">
        <v>40000</v>
      </c>
      <c r="E309" s="1592"/>
      <c r="F309" s="1592">
        <v>1</v>
      </c>
      <c r="G309" s="1592">
        <v>1</v>
      </c>
      <c r="H309" s="1592">
        <v>1</v>
      </c>
      <c r="I309" s="1592">
        <v>1</v>
      </c>
      <c r="J309" s="1341">
        <f t="shared" si="22"/>
        <v>1</v>
      </c>
      <c r="K309" s="1341">
        <f t="shared" si="23"/>
        <v>1</v>
      </c>
    </row>
    <row r="310" spans="1:11" ht="15" hidden="1" customHeight="1" outlineLevel="1">
      <c r="A310" s="1587" t="s">
        <v>1223</v>
      </c>
      <c r="B310" s="1591"/>
      <c r="C310" s="1588"/>
      <c r="D310" s="1589">
        <v>0</v>
      </c>
      <c r="E310" s="1592"/>
      <c r="F310" s="1592"/>
      <c r="G310" s="1592"/>
      <c r="H310" s="1592"/>
      <c r="I310" s="1592"/>
      <c r="J310" s="1341">
        <f t="shared" si="22"/>
        <v>0</v>
      </c>
      <c r="K310" s="1341">
        <f t="shared" si="23"/>
        <v>0</v>
      </c>
    </row>
    <row r="311" spans="1:11" ht="15" hidden="1" customHeight="1" outlineLevel="1">
      <c r="A311" s="1598" t="s">
        <v>1224</v>
      </c>
      <c r="B311" s="1594" t="s">
        <v>1132</v>
      </c>
      <c r="C311" s="1594" t="s">
        <v>32</v>
      </c>
      <c r="D311" s="1595">
        <v>105000</v>
      </c>
      <c r="E311" s="1595"/>
      <c r="F311" s="1595">
        <v>1</v>
      </c>
      <c r="G311" s="1595">
        <v>1</v>
      </c>
      <c r="H311" s="1595">
        <v>1</v>
      </c>
      <c r="I311" s="1595">
        <v>1</v>
      </c>
      <c r="J311" s="1341">
        <f t="shared" si="22"/>
        <v>1</v>
      </c>
      <c r="K311" s="1341">
        <f t="shared" si="23"/>
        <v>1</v>
      </c>
    </row>
    <row r="312" spans="1:11" ht="15" hidden="1" customHeight="1" outlineLevel="1">
      <c r="A312" s="1598" t="s">
        <v>1224</v>
      </c>
      <c r="B312" s="1594"/>
      <c r="C312" s="1599" t="s">
        <v>1133</v>
      </c>
      <c r="D312" s="1595">
        <v>55000</v>
      </c>
      <c r="E312" s="1607"/>
      <c r="F312" s="1607">
        <v>2</v>
      </c>
      <c r="G312" s="1607">
        <v>2</v>
      </c>
      <c r="H312" s="1607">
        <v>2</v>
      </c>
      <c r="I312" s="1607">
        <v>2</v>
      </c>
      <c r="J312" s="1341">
        <f t="shared" si="22"/>
        <v>2</v>
      </c>
      <c r="K312" s="1341">
        <f t="shared" si="23"/>
        <v>2</v>
      </c>
    </row>
    <row r="313" spans="1:11" ht="15" hidden="1" customHeight="1" outlineLevel="1">
      <c r="A313" s="1598" t="s">
        <v>1224</v>
      </c>
      <c r="B313" s="1594"/>
      <c r="C313" s="1599" t="s">
        <v>1134</v>
      </c>
      <c r="D313" s="1595">
        <v>55000</v>
      </c>
      <c r="E313" s="1607"/>
      <c r="F313" s="1607">
        <v>2</v>
      </c>
      <c r="G313" s="1607">
        <v>2</v>
      </c>
      <c r="H313" s="1607">
        <v>2</v>
      </c>
      <c r="I313" s="1607">
        <v>2</v>
      </c>
      <c r="J313" s="1341">
        <f t="shared" si="22"/>
        <v>2</v>
      </c>
      <c r="K313" s="1341">
        <f t="shared" si="23"/>
        <v>2</v>
      </c>
    </row>
    <row r="314" spans="1:11" ht="15" hidden="1" customHeight="1" outlineLevel="1">
      <c r="A314" s="1598" t="s">
        <v>1224</v>
      </c>
      <c r="B314" s="1594"/>
      <c r="C314" s="1594" t="s">
        <v>1135</v>
      </c>
      <c r="D314" s="1595">
        <v>55000</v>
      </c>
      <c r="E314" s="1607"/>
      <c r="F314" s="1607">
        <v>1</v>
      </c>
      <c r="G314" s="1607">
        <v>1</v>
      </c>
      <c r="H314" s="1607">
        <v>1</v>
      </c>
      <c r="I314" s="1607">
        <v>1</v>
      </c>
      <c r="J314" s="1341">
        <f t="shared" si="22"/>
        <v>1</v>
      </c>
      <c r="K314" s="1341">
        <f t="shared" si="23"/>
        <v>1</v>
      </c>
    </row>
    <row r="315" spans="1:11" ht="15" hidden="1" customHeight="1" outlineLevel="1">
      <c r="A315" s="1598" t="s">
        <v>1224</v>
      </c>
      <c r="B315" s="1594"/>
      <c r="C315" s="1593" t="s">
        <v>1136</v>
      </c>
      <c r="D315" s="1595">
        <v>37000</v>
      </c>
      <c r="E315" s="1607"/>
      <c r="F315" s="1607">
        <v>3</v>
      </c>
      <c r="G315" s="1607">
        <v>3</v>
      </c>
      <c r="H315" s="1607">
        <v>3</v>
      </c>
      <c r="I315" s="1607">
        <v>3</v>
      </c>
      <c r="J315" s="1341">
        <f t="shared" si="22"/>
        <v>3</v>
      </c>
      <c r="K315" s="1341">
        <f t="shared" si="23"/>
        <v>3</v>
      </c>
    </row>
    <row r="316" spans="1:11" ht="15" hidden="1" customHeight="1" outlineLevel="1">
      <c r="A316" s="1598" t="s">
        <v>1224</v>
      </c>
      <c r="B316" s="1594"/>
      <c r="C316" s="1593" t="s">
        <v>1137</v>
      </c>
      <c r="D316" s="1595">
        <v>65000</v>
      </c>
      <c r="E316" s="1607"/>
      <c r="F316" s="1607">
        <v>1</v>
      </c>
      <c r="G316" s="1607">
        <v>1</v>
      </c>
      <c r="H316" s="1607">
        <v>1</v>
      </c>
      <c r="I316" s="1607">
        <v>1</v>
      </c>
      <c r="J316" s="1341">
        <f t="shared" si="22"/>
        <v>1</v>
      </c>
      <c r="K316" s="1341">
        <f t="shared" si="23"/>
        <v>1</v>
      </c>
    </row>
    <row r="317" spans="1:11" ht="15" hidden="1" customHeight="1" outlineLevel="1">
      <c r="A317" s="1598" t="s">
        <v>1224</v>
      </c>
      <c r="B317" s="1594"/>
      <c r="C317" s="1593" t="s">
        <v>1138</v>
      </c>
      <c r="D317" s="1595">
        <v>40000</v>
      </c>
      <c r="E317" s="1596"/>
      <c r="F317" s="1596">
        <v>1</v>
      </c>
      <c r="G317" s="1596">
        <v>1</v>
      </c>
      <c r="H317" s="1596">
        <v>1</v>
      </c>
      <c r="I317" s="1596">
        <v>1</v>
      </c>
      <c r="J317" s="1341">
        <f t="shared" si="22"/>
        <v>1</v>
      </c>
      <c r="K317" s="1341">
        <f t="shared" si="23"/>
        <v>1</v>
      </c>
    </row>
    <row r="318" spans="1:11" ht="15" hidden="1" customHeight="1" outlineLevel="1">
      <c r="A318" s="1598" t="s">
        <v>1224</v>
      </c>
      <c r="B318" s="1594"/>
      <c r="C318" s="1593" t="s">
        <v>1139</v>
      </c>
      <c r="D318" s="1595">
        <v>55000</v>
      </c>
      <c r="E318" s="1596"/>
      <c r="F318" s="1596">
        <v>1</v>
      </c>
      <c r="G318" s="1596">
        <v>1</v>
      </c>
      <c r="H318" s="1596">
        <v>1</v>
      </c>
      <c r="I318" s="1596">
        <v>1</v>
      </c>
      <c r="J318" s="1341">
        <f t="shared" si="22"/>
        <v>1</v>
      </c>
      <c r="K318" s="1341">
        <f t="shared" si="23"/>
        <v>1</v>
      </c>
    </row>
    <row r="319" spans="1:11" ht="15" hidden="1" customHeight="1" outlineLevel="1">
      <c r="A319" s="1598" t="s">
        <v>1224</v>
      </c>
      <c r="B319" s="1594"/>
      <c r="C319" s="1593" t="s">
        <v>40</v>
      </c>
      <c r="D319" s="1595">
        <v>38000</v>
      </c>
      <c r="E319" s="1596"/>
      <c r="F319" s="1596">
        <v>1</v>
      </c>
      <c r="G319" s="1596">
        <v>1</v>
      </c>
      <c r="H319" s="1596">
        <v>1</v>
      </c>
      <c r="I319" s="1596">
        <v>1</v>
      </c>
      <c r="J319" s="1341">
        <f t="shared" si="22"/>
        <v>1</v>
      </c>
      <c r="K319" s="1341">
        <f t="shared" si="23"/>
        <v>1</v>
      </c>
    </row>
    <row r="320" spans="1:11" ht="15" hidden="1" customHeight="1" outlineLevel="1">
      <c r="A320" s="1598" t="s">
        <v>1224</v>
      </c>
      <c r="B320" s="1594"/>
      <c r="C320" s="1593"/>
      <c r="D320" s="1595">
        <v>0</v>
      </c>
      <c r="E320" s="1596"/>
      <c r="F320" s="1596"/>
      <c r="G320" s="1596"/>
      <c r="H320" s="1596"/>
      <c r="I320" s="1596"/>
      <c r="J320" s="1341">
        <f t="shared" si="22"/>
        <v>0</v>
      </c>
      <c r="K320" s="1341">
        <f t="shared" si="23"/>
        <v>0</v>
      </c>
    </row>
    <row r="321" spans="1:11" ht="15" hidden="1" customHeight="1" outlineLevel="1">
      <c r="A321" s="1587" t="s">
        <v>1225</v>
      </c>
      <c r="B321" s="1588" t="s">
        <v>1141</v>
      </c>
      <c r="C321" s="1591" t="s">
        <v>1142</v>
      </c>
      <c r="D321" s="1589">
        <v>95000</v>
      </c>
      <c r="E321" s="1589"/>
      <c r="F321" s="1589">
        <v>1</v>
      </c>
      <c r="G321" s="1589">
        <v>1</v>
      </c>
      <c r="H321" s="1589">
        <v>1</v>
      </c>
      <c r="I321" s="1589">
        <v>1</v>
      </c>
      <c r="J321" s="1341">
        <f t="shared" si="22"/>
        <v>1</v>
      </c>
      <c r="K321" s="1341">
        <f t="shared" si="23"/>
        <v>1</v>
      </c>
    </row>
    <row r="322" spans="1:11" ht="15" hidden="1" customHeight="1" outlineLevel="1">
      <c r="A322" s="1587" t="s">
        <v>1225</v>
      </c>
      <c r="B322" s="1588"/>
      <c r="C322" s="1600" t="s">
        <v>1143</v>
      </c>
      <c r="D322" s="1589">
        <v>50000</v>
      </c>
      <c r="E322" s="1589"/>
      <c r="F322" s="1589">
        <v>1</v>
      </c>
      <c r="G322" s="1589">
        <v>1</v>
      </c>
      <c r="H322" s="1589">
        <v>1</v>
      </c>
      <c r="I322" s="1589">
        <v>1</v>
      </c>
      <c r="J322" s="1341">
        <f t="shared" si="22"/>
        <v>1</v>
      </c>
      <c r="K322" s="1341">
        <f t="shared" si="23"/>
        <v>1</v>
      </c>
    </row>
    <row r="323" spans="1:11" ht="15" hidden="1" customHeight="1" outlineLevel="1">
      <c r="A323" s="1587" t="s">
        <v>1225</v>
      </c>
      <c r="B323" s="1588"/>
      <c r="C323" s="1601" t="s">
        <v>1144</v>
      </c>
      <c r="D323" s="1589">
        <v>38000</v>
      </c>
      <c r="E323" s="1589"/>
      <c r="F323" s="1589">
        <v>1</v>
      </c>
      <c r="G323" s="1589">
        <v>1</v>
      </c>
      <c r="H323" s="1589">
        <v>1</v>
      </c>
      <c r="I323" s="1589">
        <v>1</v>
      </c>
      <c r="J323" s="1341">
        <f t="shared" si="22"/>
        <v>1</v>
      </c>
      <c r="K323" s="1341">
        <f t="shared" si="23"/>
        <v>1</v>
      </c>
    </row>
    <row r="324" spans="1:11" ht="15" hidden="1" customHeight="1" outlineLevel="1">
      <c r="A324" s="1587" t="s">
        <v>1225</v>
      </c>
      <c r="B324" s="1588"/>
      <c r="C324" s="1588" t="s">
        <v>1145</v>
      </c>
      <c r="D324" s="1589">
        <v>35000</v>
      </c>
      <c r="E324" s="1589"/>
      <c r="F324" s="1589">
        <v>2</v>
      </c>
      <c r="G324" s="1589">
        <v>2</v>
      </c>
      <c r="H324" s="1589">
        <v>2</v>
      </c>
      <c r="I324" s="1589">
        <v>2</v>
      </c>
      <c r="J324" s="1341">
        <f t="shared" si="22"/>
        <v>2</v>
      </c>
      <c r="K324" s="1341">
        <f t="shared" si="23"/>
        <v>2</v>
      </c>
    </row>
    <row r="325" spans="1:11" ht="15" hidden="1" customHeight="1" outlineLevel="1">
      <c r="A325" s="1587" t="s">
        <v>1225</v>
      </c>
      <c r="B325" s="1588"/>
      <c r="C325" s="1588" t="s">
        <v>1146</v>
      </c>
      <c r="D325" s="1589">
        <v>38000</v>
      </c>
      <c r="E325" s="1589"/>
      <c r="F325" s="1589">
        <v>1</v>
      </c>
      <c r="G325" s="1589">
        <v>1</v>
      </c>
      <c r="H325" s="1589">
        <v>1</v>
      </c>
      <c r="I325" s="1589">
        <v>1</v>
      </c>
      <c r="J325" s="1341">
        <f t="shared" si="22"/>
        <v>1</v>
      </c>
      <c r="K325" s="1341">
        <f t="shared" si="23"/>
        <v>1</v>
      </c>
    </row>
    <row r="326" spans="1:11" ht="15" hidden="1" customHeight="1" outlineLevel="1">
      <c r="A326" s="1587" t="s">
        <v>1225</v>
      </c>
      <c r="B326" s="1588"/>
      <c r="C326" s="1602" t="s">
        <v>1147</v>
      </c>
      <c r="D326" s="1589">
        <v>35000</v>
      </c>
      <c r="E326" s="1589"/>
      <c r="F326" s="1589">
        <v>2</v>
      </c>
      <c r="G326" s="1589">
        <v>2</v>
      </c>
      <c r="H326" s="1589">
        <v>2</v>
      </c>
      <c r="I326" s="1589">
        <v>2</v>
      </c>
      <c r="J326" s="1341">
        <f t="shared" si="22"/>
        <v>2</v>
      </c>
      <c r="K326" s="1341">
        <f t="shared" si="23"/>
        <v>2</v>
      </c>
    </row>
    <row r="327" spans="1:11" ht="15" hidden="1" customHeight="1" outlineLevel="1">
      <c r="A327" s="1587" t="s">
        <v>1225</v>
      </c>
      <c r="B327" s="1588"/>
      <c r="C327" s="1591" t="s">
        <v>1148</v>
      </c>
      <c r="D327" s="1589">
        <v>32000</v>
      </c>
      <c r="E327" s="1589"/>
      <c r="F327" s="1589">
        <v>2</v>
      </c>
      <c r="G327" s="1589">
        <v>2</v>
      </c>
      <c r="H327" s="1589">
        <v>2</v>
      </c>
      <c r="I327" s="1589">
        <v>2</v>
      </c>
      <c r="J327" s="1341">
        <f t="shared" si="22"/>
        <v>2</v>
      </c>
      <c r="K327" s="1341">
        <f t="shared" si="23"/>
        <v>2</v>
      </c>
    </row>
    <row r="328" spans="1:11" ht="15" hidden="1" customHeight="1" outlineLevel="1">
      <c r="A328" s="1587" t="s">
        <v>1225</v>
      </c>
      <c r="B328" s="1588"/>
      <c r="C328" s="1591" t="s">
        <v>1149</v>
      </c>
      <c r="D328" s="1589">
        <v>32000</v>
      </c>
      <c r="E328" s="1589"/>
      <c r="F328" s="1589">
        <v>2</v>
      </c>
      <c r="G328" s="1589">
        <v>2</v>
      </c>
      <c r="H328" s="1589">
        <v>2</v>
      </c>
      <c r="I328" s="1589">
        <v>2</v>
      </c>
      <c r="J328" s="1341">
        <f t="shared" si="22"/>
        <v>2</v>
      </c>
      <c r="K328" s="1341">
        <f t="shared" si="23"/>
        <v>2</v>
      </c>
    </row>
    <row r="329" spans="1:11" ht="15" hidden="1" customHeight="1" outlineLevel="1">
      <c r="A329" s="1587" t="s">
        <v>1225</v>
      </c>
      <c r="B329" s="1588"/>
      <c r="C329" s="1591" t="s">
        <v>1150</v>
      </c>
      <c r="D329" s="1589">
        <v>32000</v>
      </c>
      <c r="E329" s="1589"/>
      <c r="F329" s="1589">
        <v>1</v>
      </c>
      <c r="G329" s="1589">
        <v>1</v>
      </c>
      <c r="H329" s="1589">
        <v>1</v>
      </c>
      <c r="I329" s="1589">
        <v>1</v>
      </c>
      <c r="J329" s="1341">
        <f t="shared" si="22"/>
        <v>1</v>
      </c>
      <c r="K329" s="1341">
        <f t="shared" si="23"/>
        <v>1</v>
      </c>
    </row>
    <row r="330" spans="1:11" ht="15" hidden="1" customHeight="1" outlineLevel="1">
      <c r="A330" s="1587" t="s">
        <v>1225</v>
      </c>
      <c r="B330" s="1588"/>
      <c r="C330" s="1591"/>
      <c r="D330" s="1589">
        <v>0</v>
      </c>
      <c r="E330" s="1589"/>
      <c r="F330" s="1589"/>
      <c r="G330" s="1589"/>
      <c r="H330" s="1589"/>
      <c r="I330" s="1589"/>
      <c r="J330" s="1341">
        <f t="shared" si="22"/>
        <v>0</v>
      </c>
      <c r="K330" s="1341">
        <f t="shared" si="23"/>
        <v>0</v>
      </c>
    </row>
    <row r="331" spans="1:11" ht="15" hidden="1" customHeight="1" outlineLevel="1">
      <c r="A331" s="1598" t="s">
        <v>1226</v>
      </c>
      <c r="B331" s="1594" t="s">
        <v>1152</v>
      </c>
      <c r="C331" s="1593" t="s">
        <v>1153</v>
      </c>
      <c r="D331" s="1595">
        <v>65000</v>
      </c>
      <c r="E331" s="1595"/>
      <c r="F331" s="1595">
        <v>1</v>
      </c>
      <c r="G331" s="1595">
        <v>1</v>
      </c>
      <c r="H331" s="1595">
        <v>1</v>
      </c>
      <c r="I331" s="1595">
        <v>1</v>
      </c>
      <c r="J331" s="1341">
        <f t="shared" si="22"/>
        <v>1</v>
      </c>
      <c r="K331" s="1341">
        <f t="shared" si="23"/>
        <v>1</v>
      </c>
    </row>
    <row r="332" spans="1:11" ht="15" hidden="1" customHeight="1" outlineLevel="1">
      <c r="A332" s="1598" t="s">
        <v>1226</v>
      </c>
      <c r="B332" s="1594"/>
      <c r="C332" s="1593" t="s">
        <v>1154</v>
      </c>
      <c r="D332" s="1595">
        <v>50000</v>
      </c>
      <c r="E332" s="1603"/>
      <c r="F332" s="1603">
        <v>1</v>
      </c>
      <c r="G332" s="1595">
        <v>1</v>
      </c>
      <c r="H332" s="1595">
        <v>1</v>
      </c>
      <c r="I332" s="1595">
        <v>1</v>
      </c>
      <c r="J332" s="1341">
        <f t="shared" si="22"/>
        <v>1</v>
      </c>
      <c r="K332" s="1341">
        <f t="shared" si="23"/>
        <v>1</v>
      </c>
    </row>
    <row r="333" spans="1:11" ht="15" hidden="1" customHeight="1" outlineLevel="1">
      <c r="A333" s="1598" t="s">
        <v>1226</v>
      </c>
      <c r="B333" s="1594"/>
      <c r="C333" s="1593" t="s">
        <v>1155</v>
      </c>
      <c r="D333" s="1595">
        <v>40000</v>
      </c>
      <c r="E333" s="1595"/>
      <c r="F333" s="1595">
        <v>2</v>
      </c>
      <c r="G333" s="1595">
        <v>2</v>
      </c>
      <c r="H333" s="1595">
        <v>2</v>
      </c>
      <c r="I333" s="1595">
        <v>2</v>
      </c>
      <c r="J333" s="1341">
        <f t="shared" si="22"/>
        <v>2</v>
      </c>
      <c r="K333" s="1341">
        <f t="shared" si="23"/>
        <v>2</v>
      </c>
    </row>
    <row r="334" spans="1:11" ht="15" hidden="1" customHeight="1" outlineLevel="1">
      <c r="A334" s="1598" t="s">
        <v>1226</v>
      </c>
      <c r="B334" s="1594"/>
      <c r="C334" s="1593" t="s">
        <v>1156</v>
      </c>
      <c r="D334" s="1595">
        <v>30000</v>
      </c>
      <c r="E334" s="1595"/>
      <c r="F334" s="1595">
        <v>9</v>
      </c>
      <c r="G334" s="1595">
        <v>9</v>
      </c>
      <c r="H334" s="1595">
        <v>9</v>
      </c>
      <c r="I334" s="1595">
        <v>9</v>
      </c>
      <c r="J334" s="1341">
        <f t="shared" si="22"/>
        <v>9</v>
      </c>
      <c r="K334" s="1341">
        <f t="shared" si="23"/>
        <v>9</v>
      </c>
    </row>
    <row r="335" spans="1:11" ht="15" hidden="1" customHeight="1" outlineLevel="1">
      <c r="A335" s="1598" t="s">
        <v>1226</v>
      </c>
      <c r="B335" s="1594"/>
      <c r="C335" s="1594" t="s">
        <v>1157</v>
      </c>
      <c r="D335" s="1603">
        <v>25000</v>
      </c>
      <c r="E335" s="1595"/>
      <c r="F335" s="1595">
        <v>5</v>
      </c>
      <c r="G335" s="1595">
        <v>5</v>
      </c>
      <c r="H335" s="1595">
        <v>5</v>
      </c>
      <c r="I335" s="1595">
        <v>5</v>
      </c>
      <c r="J335" s="1341">
        <f t="shared" si="22"/>
        <v>5</v>
      </c>
      <c r="K335" s="1341">
        <f t="shared" si="23"/>
        <v>5</v>
      </c>
    </row>
    <row r="336" spans="1:11" ht="15" hidden="1" customHeight="1" outlineLevel="1">
      <c r="A336" s="1598" t="s">
        <v>1226</v>
      </c>
      <c r="B336" s="1594"/>
      <c r="C336" s="1593" t="s">
        <v>1158</v>
      </c>
      <c r="D336" s="1595">
        <v>25000</v>
      </c>
      <c r="E336" s="1595"/>
      <c r="F336" s="1595">
        <v>4</v>
      </c>
      <c r="G336" s="1595">
        <v>4</v>
      </c>
      <c r="H336" s="1595">
        <v>4</v>
      </c>
      <c r="I336" s="1595">
        <v>4</v>
      </c>
      <c r="J336" s="1341">
        <f t="shared" si="22"/>
        <v>4</v>
      </c>
      <c r="K336" s="1341">
        <f t="shared" si="23"/>
        <v>4</v>
      </c>
    </row>
    <row r="337" spans="1:11" ht="15" hidden="1" customHeight="1" outlineLevel="1">
      <c r="A337" s="1598" t="s">
        <v>1226</v>
      </c>
      <c r="B337" s="1594"/>
      <c r="C337" s="1593"/>
      <c r="D337" s="1595">
        <v>0</v>
      </c>
      <c r="E337" s="1595"/>
      <c r="F337" s="1595"/>
      <c r="G337" s="1595"/>
      <c r="H337" s="1595"/>
      <c r="I337" s="1595"/>
      <c r="J337" s="1341">
        <f t="shared" si="22"/>
        <v>0</v>
      </c>
      <c r="K337" s="1341">
        <f t="shared" si="23"/>
        <v>0</v>
      </c>
    </row>
    <row r="338" spans="1:11" ht="15" hidden="1" customHeight="1" outlineLevel="1">
      <c r="A338" s="1598" t="s">
        <v>1226</v>
      </c>
      <c r="B338" s="1590" t="s">
        <v>1159</v>
      </c>
      <c r="C338" s="1591" t="s">
        <v>1160</v>
      </c>
      <c r="D338" s="1589">
        <v>65000</v>
      </c>
      <c r="E338" s="1589"/>
      <c r="F338" s="1589">
        <v>1</v>
      </c>
      <c r="G338" s="1589">
        <v>1</v>
      </c>
      <c r="H338" s="1589">
        <v>1</v>
      </c>
      <c r="I338" s="1589">
        <v>1</v>
      </c>
      <c r="J338" s="1341">
        <f t="shared" si="22"/>
        <v>1</v>
      </c>
      <c r="K338" s="1341">
        <f t="shared" si="23"/>
        <v>1</v>
      </c>
    </row>
    <row r="339" spans="1:11" ht="15" hidden="1" customHeight="1" outlineLevel="1">
      <c r="A339" s="1598" t="s">
        <v>1226</v>
      </c>
      <c r="B339" s="1590"/>
      <c r="C339" s="1591" t="s">
        <v>1161</v>
      </c>
      <c r="D339" s="1589">
        <v>45000</v>
      </c>
      <c r="E339" s="1589"/>
      <c r="F339" s="1589">
        <v>2</v>
      </c>
      <c r="G339" s="1589">
        <v>2</v>
      </c>
      <c r="H339" s="1589">
        <v>2</v>
      </c>
      <c r="I339" s="1589">
        <v>2</v>
      </c>
      <c r="J339" s="1341">
        <f t="shared" si="22"/>
        <v>2</v>
      </c>
      <c r="K339" s="1341">
        <f t="shared" si="23"/>
        <v>2</v>
      </c>
    </row>
    <row r="340" spans="1:11" ht="15" hidden="1" customHeight="1" outlineLevel="1">
      <c r="A340" s="1598" t="s">
        <v>1226</v>
      </c>
      <c r="B340" s="1590"/>
      <c r="C340" s="1591" t="s">
        <v>1162</v>
      </c>
      <c r="D340" s="1589">
        <v>35000</v>
      </c>
      <c r="E340" s="1589"/>
      <c r="F340" s="1589">
        <v>3</v>
      </c>
      <c r="G340" s="1589">
        <v>3</v>
      </c>
      <c r="H340" s="1589">
        <v>3</v>
      </c>
      <c r="I340" s="1589">
        <v>3</v>
      </c>
      <c r="J340" s="1341">
        <f t="shared" si="22"/>
        <v>3</v>
      </c>
      <c r="K340" s="1341">
        <f t="shared" si="23"/>
        <v>3</v>
      </c>
    </row>
    <row r="341" spans="1:11" ht="15" hidden="1" customHeight="1" outlineLevel="1">
      <c r="A341" s="1598" t="s">
        <v>1226</v>
      </c>
      <c r="B341" s="1590"/>
      <c r="C341" s="1591" t="s">
        <v>1163</v>
      </c>
      <c r="D341" s="1589">
        <v>39000</v>
      </c>
      <c r="E341" s="1589"/>
      <c r="F341" s="1589">
        <v>1</v>
      </c>
      <c r="G341" s="1589">
        <v>1</v>
      </c>
      <c r="H341" s="1589">
        <v>1</v>
      </c>
      <c r="I341" s="1589">
        <v>1</v>
      </c>
      <c r="J341" s="1341">
        <f t="shared" si="22"/>
        <v>1</v>
      </c>
      <c r="K341" s="1341">
        <f t="shared" si="23"/>
        <v>1</v>
      </c>
    </row>
    <row r="342" spans="1:11" ht="15" hidden="1" customHeight="1" outlineLevel="1">
      <c r="A342" s="1598" t="s">
        <v>1226</v>
      </c>
      <c r="B342" s="1590"/>
      <c r="C342" s="1591" t="s">
        <v>1164</v>
      </c>
      <c r="D342" s="1589">
        <v>32000</v>
      </c>
      <c r="E342" s="1589"/>
      <c r="F342" s="1589">
        <v>2</v>
      </c>
      <c r="G342" s="1589">
        <v>2</v>
      </c>
      <c r="H342" s="1589">
        <v>2</v>
      </c>
      <c r="I342" s="1589">
        <v>2</v>
      </c>
      <c r="J342" s="1341">
        <f t="shared" si="22"/>
        <v>2</v>
      </c>
      <c r="K342" s="1341">
        <f t="shared" si="23"/>
        <v>2</v>
      </c>
    </row>
    <row r="343" spans="1:11" ht="15" hidden="1" customHeight="1" outlineLevel="1">
      <c r="A343" s="1598" t="s">
        <v>1226</v>
      </c>
      <c r="B343" s="1590"/>
      <c r="C343" s="1590" t="s">
        <v>1165</v>
      </c>
      <c r="D343" s="1589">
        <v>28000</v>
      </c>
      <c r="E343" s="1589"/>
      <c r="F343" s="1589">
        <v>1</v>
      </c>
      <c r="G343" s="1589">
        <v>1</v>
      </c>
      <c r="H343" s="1589">
        <v>1</v>
      </c>
      <c r="I343" s="1589">
        <v>1</v>
      </c>
      <c r="J343" s="1341">
        <f t="shared" ref="J343:J403" si="24">I343</f>
        <v>1</v>
      </c>
      <c r="K343" s="1341">
        <f t="shared" ref="K343:K403" si="25">J343</f>
        <v>1</v>
      </c>
    </row>
    <row r="344" spans="1:11" ht="15" hidden="1" customHeight="1" outlineLevel="1">
      <c r="A344" s="1598" t="s">
        <v>1226</v>
      </c>
      <c r="B344" s="1590"/>
      <c r="C344" s="1590" t="s">
        <v>1166</v>
      </c>
      <c r="D344" s="1589">
        <v>23000</v>
      </c>
      <c r="E344" s="1589"/>
      <c r="F344" s="1589">
        <v>3</v>
      </c>
      <c r="G344" s="1589">
        <v>3</v>
      </c>
      <c r="H344" s="1589">
        <v>3</v>
      </c>
      <c r="I344" s="1589">
        <v>3</v>
      </c>
      <c r="J344" s="1341">
        <f t="shared" si="24"/>
        <v>3</v>
      </c>
      <c r="K344" s="1341">
        <f t="shared" si="25"/>
        <v>3</v>
      </c>
    </row>
    <row r="345" spans="1:11" ht="15" hidden="1" customHeight="1" outlineLevel="1">
      <c r="A345" s="1598" t="s">
        <v>1226</v>
      </c>
      <c r="B345" s="1590"/>
      <c r="C345" s="1602"/>
      <c r="D345" s="1589">
        <v>0</v>
      </c>
      <c r="E345" s="1589"/>
      <c r="F345" s="1589"/>
      <c r="G345" s="1589"/>
      <c r="H345" s="1589"/>
      <c r="I345" s="1589"/>
      <c r="J345" s="1341">
        <f t="shared" si="24"/>
        <v>0</v>
      </c>
      <c r="K345" s="1341">
        <f t="shared" si="25"/>
        <v>0</v>
      </c>
    </row>
    <row r="346" spans="1:11" ht="15" hidden="1" customHeight="1" outlineLevel="1">
      <c r="A346" s="1598" t="s">
        <v>1226</v>
      </c>
      <c r="B346" s="1599" t="s">
        <v>1167</v>
      </c>
      <c r="C346" s="1593" t="s">
        <v>1168</v>
      </c>
      <c r="D346" s="1595">
        <v>45000</v>
      </c>
      <c r="E346" s="1595"/>
      <c r="F346" s="1595">
        <v>1</v>
      </c>
      <c r="G346" s="1595">
        <v>1</v>
      </c>
      <c r="H346" s="1595">
        <v>1</v>
      </c>
      <c r="I346" s="1595">
        <v>1</v>
      </c>
      <c r="J346" s="1341">
        <f t="shared" si="24"/>
        <v>1</v>
      </c>
      <c r="K346" s="1341">
        <f t="shared" si="25"/>
        <v>1</v>
      </c>
    </row>
    <row r="347" spans="1:11" ht="15" hidden="1" customHeight="1" outlineLevel="1">
      <c r="A347" s="1598" t="s">
        <v>1226</v>
      </c>
      <c r="B347" s="1599"/>
      <c r="C347" s="1593" t="s">
        <v>1169</v>
      </c>
      <c r="D347" s="1595">
        <v>30000</v>
      </c>
      <c r="E347" s="1595"/>
      <c r="F347" s="1595">
        <v>4</v>
      </c>
      <c r="G347" s="1595">
        <v>4</v>
      </c>
      <c r="H347" s="1595">
        <v>4</v>
      </c>
      <c r="I347" s="1595">
        <v>4</v>
      </c>
      <c r="J347" s="1341">
        <f t="shared" si="24"/>
        <v>4</v>
      </c>
      <c r="K347" s="1341">
        <f t="shared" si="25"/>
        <v>4</v>
      </c>
    </row>
    <row r="348" spans="1:11" ht="15" hidden="1" customHeight="1" outlineLevel="1">
      <c r="A348" s="1598" t="s">
        <v>1226</v>
      </c>
      <c r="B348" s="1599"/>
      <c r="C348" s="1604" t="s">
        <v>1170</v>
      </c>
      <c r="D348" s="1595">
        <v>28000</v>
      </c>
      <c r="E348" s="1595"/>
      <c r="F348" s="1595">
        <v>1</v>
      </c>
      <c r="G348" s="1595">
        <v>1</v>
      </c>
      <c r="H348" s="1595">
        <v>1</v>
      </c>
      <c r="I348" s="1595">
        <v>1</v>
      </c>
      <c r="J348" s="1341">
        <f t="shared" si="24"/>
        <v>1</v>
      </c>
      <c r="K348" s="1341">
        <f t="shared" si="25"/>
        <v>1</v>
      </c>
    </row>
    <row r="349" spans="1:11" ht="15" hidden="1" customHeight="1" outlineLevel="1">
      <c r="A349" s="1598" t="s">
        <v>1226</v>
      </c>
      <c r="B349" s="1599"/>
      <c r="C349" s="1604"/>
      <c r="D349" s="1595">
        <v>0</v>
      </c>
      <c r="E349" s="1595"/>
      <c r="F349" s="1595"/>
      <c r="G349" s="1595"/>
      <c r="H349" s="1595"/>
      <c r="I349" s="1595"/>
      <c r="J349" s="1341">
        <f t="shared" si="24"/>
        <v>0</v>
      </c>
      <c r="K349" s="1341">
        <f t="shared" si="25"/>
        <v>0</v>
      </c>
    </row>
    <row r="350" spans="1:11" ht="15" hidden="1" customHeight="1" outlineLevel="1">
      <c r="A350" s="1587" t="s">
        <v>1227</v>
      </c>
      <c r="B350" s="1588" t="s">
        <v>1172</v>
      </c>
      <c r="C350" s="1591" t="s">
        <v>1173</v>
      </c>
      <c r="D350" s="1589">
        <v>65000</v>
      </c>
      <c r="E350" s="1589"/>
      <c r="F350" s="1589">
        <v>1</v>
      </c>
      <c r="G350" s="1589">
        <v>1</v>
      </c>
      <c r="H350" s="1589">
        <v>1</v>
      </c>
      <c r="I350" s="1589">
        <v>1</v>
      </c>
      <c r="J350" s="1341">
        <f t="shared" si="24"/>
        <v>1</v>
      </c>
      <c r="K350" s="1341">
        <f t="shared" si="25"/>
        <v>1</v>
      </c>
    </row>
    <row r="351" spans="1:11" ht="15" hidden="1" customHeight="1" outlineLevel="1">
      <c r="A351" s="1587" t="s">
        <v>1227</v>
      </c>
      <c r="B351" s="1588"/>
      <c r="C351" s="1591" t="s">
        <v>1174</v>
      </c>
      <c r="D351" s="1589">
        <v>130000</v>
      </c>
      <c r="E351" s="1589"/>
      <c r="F351" s="1589">
        <v>1</v>
      </c>
      <c r="G351" s="1589">
        <v>1</v>
      </c>
      <c r="H351" s="1589">
        <v>1</v>
      </c>
      <c r="I351" s="1589">
        <v>1</v>
      </c>
      <c r="J351" s="1341">
        <f t="shared" si="24"/>
        <v>1</v>
      </c>
      <c r="K351" s="1341">
        <f t="shared" si="25"/>
        <v>1</v>
      </c>
    </row>
    <row r="352" spans="1:11" ht="15" hidden="1" customHeight="1" outlineLevel="1">
      <c r="A352" s="1587" t="s">
        <v>1227</v>
      </c>
      <c r="B352" s="1588"/>
      <c r="C352" s="1591" t="s">
        <v>1175</v>
      </c>
      <c r="D352" s="1589">
        <v>65000</v>
      </c>
      <c r="E352" s="1589"/>
      <c r="F352" s="1589">
        <v>1</v>
      </c>
      <c r="G352" s="1589">
        <v>1</v>
      </c>
      <c r="H352" s="1589">
        <v>1</v>
      </c>
      <c r="I352" s="1589">
        <v>1</v>
      </c>
      <c r="J352" s="1341">
        <f t="shared" si="24"/>
        <v>1</v>
      </c>
      <c r="K352" s="1341">
        <f t="shared" si="25"/>
        <v>1</v>
      </c>
    </row>
    <row r="353" spans="1:11" ht="15" hidden="1" customHeight="1" outlineLevel="1">
      <c r="A353" s="1587" t="s">
        <v>1227</v>
      </c>
      <c r="B353" s="1588"/>
      <c r="C353" s="1591" t="s">
        <v>1176</v>
      </c>
      <c r="D353" s="1589">
        <v>45000</v>
      </c>
      <c r="E353" s="1589"/>
      <c r="F353" s="1589">
        <v>1</v>
      </c>
      <c r="G353" s="1589">
        <v>1</v>
      </c>
      <c r="H353" s="1589">
        <v>1</v>
      </c>
      <c r="I353" s="1589">
        <v>1</v>
      </c>
      <c r="J353" s="1341">
        <f t="shared" si="24"/>
        <v>1</v>
      </c>
      <c r="K353" s="1341">
        <f t="shared" si="25"/>
        <v>1</v>
      </c>
    </row>
    <row r="354" spans="1:11" ht="15" hidden="1" customHeight="1" outlineLevel="1">
      <c r="A354" s="1587" t="s">
        <v>1227</v>
      </c>
      <c r="B354" s="1588"/>
      <c r="C354" s="1588" t="s">
        <v>1177</v>
      </c>
      <c r="D354" s="1589">
        <v>40000</v>
      </c>
      <c r="E354" s="1589"/>
      <c r="F354" s="1589">
        <v>1</v>
      </c>
      <c r="G354" s="1589">
        <v>1</v>
      </c>
      <c r="H354" s="1589">
        <v>1</v>
      </c>
      <c r="I354" s="1589">
        <v>1</v>
      </c>
      <c r="J354" s="1341">
        <f t="shared" si="24"/>
        <v>1</v>
      </c>
      <c r="K354" s="1341">
        <f t="shared" si="25"/>
        <v>1</v>
      </c>
    </row>
    <row r="355" spans="1:11" ht="15" hidden="1" customHeight="1" outlineLevel="1">
      <c r="A355" s="1587" t="s">
        <v>1227</v>
      </c>
      <c r="B355" s="1588"/>
      <c r="C355" s="1591" t="s">
        <v>1178</v>
      </c>
      <c r="D355" s="1589">
        <v>38000</v>
      </c>
      <c r="E355" s="1589"/>
      <c r="F355" s="1589">
        <v>1</v>
      </c>
      <c r="G355" s="1589">
        <v>1</v>
      </c>
      <c r="H355" s="1589">
        <v>1</v>
      </c>
      <c r="I355" s="1589">
        <v>1</v>
      </c>
      <c r="J355" s="1341">
        <f t="shared" si="24"/>
        <v>1</v>
      </c>
      <c r="K355" s="1341">
        <f t="shared" si="25"/>
        <v>1</v>
      </c>
    </row>
    <row r="356" spans="1:11" ht="15" hidden="1" customHeight="1" outlineLevel="1">
      <c r="A356" s="1587" t="s">
        <v>1227</v>
      </c>
      <c r="B356" s="1588"/>
      <c r="C356" s="1602" t="s">
        <v>1179</v>
      </c>
      <c r="D356" s="1605">
        <v>25000</v>
      </c>
      <c r="E356" s="1589"/>
      <c r="F356" s="1589">
        <v>3</v>
      </c>
      <c r="G356" s="1589">
        <v>3</v>
      </c>
      <c r="H356" s="1589">
        <v>3</v>
      </c>
      <c r="I356" s="1589">
        <v>3</v>
      </c>
      <c r="J356" s="1341">
        <f t="shared" si="24"/>
        <v>3</v>
      </c>
      <c r="K356" s="1341">
        <f t="shared" si="25"/>
        <v>3</v>
      </c>
    </row>
    <row r="357" spans="1:11" ht="15" hidden="1" customHeight="1" outlineLevel="1">
      <c r="A357" s="1587" t="s">
        <v>1227</v>
      </c>
      <c r="B357" s="1588"/>
      <c r="C357" s="1591"/>
      <c r="D357" s="1589">
        <v>0</v>
      </c>
      <c r="E357" s="1589"/>
      <c r="F357" s="1589"/>
      <c r="G357" s="1589"/>
      <c r="H357" s="1589"/>
      <c r="I357" s="1589"/>
      <c r="J357" s="1341">
        <f t="shared" si="24"/>
        <v>0</v>
      </c>
      <c r="K357" s="1341">
        <f t="shared" si="25"/>
        <v>0</v>
      </c>
    </row>
    <row r="358" spans="1:11" ht="15" hidden="1" customHeight="1" outlineLevel="1">
      <c r="A358" s="1587" t="s">
        <v>1227</v>
      </c>
      <c r="B358" s="1594" t="s">
        <v>1228</v>
      </c>
      <c r="C358" s="1593" t="s">
        <v>1181</v>
      </c>
      <c r="D358" s="1595">
        <v>50000</v>
      </c>
      <c r="E358" s="1595"/>
      <c r="F358" s="1595">
        <v>1</v>
      </c>
      <c r="G358" s="1595">
        <v>1</v>
      </c>
      <c r="H358" s="1595">
        <v>1</v>
      </c>
      <c r="I358" s="1595">
        <v>1</v>
      </c>
      <c r="J358" s="1341">
        <f t="shared" si="24"/>
        <v>1</v>
      </c>
      <c r="K358" s="1341">
        <f t="shared" si="25"/>
        <v>1</v>
      </c>
    </row>
    <row r="359" spans="1:11" ht="15" hidden="1" customHeight="1" outlineLevel="1">
      <c r="A359" s="1587" t="s">
        <v>1227</v>
      </c>
      <c r="B359" s="1594"/>
      <c r="C359" s="1593" t="s">
        <v>1182</v>
      </c>
      <c r="D359" s="1595">
        <v>40000</v>
      </c>
      <c r="E359" s="1595"/>
      <c r="F359" s="1595">
        <v>2</v>
      </c>
      <c r="G359" s="1595">
        <v>2</v>
      </c>
      <c r="H359" s="1595">
        <v>2</v>
      </c>
      <c r="I359" s="1595">
        <v>2</v>
      </c>
      <c r="J359" s="1341">
        <f t="shared" si="24"/>
        <v>2</v>
      </c>
      <c r="K359" s="1341">
        <f t="shared" si="25"/>
        <v>2</v>
      </c>
    </row>
    <row r="360" spans="1:11" ht="15" hidden="1" customHeight="1" outlineLevel="1">
      <c r="A360" s="1587" t="s">
        <v>1227</v>
      </c>
      <c r="B360" s="1594"/>
      <c r="C360" s="1593" t="s">
        <v>1183</v>
      </c>
      <c r="D360" s="1595">
        <v>30000</v>
      </c>
      <c r="E360" s="1595"/>
      <c r="F360" s="1595">
        <v>10</v>
      </c>
      <c r="G360" s="1595">
        <v>10</v>
      </c>
      <c r="H360" s="1595">
        <v>10</v>
      </c>
      <c r="I360" s="1595">
        <v>10</v>
      </c>
      <c r="J360" s="1341">
        <f t="shared" si="24"/>
        <v>10</v>
      </c>
      <c r="K360" s="1341">
        <f t="shared" si="25"/>
        <v>10</v>
      </c>
    </row>
    <row r="361" spans="1:11" ht="15" hidden="1" customHeight="1" outlineLevel="1">
      <c r="A361" s="1587" t="s">
        <v>1227</v>
      </c>
      <c r="B361" s="1594"/>
      <c r="C361" s="1593" t="s">
        <v>1184</v>
      </c>
      <c r="D361" s="1595">
        <v>30000</v>
      </c>
      <c r="E361" s="1595"/>
      <c r="F361" s="1595">
        <v>3</v>
      </c>
      <c r="G361" s="1595">
        <v>3</v>
      </c>
      <c r="H361" s="1595">
        <v>3</v>
      </c>
      <c r="I361" s="1595">
        <v>3</v>
      </c>
      <c r="J361" s="1341">
        <f t="shared" si="24"/>
        <v>3</v>
      </c>
      <c r="K361" s="1341">
        <f t="shared" si="25"/>
        <v>3</v>
      </c>
    </row>
    <row r="362" spans="1:11" ht="15" hidden="1" customHeight="1" outlineLevel="1">
      <c r="A362" s="1587" t="s">
        <v>1227</v>
      </c>
      <c r="B362" s="1594"/>
      <c r="C362" s="1593" t="s">
        <v>1185</v>
      </c>
      <c r="D362" s="1595">
        <v>32000</v>
      </c>
      <c r="E362" s="1595"/>
      <c r="F362" s="1595">
        <v>2</v>
      </c>
      <c r="G362" s="1595">
        <v>2</v>
      </c>
      <c r="H362" s="1595">
        <v>2</v>
      </c>
      <c r="I362" s="1595">
        <v>2</v>
      </c>
      <c r="J362" s="1341">
        <f t="shared" si="24"/>
        <v>2</v>
      </c>
      <c r="K362" s="1341">
        <f t="shared" si="25"/>
        <v>2</v>
      </c>
    </row>
    <row r="363" spans="1:11" ht="15" hidden="1" customHeight="1" outlineLevel="1">
      <c r="A363" s="1587" t="s">
        <v>1227</v>
      </c>
      <c r="B363" s="1594"/>
      <c r="C363" s="1593" t="s">
        <v>1186</v>
      </c>
      <c r="D363" s="1595">
        <v>30000</v>
      </c>
      <c r="E363" s="1595"/>
      <c r="F363" s="1595">
        <v>3</v>
      </c>
      <c r="G363" s="1595">
        <v>3</v>
      </c>
      <c r="H363" s="1595">
        <v>3</v>
      </c>
      <c r="I363" s="1595">
        <v>3</v>
      </c>
      <c r="J363" s="1341">
        <f t="shared" si="24"/>
        <v>3</v>
      </c>
      <c r="K363" s="1341">
        <f t="shared" si="25"/>
        <v>3</v>
      </c>
    </row>
    <row r="364" spans="1:11" ht="15" hidden="1" customHeight="1" outlineLevel="1">
      <c r="A364" s="1587" t="s">
        <v>1227</v>
      </c>
      <c r="B364" s="1594"/>
      <c r="C364" s="1593" t="s">
        <v>1187</v>
      </c>
      <c r="D364" s="1595">
        <v>30000</v>
      </c>
      <c r="E364" s="1595"/>
      <c r="F364" s="1595">
        <v>10</v>
      </c>
      <c r="G364" s="1595">
        <v>12</v>
      </c>
      <c r="H364" s="1595">
        <v>12</v>
      </c>
      <c r="I364" s="1595">
        <v>12</v>
      </c>
      <c r="J364" s="1341">
        <f t="shared" si="24"/>
        <v>12</v>
      </c>
      <c r="K364" s="1341">
        <f t="shared" si="25"/>
        <v>12</v>
      </c>
    </row>
    <row r="365" spans="1:11" ht="15" hidden="1" customHeight="1" outlineLevel="1">
      <c r="A365" s="1587" t="s">
        <v>1227</v>
      </c>
      <c r="B365" s="1594"/>
      <c r="C365" s="1593" t="s">
        <v>1188</v>
      </c>
      <c r="D365" s="1595">
        <v>30000</v>
      </c>
      <c r="E365" s="1595"/>
      <c r="F365" s="1595">
        <v>4</v>
      </c>
      <c r="G365" s="1595">
        <v>4</v>
      </c>
      <c r="H365" s="1595">
        <v>4</v>
      </c>
      <c r="I365" s="1595">
        <v>4</v>
      </c>
      <c r="J365" s="1341">
        <f t="shared" si="24"/>
        <v>4</v>
      </c>
      <c r="K365" s="1341">
        <f t="shared" si="25"/>
        <v>4</v>
      </c>
    </row>
    <row r="366" spans="1:11" ht="15" hidden="1" customHeight="1" outlineLevel="1">
      <c r="A366" s="1587" t="s">
        <v>1227</v>
      </c>
      <c r="B366" s="1593"/>
      <c r="C366" s="1593"/>
      <c r="D366" s="1595">
        <v>0</v>
      </c>
      <c r="E366" s="1596"/>
      <c r="F366" s="1596"/>
      <c r="G366" s="1596"/>
      <c r="H366" s="1596"/>
      <c r="I366" s="1596"/>
      <c r="J366" s="1341">
        <f t="shared" si="24"/>
        <v>0</v>
      </c>
      <c r="K366" s="1341">
        <f t="shared" si="25"/>
        <v>0</v>
      </c>
    </row>
    <row r="367" spans="1:11" ht="15" hidden="1" customHeight="1" outlineLevel="1">
      <c r="A367" s="1587" t="s">
        <v>1227</v>
      </c>
      <c r="B367" s="1591" t="s">
        <v>1189</v>
      </c>
      <c r="C367" s="1591" t="s">
        <v>1181</v>
      </c>
      <c r="D367" s="1605">
        <v>50000</v>
      </c>
      <c r="E367" s="1592"/>
      <c r="F367" s="1592"/>
      <c r="G367" s="1592"/>
      <c r="H367" s="1592"/>
      <c r="I367" s="1592"/>
      <c r="J367" s="1341">
        <f t="shared" si="24"/>
        <v>0</v>
      </c>
      <c r="K367" s="1341">
        <f t="shared" si="25"/>
        <v>0</v>
      </c>
    </row>
    <row r="368" spans="1:11" ht="15" hidden="1" customHeight="1" outlineLevel="1">
      <c r="A368" s="1587" t="s">
        <v>1227</v>
      </c>
      <c r="B368" s="1591"/>
      <c r="C368" s="1591" t="s">
        <v>1182</v>
      </c>
      <c r="D368" s="1605">
        <v>40000</v>
      </c>
      <c r="E368" s="1592"/>
      <c r="F368" s="1592"/>
      <c r="G368" s="1592"/>
      <c r="H368" s="1592"/>
      <c r="I368" s="1592"/>
      <c r="J368" s="1341">
        <f t="shared" si="24"/>
        <v>0</v>
      </c>
      <c r="K368" s="1341">
        <f t="shared" si="25"/>
        <v>0</v>
      </c>
    </row>
    <row r="369" spans="1:15" ht="15" hidden="1" customHeight="1" outlineLevel="1">
      <c r="A369" s="1587" t="s">
        <v>1227</v>
      </c>
      <c r="B369" s="1591"/>
      <c r="C369" s="1591" t="s">
        <v>1190</v>
      </c>
      <c r="D369" s="1605">
        <v>30000</v>
      </c>
      <c r="E369" s="1592"/>
      <c r="F369" s="1592"/>
      <c r="G369" s="1592"/>
      <c r="H369" s="1592"/>
      <c r="I369" s="1592"/>
      <c r="J369" s="1341">
        <f t="shared" si="24"/>
        <v>0</v>
      </c>
      <c r="K369" s="1341">
        <f t="shared" si="25"/>
        <v>0</v>
      </c>
    </row>
    <row r="370" spans="1:15" ht="15" hidden="1" customHeight="1" outlineLevel="1">
      <c r="A370" s="1587" t="s">
        <v>1227</v>
      </c>
      <c r="B370" s="1591"/>
      <c r="C370" s="1591" t="s">
        <v>1191</v>
      </c>
      <c r="D370" s="1589">
        <v>35000</v>
      </c>
      <c r="E370" s="1592"/>
      <c r="F370" s="1592"/>
      <c r="G370" s="1592"/>
      <c r="H370" s="1592"/>
      <c r="I370" s="1592"/>
      <c r="J370" s="1341">
        <f t="shared" si="24"/>
        <v>0</v>
      </c>
      <c r="K370" s="1341">
        <f t="shared" si="25"/>
        <v>0</v>
      </c>
    </row>
    <row r="371" spans="1:15" ht="15" hidden="1" customHeight="1" outlineLevel="1">
      <c r="A371" s="1587" t="s">
        <v>1227</v>
      </c>
      <c r="B371" s="1591"/>
      <c r="C371" s="1591" t="s">
        <v>1187</v>
      </c>
      <c r="D371" s="1605">
        <v>30000</v>
      </c>
      <c r="E371" s="1592"/>
      <c r="F371" s="1592"/>
      <c r="G371" s="1592"/>
      <c r="H371" s="1592"/>
      <c r="I371" s="1592"/>
      <c r="J371" s="1341">
        <f t="shared" si="24"/>
        <v>0</v>
      </c>
      <c r="K371" s="1341">
        <f t="shared" si="25"/>
        <v>0</v>
      </c>
    </row>
    <row r="372" spans="1:15" ht="15" hidden="1" customHeight="1" outlineLevel="1">
      <c r="A372" s="1587" t="s">
        <v>1227</v>
      </c>
      <c r="B372" s="1591"/>
      <c r="C372" s="1591"/>
      <c r="D372" s="1589">
        <v>0</v>
      </c>
      <c r="E372" s="1592"/>
      <c r="F372" s="1592"/>
      <c r="G372" s="1592"/>
      <c r="H372" s="1592"/>
      <c r="I372" s="1592"/>
      <c r="J372" s="1341">
        <f t="shared" si="24"/>
        <v>0</v>
      </c>
      <c r="K372" s="1341">
        <f t="shared" si="25"/>
        <v>0</v>
      </c>
    </row>
    <row r="373" spans="1:15" ht="15" hidden="1" customHeight="1" outlineLevel="1">
      <c r="A373" s="1587" t="s">
        <v>1227</v>
      </c>
      <c r="B373" s="1604" t="s">
        <v>1192</v>
      </c>
      <c r="C373" s="1593" t="s">
        <v>1193</v>
      </c>
      <c r="D373" s="1595">
        <v>60000</v>
      </c>
      <c r="E373" s="1596"/>
      <c r="F373" s="1596">
        <v>1</v>
      </c>
      <c r="G373" s="1596">
        <v>1</v>
      </c>
      <c r="H373" s="1596">
        <v>1</v>
      </c>
      <c r="I373" s="1596">
        <v>1</v>
      </c>
      <c r="J373" s="1341">
        <f t="shared" si="24"/>
        <v>1</v>
      </c>
      <c r="K373" s="1341">
        <f t="shared" si="25"/>
        <v>1</v>
      </c>
    </row>
    <row r="374" spans="1:15" ht="15" hidden="1" customHeight="1" outlineLevel="1">
      <c r="A374" s="1587" t="s">
        <v>1227</v>
      </c>
      <c r="B374" s="1604"/>
      <c r="C374" s="1593" t="s">
        <v>1187</v>
      </c>
      <c r="D374" s="1606">
        <v>28000</v>
      </c>
      <c r="E374" s="1596"/>
      <c r="F374" s="1596">
        <v>2</v>
      </c>
      <c r="G374" s="1596">
        <v>2</v>
      </c>
      <c r="H374" s="1596">
        <v>2</v>
      </c>
      <c r="I374" s="1596">
        <v>2</v>
      </c>
      <c r="J374" s="1341">
        <f t="shared" si="24"/>
        <v>2</v>
      </c>
      <c r="K374" s="1341">
        <f t="shared" si="25"/>
        <v>2</v>
      </c>
    </row>
    <row r="375" spans="1:15" ht="15" hidden="1" customHeight="1" outlineLevel="1">
      <c r="A375" s="1587" t="s">
        <v>1227</v>
      </c>
      <c r="B375" s="1604"/>
      <c r="C375" s="1593" t="s">
        <v>1188</v>
      </c>
      <c r="D375" s="1606">
        <v>30000</v>
      </c>
      <c r="E375" s="1596"/>
      <c r="F375" s="1596">
        <v>1</v>
      </c>
      <c r="G375" s="1596">
        <v>1</v>
      </c>
      <c r="H375" s="1596">
        <v>1</v>
      </c>
      <c r="I375" s="1596">
        <v>1</v>
      </c>
      <c r="J375" s="1341">
        <f t="shared" si="24"/>
        <v>1</v>
      </c>
      <c r="K375" s="1341">
        <f t="shared" si="25"/>
        <v>1</v>
      </c>
    </row>
    <row r="376" spans="1:15" ht="15" hidden="1" customHeight="1" outlineLevel="1">
      <c r="A376" s="1587" t="s">
        <v>1227</v>
      </c>
      <c r="B376" s="1604"/>
      <c r="C376" s="1593" t="s">
        <v>1194</v>
      </c>
      <c r="D376" s="1606">
        <v>25000</v>
      </c>
      <c r="E376" s="1596"/>
      <c r="F376" s="1596">
        <v>2</v>
      </c>
      <c r="G376" s="1596">
        <v>2</v>
      </c>
      <c r="H376" s="1596">
        <v>2</v>
      </c>
      <c r="I376" s="1596">
        <v>2</v>
      </c>
      <c r="J376" s="1341">
        <f t="shared" si="24"/>
        <v>2</v>
      </c>
      <c r="K376" s="1341">
        <f t="shared" si="25"/>
        <v>2</v>
      </c>
    </row>
    <row r="377" spans="1:15" ht="15" hidden="1" customHeight="1" outlineLevel="1">
      <c r="A377" s="1587" t="s">
        <v>1227</v>
      </c>
      <c r="B377" s="1604"/>
      <c r="C377" s="1593"/>
      <c r="D377" s="1596">
        <v>0</v>
      </c>
      <c r="E377" s="1596"/>
      <c r="F377" s="1596"/>
      <c r="G377" s="1596"/>
      <c r="H377" s="1596"/>
      <c r="I377" s="1596"/>
      <c r="J377" s="1341">
        <f t="shared" si="24"/>
        <v>0</v>
      </c>
      <c r="K377" s="1341">
        <f t="shared" si="25"/>
        <v>0</v>
      </c>
    </row>
    <row r="378" spans="1:15" ht="15" hidden="1" customHeight="1" outlineLevel="1">
      <c r="A378" s="1598" t="s">
        <v>1229</v>
      </c>
      <c r="B378" s="1591" t="s">
        <v>19</v>
      </c>
      <c r="C378" s="1591" t="s">
        <v>1196</v>
      </c>
      <c r="D378" s="1589">
        <v>33000</v>
      </c>
      <c r="E378" s="1592"/>
      <c r="F378" s="1592">
        <v>1</v>
      </c>
      <c r="G378" s="1592">
        <v>1</v>
      </c>
      <c r="H378" s="1592">
        <v>1</v>
      </c>
      <c r="I378" s="1592">
        <v>1</v>
      </c>
      <c r="J378" s="1341">
        <f t="shared" si="24"/>
        <v>1</v>
      </c>
      <c r="K378" s="1341">
        <f t="shared" si="25"/>
        <v>1</v>
      </c>
      <c r="M378" s="19" t="s">
        <v>1249</v>
      </c>
    </row>
    <row r="379" spans="1:15" ht="15" hidden="1" customHeight="1" outlineLevel="1">
      <c r="A379" s="1598" t="s">
        <v>1229</v>
      </c>
      <c r="B379" s="1591"/>
      <c r="C379" s="1591" t="s">
        <v>1181</v>
      </c>
      <c r="D379" s="1605">
        <v>50000</v>
      </c>
      <c r="E379" s="1592"/>
      <c r="F379" s="1592">
        <v>1</v>
      </c>
      <c r="G379" s="1592">
        <v>1</v>
      </c>
      <c r="H379" s="1592">
        <v>1</v>
      </c>
      <c r="I379" s="1592">
        <v>1</v>
      </c>
      <c r="J379" s="1341">
        <f t="shared" si="24"/>
        <v>1</v>
      </c>
      <c r="K379" s="1341">
        <f t="shared" si="25"/>
        <v>1</v>
      </c>
      <c r="M379" s="1408" t="str">
        <f>Отель4!D17</f>
        <v>Залы и переговорные</v>
      </c>
      <c r="N379" s="1561">
        <f>Отель4!F17</f>
        <v>520</v>
      </c>
      <c r="O379" s="19" t="s">
        <v>216</v>
      </c>
    </row>
    <row r="380" spans="1:15" ht="15" hidden="1" customHeight="1" outlineLevel="1">
      <c r="A380" s="1598" t="s">
        <v>1229</v>
      </c>
      <c r="B380" s="1591"/>
      <c r="C380" s="1591" t="s">
        <v>1197</v>
      </c>
      <c r="D380" s="1605">
        <v>28000</v>
      </c>
      <c r="E380" s="1592"/>
      <c r="F380" s="1592">
        <v>4</v>
      </c>
      <c r="G380" s="1592">
        <v>6</v>
      </c>
      <c r="H380" s="1592">
        <v>8</v>
      </c>
      <c r="I380" s="1592">
        <v>8</v>
      </c>
      <c r="J380" s="1341">
        <f t="shared" si="24"/>
        <v>8</v>
      </c>
      <c r="K380" s="1341">
        <f t="shared" si="25"/>
        <v>8</v>
      </c>
      <c r="M380" s="1408" t="str">
        <f>Отель4!D18</f>
        <v>Фойе</v>
      </c>
      <c r="N380" s="1561">
        <f>Отель4!F18</f>
        <v>135</v>
      </c>
      <c r="O380" s="19" t="s">
        <v>216</v>
      </c>
    </row>
    <row r="381" spans="1:15" ht="15" hidden="1" customHeight="1" outlineLevel="1">
      <c r="A381" s="1598" t="s">
        <v>1229</v>
      </c>
      <c r="B381" s="1591"/>
      <c r="C381" s="1591" t="s">
        <v>1198</v>
      </c>
      <c r="D381" s="1589">
        <v>28000</v>
      </c>
      <c r="E381" s="1592"/>
      <c r="F381" s="1592">
        <v>2</v>
      </c>
      <c r="G381" s="1592">
        <v>2</v>
      </c>
      <c r="H381" s="1592">
        <v>2</v>
      </c>
      <c r="I381" s="1592">
        <v>2</v>
      </c>
      <c r="J381" s="1341">
        <f t="shared" si="24"/>
        <v>2</v>
      </c>
      <c r="K381" s="1341">
        <f t="shared" si="25"/>
        <v>2</v>
      </c>
    </row>
    <row r="382" spans="1:15" ht="15" hidden="1" customHeight="1" outlineLevel="1">
      <c r="A382" s="1598" t="s">
        <v>1229</v>
      </c>
      <c r="B382" s="1591"/>
      <c r="C382" s="1591" t="s">
        <v>1199</v>
      </c>
      <c r="D382" s="1589">
        <v>22000</v>
      </c>
      <c r="E382" s="1592"/>
      <c r="F382" s="1592">
        <v>1</v>
      </c>
      <c r="G382" s="1592">
        <v>1</v>
      </c>
      <c r="H382" s="1592">
        <v>1</v>
      </c>
      <c r="I382" s="1592">
        <v>1</v>
      </c>
      <c r="J382" s="1341">
        <f t="shared" si="24"/>
        <v>1</v>
      </c>
      <c r="K382" s="1341">
        <f t="shared" si="25"/>
        <v>1</v>
      </c>
    </row>
    <row r="383" spans="1:15" ht="15" hidden="1" customHeight="1" outlineLevel="1">
      <c r="A383" s="1598" t="s">
        <v>1229</v>
      </c>
      <c r="B383" s="1591"/>
      <c r="C383" s="1591" t="s">
        <v>1200</v>
      </c>
      <c r="D383" s="1605">
        <v>25000</v>
      </c>
      <c r="E383" s="1592"/>
      <c r="F383" s="1592">
        <v>3</v>
      </c>
      <c r="G383" s="1592">
        <v>3</v>
      </c>
      <c r="H383" s="1592">
        <v>3</v>
      </c>
      <c r="I383" s="1592">
        <v>3</v>
      </c>
      <c r="J383" s="1341">
        <f t="shared" si="24"/>
        <v>3</v>
      </c>
      <c r="K383" s="1341">
        <f t="shared" si="25"/>
        <v>3</v>
      </c>
    </row>
    <row r="384" spans="1:15" ht="15" hidden="1" customHeight="1" outlineLevel="1">
      <c r="A384" s="1598" t="s">
        <v>1229</v>
      </c>
      <c r="B384" s="1591"/>
      <c r="C384" s="1591"/>
      <c r="D384" s="1589">
        <v>0</v>
      </c>
      <c r="E384" s="1592"/>
      <c r="F384" s="1592"/>
      <c r="G384" s="1592"/>
      <c r="H384" s="1592"/>
      <c r="I384" s="1592"/>
      <c r="J384" s="1341">
        <f t="shared" si="24"/>
        <v>0</v>
      </c>
      <c r="K384" s="1341">
        <f t="shared" si="25"/>
        <v>0</v>
      </c>
    </row>
    <row r="385" spans="1:15" ht="15" hidden="1" customHeight="1" outlineLevel="1">
      <c r="A385" s="1587" t="s">
        <v>1230</v>
      </c>
      <c r="B385" s="1594" t="s">
        <v>1202</v>
      </c>
      <c r="C385" s="1594" t="s">
        <v>1203</v>
      </c>
      <c r="D385" s="1595">
        <v>35000</v>
      </c>
      <c r="E385" s="1595"/>
      <c r="F385" s="1595">
        <v>2</v>
      </c>
      <c r="G385" s="1595">
        <v>2</v>
      </c>
      <c r="H385" s="1595">
        <v>2</v>
      </c>
      <c r="I385" s="1595">
        <v>2</v>
      </c>
      <c r="J385" s="1341">
        <f t="shared" si="24"/>
        <v>2</v>
      </c>
      <c r="K385" s="1341">
        <f t="shared" si="25"/>
        <v>2</v>
      </c>
      <c r="M385" s="19" t="str">
        <f>Отель4!D14</f>
        <v>Наличие СПА</v>
      </c>
      <c r="N385" s="19" t="s">
        <v>1248</v>
      </c>
    </row>
    <row r="386" spans="1:15" ht="15" hidden="1" customHeight="1" outlineLevel="1">
      <c r="A386" s="1587" t="s">
        <v>1230</v>
      </c>
      <c r="B386" s="1594"/>
      <c r="C386" s="1594" t="s">
        <v>1204</v>
      </c>
      <c r="D386" s="1595">
        <v>33000</v>
      </c>
      <c r="E386" s="1595"/>
      <c r="F386" s="1595">
        <v>2</v>
      </c>
      <c r="G386" s="1595">
        <v>4</v>
      </c>
      <c r="H386" s="1595">
        <v>4</v>
      </c>
      <c r="I386" s="1595">
        <v>4</v>
      </c>
      <c r="J386" s="1341">
        <f t="shared" si="24"/>
        <v>4</v>
      </c>
      <c r="K386" s="1341">
        <f t="shared" si="25"/>
        <v>4</v>
      </c>
      <c r="N386" s="1561">
        <f>Отель4!F14</f>
        <v>3561</v>
      </c>
      <c r="O386" s="19" t="s">
        <v>216</v>
      </c>
    </row>
    <row r="387" spans="1:15" ht="15" hidden="1" customHeight="1" outlineLevel="1">
      <c r="A387" s="1587" t="s">
        <v>1230</v>
      </c>
      <c r="B387" s="1594"/>
      <c r="C387" s="1594" t="s">
        <v>1205</v>
      </c>
      <c r="D387" s="1595">
        <v>35000</v>
      </c>
      <c r="E387" s="1595"/>
      <c r="F387" s="1595">
        <v>4</v>
      </c>
      <c r="G387" s="1595">
        <v>4</v>
      </c>
      <c r="H387" s="1595">
        <v>4</v>
      </c>
      <c r="I387" s="1595">
        <v>4</v>
      </c>
      <c r="J387" s="1341">
        <f t="shared" si="24"/>
        <v>4</v>
      </c>
      <c r="K387" s="1341">
        <f t="shared" si="25"/>
        <v>4</v>
      </c>
    </row>
    <row r="388" spans="1:15" ht="15" hidden="1" customHeight="1" outlineLevel="1">
      <c r="A388" s="1587" t="s">
        <v>1230</v>
      </c>
      <c r="B388" s="1594"/>
      <c r="C388" s="1594" t="s">
        <v>1206</v>
      </c>
      <c r="D388" s="1595">
        <v>30000</v>
      </c>
      <c r="E388" s="1595"/>
      <c r="F388" s="1595">
        <v>3</v>
      </c>
      <c r="G388" s="1595">
        <v>3</v>
      </c>
      <c r="H388" s="1595">
        <v>3</v>
      </c>
      <c r="I388" s="1595">
        <v>3</v>
      </c>
      <c r="J388" s="1341">
        <f t="shared" si="24"/>
        <v>3</v>
      </c>
      <c r="K388" s="1341">
        <f t="shared" si="25"/>
        <v>3</v>
      </c>
    </row>
    <row r="389" spans="1:15" ht="15" hidden="1" customHeight="1" outlineLevel="1">
      <c r="A389" s="1587" t="s">
        <v>1230</v>
      </c>
      <c r="B389" s="1594"/>
      <c r="C389" s="1594" t="s">
        <v>1207</v>
      </c>
      <c r="D389" s="1606">
        <v>25000</v>
      </c>
      <c r="E389" s="1595"/>
      <c r="F389" s="1595">
        <v>2</v>
      </c>
      <c r="G389" s="1595">
        <v>2</v>
      </c>
      <c r="H389" s="1595">
        <v>2</v>
      </c>
      <c r="I389" s="1595">
        <v>2</v>
      </c>
      <c r="J389" s="1341">
        <f t="shared" si="24"/>
        <v>2</v>
      </c>
      <c r="K389" s="1341">
        <f t="shared" si="25"/>
        <v>2</v>
      </c>
    </row>
    <row r="390" spans="1:15" ht="15" hidden="1" customHeight="1" outlineLevel="1">
      <c r="A390" s="1587" t="s">
        <v>1230</v>
      </c>
      <c r="B390" s="1593"/>
      <c r="C390" s="1593"/>
      <c r="D390" s="1595">
        <v>0</v>
      </c>
      <c r="E390" s="1596"/>
      <c r="F390" s="1596"/>
      <c r="G390" s="1596"/>
      <c r="H390" s="1596"/>
      <c r="I390" s="1596"/>
      <c r="J390" s="1341">
        <f t="shared" si="24"/>
        <v>0</v>
      </c>
      <c r="K390" s="1341">
        <f t="shared" si="25"/>
        <v>0</v>
      </c>
    </row>
    <row r="391" spans="1:15" ht="15" hidden="1" customHeight="1" outlineLevel="1">
      <c r="A391" s="1598" t="s">
        <v>1231</v>
      </c>
      <c r="B391" s="1588" t="s">
        <v>1209</v>
      </c>
      <c r="C391" s="1588" t="s">
        <v>1210</v>
      </c>
      <c r="D391" s="1589">
        <v>110000</v>
      </c>
      <c r="E391" s="1589"/>
      <c r="F391" s="1589"/>
      <c r="G391" s="1589"/>
      <c r="H391" s="1589"/>
      <c r="I391" s="1589"/>
      <c r="J391" s="1341">
        <f t="shared" si="24"/>
        <v>0</v>
      </c>
      <c r="K391" s="1341">
        <f t="shared" si="25"/>
        <v>0</v>
      </c>
    </row>
    <row r="392" spans="1:15" ht="15" hidden="1" customHeight="1" outlineLevel="1">
      <c r="A392" s="1598" t="s">
        <v>1231</v>
      </c>
      <c r="B392" s="1588"/>
      <c r="C392" s="1588" t="s">
        <v>1211</v>
      </c>
      <c r="D392" s="1589">
        <v>70000</v>
      </c>
      <c r="E392" s="1589"/>
      <c r="F392" s="1589"/>
      <c r="G392" s="1589"/>
      <c r="H392" s="1589"/>
      <c r="I392" s="1589"/>
      <c r="J392" s="1341">
        <f t="shared" si="24"/>
        <v>0</v>
      </c>
      <c r="K392" s="1341">
        <f t="shared" si="25"/>
        <v>0</v>
      </c>
    </row>
    <row r="393" spans="1:15" ht="15" hidden="1" customHeight="1" outlineLevel="1">
      <c r="A393" s="1598" t="s">
        <v>1231</v>
      </c>
      <c r="B393" s="1588"/>
      <c r="C393" s="1588" t="s">
        <v>1212</v>
      </c>
      <c r="D393" s="1589">
        <v>45000</v>
      </c>
      <c r="E393" s="1589"/>
      <c r="F393" s="1589"/>
      <c r="G393" s="1589"/>
      <c r="H393" s="1589"/>
      <c r="I393" s="1589"/>
      <c r="J393" s="1341">
        <f t="shared" si="24"/>
        <v>0</v>
      </c>
      <c r="K393" s="1341">
        <f t="shared" si="25"/>
        <v>0</v>
      </c>
    </row>
    <row r="394" spans="1:15" ht="15" hidden="1" customHeight="1" outlineLevel="1">
      <c r="A394" s="1598" t="s">
        <v>1231</v>
      </c>
      <c r="B394" s="1588"/>
      <c r="C394" s="1588" t="s">
        <v>1213</v>
      </c>
      <c r="D394" s="1589">
        <v>35000</v>
      </c>
      <c r="E394" s="1589"/>
      <c r="F394" s="1589"/>
      <c r="G394" s="1589"/>
      <c r="H394" s="1589"/>
      <c r="I394" s="1589"/>
      <c r="J394" s="1341">
        <f t="shared" si="24"/>
        <v>0</v>
      </c>
      <c r="K394" s="1341">
        <f t="shared" si="25"/>
        <v>0</v>
      </c>
    </row>
    <row r="395" spans="1:15" ht="15" hidden="1" customHeight="1" outlineLevel="1">
      <c r="A395" s="1598" t="s">
        <v>1231</v>
      </c>
      <c r="B395" s="1588"/>
      <c r="C395" s="1588" t="s">
        <v>1214</v>
      </c>
      <c r="D395" s="1589">
        <v>30000</v>
      </c>
      <c r="E395" s="1589"/>
      <c r="F395" s="1589"/>
      <c r="G395" s="1589"/>
      <c r="H395" s="1589"/>
      <c r="I395" s="1589"/>
      <c r="J395" s="1341">
        <f t="shared" si="24"/>
        <v>0</v>
      </c>
      <c r="K395" s="1341">
        <f t="shared" si="25"/>
        <v>0</v>
      </c>
    </row>
    <row r="396" spans="1:15" ht="15" hidden="1" customHeight="1" outlineLevel="1">
      <c r="A396" s="1598" t="s">
        <v>1231</v>
      </c>
      <c r="B396" s="1588"/>
      <c r="C396" s="1588" t="s">
        <v>1215</v>
      </c>
      <c r="D396" s="1605">
        <v>25000</v>
      </c>
      <c r="E396" s="1589"/>
      <c r="F396" s="1589"/>
      <c r="G396" s="1589"/>
      <c r="H396" s="1589"/>
      <c r="I396" s="1589"/>
      <c r="J396" s="1341">
        <f t="shared" si="24"/>
        <v>0</v>
      </c>
      <c r="K396" s="1341">
        <f t="shared" si="25"/>
        <v>0</v>
      </c>
    </row>
    <row r="397" spans="1:15" ht="15" hidden="1" customHeight="1" outlineLevel="1">
      <c r="A397" s="1598" t="s">
        <v>1231</v>
      </c>
      <c r="B397" s="1591"/>
      <c r="C397" s="1591"/>
      <c r="D397" s="1589">
        <v>0</v>
      </c>
      <c r="E397" s="1592"/>
      <c r="F397" s="1592"/>
      <c r="G397" s="1592"/>
      <c r="H397" s="1592"/>
      <c r="I397" s="1592"/>
      <c r="J397" s="1341">
        <f t="shared" si="24"/>
        <v>0</v>
      </c>
      <c r="K397" s="1341">
        <f t="shared" si="25"/>
        <v>0</v>
      </c>
    </row>
    <row r="398" spans="1:15" ht="15" hidden="1" customHeight="1" outlineLevel="1">
      <c r="A398" s="1587" t="s">
        <v>1226</v>
      </c>
      <c r="B398" s="1594" t="s">
        <v>1216</v>
      </c>
      <c r="C398" s="1594" t="s">
        <v>1217</v>
      </c>
      <c r="D398" s="1595">
        <v>35000</v>
      </c>
      <c r="E398" s="1595"/>
      <c r="F398" s="1595">
        <v>1</v>
      </c>
      <c r="G398" s="1595">
        <v>1</v>
      </c>
      <c r="H398" s="1595">
        <v>1</v>
      </c>
      <c r="I398" s="1595">
        <v>1</v>
      </c>
      <c r="J398" s="1341">
        <f t="shared" si="24"/>
        <v>1</v>
      </c>
      <c r="K398" s="1341">
        <f t="shared" si="25"/>
        <v>1</v>
      </c>
    </row>
    <row r="399" spans="1:15" ht="15" hidden="1" customHeight="1" outlineLevel="1">
      <c r="A399" s="1587" t="s">
        <v>1226</v>
      </c>
      <c r="B399" s="1594"/>
      <c r="C399" s="1594" t="s">
        <v>1218</v>
      </c>
      <c r="D399" s="1595">
        <v>25000</v>
      </c>
      <c r="E399" s="1595"/>
      <c r="F399" s="1595">
        <v>2</v>
      </c>
      <c r="G399" s="1595">
        <v>3</v>
      </c>
      <c r="H399" s="1595">
        <v>3</v>
      </c>
      <c r="I399" s="1595">
        <v>3</v>
      </c>
      <c r="J399" s="1341">
        <f t="shared" si="24"/>
        <v>3</v>
      </c>
      <c r="K399" s="1341">
        <f t="shared" si="25"/>
        <v>3</v>
      </c>
    </row>
    <row r="400" spans="1:15" ht="15" hidden="1" customHeight="1" outlineLevel="1">
      <c r="A400" s="1587" t="s">
        <v>1226</v>
      </c>
      <c r="B400" s="1594"/>
      <c r="C400" s="1594"/>
      <c r="D400" s="1595">
        <v>0</v>
      </c>
      <c r="E400" s="1595"/>
      <c r="F400" s="1595"/>
      <c r="G400" s="1595"/>
      <c r="H400" s="1595"/>
      <c r="I400" s="1595"/>
      <c r="J400" s="1341">
        <f t="shared" si="24"/>
        <v>0</v>
      </c>
      <c r="K400" s="1341">
        <f t="shared" si="25"/>
        <v>0</v>
      </c>
    </row>
    <row r="401" spans="1:11" ht="15" hidden="1" customHeight="1" outlineLevel="1">
      <c r="A401" s="1598" t="s">
        <v>1232</v>
      </c>
      <c r="B401" s="1588" t="s">
        <v>1220</v>
      </c>
      <c r="C401" s="1588" t="s">
        <v>1221</v>
      </c>
      <c r="D401" s="1589">
        <v>30000</v>
      </c>
      <c r="E401" s="1589"/>
      <c r="F401" s="1589">
        <v>1</v>
      </c>
      <c r="G401" s="1589">
        <v>1</v>
      </c>
      <c r="H401" s="1589">
        <v>1</v>
      </c>
      <c r="I401" s="1589">
        <v>1</v>
      </c>
      <c r="J401" s="1341">
        <f t="shared" si="24"/>
        <v>1</v>
      </c>
      <c r="K401" s="1341">
        <f t="shared" si="25"/>
        <v>1</v>
      </c>
    </row>
    <row r="402" spans="1:11" ht="15" hidden="1" customHeight="1" outlineLevel="1">
      <c r="A402" s="1598" t="s">
        <v>1232</v>
      </c>
      <c r="B402" s="1588"/>
      <c r="C402" s="1588" t="s">
        <v>1158</v>
      </c>
      <c r="D402" s="1589">
        <v>22000</v>
      </c>
      <c r="E402" s="1589"/>
      <c r="F402" s="1589">
        <v>2</v>
      </c>
      <c r="G402" s="1589">
        <v>3</v>
      </c>
      <c r="H402" s="1589">
        <v>3</v>
      </c>
      <c r="I402" s="1589">
        <v>3</v>
      </c>
      <c r="J402" s="1341">
        <f t="shared" si="24"/>
        <v>3</v>
      </c>
      <c r="K402" s="1341">
        <f t="shared" si="25"/>
        <v>3</v>
      </c>
    </row>
    <row r="403" spans="1:11" ht="15" hidden="1" customHeight="1" outlineLevel="1">
      <c r="A403" s="1598" t="s">
        <v>1232</v>
      </c>
      <c r="B403" s="1588"/>
      <c r="C403" s="1588"/>
      <c r="D403" s="1589">
        <v>0</v>
      </c>
      <c r="E403" s="1589"/>
      <c r="F403" s="1589"/>
      <c r="G403" s="1589"/>
      <c r="H403" s="1589"/>
      <c r="I403" s="1589"/>
      <c r="J403" s="1341">
        <f t="shared" si="24"/>
        <v>0</v>
      </c>
      <c r="K403" s="1341">
        <f t="shared" si="25"/>
        <v>0</v>
      </c>
    </row>
    <row r="404" spans="1:11" ht="15" hidden="1" customHeight="1" outlineLevel="1">
      <c r="A404" s="1598" t="s">
        <v>1232</v>
      </c>
      <c r="B404" s="1588"/>
      <c r="C404" s="1588"/>
      <c r="D404" s="1589">
        <v>0</v>
      </c>
      <c r="E404" s="1589"/>
      <c r="F404" s="1589"/>
      <c r="G404" s="1589"/>
      <c r="H404" s="1589"/>
      <c r="I404" s="1589"/>
      <c r="J404" s="1341">
        <f>I404</f>
        <v>0</v>
      </c>
      <c r="K404" s="1341">
        <f>J404</f>
        <v>0</v>
      </c>
    </row>
    <row r="405" spans="1:11" ht="15" customHeight="1" collapsed="1">
      <c r="A405" s="1566"/>
      <c r="B405" s="1348"/>
      <c r="C405" s="1348" t="s">
        <v>1222</v>
      </c>
      <c r="D405" s="1608"/>
      <c r="E405" s="1609">
        <f t="shared" ref="E405:K405" si="26">SUM(E279:E404)</f>
        <v>0</v>
      </c>
      <c r="F405" s="1609">
        <f t="shared" si="26"/>
        <v>174</v>
      </c>
      <c r="G405" s="1609">
        <f t="shared" si="26"/>
        <v>182</v>
      </c>
      <c r="H405" s="1609">
        <f t="shared" si="26"/>
        <v>184</v>
      </c>
      <c r="I405" s="1609">
        <f t="shared" si="26"/>
        <v>184</v>
      </c>
      <c r="J405" s="1609">
        <f t="shared" si="26"/>
        <v>184</v>
      </c>
      <c r="K405" s="1609">
        <f t="shared" si="26"/>
        <v>184</v>
      </c>
    </row>
    <row r="406" spans="1:11" ht="15" customHeight="1">
      <c r="A406" s="1566"/>
      <c r="B406" s="20"/>
      <c r="C406" s="20"/>
      <c r="D406" s="1610"/>
      <c r="E406" s="20"/>
      <c r="F406" s="20"/>
      <c r="G406" s="20"/>
      <c r="H406" s="20"/>
      <c r="I406" s="20"/>
      <c r="J406" s="20"/>
      <c r="K406" s="20"/>
    </row>
    <row r="407" spans="1:11" ht="15" customHeight="1">
      <c r="A407" s="1566"/>
      <c r="B407" s="20"/>
      <c r="C407" s="20"/>
      <c r="D407" s="1610"/>
      <c r="E407" s="20"/>
      <c r="F407" s="20"/>
      <c r="G407" s="20"/>
      <c r="H407" s="20"/>
      <c r="I407" s="20"/>
      <c r="J407" s="20"/>
      <c r="K407" s="20"/>
    </row>
    <row r="408" spans="1:11" ht="15.75" customHeight="1">
      <c r="A408" s="1566"/>
      <c r="B408" s="1580" t="str">
        <f>Объекты!$C$43</f>
        <v>Гостиница 3* - Возможный бренд:
Ibis Styles</v>
      </c>
      <c r="C408" s="1571"/>
      <c r="D408" s="1581">
        <f>YEAR(Объекты!$K$7)</f>
        <v>2025</v>
      </c>
      <c r="E408" s="1571"/>
      <c r="F408" s="1571"/>
      <c r="G408" s="1571"/>
      <c r="H408" s="1571"/>
      <c r="I408" s="1571"/>
      <c r="J408" s="1571"/>
      <c r="K408" s="1571"/>
    </row>
    <row r="409" spans="1:11" ht="15.75" customHeight="1">
      <c r="A409" s="1566"/>
      <c r="B409" s="1582"/>
      <c r="C409" s="1583" t="s">
        <v>1098</v>
      </c>
      <c r="D409" s="1584"/>
      <c r="E409" s="1585">
        <f>Объекты!$F$7</f>
        <v>160</v>
      </c>
      <c r="F409" s="1616">
        <f t="shared" ref="F409:K409" si="27">E409</f>
        <v>160</v>
      </c>
      <c r="G409" s="1616">
        <f t="shared" si="27"/>
        <v>160</v>
      </c>
      <c r="H409" s="1616">
        <f t="shared" si="27"/>
        <v>160</v>
      </c>
      <c r="I409" s="1616">
        <f t="shared" si="27"/>
        <v>160</v>
      </c>
      <c r="J409" s="1616">
        <f t="shared" si="27"/>
        <v>160</v>
      </c>
      <c r="K409" s="1616">
        <f t="shared" si="27"/>
        <v>160</v>
      </c>
    </row>
    <row r="410" spans="1:11" ht="15.75" customHeight="1">
      <c r="A410" s="1566"/>
      <c r="B410" s="1582"/>
      <c r="C410" s="1583" t="s">
        <v>14</v>
      </c>
      <c r="D410" s="1584"/>
      <c r="E410" s="1613">
        <f>IFERROR(LOOKUP(E$2,Отель3_PL!$D$3:$T$3,Отель3_PL!$D$10:$T$10),"не введён")</f>
        <v>0.44348574289613019</v>
      </c>
      <c r="F410" s="1613">
        <f>IFERROR(LOOKUP(F$2,Отель3_PL!$D$3:$T$3,Отель3_PL!$D$10:$T$10),"не введён")</f>
        <v>0.57071500893388927</v>
      </c>
      <c r="G410" s="1613">
        <f>IFERROR(LOOKUP(G$2,Отель3_PL!$D$3:$T$3,Отель3_PL!$D$10:$T$10),"не введён")</f>
        <v>0.60428648004764751</v>
      </c>
      <c r="H410" s="1613">
        <f>IFERROR(LOOKUP(H$2,Отель3_PL!$D$3:$T$3,Отель3_PL!$D$10:$T$10),"не введён")</f>
        <v>0.63785795116140565</v>
      </c>
      <c r="I410" s="1613">
        <f>IFERROR(LOOKUP(I$2,Отель3_PL!$D$3:$T$3,Отель3_PL!$D$10:$T$10),"не введён")</f>
        <v>0.67142942227516389</v>
      </c>
      <c r="J410" s="1613">
        <f>IFERROR(LOOKUP(J$2,Отель3_PL!$D$3:$T$3,Отель3_PL!$D$10:$T$10),"не введён")</f>
        <v>0.67142942227516389</v>
      </c>
      <c r="K410" s="1613">
        <f>IFERROR(LOOKUP(K$2,Отель3_PL!$D$3:$T$3,Отель3_PL!$D$10:$T$10),"не введён")</f>
        <v>0.67142942227516389</v>
      </c>
    </row>
    <row r="411" spans="1:11" ht="15.75" customHeight="1">
      <c r="A411" s="1566"/>
      <c r="B411" s="1582"/>
      <c r="C411" s="1583" t="s">
        <v>1099</v>
      </c>
      <c r="D411" s="1584"/>
      <c r="E411" s="1585">
        <f>IFERROR(E409/E467,"не введён")</f>
        <v>16</v>
      </c>
      <c r="F411" s="1585">
        <f t="shared" ref="F411:K411" si="28">IFERROR(F409/F467,"не введён")</f>
        <v>16</v>
      </c>
      <c r="G411" s="1585">
        <f t="shared" si="28"/>
        <v>16</v>
      </c>
      <c r="H411" s="1585">
        <f t="shared" si="28"/>
        <v>16</v>
      </c>
      <c r="I411" s="1585">
        <f t="shared" si="28"/>
        <v>16</v>
      </c>
      <c r="J411" s="1585">
        <f t="shared" si="28"/>
        <v>16</v>
      </c>
      <c r="K411" s="1585">
        <f t="shared" si="28"/>
        <v>16</v>
      </c>
    </row>
    <row r="412" spans="1:11" ht="15" hidden="1" customHeight="1" outlineLevel="1">
      <c r="A412" s="1587" t="s">
        <v>1233</v>
      </c>
      <c r="B412" s="1588" t="s">
        <v>1101</v>
      </c>
      <c r="C412" s="1588" t="s">
        <v>1102</v>
      </c>
      <c r="D412" s="1589">
        <v>120000</v>
      </c>
      <c r="E412" s="1589">
        <v>1</v>
      </c>
      <c r="F412" s="1589">
        <v>1</v>
      </c>
      <c r="G412" s="1589">
        <v>1</v>
      </c>
      <c r="H412" s="1589">
        <v>1</v>
      </c>
      <c r="I412" s="1589">
        <v>1</v>
      </c>
      <c r="J412" s="1341">
        <f>I412</f>
        <v>1</v>
      </c>
      <c r="K412" s="1341">
        <f>J412</f>
        <v>1</v>
      </c>
    </row>
    <row r="413" spans="1:11" ht="15" hidden="1" customHeight="1" outlineLevel="1">
      <c r="A413" s="1587" t="s">
        <v>1233</v>
      </c>
      <c r="B413" s="1588"/>
      <c r="C413" s="1588" t="s">
        <v>1103</v>
      </c>
      <c r="D413" s="1589">
        <v>100000</v>
      </c>
      <c r="E413" s="1589">
        <v>1</v>
      </c>
      <c r="F413" s="1589">
        <v>1</v>
      </c>
      <c r="G413" s="1589">
        <v>1</v>
      </c>
      <c r="H413" s="1589">
        <v>1</v>
      </c>
      <c r="I413" s="1589">
        <v>1</v>
      </c>
      <c r="J413" s="1341">
        <f t="shared" ref="J413:J476" si="29">I413</f>
        <v>1</v>
      </c>
      <c r="K413" s="1341">
        <f t="shared" ref="K413:K476" si="30">J413</f>
        <v>1</v>
      </c>
    </row>
    <row r="414" spans="1:11" ht="15" hidden="1" customHeight="1" outlineLevel="1">
      <c r="A414" s="1587" t="s">
        <v>1233</v>
      </c>
      <c r="B414" s="1588"/>
      <c r="C414" s="1590" t="s">
        <v>1104</v>
      </c>
      <c r="D414" s="1589">
        <v>40000</v>
      </c>
      <c r="E414" s="1589">
        <v>1</v>
      </c>
      <c r="F414" s="1589">
        <v>1</v>
      </c>
      <c r="G414" s="1589">
        <v>1</v>
      </c>
      <c r="H414" s="1589">
        <v>1</v>
      </c>
      <c r="I414" s="1589">
        <v>1</v>
      </c>
      <c r="J414" s="1341">
        <f t="shared" si="29"/>
        <v>1</v>
      </c>
      <c r="K414" s="1341">
        <f t="shared" si="30"/>
        <v>1</v>
      </c>
    </row>
    <row r="415" spans="1:11" ht="15" hidden="1" customHeight="1" outlineLevel="1">
      <c r="A415" s="1587" t="s">
        <v>1233</v>
      </c>
      <c r="B415" s="1588"/>
      <c r="C415" s="1588" t="s">
        <v>1105</v>
      </c>
      <c r="D415" s="1589">
        <v>45000</v>
      </c>
      <c r="E415" s="1589">
        <v>1</v>
      </c>
      <c r="F415" s="1589">
        <v>1</v>
      </c>
      <c r="G415" s="1589">
        <v>1</v>
      </c>
      <c r="H415" s="1589">
        <v>1</v>
      </c>
      <c r="I415" s="1589">
        <v>1</v>
      </c>
      <c r="J415" s="1341">
        <f t="shared" si="29"/>
        <v>1</v>
      </c>
      <c r="K415" s="1341">
        <f t="shared" si="30"/>
        <v>1</v>
      </c>
    </row>
    <row r="416" spans="1:11" ht="15" hidden="1" customHeight="1" outlineLevel="1">
      <c r="A416" s="1587" t="s">
        <v>1233</v>
      </c>
      <c r="B416" s="1588"/>
      <c r="C416" s="1588" t="s">
        <v>1106</v>
      </c>
      <c r="D416" s="1589">
        <v>32000</v>
      </c>
      <c r="E416" s="1589">
        <v>1</v>
      </c>
      <c r="F416" s="1589">
        <v>1</v>
      </c>
      <c r="G416" s="1589">
        <v>1</v>
      </c>
      <c r="H416" s="1589">
        <v>1</v>
      </c>
      <c r="I416" s="1589">
        <v>1</v>
      </c>
      <c r="J416" s="1341">
        <f t="shared" si="29"/>
        <v>1</v>
      </c>
      <c r="K416" s="1341">
        <f t="shared" si="30"/>
        <v>1</v>
      </c>
    </row>
    <row r="417" spans="1:11" ht="15" hidden="1" customHeight="1" outlineLevel="1">
      <c r="A417" s="1587" t="s">
        <v>1233</v>
      </c>
      <c r="B417" s="1588"/>
      <c r="C417" s="1588" t="s">
        <v>36</v>
      </c>
      <c r="D417" s="1589">
        <v>32000</v>
      </c>
      <c r="E417" s="1589">
        <v>1</v>
      </c>
      <c r="F417" s="1589">
        <v>1</v>
      </c>
      <c r="G417" s="1589">
        <v>1</v>
      </c>
      <c r="H417" s="1589">
        <v>1</v>
      </c>
      <c r="I417" s="1589">
        <v>1</v>
      </c>
      <c r="J417" s="1341">
        <f t="shared" si="29"/>
        <v>1</v>
      </c>
      <c r="K417" s="1341">
        <f t="shared" si="30"/>
        <v>1</v>
      </c>
    </row>
    <row r="418" spans="1:11" ht="15" hidden="1" customHeight="1" outlineLevel="1">
      <c r="A418" s="1587" t="s">
        <v>1233</v>
      </c>
      <c r="B418" s="1591"/>
      <c r="C418" s="1588" t="s">
        <v>42</v>
      </c>
      <c r="D418" s="1589">
        <v>45000</v>
      </c>
      <c r="E418" s="1592">
        <v>1</v>
      </c>
      <c r="F418" s="1592">
        <v>1</v>
      </c>
      <c r="G418" s="1592">
        <v>1</v>
      </c>
      <c r="H418" s="1592">
        <v>1</v>
      </c>
      <c r="I418" s="1592">
        <v>1</v>
      </c>
      <c r="J418" s="1341">
        <f t="shared" si="29"/>
        <v>1</v>
      </c>
      <c r="K418" s="1341">
        <f t="shared" si="30"/>
        <v>1</v>
      </c>
    </row>
    <row r="419" spans="1:11" ht="15" hidden="1" customHeight="1" outlineLevel="1">
      <c r="A419" s="1587" t="s">
        <v>1233</v>
      </c>
      <c r="B419" s="1591"/>
      <c r="C419" s="1588" t="s">
        <v>1107</v>
      </c>
      <c r="D419" s="1589">
        <v>40000</v>
      </c>
      <c r="E419" s="1592">
        <v>1</v>
      </c>
      <c r="F419" s="1592">
        <v>1</v>
      </c>
      <c r="G419" s="1592">
        <v>1</v>
      </c>
      <c r="H419" s="1592">
        <v>1</v>
      </c>
      <c r="I419" s="1592">
        <v>1</v>
      </c>
      <c r="J419" s="1341">
        <f t="shared" si="29"/>
        <v>1</v>
      </c>
      <c r="K419" s="1341">
        <f t="shared" si="30"/>
        <v>1</v>
      </c>
    </row>
    <row r="420" spans="1:11" ht="15" hidden="1" customHeight="1" outlineLevel="1">
      <c r="A420" s="1587" t="s">
        <v>1233</v>
      </c>
      <c r="B420" s="1593" t="s">
        <v>1108</v>
      </c>
      <c r="C420" s="1594" t="s">
        <v>1109</v>
      </c>
      <c r="D420" s="1595">
        <v>65000</v>
      </c>
      <c r="E420" s="1607">
        <v>1</v>
      </c>
      <c r="F420" s="1607">
        <v>1</v>
      </c>
      <c r="G420" s="1607">
        <v>1</v>
      </c>
      <c r="H420" s="1607">
        <v>1</v>
      </c>
      <c r="I420" s="1607">
        <v>1</v>
      </c>
      <c r="J420" s="1341">
        <f t="shared" si="29"/>
        <v>1</v>
      </c>
      <c r="K420" s="1341">
        <f t="shared" si="30"/>
        <v>1</v>
      </c>
    </row>
    <row r="421" spans="1:11" ht="15" hidden="1" customHeight="1" outlineLevel="1">
      <c r="A421" s="1587" t="s">
        <v>1233</v>
      </c>
      <c r="B421" s="1593"/>
      <c r="C421" s="1594" t="s">
        <v>1110</v>
      </c>
      <c r="D421" s="1595">
        <v>45000</v>
      </c>
      <c r="E421" s="1607">
        <v>1</v>
      </c>
      <c r="F421" s="1607">
        <v>1</v>
      </c>
      <c r="G421" s="1607">
        <v>1</v>
      </c>
      <c r="H421" s="1607">
        <v>1</v>
      </c>
      <c r="I421" s="1607">
        <v>1</v>
      </c>
      <c r="J421" s="1341">
        <f t="shared" si="29"/>
        <v>1</v>
      </c>
      <c r="K421" s="1341">
        <f t="shared" si="30"/>
        <v>1</v>
      </c>
    </row>
    <row r="422" spans="1:11" ht="15" hidden="1" customHeight="1" outlineLevel="1">
      <c r="A422" s="1587" t="s">
        <v>1233</v>
      </c>
      <c r="B422" s="1593"/>
      <c r="C422" s="1594" t="s">
        <v>1111</v>
      </c>
      <c r="D422" s="1595">
        <v>90000</v>
      </c>
      <c r="E422" s="1607">
        <v>1</v>
      </c>
      <c r="F422" s="1607">
        <v>1</v>
      </c>
      <c r="G422" s="1607">
        <v>1</v>
      </c>
      <c r="H422" s="1607">
        <v>1</v>
      </c>
      <c r="I422" s="1607">
        <v>1</v>
      </c>
      <c r="J422" s="1341">
        <f t="shared" si="29"/>
        <v>1</v>
      </c>
      <c r="K422" s="1341">
        <f t="shared" si="30"/>
        <v>1</v>
      </c>
    </row>
    <row r="423" spans="1:11" ht="15" hidden="1" customHeight="1" outlineLevel="1">
      <c r="A423" s="1587" t="s">
        <v>1233</v>
      </c>
      <c r="B423" s="1593"/>
      <c r="C423" s="1597" t="s">
        <v>1112</v>
      </c>
      <c r="D423" s="1595">
        <v>38000</v>
      </c>
      <c r="E423" s="1607">
        <v>1</v>
      </c>
      <c r="F423" s="1607">
        <v>1</v>
      </c>
      <c r="G423" s="1607">
        <v>1</v>
      </c>
      <c r="H423" s="1607">
        <v>1</v>
      </c>
      <c r="I423" s="1607">
        <v>1</v>
      </c>
      <c r="J423" s="1341">
        <f t="shared" si="29"/>
        <v>1</v>
      </c>
      <c r="K423" s="1341">
        <f t="shared" si="30"/>
        <v>1</v>
      </c>
    </row>
    <row r="424" spans="1:11" ht="15" hidden="1" customHeight="1" outlineLevel="1">
      <c r="A424" s="1587" t="s">
        <v>1233</v>
      </c>
      <c r="B424" s="1593"/>
      <c r="C424" s="1597" t="s">
        <v>1113</v>
      </c>
      <c r="D424" s="1595">
        <v>38000</v>
      </c>
      <c r="E424" s="1607">
        <v>1</v>
      </c>
      <c r="F424" s="1607">
        <v>1</v>
      </c>
      <c r="G424" s="1607">
        <v>1</v>
      </c>
      <c r="H424" s="1607">
        <v>1</v>
      </c>
      <c r="I424" s="1607">
        <v>1</v>
      </c>
      <c r="J424" s="1341">
        <f t="shared" si="29"/>
        <v>1</v>
      </c>
      <c r="K424" s="1341">
        <f t="shared" si="30"/>
        <v>1</v>
      </c>
    </row>
    <row r="425" spans="1:11" ht="15" hidden="1" customHeight="1" outlineLevel="1">
      <c r="A425" s="1587" t="s">
        <v>1233</v>
      </c>
      <c r="B425" s="1593"/>
      <c r="C425" s="1597" t="s">
        <v>1114</v>
      </c>
      <c r="D425" s="1595">
        <v>38000</v>
      </c>
      <c r="E425" s="1607">
        <v>1</v>
      </c>
      <c r="F425" s="1607">
        <v>1</v>
      </c>
      <c r="G425" s="1607">
        <v>1</v>
      </c>
      <c r="H425" s="1607">
        <v>1</v>
      </c>
      <c r="I425" s="1607">
        <v>1</v>
      </c>
      <c r="J425" s="1341">
        <f t="shared" si="29"/>
        <v>1</v>
      </c>
      <c r="K425" s="1341">
        <f t="shared" si="30"/>
        <v>1</v>
      </c>
    </row>
    <row r="426" spans="1:11" ht="15" hidden="1" customHeight="1" outlineLevel="1">
      <c r="A426" s="1587" t="s">
        <v>1233</v>
      </c>
      <c r="B426" s="1593"/>
      <c r="C426" s="1597" t="s">
        <v>1115</v>
      </c>
      <c r="D426" s="1595">
        <v>38000</v>
      </c>
      <c r="E426" s="1607">
        <v>1</v>
      </c>
      <c r="F426" s="1607">
        <v>1</v>
      </c>
      <c r="G426" s="1607">
        <v>1</v>
      </c>
      <c r="H426" s="1607">
        <v>1</v>
      </c>
      <c r="I426" s="1607">
        <v>1</v>
      </c>
      <c r="J426" s="1341">
        <f t="shared" si="29"/>
        <v>1</v>
      </c>
      <c r="K426" s="1341">
        <f t="shared" si="30"/>
        <v>1</v>
      </c>
    </row>
    <row r="427" spans="1:11" ht="15" hidden="1" customHeight="1" outlineLevel="1">
      <c r="A427" s="1587" t="s">
        <v>1233</v>
      </c>
      <c r="B427" s="1593"/>
      <c r="C427" s="1597" t="s">
        <v>1116</v>
      </c>
      <c r="D427" s="1595">
        <v>32000</v>
      </c>
      <c r="E427" s="1607">
        <v>1</v>
      </c>
      <c r="F427" s="1607">
        <v>1</v>
      </c>
      <c r="G427" s="1607">
        <v>1</v>
      </c>
      <c r="H427" s="1607">
        <v>1</v>
      </c>
      <c r="I427" s="1607">
        <v>1</v>
      </c>
      <c r="J427" s="1341">
        <f t="shared" si="29"/>
        <v>1</v>
      </c>
      <c r="K427" s="1341">
        <f t="shared" si="30"/>
        <v>1</v>
      </c>
    </row>
    <row r="428" spans="1:11" ht="15" hidden="1" customHeight="1" outlineLevel="1">
      <c r="A428" s="1587" t="s">
        <v>1233</v>
      </c>
      <c r="B428" s="1593"/>
      <c r="C428" s="1597" t="s">
        <v>1117</v>
      </c>
      <c r="D428" s="1595">
        <v>32000</v>
      </c>
      <c r="E428" s="1607">
        <v>1</v>
      </c>
      <c r="F428" s="1607">
        <v>1</v>
      </c>
      <c r="G428" s="1607">
        <v>1</v>
      </c>
      <c r="H428" s="1607">
        <v>1</v>
      </c>
      <c r="I428" s="1607">
        <v>1</v>
      </c>
      <c r="J428" s="1341">
        <f t="shared" si="29"/>
        <v>1</v>
      </c>
      <c r="K428" s="1341">
        <f t="shared" si="30"/>
        <v>1</v>
      </c>
    </row>
    <row r="429" spans="1:11" ht="15" hidden="1" customHeight="1" outlineLevel="1">
      <c r="A429" s="1587" t="s">
        <v>1233</v>
      </c>
      <c r="B429" s="1593"/>
      <c r="C429" s="1597" t="s">
        <v>1118</v>
      </c>
      <c r="D429" s="1595">
        <v>35000</v>
      </c>
      <c r="E429" s="1607">
        <v>1</v>
      </c>
      <c r="F429" s="1607">
        <v>1</v>
      </c>
      <c r="G429" s="1607">
        <v>1</v>
      </c>
      <c r="H429" s="1607">
        <v>1</v>
      </c>
      <c r="I429" s="1607">
        <v>1</v>
      </c>
      <c r="J429" s="1341">
        <f t="shared" si="29"/>
        <v>1</v>
      </c>
      <c r="K429" s="1341">
        <f t="shared" si="30"/>
        <v>1</v>
      </c>
    </row>
    <row r="430" spans="1:11" ht="15" hidden="1" customHeight="1" outlineLevel="1">
      <c r="A430" s="1587" t="s">
        <v>1233</v>
      </c>
      <c r="B430" s="1593"/>
      <c r="C430" s="1597" t="s">
        <v>1119</v>
      </c>
      <c r="D430" s="1595">
        <v>35000</v>
      </c>
      <c r="E430" s="1607">
        <v>1</v>
      </c>
      <c r="F430" s="1607">
        <v>1</v>
      </c>
      <c r="G430" s="1607">
        <v>1</v>
      </c>
      <c r="H430" s="1607">
        <v>1</v>
      </c>
      <c r="I430" s="1607">
        <v>1</v>
      </c>
      <c r="J430" s="1341">
        <f t="shared" si="29"/>
        <v>1</v>
      </c>
      <c r="K430" s="1341">
        <f t="shared" si="30"/>
        <v>1</v>
      </c>
    </row>
    <row r="431" spans="1:11" ht="15" hidden="1" customHeight="1" outlineLevel="1">
      <c r="A431" s="1587" t="s">
        <v>1233</v>
      </c>
      <c r="B431" s="1593"/>
      <c r="C431" s="1594"/>
      <c r="D431" s="1595">
        <v>0</v>
      </c>
      <c r="E431" s="1607"/>
      <c r="F431" s="1607"/>
      <c r="G431" s="1607"/>
      <c r="H431" s="1607"/>
      <c r="I431" s="1607"/>
      <c r="J431" s="1341">
        <f t="shared" si="29"/>
        <v>0</v>
      </c>
      <c r="K431" s="1341">
        <f t="shared" si="30"/>
        <v>0</v>
      </c>
    </row>
    <row r="432" spans="1:11" ht="15" hidden="1" customHeight="1" outlineLevel="1">
      <c r="A432" s="1587" t="s">
        <v>1233</v>
      </c>
      <c r="B432" s="1591" t="s">
        <v>1120</v>
      </c>
      <c r="C432" s="1588" t="s">
        <v>38</v>
      </c>
      <c r="D432" s="1589">
        <v>65000</v>
      </c>
      <c r="E432" s="1592">
        <v>1</v>
      </c>
      <c r="F432" s="1592">
        <v>1</v>
      </c>
      <c r="G432" s="1592">
        <v>1</v>
      </c>
      <c r="H432" s="1592">
        <v>1</v>
      </c>
      <c r="I432" s="1592">
        <v>1</v>
      </c>
      <c r="J432" s="1341">
        <f t="shared" si="29"/>
        <v>1</v>
      </c>
      <c r="K432" s="1341">
        <f t="shared" si="30"/>
        <v>1</v>
      </c>
    </row>
    <row r="433" spans="1:11" ht="15" hidden="1" customHeight="1" outlineLevel="1">
      <c r="A433" s="1587" t="s">
        <v>1233</v>
      </c>
      <c r="B433" s="1591"/>
      <c r="C433" s="1588" t="s">
        <v>1121</v>
      </c>
      <c r="D433" s="1589">
        <v>40000</v>
      </c>
      <c r="E433" s="1592">
        <v>1</v>
      </c>
      <c r="F433" s="1592">
        <v>1</v>
      </c>
      <c r="G433" s="1592">
        <v>1</v>
      </c>
      <c r="H433" s="1592">
        <v>1</v>
      </c>
      <c r="I433" s="1592">
        <v>1</v>
      </c>
      <c r="J433" s="1341">
        <f t="shared" si="29"/>
        <v>1</v>
      </c>
      <c r="K433" s="1341">
        <f t="shared" si="30"/>
        <v>1</v>
      </c>
    </row>
    <row r="434" spans="1:11" ht="15" hidden="1" customHeight="1" outlineLevel="1">
      <c r="A434" s="1587" t="s">
        <v>1233</v>
      </c>
      <c r="B434" s="1591"/>
      <c r="C434" s="1588" t="s">
        <v>1122</v>
      </c>
      <c r="D434" s="1589">
        <v>32000</v>
      </c>
      <c r="E434" s="1592">
        <v>3</v>
      </c>
      <c r="F434" s="1592">
        <v>3</v>
      </c>
      <c r="G434" s="1592">
        <v>3</v>
      </c>
      <c r="H434" s="1592">
        <v>3</v>
      </c>
      <c r="I434" s="1592">
        <v>3</v>
      </c>
      <c r="J434" s="1341">
        <f t="shared" si="29"/>
        <v>3</v>
      </c>
      <c r="K434" s="1341">
        <f t="shared" si="30"/>
        <v>3</v>
      </c>
    </row>
    <row r="435" spans="1:11" ht="15" hidden="1" customHeight="1" outlineLevel="1">
      <c r="A435" s="1587" t="s">
        <v>1233</v>
      </c>
      <c r="B435" s="1591"/>
      <c r="C435" s="1588"/>
      <c r="D435" s="1589">
        <v>0</v>
      </c>
      <c r="E435" s="1592"/>
      <c r="F435" s="1592"/>
      <c r="G435" s="1592"/>
      <c r="H435" s="1592"/>
      <c r="I435" s="1592"/>
      <c r="J435" s="1341">
        <f t="shared" si="29"/>
        <v>0</v>
      </c>
      <c r="K435" s="1341">
        <f t="shared" si="30"/>
        <v>0</v>
      </c>
    </row>
    <row r="436" spans="1:11" ht="15" hidden="1" customHeight="1" outlineLevel="1">
      <c r="A436" s="1587" t="s">
        <v>1233</v>
      </c>
      <c r="B436" s="1593" t="s">
        <v>1123</v>
      </c>
      <c r="C436" s="1594" t="s">
        <v>1124</v>
      </c>
      <c r="D436" s="1595">
        <v>32000</v>
      </c>
      <c r="E436" s="1607">
        <v>1</v>
      </c>
      <c r="F436" s="1607">
        <v>1</v>
      </c>
      <c r="G436" s="1607">
        <v>1</v>
      </c>
      <c r="H436" s="1607">
        <v>1</v>
      </c>
      <c r="I436" s="1607">
        <v>1</v>
      </c>
      <c r="J436" s="1341">
        <f t="shared" si="29"/>
        <v>1</v>
      </c>
      <c r="K436" s="1341">
        <f t="shared" si="30"/>
        <v>1</v>
      </c>
    </row>
    <row r="437" spans="1:11" ht="15" hidden="1" customHeight="1" outlineLevel="1">
      <c r="A437" s="1587" t="s">
        <v>1233</v>
      </c>
      <c r="B437" s="1593"/>
      <c r="C437" s="1594" t="s">
        <v>1125</v>
      </c>
      <c r="D437" s="1595">
        <v>32000</v>
      </c>
      <c r="E437" s="1607">
        <v>1</v>
      </c>
      <c r="F437" s="1607">
        <v>1</v>
      </c>
      <c r="G437" s="1607">
        <v>1</v>
      </c>
      <c r="H437" s="1607">
        <v>1</v>
      </c>
      <c r="I437" s="1607">
        <v>1</v>
      </c>
      <c r="J437" s="1341">
        <f t="shared" si="29"/>
        <v>1</v>
      </c>
      <c r="K437" s="1341">
        <f t="shared" si="30"/>
        <v>1</v>
      </c>
    </row>
    <row r="438" spans="1:11" ht="15" hidden="1" customHeight="1" outlineLevel="1">
      <c r="A438" s="1587" t="s">
        <v>1233</v>
      </c>
      <c r="B438" s="1593"/>
      <c r="C438" s="1594" t="s">
        <v>1126</v>
      </c>
      <c r="D438" s="1595">
        <v>65000</v>
      </c>
      <c r="E438" s="1607">
        <v>1</v>
      </c>
      <c r="F438" s="1607">
        <v>1</v>
      </c>
      <c r="G438" s="1607">
        <v>1</v>
      </c>
      <c r="H438" s="1607">
        <v>1</v>
      </c>
      <c r="I438" s="1607">
        <v>1</v>
      </c>
      <c r="J438" s="1341">
        <f t="shared" si="29"/>
        <v>1</v>
      </c>
      <c r="K438" s="1341">
        <f t="shared" si="30"/>
        <v>1</v>
      </c>
    </row>
    <row r="439" spans="1:11" ht="15" hidden="1" customHeight="1" outlineLevel="1">
      <c r="A439" s="1587" t="s">
        <v>1233</v>
      </c>
      <c r="B439" s="1593"/>
      <c r="C439" s="1594" t="s">
        <v>1127</v>
      </c>
      <c r="D439" s="1595">
        <v>35000</v>
      </c>
      <c r="E439" s="1607">
        <v>1</v>
      </c>
      <c r="F439" s="1607">
        <v>1</v>
      </c>
      <c r="G439" s="1607">
        <v>1</v>
      </c>
      <c r="H439" s="1607">
        <v>1</v>
      </c>
      <c r="I439" s="1607">
        <v>1</v>
      </c>
      <c r="J439" s="1341">
        <f t="shared" si="29"/>
        <v>1</v>
      </c>
      <c r="K439" s="1341">
        <f t="shared" si="30"/>
        <v>1</v>
      </c>
    </row>
    <row r="440" spans="1:11" ht="15" hidden="1" customHeight="1" outlineLevel="1">
      <c r="A440" s="1587" t="s">
        <v>1233</v>
      </c>
      <c r="B440" s="1593"/>
      <c r="C440" s="1594"/>
      <c r="D440" s="1595">
        <v>0</v>
      </c>
      <c r="E440" s="1607"/>
      <c r="F440" s="1607"/>
      <c r="G440" s="1607"/>
      <c r="H440" s="1607"/>
      <c r="I440" s="1607"/>
      <c r="J440" s="1341">
        <f t="shared" si="29"/>
        <v>0</v>
      </c>
      <c r="K440" s="1341">
        <f t="shared" si="30"/>
        <v>0</v>
      </c>
    </row>
    <row r="441" spans="1:11" ht="15" hidden="1" customHeight="1" outlineLevel="1">
      <c r="A441" s="1587" t="s">
        <v>1233</v>
      </c>
      <c r="B441" s="1591" t="s">
        <v>1128</v>
      </c>
      <c r="C441" s="1588" t="s">
        <v>1129</v>
      </c>
      <c r="D441" s="1589">
        <v>60000</v>
      </c>
      <c r="E441" s="1592">
        <v>1</v>
      </c>
      <c r="F441" s="1592">
        <v>1</v>
      </c>
      <c r="G441" s="1592">
        <v>1</v>
      </c>
      <c r="H441" s="1592">
        <v>1</v>
      </c>
      <c r="I441" s="1592">
        <v>1</v>
      </c>
      <c r="J441" s="1341">
        <f t="shared" si="29"/>
        <v>1</v>
      </c>
      <c r="K441" s="1341">
        <f t="shared" si="30"/>
        <v>1</v>
      </c>
    </row>
    <row r="442" spans="1:11" ht="15" hidden="1" customHeight="1" outlineLevel="1">
      <c r="A442" s="1587" t="s">
        <v>1233</v>
      </c>
      <c r="B442" s="1591"/>
      <c r="C442" s="1588" t="s">
        <v>1130</v>
      </c>
      <c r="D442" s="1589">
        <v>35000</v>
      </c>
      <c r="E442" s="1592">
        <v>1</v>
      </c>
      <c r="F442" s="1592">
        <v>1</v>
      </c>
      <c r="G442" s="1592">
        <v>1</v>
      </c>
      <c r="H442" s="1592">
        <v>1</v>
      </c>
      <c r="I442" s="1592">
        <v>1</v>
      </c>
      <c r="J442" s="1341">
        <f t="shared" si="29"/>
        <v>1</v>
      </c>
      <c r="K442" s="1341">
        <f t="shared" si="30"/>
        <v>1</v>
      </c>
    </row>
    <row r="443" spans="1:11" ht="15" hidden="1" customHeight="1" outlineLevel="1">
      <c r="A443" s="1587" t="s">
        <v>1233</v>
      </c>
      <c r="B443" s="1591"/>
      <c r="C443" s="1588"/>
      <c r="D443" s="1589">
        <v>0</v>
      </c>
      <c r="E443" s="1592"/>
      <c r="F443" s="1592"/>
      <c r="G443" s="1592"/>
      <c r="H443" s="1592"/>
      <c r="I443" s="1592"/>
      <c r="J443" s="1341">
        <f t="shared" si="29"/>
        <v>0</v>
      </c>
      <c r="K443" s="1341">
        <f t="shared" si="30"/>
        <v>0</v>
      </c>
    </row>
    <row r="444" spans="1:11" ht="15" hidden="1" customHeight="1" outlineLevel="1">
      <c r="A444" s="1598" t="s">
        <v>1234</v>
      </c>
      <c r="B444" s="1594" t="s">
        <v>1132</v>
      </c>
      <c r="C444" s="1594" t="s">
        <v>32</v>
      </c>
      <c r="D444" s="1595">
        <v>65000</v>
      </c>
      <c r="E444" s="1603">
        <v>1</v>
      </c>
      <c r="F444" s="1603">
        <v>1</v>
      </c>
      <c r="G444" s="1603">
        <v>1</v>
      </c>
      <c r="H444" s="1603">
        <v>1</v>
      </c>
      <c r="I444" s="1603">
        <v>1</v>
      </c>
      <c r="J444" s="1341">
        <f t="shared" si="29"/>
        <v>1</v>
      </c>
      <c r="K444" s="1341">
        <f t="shared" si="30"/>
        <v>1</v>
      </c>
    </row>
    <row r="445" spans="1:11" ht="15" hidden="1" customHeight="1" outlineLevel="1">
      <c r="A445" s="1598" t="s">
        <v>1234</v>
      </c>
      <c r="B445" s="1594"/>
      <c r="C445" s="1599" t="s">
        <v>1133</v>
      </c>
      <c r="D445" s="1595">
        <v>45000</v>
      </c>
      <c r="E445" s="1603">
        <v>2</v>
      </c>
      <c r="F445" s="1603">
        <v>2</v>
      </c>
      <c r="G445" s="1603">
        <v>2</v>
      </c>
      <c r="H445" s="1603">
        <v>2</v>
      </c>
      <c r="I445" s="1603">
        <v>2</v>
      </c>
      <c r="J445" s="1341">
        <f t="shared" si="29"/>
        <v>2</v>
      </c>
      <c r="K445" s="1341">
        <f t="shared" si="30"/>
        <v>2</v>
      </c>
    </row>
    <row r="446" spans="1:11" ht="15" hidden="1" customHeight="1" outlineLevel="1">
      <c r="A446" s="1598" t="s">
        <v>1234</v>
      </c>
      <c r="B446" s="1594"/>
      <c r="C446" s="1599" t="s">
        <v>1134</v>
      </c>
      <c r="D446" s="1595">
        <v>45000</v>
      </c>
      <c r="E446" s="1603">
        <v>2</v>
      </c>
      <c r="F446" s="1603">
        <v>2</v>
      </c>
      <c r="G446" s="1603">
        <v>2</v>
      </c>
      <c r="H446" s="1603">
        <v>2</v>
      </c>
      <c r="I446" s="1603">
        <v>2</v>
      </c>
      <c r="J446" s="1341">
        <f t="shared" si="29"/>
        <v>2</v>
      </c>
      <c r="K446" s="1341">
        <f t="shared" si="30"/>
        <v>2</v>
      </c>
    </row>
    <row r="447" spans="1:11" ht="15" hidden="1" customHeight="1" outlineLevel="1">
      <c r="A447" s="1598" t="s">
        <v>1234</v>
      </c>
      <c r="B447" s="1594"/>
      <c r="C447" s="1594" t="s">
        <v>1135</v>
      </c>
      <c r="D447" s="1595">
        <v>45000</v>
      </c>
      <c r="E447" s="1603">
        <v>2</v>
      </c>
      <c r="F447" s="1603">
        <v>2</v>
      </c>
      <c r="G447" s="1603">
        <v>2</v>
      </c>
      <c r="H447" s="1603">
        <v>2</v>
      </c>
      <c r="I447" s="1603">
        <v>2</v>
      </c>
      <c r="J447" s="1341">
        <f t="shared" si="29"/>
        <v>2</v>
      </c>
      <c r="K447" s="1341">
        <f t="shared" si="30"/>
        <v>2</v>
      </c>
    </row>
    <row r="448" spans="1:11" ht="15" hidden="1" customHeight="1" outlineLevel="1">
      <c r="A448" s="1598" t="s">
        <v>1234</v>
      </c>
      <c r="B448" s="1594"/>
      <c r="C448" s="1593" t="s">
        <v>1136</v>
      </c>
      <c r="D448" s="1595">
        <v>32000</v>
      </c>
      <c r="E448" s="1607">
        <v>3</v>
      </c>
      <c r="F448" s="1607">
        <v>3</v>
      </c>
      <c r="G448" s="1607">
        <v>3</v>
      </c>
      <c r="H448" s="1607">
        <v>3</v>
      </c>
      <c r="I448" s="1607">
        <v>3</v>
      </c>
      <c r="J448" s="1341">
        <f t="shared" si="29"/>
        <v>3</v>
      </c>
      <c r="K448" s="1341">
        <f t="shared" si="30"/>
        <v>3</v>
      </c>
    </row>
    <row r="449" spans="1:11" ht="15" hidden="1" customHeight="1" outlineLevel="1">
      <c r="A449" s="1598" t="s">
        <v>1234</v>
      </c>
      <c r="B449" s="1594"/>
      <c r="C449" s="1593" t="s">
        <v>1137</v>
      </c>
      <c r="D449" s="1595">
        <v>65000</v>
      </c>
      <c r="E449" s="1607">
        <v>1</v>
      </c>
      <c r="F449" s="1607">
        <v>1</v>
      </c>
      <c r="G449" s="1607">
        <v>1</v>
      </c>
      <c r="H449" s="1607">
        <v>1</v>
      </c>
      <c r="I449" s="1607">
        <v>1</v>
      </c>
      <c r="J449" s="1341">
        <f t="shared" si="29"/>
        <v>1</v>
      </c>
      <c r="K449" s="1341">
        <f t="shared" si="30"/>
        <v>1</v>
      </c>
    </row>
    <row r="450" spans="1:11" ht="15" hidden="1" customHeight="1" outlineLevel="1">
      <c r="A450" s="1598" t="s">
        <v>1234</v>
      </c>
      <c r="B450" s="1594"/>
      <c r="C450" s="1593" t="s">
        <v>1138</v>
      </c>
      <c r="D450" s="1595">
        <v>35000</v>
      </c>
      <c r="E450" s="1607">
        <v>1</v>
      </c>
      <c r="F450" s="1607">
        <v>1</v>
      </c>
      <c r="G450" s="1607">
        <v>1</v>
      </c>
      <c r="H450" s="1607">
        <v>1</v>
      </c>
      <c r="I450" s="1607">
        <v>1</v>
      </c>
      <c r="J450" s="1341">
        <f t="shared" si="29"/>
        <v>1</v>
      </c>
      <c r="K450" s="1341">
        <f t="shared" si="30"/>
        <v>1</v>
      </c>
    </row>
    <row r="451" spans="1:11" ht="15" hidden="1" customHeight="1" outlineLevel="1">
      <c r="A451" s="1598" t="s">
        <v>1234</v>
      </c>
      <c r="B451" s="1594"/>
      <c r="C451" s="1593" t="s">
        <v>1139</v>
      </c>
      <c r="D451" s="1595">
        <v>45000</v>
      </c>
      <c r="E451" s="1607">
        <v>1</v>
      </c>
      <c r="F451" s="1607">
        <v>1</v>
      </c>
      <c r="G451" s="1607">
        <v>1</v>
      </c>
      <c r="H451" s="1607">
        <v>1</v>
      </c>
      <c r="I451" s="1607">
        <v>1</v>
      </c>
      <c r="J451" s="1341">
        <f t="shared" si="29"/>
        <v>1</v>
      </c>
      <c r="K451" s="1341">
        <f t="shared" si="30"/>
        <v>1</v>
      </c>
    </row>
    <row r="452" spans="1:11" ht="15" hidden="1" customHeight="1" outlineLevel="1">
      <c r="A452" s="1598" t="s">
        <v>1234</v>
      </c>
      <c r="B452" s="1594"/>
      <c r="C452" s="1593" t="s">
        <v>40</v>
      </c>
      <c r="D452" s="1595">
        <v>32000</v>
      </c>
      <c r="E452" s="1607">
        <v>1</v>
      </c>
      <c r="F452" s="1607">
        <v>1</v>
      </c>
      <c r="G452" s="1607">
        <v>1</v>
      </c>
      <c r="H452" s="1607">
        <v>1</v>
      </c>
      <c r="I452" s="1607">
        <v>1</v>
      </c>
      <c r="J452" s="1341">
        <f t="shared" si="29"/>
        <v>1</v>
      </c>
      <c r="K452" s="1341">
        <f t="shared" si="30"/>
        <v>1</v>
      </c>
    </row>
    <row r="453" spans="1:11" ht="15" hidden="1" customHeight="1" outlineLevel="1">
      <c r="A453" s="1598" t="s">
        <v>1234</v>
      </c>
      <c r="B453" s="1594"/>
      <c r="C453" s="1593"/>
      <c r="D453" s="1595">
        <v>0</v>
      </c>
      <c r="E453" s="1607"/>
      <c r="F453" s="1607"/>
      <c r="G453" s="1607"/>
      <c r="H453" s="1607"/>
      <c r="I453" s="1607"/>
      <c r="J453" s="1341">
        <f t="shared" si="29"/>
        <v>0</v>
      </c>
      <c r="K453" s="1341">
        <f t="shared" si="30"/>
        <v>0</v>
      </c>
    </row>
    <row r="454" spans="1:11" ht="15" hidden="1" customHeight="1" outlineLevel="1">
      <c r="A454" s="1587" t="s">
        <v>1235</v>
      </c>
      <c r="B454" s="1588" t="s">
        <v>1141</v>
      </c>
      <c r="C454" s="1591" t="s">
        <v>1142</v>
      </c>
      <c r="D454" s="1589">
        <v>65000</v>
      </c>
      <c r="E454" s="1589">
        <v>1</v>
      </c>
      <c r="F454" s="1589">
        <v>1</v>
      </c>
      <c r="G454" s="1589">
        <v>1</v>
      </c>
      <c r="H454" s="1589">
        <v>1</v>
      </c>
      <c r="I454" s="1589">
        <v>1</v>
      </c>
      <c r="J454" s="1341">
        <f t="shared" si="29"/>
        <v>1</v>
      </c>
      <c r="K454" s="1341">
        <f t="shared" si="30"/>
        <v>1</v>
      </c>
    </row>
    <row r="455" spans="1:11" ht="15" hidden="1" customHeight="1" outlineLevel="1">
      <c r="A455" s="1587" t="s">
        <v>1235</v>
      </c>
      <c r="B455" s="1588"/>
      <c r="C455" s="1600" t="s">
        <v>1143</v>
      </c>
      <c r="D455" s="1589">
        <v>50000</v>
      </c>
      <c r="E455" s="1589">
        <v>1</v>
      </c>
      <c r="F455" s="1589">
        <v>1</v>
      </c>
      <c r="G455" s="1589">
        <v>1</v>
      </c>
      <c r="H455" s="1589">
        <v>1</v>
      </c>
      <c r="I455" s="1589">
        <v>1</v>
      </c>
      <c r="J455" s="1341">
        <f t="shared" si="29"/>
        <v>1</v>
      </c>
      <c r="K455" s="1341">
        <f t="shared" si="30"/>
        <v>1</v>
      </c>
    </row>
    <row r="456" spans="1:11" ht="15" hidden="1" customHeight="1" outlineLevel="1">
      <c r="A456" s="1587" t="s">
        <v>1235</v>
      </c>
      <c r="B456" s="1588"/>
      <c r="C456" s="1601" t="s">
        <v>1144</v>
      </c>
      <c r="D456" s="1589">
        <v>35000</v>
      </c>
      <c r="E456" s="1589">
        <v>1</v>
      </c>
      <c r="F456" s="1589">
        <v>1</v>
      </c>
      <c r="G456" s="1589">
        <v>1</v>
      </c>
      <c r="H456" s="1589">
        <v>1</v>
      </c>
      <c r="I456" s="1589">
        <v>1</v>
      </c>
      <c r="J456" s="1341">
        <f t="shared" si="29"/>
        <v>1</v>
      </c>
      <c r="K456" s="1341">
        <f t="shared" si="30"/>
        <v>1</v>
      </c>
    </row>
    <row r="457" spans="1:11" ht="15" hidden="1" customHeight="1" outlineLevel="1">
      <c r="A457" s="1587" t="s">
        <v>1235</v>
      </c>
      <c r="B457" s="1588"/>
      <c r="C457" s="1588" t="s">
        <v>1145</v>
      </c>
      <c r="D457" s="1589">
        <v>32000</v>
      </c>
      <c r="E457" s="1589">
        <v>1</v>
      </c>
      <c r="F457" s="1589">
        <v>1</v>
      </c>
      <c r="G457" s="1589">
        <v>1</v>
      </c>
      <c r="H457" s="1589">
        <v>1</v>
      </c>
      <c r="I457" s="1589">
        <v>1</v>
      </c>
      <c r="J457" s="1341">
        <f t="shared" si="29"/>
        <v>1</v>
      </c>
      <c r="K457" s="1341">
        <f t="shared" si="30"/>
        <v>1</v>
      </c>
    </row>
    <row r="458" spans="1:11" ht="15" hidden="1" customHeight="1" outlineLevel="1">
      <c r="A458" s="1587" t="s">
        <v>1235</v>
      </c>
      <c r="B458" s="1588"/>
      <c r="C458" s="1588" t="s">
        <v>1146</v>
      </c>
      <c r="D458" s="1589">
        <v>35000</v>
      </c>
      <c r="E458" s="1589">
        <v>1</v>
      </c>
      <c r="F458" s="1589">
        <v>1</v>
      </c>
      <c r="G458" s="1589">
        <v>1</v>
      </c>
      <c r="H458" s="1589">
        <v>1</v>
      </c>
      <c r="I458" s="1589">
        <v>1</v>
      </c>
      <c r="J458" s="1341">
        <f t="shared" si="29"/>
        <v>1</v>
      </c>
      <c r="K458" s="1341">
        <f t="shared" si="30"/>
        <v>1</v>
      </c>
    </row>
    <row r="459" spans="1:11" ht="15" hidden="1" customHeight="1" outlineLevel="1">
      <c r="A459" s="1587" t="s">
        <v>1235</v>
      </c>
      <c r="B459" s="1588"/>
      <c r="C459" s="1602" t="s">
        <v>1147</v>
      </c>
      <c r="D459" s="1589">
        <v>32000</v>
      </c>
      <c r="E459" s="1589">
        <v>2</v>
      </c>
      <c r="F459" s="1589">
        <v>2</v>
      </c>
      <c r="G459" s="1589">
        <v>2</v>
      </c>
      <c r="H459" s="1589">
        <v>2</v>
      </c>
      <c r="I459" s="1589">
        <v>2</v>
      </c>
      <c r="J459" s="1341">
        <f t="shared" si="29"/>
        <v>2</v>
      </c>
      <c r="K459" s="1341">
        <f t="shared" si="30"/>
        <v>2</v>
      </c>
    </row>
    <row r="460" spans="1:11" ht="15" hidden="1" customHeight="1" outlineLevel="1">
      <c r="A460" s="1587" t="s">
        <v>1235</v>
      </c>
      <c r="B460" s="1588"/>
      <c r="C460" s="1591" t="s">
        <v>1148</v>
      </c>
      <c r="D460" s="1589">
        <v>30000</v>
      </c>
      <c r="E460" s="1589">
        <v>2</v>
      </c>
      <c r="F460" s="1589">
        <v>2</v>
      </c>
      <c r="G460" s="1589">
        <v>2</v>
      </c>
      <c r="H460" s="1589">
        <v>2</v>
      </c>
      <c r="I460" s="1589">
        <v>2</v>
      </c>
      <c r="J460" s="1341">
        <f t="shared" si="29"/>
        <v>2</v>
      </c>
      <c r="K460" s="1341">
        <f t="shared" si="30"/>
        <v>2</v>
      </c>
    </row>
    <row r="461" spans="1:11" ht="15" hidden="1" customHeight="1" outlineLevel="1">
      <c r="A461" s="1587" t="s">
        <v>1235</v>
      </c>
      <c r="B461" s="1588"/>
      <c r="C461" s="1591" t="s">
        <v>1149</v>
      </c>
      <c r="D461" s="1589">
        <v>30000</v>
      </c>
      <c r="E461" s="1589">
        <v>2</v>
      </c>
      <c r="F461" s="1589">
        <v>2</v>
      </c>
      <c r="G461" s="1589">
        <v>2</v>
      </c>
      <c r="H461" s="1589">
        <v>2</v>
      </c>
      <c r="I461" s="1589">
        <v>2</v>
      </c>
      <c r="J461" s="1341">
        <f t="shared" si="29"/>
        <v>2</v>
      </c>
      <c r="K461" s="1341">
        <f t="shared" si="30"/>
        <v>2</v>
      </c>
    </row>
    <row r="462" spans="1:11" ht="15" hidden="1" customHeight="1" outlineLevel="1">
      <c r="A462" s="1587" t="s">
        <v>1235</v>
      </c>
      <c r="B462" s="1588"/>
      <c r="C462" s="1591" t="s">
        <v>1150</v>
      </c>
      <c r="D462" s="1589">
        <v>30000</v>
      </c>
      <c r="E462" s="1589">
        <v>1</v>
      </c>
      <c r="F462" s="1589">
        <v>1</v>
      </c>
      <c r="G462" s="1589">
        <v>1</v>
      </c>
      <c r="H462" s="1589">
        <v>1</v>
      </c>
      <c r="I462" s="1589">
        <v>1</v>
      </c>
      <c r="J462" s="1341">
        <f t="shared" si="29"/>
        <v>1</v>
      </c>
      <c r="K462" s="1341">
        <f t="shared" si="30"/>
        <v>1</v>
      </c>
    </row>
    <row r="463" spans="1:11" ht="15" hidden="1" customHeight="1" outlineLevel="1">
      <c r="A463" s="1587" t="s">
        <v>1235</v>
      </c>
      <c r="B463" s="1588"/>
      <c r="C463" s="1591"/>
      <c r="D463" s="1589">
        <v>0</v>
      </c>
      <c r="E463" s="1589"/>
      <c r="F463" s="1589"/>
      <c r="G463" s="1589"/>
      <c r="H463" s="1589"/>
      <c r="I463" s="1589"/>
      <c r="J463" s="1341">
        <f t="shared" si="29"/>
        <v>0</v>
      </c>
      <c r="K463" s="1341">
        <f t="shared" si="30"/>
        <v>0</v>
      </c>
    </row>
    <row r="464" spans="1:11" ht="15" hidden="1" customHeight="1" outlineLevel="1">
      <c r="A464" s="1598" t="s">
        <v>1236</v>
      </c>
      <c r="B464" s="1594" t="s">
        <v>1152</v>
      </c>
      <c r="C464" s="1593" t="s">
        <v>1153</v>
      </c>
      <c r="D464" s="1595">
        <v>65000</v>
      </c>
      <c r="E464" s="1595">
        <v>1</v>
      </c>
      <c r="F464" s="1595">
        <v>1</v>
      </c>
      <c r="G464" s="1595">
        <v>1</v>
      </c>
      <c r="H464" s="1595">
        <v>1</v>
      </c>
      <c r="I464" s="1595">
        <v>1</v>
      </c>
      <c r="J464" s="1341">
        <f t="shared" si="29"/>
        <v>1</v>
      </c>
      <c r="K464" s="1341">
        <f t="shared" si="30"/>
        <v>1</v>
      </c>
    </row>
    <row r="465" spans="1:11" ht="15" hidden="1" customHeight="1" outlineLevel="1">
      <c r="A465" s="1598" t="s">
        <v>1236</v>
      </c>
      <c r="B465" s="1594"/>
      <c r="C465" s="1593" t="s">
        <v>1154</v>
      </c>
      <c r="D465" s="1595">
        <v>45000</v>
      </c>
      <c r="E465" s="1595">
        <v>1</v>
      </c>
      <c r="F465" s="1595">
        <v>1</v>
      </c>
      <c r="G465" s="1595">
        <v>1</v>
      </c>
      <c r="H465" s="1595">
        <v>1</v>
      </c>
      <c r="I465" s="1595">
        <v>1</v>
      </c>
      <c r="J465" s="1341">
        <f t="shared" si="29"/>
        <v>1</v>
      </c>
      <c r="K465" s="1341">
        <f t="shared" si="30"/>
        <v>1</v>
      </c>
    </row>
    <row r="466" spans="1:11" ht="15" hidden="1" customHeight="1" outlineLevel="1">
      <c r="A466" s="1598" t="s">
        <v>1236</v>
      </c>
      <c r="B466" s="1594"/>
      <c r="C466" s="1593" t="s">
        <v>1155</v>
      </c>
      <c r="D466" s="1595">
        <v>38000</v>
      </c>
      <c r="E466" s="1595">
        <v>2</v>
      </c>
      <c r="F466" s="1595">
        <v>2</v>
      </c>
      <c r="G466" s="1595">
        <v>2</v>
      </c>
      <c r="H466" s="1595">
        <v>2</v>
      </c>
      <c r="I466" s="1595">
        <v>2</v>
      </c>
      <c r="J466" s="1341">
        <f t="shared" si="29"/>
        <v>2</v>
      </c>
      <c r="K466" s="1341">
        <f t="shared" si="30"/>
        <v>2</v>
      </c>
    </row>
    <row r="467" spans="1:11" ht="15" hidden="1" customHeight="1" outlineLevel="1">
      <c r="A467" s="1598" t="s">
        <v>1236</v>
      </c>
      <c r="B467" s="1594"/>
      <c r="C467" s="1593" t="s">
        <v>1156</v>
      </c>
      <c r="D467" s="1595">
        <v>28000</v>
      </c>
      <c r="E467" s="1603">
        <v>10</v>
      </c>
      <c r="F467" s="1603">
        <v>10</v>
      </c>
      <c r="G467" s="1603">
        <v>10</v>
      </c>
      <c r="H467" s="1603">
        <v>10</v>
      </c>
      <c r="I467" s="1603">
        <v>10</v>
      </c>
      <c r="J467" s="1341">
        <f t="shared" si="29"/>
        <v>10</v>
      </c>
      <c r="K467" s="1341">
        <f t="shared" si="30"/>
        <v>10</v>
      </c>
    </row>
    <row r="468" spans="1:11" ht="15" hidden="1" customHeight="1" outlineLevel="1">
      <c r="A468" s="1598" t="s">
        <v>1236</v>
      </c>
      <c r="B468" s="1594"/>
      <c r="C468" s="1594" t="s">
        <v>1157</v>
      </c>
      <c r="D468" s="1603">
        <v>23000</v>
      </c>
      <c r="E468" s="1595">
        <v>5</v>
      </c>
      <c r="F468" s="1595">
        <v>5</v>
      </c>
      <c r="G468" s="1595">
        <v>5</v>
      </c>
      <c r="H468" s="1595">
        <v>5</v>
      </c>
      <c r="I468" s="1595">
        <v>5</v>
      </c>
      <c r="J468" s="1341">
        <f t="shared" si="29"/>
        <v>5</v>
      </c>
      <c r="K468" s="1341">
        <f t="shared" si="30"/>
        <v>5</v>
      </c>
    </row>
    <row r="469" spans="1:11" ht="15" hidden="1" customHeight="1" outlineLevel="1">
      <c r="A469" s="1598" t="s">
        <v>1236</v>
      </c>
      <c r="B469" s="1594"/>
      <c r="C469" s="1593" t="s">
        <v>1158</v>
      </c>
      <c r="D469" s="1595">
        <v>21000</v>
      </c>
      <c r="E469" s="1595">
        <v>4</v>
      </c>
      <c r="F469" s="1595">
        <v>4</v>
      </c>
      <c r="G469" s="1595">
        <v>4</v>
      </c>
      <c r="H469" s="1595">
        <v>4</v>
      </c>
      <c r="I469" s="1595">
        <v>4</v>
      </c>
      <c r="J469" s="1341">
        <f t="shared" si="29"/>
        <v>4</v>
      </c>
      <c r="K469" s="1341">
        <f t="shared" si="30"/>
        <v>4</v>
      </c>
    </row>
    <row r="470" spans="1:11" ht="15" hidden="1" customHeight="1" outlineLevel="1">
      <c r="A470" s="1598" t="s">
        <v>1236</v>
      </c>
      <c r="B470" s="1594"/>
      <c r="C470" s="1593"/>
      <c r="D470" s="1595">
        <v>0</v>
      </c>
      <c r="E470" s="1595"/>
      <c r="F470" s="1595"/>
      <c r="G470" s="1595"/>
      <c r="H470" s="1595"/>
      <c r="I470" s="1595"/>
      <c r="J470" s="1341">
        <f t="shared" si="29"/>
        <v>0</v>
      </c>
      <c r="K470" s="1341">
        <f t="shared" si="30"/>
        <v>0</v>
      </c>
    </row>
    <row r="471" spans="1:11" ht="15" hidden="1" customHeight="1" outlineLevel="1">
      <c r="A471" s="1598" t="s">
        <v>1236</v>
      </c>
      <c r="B471" s="1590" t="s">
        <v>1159</v>
      </c>
      <c r="C471" s="1591" t="s">
        <v>1160</v>
      </c>
      <c r="D471" s="1589">
        <v>65000</v>
      </c>
      <c r="E471" s="1589">
        <v>1</v>
      </c>
      <c r="F471" s="1589">
        <v>1</v>
      </c>
      <c r="G471" s="1589">
        <v>1</v>
      </c>
      <c r="H471" s="1589">
        <v>1</v>
      </c>
      <c r="I471" s="1589">
        <v>1</v>
      </c>
      <c r="J471" s="1341">
        <f t="shared" si="29"/>
        <v>1</v>
      </c>
      <c r="K471" s="1341">
        <f t="shared" si="30"/>
        <v>1</v>
      </c>
    </row>
    <row r="472" spans="1:11" ht="15" hidden="1" customHeight="1" outlineLevel="1">
      <c r="A472" s="1598" t="s">
        <v>1236</v>
      </c>
      <c r="B472" s="1590"/>
      <c r="C472" s="1591" t="s">
        <v>1161</v>
      </c>
      <c r="D472" s="1589">
        <v>40000</v>
      </c>
      <c r="E472" s="1589">
        <v>2</v>
      </c>
      <c r="F472" s="1589">
        <v>2</v>
      </c>
      <c r="G472" s="1589">
        <v>2</v>
      </c>
      <c r="H472" s="1589">
        <v>2</v>
      </c>
      <c r="I472" s="1589">
        <v>2</v>
      </c>
      <c r="J472" s="1341">
        <f t="shared" si="29"/>
        <v>2</v>
      </c>
      <c r="K472" s="1341">
        <f t="shared" si="30"/>
        <v>2</v>
      </c>
    </row>
    <row r="473" spans="1:11" ht="15" hidden="1" customHeight="1" outlineLevel="1">
      <c r="A473" s="1598" t="s">
        <v>1236</v>
      </c>
      <c r="B473" s="1590"/>
      <c r="C473" s="1591" t="s">
        <v>1162</v>
      </c>
      <c r="D473" s="1589">
        <v>30000</v>
      </c>
      <c r="E473" s="1589">
        <v>3</v>
      </c>
      <c r="F473" s="1589">
        <v>3</v>
      </c>
      <c r="G473" s="1589">
        <v>3</v>
      </c>
      <c r="H473" s="1589">
        <v>3</v>
      </c>
      <c r="I473" s="1589">
        <v>3</v>
      </c>
      <c r="J473" s="1341">
        <f t="shared" si="29"/>
        <v>3</v>
      </c>
      <c r="K473" s="1341">
        <f t="shared" si="30"/>
        <v>3</v>
      </c>
    </row>
    <row r="474" spans="1:11" ht="15" hidden="1" customHeight="1" outlineLevel="1">
      <c r="A474" s="1598" t="s">
        <v>1236</v>
      </c>
      <c r="B474" s="1590"/>
      <c r="C474" s="1591" t="s">
        <v>1163</v>
      </c>
      <c r="D474" s="1589">
        <v>35000</v>
      </c>
      <c r="E474" s="1589">
        <v>1</v>
      </c>
      <c r="F474" s="1589">
        <v>1</v>
      </c>
      <c r="G474" s="1589">
        <v>1</v>
      </c>
      <c r="H474" s="1589">
        <v>1</v>
      </c>
      <c r="I474" s="1589">
        <v>1</v>
      </c>
      <c r="J474" s="1341">
        <f t="shared" si="29"/>
        <v>1</v>
      </c>
      <c r="K474" s="1341">
        <f t="shared" si="30"/>
        <v>1</v>
      </c>
    </row>
    <row r="475" spans="1:11" ht="15" hidden="1" customHeight="1" outlineLevel="1">
      <c r="A475" s="1598" t="s">
        <v>1236</v>
      </c>
      <c r="B475" s="1590"/>
      <c r="C475" s="1591" t="s">
        <v>1164</v>
      </c>
      <c r="D475" s="1589">
        <v>30000</v>
      </c>
      <c r="E475" s="1589">
        <v>3</v>
      </c>
      <c r="F475" s="1589">
        <v>3</v>
      </c>
      <c r="G475" s="1589">
        <v>3</v>
      </c>
      <c r="H475" s="1589">
        <v>3</v>
      </c>
      <c r="I475" s="1589">
        <v>3</v>
      </c>
      <c r="J475" s="1341">
        <f t="shared" si="29"/>
        <v>3</v>
      </c>
      <c r="K475" s="1341">
        <f t="shared" si="30"/>
        <v>3</v>
      </c>
    </row>
    <row r="476" spans="1:11" ht="15" hidden="1" customHeight="1" outlineLevel="1">
      <c r="A476" s="1598" t="s">
        <v>1236</v>
      </c>
      <c r="B476" s="1590"/>
      <c r="C476" s="1590" t="s">
        <v>1165</v>
      </c>
      <c r="D476" s="1589">
        <v>25000</v>
      </c>
      <c r="E476" s="1589">
        <v>1</v>
      </c>
      <c r="F476" s="1589">
        <v>1</v>
      </c>
      <c r="G476" s="1589">
        <v>1</v>
      </c>
      <c r="H476" s="1589">
        <v>1</v>
      </c>
      <c r="I476" s="1589">
        <v>1</v>
      </c>
      <c r="J476" s="1341">
        <f t="shared" si="29"/>
        <v>1</v>
      </c>
      <c r="K476" s="1341">
        <f t="shared" si="30"/>
        <v>1</v>
      </c>
    </row>
    <row r="477" spans="1:11" ht="15" hidden="1" customHeight="1" outlineLevel="1">
      <c r="A477" s="1598" t="s">
        <v>1236</v>
      </c>
      <c r="B477" s="1590"/>
      <c r="C477" s="1590" t="s">
        <v>1166</v>
      </c>
      <c r="D477" s="1589">
        <v>21000</v>
      </c>
      <c r="E477" s="1589">
        <v>2</v>
      </c>
      <c r="F477" s="1589">
        <v>2</v>
      </c>
      <c r="G477" s="1589">
        <v>2</v>
      </c>
      <c r="H477" s="1589">
        <v>2</v>
      </c>
      <c r="I477" s="1589">
        <v>2</v>
      </c>
      <c r="J477" s="1341">
        <f t="shared" ref="J477:J537" si="31">I477</f>
        <v>2</v>
      </c>
      <c r="K477" s="1341">
        <f t="shared" ref="K477:K537" si="32">J477</f>
        <v>2</v>
      </c>
    </row>
    <row r="478" spans="1:11" ht="15" hidden="1" customHeight="1" outlineLevel="1">
      <c r="A478" s="1598" t="s">
        <v>1236</v>
      </c>
      <c r="B478" s="1590"/>
      <c r="C478" s="1602"/>
      <c r="D478" s="1589">
        <v>0</v>
      </c>
      <c r="E478" s="1589"/>
      <c r="F478" s="1589"/>
      <c r="G478" s="1589"/>
      <c r="H478" s="1589"/>
      <c r="I478" s="1589"/>
      <c r="J478" s="1341">
        <f t="shared" si="31"/>
        <v>0</v>
      </c>
      <c r="K478" s="1341">
        <f t="shared" si="32"/>
        <v>0</v>
      </c>
    </row>
    <row r="479" spans="1:11" ht="15" hidden="1" customHeight="1" outlineLevel="1">
      <c r="A479" s="1598" t="s">
        <v>1236</v>
      </c>
      <c r="B479" s="1599" t="s">
        <v>1167</v>
      </c>
      <c r="C479" s="1593" t="s">
        <v>1168</v>
      </c>
      <c r="D479" s="1595">
        <v>40000</v>
      </c>
      <c r="E479" s="1595">
        <v>1</v>
      </c>
      <c r="F479" s="1595">
        <v>1</v>
      </c>
      <c r="G479" s="1595">
        <v>1</v>
      </c>
      <c r="H479" s="1595">
        <v>1</v>
      </c>
      <c r="I479" s="1595">
        <v>1</v>
      </c>
      <c r="J479" s="1341">
        <f t="shared" si="31"/>
        <v>1</v>
      </c>
      <c r="K479" s="1341">
        <f t="shared" si="32"/>
        <v>1</v>
      </c>
    </row>
    <row r="480" spans="1:11" ht="15" hidden="1" customHeight="1" outlineLevel="1">
      <c r="A480" s="1598" t="s">
        <v>1236</v>
      </c>
      <c r="B480" s="1599"/>
      <c r="C480" s="1593" t="s">
        <v>1169</v>
      </c>
      <c r="D480" s="1595">
        <v>25000</v>
      </c>
      <c r="E480" s="1595">
        <v>3</v>
      </c>
      <c r="F480" s="1595">
        <v>3</v>
      </c>
      <c r="G480" s="1595">
        <v>3</v>
      </c>
      <c r="H480" s="1595">
        <v>3</v>
      </c>
      <c r="I480" s="1595">
        <v>3</v>
      </c>
      <c r="J480" s="1341">
        <f t="shared" si="31"/>
        <v>3</v>
      </c>
      <c r="K480" s="1341">
        <f t="shared" si="32"/>
        <v>3</v>
      </c>
    </row>
    <row r="481" spans="1:11" ht="15" hidden="1" customHeight="1" outlineLevel="1">
      <c r="A481" s="1598" t="s">
        <v>1236</v>
      </c>
      <c r="B481" s="1599"/>
      <c r="C481" s="1604" t="s">
        <v>1170</v>
      </c>
      <c r="D481" s="1595">
        <v>23000</v>
      </c>
      <c r="E481" s="1595">
        <v>1</v>
      </c>
      <c r="F481" s="1595">
        <v>1</v>
      </c>
      <c r="G481" s="1595">
        <v>1</v>
      </c>
      <c r="H481" s="1595">
        <v>1</v>
      </c>
      <c r="I481" s="1595">
        <v>1</v>
      </c>
      <c r="J481" s="1341">
        <f t="shared" si="31"/>
        <v>1</v>
      </c>
      <c r="K481" s="1341">
        <f t="shared" si="32"/>
        <v>1</v>
      </c>
    </row>
    <row r="482" spans="1:11" ht="15" hidden="1" customHeight="1" outlineLevel="1">
      <c r="A482" s="1598" t="s">
        <v>1236</v>
      </c>
      <c r="B482" s="1599"/>
      <c r="C482" s="1604"/>
      <c r="D482" s="1595">
        <v>0</v>
      </c>
      <c r="E482" s="1595"/>
      <c r="F482" s="1595"/>
      <c r="G482" s="1595"/>
      <c r="H482" s="1595"/>
      <c r="I482" s="1595"/>
      <c r="J482" s="1341">
        <f t="shared" si="31"/>
        <v>0</v>
      </c>
      <c r="K482" s="1341">
        <f t="shared" si="32"/>
        <v>0</v>
      </c>
    </row>
    <row r="483" spans="1:11" ht="15" hidden="1" customHeight="1" outlineLevel="1">
      <c r="A483" s="1587" t="s">
        <v>1237</v>
      </c>
      <c r="B483" s="1588" t="s">
        <v>1172</v>
      </c>
      <c r="C483" s="1591" t="s">
        <v>1173</v>
      </c>
      <c r="D483" s="1589">
        <v>65000</v>
      </c>
      <c r="E483" s="1589">
        <v>1</v>
      </c>
      <c r="F483" s="1589">
        <v>1</v>
      </c>
      <c r="G483" s="1589">
        <v>1</v>
      </c>
      <c r="H483" s="1589">
        <v>1</v>
      </c>
      <c r="I483" s="1589">
        <v>1</v>
      </c>
      <c r="J483" s="1341">
        <f t="shared" si="31"/>
        <v>1</v>
      </c>
      <c r="K483" s="1341">
        <f t="shared" si="32"/>
        <v>1</v>
      </c>
    </row>
    <row r="484" spans="1:11" ht="15" hidden="1" customHeight="1" outlineLevel="1">
      <c r="A484" s="1587" t="s">
        <v>1237</v>
      </c>
      <c r="B484" s="1588"/>
      <c r="C484" s="1591" t="s">
        <v>1174</v>
      </c>
      <c r="D484" s="1589">
        <v>90000</v>
      </c>
      <c r="E484" s="1589">
        <v>1</v>
      </c>
      <c r="F484" s="1589">
        <v>1</v>
      </c>
      <c r="G484" s="1589">
        <v>1</v>
      </c>
      <c r="H484" s="1589">
        <v>1</v>
      </c>
      <c r="I484" s="1589">
        <v>1</v>
      </c>
      <c r="J484" s="1341">
        <f t="shared" si="31"/>
        <v>1</v>
      </c>
      <c r="K484" s="1341">
        <f t="shared" si="32"/>
        <v>1</v>
      </c>
    </row>
    <row r="485" spans="1:11" ht="15" hidden="1" customHeight="1" outlineLevel="1">
      <c r="A485" s="1587" t="s">
        <v>1237</v>
      </c>
      <c r="B485" s="1588"/>
      <c r="C485" s="1591" t="s">
        <v>1175</v>
      </c>
      <c r="D485" s="1589">
        <v>55000</v>
      </c>
      <c r="E485" s="1589">
        <v>1</v>
      </c>
      <c r="F485" s="1589">
        <v>1</v>
      </c>
      <c r="G485" s="1589">
        <v>1</v>
      </c>
      <c r="H485" s="1589">
        <v>1</v>
      </c>
      <c r="I485" s="1589">
        <v>1</v>
      </c>
      <c r="J485" s="1341">
        <f t="shared" si="31"/>
        <v>1</v>
      </c>
      <c r="K485" s="1341">
        <f t="shared" si="32"/>
        <v>1</v>
      </c>
    </row>
    <row r="486" spans="1:11" ht="15" hidden="1" customHeight="1" outlineLevel="1">
      <c r="A486" s="1587" t="s">
        <v>1237</v>
      </c>
      <c r="B486" s="1588"/>
      <c r="C486" s="1591" t="s">
        <v>1176</v>
      </c>
      <c r="D486" s="1589">
        <v>40000</v>
      </c>
      <c r="E486" s="1589">
        <v>1</v>
      </c>
      <c r="F486" s="1589">
        <v>1</v>
      </c>
      <c r="G486" s="1589">
        <v>1</v>
      </c>
      <c r="H486" s="1589">
        <v>1</v>
      </c>
      <c r="I486" s="1589">
        <v>1</v>
      </c>
      <c r="J486" s="1341">
        <f t="shared" si="31"/>
        <v>1</v>
      </c>
      <c r="K486" s="1341">
        <f t="shared" si="32"/>
        <v>1</v>
      </c>
    </row>
    <row r="487" spans="1:11" ht="15" hidden="1" customHeight="1" outlineLevel="1">
      <c r="A487" s="1587" t="s">
        <v>1237</v>
      </c>
      <c r="B487" s="1588"/>
      <c r="C487" s="1588" t="s">
        <v>1177</v>
      </c>
      <c r="D487" s="1589">
        <v>35000</v>
      </c>
      <c r="E487" s="1589">
        <v>1</v>
      </c>
      <c r="F487" s="1589">
        <v>1</v>
      </c>
      <c r="G487" s="1589">
        <v>1</v>
      </c>
      <c r="H487" s="1589">
        <v>1</v>
      </c>
      <c r="I487" s="1589">
        <v>1</v>
      </c>
      <c r="J487" s="1341">
        <f t="shared" si="31"/>
        <v>1</v>
      </c>
      <c r="K487" s="1341">
        <f t="shared" si="32"/>
        <v>1</v>
      </c>
    </row>
    <row r="488" spans="1:11" ht="15" hidden="1" customHeight="1" outlineLevel="1">
      <c r="A488" s="1587" t="s">
        <v>1237</v>
      </c>
      <c r="B488" s="1588"/>
      <c r="C488" s="1591" t="s">
        <v>1178</v>
      </c>
      <c r="D488" s="1589">
        <v>35000</v>
      </c>
      <c r="E488" s="1589">
        <v>1</v>
      </c>
      <c r="F488" s="1589">
        <v>1</v>
      </c>
      <c r="G488" s="1589">
        <v>1</v>
      </c>
      <c r="H488" s="1589">
        <v>1</v>
      </c>
      <c r="I488" s="1589">
        <v>1</v>
      </c>
      <c r="J488" s="1341">
        <f t="shared" si="31"/>
        <v>1</v>
      </c>
      <c r="K488" s="1341">
        <f t="shared" si="32"/>
        <v>1</v>
      </c>
    </row>
    <row r="489" spans="1:11" ht="15" hidden="1" customHeight="1" outlineLevel="1">
      <c r="A489" s="1587" t="s">
        <v>1237</v>
      </c>
      <c r="B489" s="1588"/>
      <c r="C489" s="1602" t="s">
        <v>1179</v>
      </c>
      <c r="D489" s="1605">
        <v>21000</v>
      </c>
      <c r="E489" s="1589">
        <v>3</v>
      </c>
      <c r="F489" s="1589">
        <v>3</v>
      </c>
      <c r="G489" s="1589">
        <v>3</v>
      </c>
      <c r="H489" s="1589">
        <v>3</v>
      </c>
      <c r="I489" s="1589">
        <v>3</v>
      </c>
      <c r="J489" s="1341">
        <f t="shared" si="31"/>
        <v>3</v>
      </c>
      <c r="K489" s="1341">
        <f t="shared" si="32"/>
        <v>3</v>
      </c>
    </row>
    <row r="490" spans="1:11" ht="15" hidden="1" customHeight="1" outlineLevel="1">
      <c r="A490" s="1587" t="s">
        <v>1237</v>
      </c>
      <c r="B490" s="1588"/>
      <c r="C490" s="1591"/>
      <c r="D490" s="1589">
        <v>0</v>
      </c>
      <c r="E490" s="1589"/>
      <c r="F490" s="1589"/>
      <c r="G490" s="1589"/>
      <c r="H490" s="1589"/>
      <c r="I490" s="1589"/>
      <c r="J490" s="1341">
        <f t="shared" si="31"/>
        <v>0</v>
      </c>
      <c r="K490" s="1341">
        <f t="shared" si="32"/>
        <v>0</v>
      </c>
    </row>
    <row r="491" spans="1:11" ht="15" hidden="1" customHeight="1" outlineLevel="1">
      <c r="A491" s="1587" t="s">
        <v>1237</v>
      </c>
      <c r="B491" s="1594" t="s">
        <v>1238</v>
      </c>
      <c r="C491" s="1593" t="s">
        <v>1181</v>
      </c>
      <c r="D491" s="1595">
        <v>50000</v>
      </c>
      <c r="E491" s="1595">
        <v>1</v>
      </c>
      <c r="F491" s="1595">
        <v>1</v>
      </c>
      <c r="G491" s="1595">
        <v>1</v>
      </c>
      <c r="H491" s="1595">
        <v>1</v>
      </c>
      <c r="I491" s="1595">
        <v>1</v>
      </c>
      <c r="J491" s="1341">
        <f t="shared" si="31"/>
        <v>1</v>
      </c>
      <c r="K491" s="1341">
        <f t="shared" si="32"/>
        <v>1</v>
      </c>
    </row>
    <row r="492" spans="1:11" ht="15" hidden="1" customHeight="1" outlineLevel="1">
      <c r="A492" s="1587" t="s">
        <v>1237</v>
      </c>
      <c r="B492" s="1594"/>
      <c r="C492" s="1593" t="s">
        <v>1182</v>
      </c>
      <c r="D492" s="1595">
        <v>35000</v>
      </c>
      <c r="E492" s="1595">
        <v>3</v>
      </c>
      <c r="F492" s="1595">
        <v>3</v>
      </c>
      <c r="G492" s="1595">
        <v>3</v>
      </c>
      <c r="H492" s="1595">
        <v>3</v>
      </c>
      <c r="I492" s="1595">
        <v>3</v>
      </c>
      <c r="J492" s="1341">
        <f t="shared" si="31"/>
        <v>3</v>
      </c>
      <c r="K492" s="1341">
        <f t="shared" si="32"/>
        <v>3</v>
      </c>
    </row>
    <row r="493" spans="1:11" ht="15" hidden="1" customHeight="1" outlineLevel="1">
      <c r="A493" s="1587" t="s">
        <v>1237</v>
      </c>
      <c r="B493" s="1594"/>
      <c r="C493" s="1593" t="s">
        <v>1183</v>
      </c>
      <c r="D493" s="1595">
        <v>30000</v>
      </c>
      <c r="E493" s="1595">
        <v>6</v>
      </c>
      <c r="F493" s="1595">
        <v>6</v>
      </c>
      <c r="G493" s="1595">
        <v>6</v>
      </c>
      <c r="H493" s="1595">
        <v>6</v>
      </c>
      <c r="I493" s="1595">
        <v>6</v>
      </c>
      <c r="J493" s="1341">
        <f t="shared" si="31"/>
        <v>6</v>
      </c>
      <c r="K493" s="1341">
        <f t="shared" si="32"/>
        <v>6</v>
      </c>
    </row>
    <row r="494" spans="1:11" ht="15" hidden="1" customHeight="1" outlineLevel="1">
      <c r="A494" s="1587" t="s">
        <v>1237</v>
      </c>
      <c r="B494" s="1594"/>
      <c r="C494" s="1593" t="s">
        <v>1184</v>
      </c>
      <c r="D494" s="1595">
        <v>30000</v>
      </c>
      <c r="E494" s="1595">
        <v>3</v>
      </c>
      <c r="F494" s="1595">
        <v>3</v>
      </c>
      <c r="G494" s="1595">
        <v>3</v>
      </c>
      <c r="H494" s="1595">
        <v>3</v>
      </c>
      <c r="I494" s="1595">
        <v>3</v>
      </c>
      <c r="J494" s="1341">
        <f t="shared" si="31"/>
        <v>3</v>
      </c>
      <c r="K494" s="1341">
        <f t="shared" si="32"/>
        <v>3</v>
      </c>
    </row>
    <row r="495" spans="1:11" ht="15" hidden="1" customHeight="1" outlineLevel="1">
      <c r="A495" s="1587" t="s">
        <v>1237</v>
      </c>
      <c r="B495" s="1594"/>
      <c r="C495" s="1593" t="s">
        <v>1185</v>
      </c>
      <c r="D495" s="1595">
        <v>32000</v>
      </c>
      <c r="E495" s="1595">
        <v>2</v>
      </c>
      <c r="F495" s="1595">
        <v>2</v>
      </c>
      <c r="G495" s="1595">
        <v>2</v>
      </c>
      <c r="H495" s="1595">
        <v>2</v>
      </c>
      <c r="I495" s="1595">
        <v>2</v>
      </c>
      <c r="J495" s="1341">
        <f t="shared" si="31"/>
        <v>2</v>
      </c>
      <c r="K495" s="1341">
        <f t="shared" si="32"/>
        <v>2</v>
      </c>
    </row>
    <row r="496" spans="1:11" ht="15" hidden="1" customHeight="1" outlineLevel="1">
      <c r="A496" s="1587" t="s">
        <v>1237</v>
      </c>
      <c r="B496" s="1594"/>
      <c r="C496" s="1593" t="s">
        <v>1186</v>
      </c>
      <c r="D496" s="1595">
        <v>30000</v>
      </c>
      <c r="E496" s="1595">
        <v>5</v>
      </c>
      <c r="F496" s="1595">
        <v>5</v>
      </c>
      <c r="G496" s="1595">
        <v>5</v>
      </c>
      <c r="H496" s="1595">
        <v>5</v>
      </c>
      <c r="I496" s="1595">
        <v>5</v>
      </c>
      <c r="J496" s="1341">
        <f t="shared" si="31"/>
        <v>5</v>
      </c>
      <c r="K496" s="1341">
        <f t="shared" si="32"/>
        <v>5</v>
      </c>
    </row>
    <row r="497" spans="1:15" ht="15" hidden="1" customHeight="1" outlineLevel="1">
      <c r="A497" s="1587" t="s">
        <v>1237</v>
      </c>
      <c r="B497" s="1594"/>
      <c r="C497" s="1593" t="s">
        <v>1187</v>
      </c>
      <c r="D497" s="1595">
        <v>25000</v>
      </c>
      <c r="E497" s="1595">
        <v>12</v>
      </c>
      <c r="F497" s="1595">
        <v>12</v>
      </c>
      <c r="G497" s="1595">
        <v>12</v>
      </c>
      <c r="H497" s="1595">
        <v>12</v>
      </c>
      <c r="I497" s="1595">
        <v>12</v>
      </c>
      <c r="J497" s="1341">
        <f t="shared" si="31"/>
        <v>12</v>
      </c>
      <c r="K497" s="1341">
        <f t="shared" si="32"/>
        <v>12</v>
      </c>
    </row>
    <row r="498" spans="1:15" ht="15" hidden="1" customHeight="1" outlineLevel="1">
      <c r="A498" s="1587" t="s">
        <v>1237</v>
      </c>
      <c r="B498" s="1594"/>
      <c r="C498" s="1593" t="s">
        <v>1188</v>
      </c>
      <c r="D498" s="1595">
        <v>28000</v>
      </c>
      <c r="E498" s="1595">
        <v>5</v>
      </c>
      <c r="F498" s="1595">
        <v>5</v>
      </c>
      <c r="G498" s="1595">
        <v>5</v>
      </c>
      <c r="H498" s="1595">
        <v>5</v>
      </c>
      <c r="I498" s="1595">
        <v>5</v>
      </c>
      <c r="J498" s="1341">
        <f t="shared" si="31"/>
        <v>5</v>
      </c>
      <c r="K498" s="1341">
        <f t="shared" si="32"/>
        <v>5</v>
      </c>
    </row>
    <row r="499" spans="1:15" ht="15" hidden="1" customHeight="1" outlineLevel="1">
      <c r="A499" s="1587" t="s">
        <v>1237</v>
      </c>
      <c r="B499" s="1593"/>
      <c r="C499" s="1593"/>
      <c r="D499" s="1595">
        <v>0</v>
      </c>
      <c r="E499" s="1596"/>
      <c r="F499" s="1596"/>
      <c r="G499" s="1596"/>
      <c r="H499" s="1596"/>
      <c r="I499" s="1596"/>
      <c r="J499" s="1341">
        <f t="shared" si="31"/>
        <v>0</v>
      </c>
      <c r="K499" s="1341">
        <f t="shared" si="32"/>
        <v>0</v>
      </c>
    </row>
    <row r="500" spans="1:15" ht="15" hidden="1" customHeight="1" outlineLevel="1">
      <c r="A500" s="1587" t="s">
        <v>1237</v>
      </c>
      <c r="B500" s="1591" t="s">
        <v>1189</v>
      </c>
      <c r="C500" s="1591" t="s">
        <v>1181</v>
      </c>
      <c r="D500" s="1605">
        <v>45000</v>
      </c>
      <c r="E500" s="1592"/>
      <c r="F500" s="1592"/>
      <c r="G500" s="1592"/>
      <c r="H500" s="1592"/>
      <c r="I500" s="1592"/>
      <c r="J500" s="1341">
        <f t="shared" si="31"/>
        <v>0</v>
      </c>
      <c r="K500" s="1341">
        <f t="shared" si="32"/>
        <v>0</v>
      </c>
    </row>
    <row r="501" spans="1:15" ht="15" hidden="1" customHeight="1" outlineLevel="1">
      <c r="A501" s="1587" t="s">
        <v>1237</v>
      </c>
      <c r="B501" s="1591"/>
      <c r="C501" s="1591" t="s">
        <v>1182</v>
      </c>
      <c r="D501" s="1605">
        <v>35000</v>
      </c>
      <c r="E501" s="1592"/>
      <c r="F501" s="1592"/>
      <c r="G501" s="1592"/>
      <c r="H501" s="1592"/>
      <c r="I501" s="1592"/>
      <c r="J501" s="1341">
        <f t="shared" si="31"/>
        <v>0</v>
      </c>
      <c r="K501" s="1341">
        <f t="shared" si="32"/>
        <v>0</v>
      </c>
    </row>
    <row r="502" spans="1:15" ht="15" hidden="1" customHeight="1" outlineLevel="1">
      <c r="A502" s="1587" t="s">
        <v>1237</v>
      </c>
      <c r="B502" s="1591"/>
      <c r="C502" s="1591" t="s">
        <v>1190</v>
      </c>
      <c r="D502" s="1605">
        <v>30000</v>
      </c>
      <c r="E502" s="1592"/>
      <c r="F502" s="1592"/>
      <c r="G502" s="1592"/>
      <c r="H502" s="1592"/>
      <c r="I502" s="1592"/>
      <c r="J502" s="1341">
        <f t="shared" si="31"/>
        <v>0</v>
      </c>
      <c r="K502" s="1341">
        <f t="shared" si="32"/>
        <v>0</v>
      </c>
    </row>
    <row r="503" spans="1:15" ht="15" hidden="1" customHeight="1" outlineLevel="1">
      <c r="A503" s="1587" t="s">
        <v>1237</v>
      </c>
      <c r="B503" s="1591"/>
      <c r="C503" s="1591" t="s">
        <v>1191</v>
      </c>
      <c r="D503" s="1589">
        <v>35000</v>
      </c>
      <c r="E503" s="1592"/>
      <c r="F503" s="1592"/>
      <c r="G503" s="1592"/>
      <c r="H503" s="1592"/>
      <c r="I503" s="1592"/>
      <c r="J503" s="1341">
        <f t="shared" si="31"/>
        <v>0</v>
      </c>
      <c r="K503" s="1341">
        <f t="shared" si="32"/>
        <v>0</v>
      </c>
    </row>
    <row r="504" spans="1:15" ht="15" hidden="1" customHeight="1" outlineLevel="1">
      <c r="A504" s="1587" t="s">
        <v>1237</v>
      </c>
      <c r="B504" s="1591"/>
      <c r="C504" s="1591" t="s">
        <v>1187</v>
      </c>
      <c r="D504" s="1605">
        <v>25000</v>
      </c>
      <c r="E504" s="1592"/>
      <c r="F504" s="1592"/>
      <c r="G504" s="1592"/>
      <c r="H504" s="1592"/>
      <c r="I504" s="1592"/>
      <c r="J504" s="1341">
        <f t="shared" si="31"/>
        <v>0</v>
      </c>
      <c r="K504" s="1341">
        <f t="shared" si="32"/>
        <v>0</v>
      </c>
    </row>
    <row r="505" spans="1:15" ht="15" hidden="1" customHeight="1" outlineLevel="1">
      <c r="A505" s="1587" t="s">
        <v>1237</v>
      </c>
      <c r="B505" s="1591"/>
      <c r="C505" s="1591"/>
      <c r="D505" s="1589">
        <v>0</v>
      </c>
      <c r="E505" s="1592"/>
      <c r="F505" s="1592"/>
      <c r="G505" s="1592"/>
      <c r="H505" s="1592"/>
      <c r="I505" s="1592"/>
      <c r="J505" s="1341">
        <f t="shared" si="31"/>
        <v>0</v>
      </c>
      <c r="K505" s="1341">
        <f t="shared" si="32"/>
        <v>0</v>
      </c>
    </row>
    <row r="506" spans="1:15" ht="15" hidden="1" customHeight="1" outlineLevel="1">
      <c r="A506" s="1587" t="s">
        <v>1237</v>
      </c>
      <c r="B506" s="1604" t="s">
        <v>1192</v>
      </c>
      <c r="C506" s="1593" t="s">
        <v>1193</v>
      </c>
      <c r="D506" s="1595">
        <v>45000</v>
      </c>
      <c r="E506" s="1596">
        <v>2</v>
      </c>
      <c r="F506" s="1596">
        <v>2</v>
      </c>
      <c r="G506" s="1596">
        <v>2</v>
      </c>
      <c r="H506" s="1596">
        <v>2</v>
      </c>
      <c r="I506" s="1596">
        <v>2</v>
      </c>
      <c r="J506" s="1341">
        <f t="shared" si="31"/>
        <v>2</v>
      </c>
      <c r="K506" s="1341">
        <f t="shared" si="32"/>
        <v>2</v>
      </c>
    </row>
    <row r="507" spans="1:15" ht="15" hidden="1" customHeight="1" outlineLevel="1">
      <c r="A507" s="1587" t="s">
        <v>1237</v>
      </c>
      <c r="B507" s="1604"/>
      <c r="C507" s="1593" t="s">
        <v>1187</v>
      </c>
      <c r="D507" s="1606">
        <v>25000</v>
      </c>
      <c r="E507" s="1596">
        <v>3</v>
      </c>
      <c r="F507" s="1596">
        <v>3</v>
      </c>
      <c r="G507" s="1596">
        <v>3</v>
      </c>
      <c r="H507" s="1596">
        <v>3</v>
      </c>
      <c r="I507" s="1596">
        <v>3</v>
      </c>
      <c r="J507" s="1341">
        <f t="shared" si="31"/>
        <v>3</v>
      </c>
      <c r="K507" s="1341">
        <f t="shared" si="32"/>
        <v>3</v>
      </c>
    </row>
    <row r="508" spans="1:15" ht="15" hidden="1" customHeight="1" outlineLevel="1">
      <c r="A508" s="1587" t="s">
        <v>1237</v>
      </c>
      <c r="B508" s="1604"/>
      <c r="C508" s="1593" t="s">
        <v>1188</v>
      </c>
      <c r="D508" s="1606">
        <v>28000</v>
      </c>
      <c r="E508" s="1596">
        <v>2</v>
      </c>
      <c r="F508" s="1596">
        <v>2</v>
      </c>
      <c r="G508" s="1596">
        <v>2</v>
      </c>
      <c r="H508" s="1596">
        <v>2</v>
      </c>
      <c r="I508" s="1596">
        <v>2</v>
      </c>
      <c r="J508" s="1341">
        <f t="shared" si="31"/>
        <v>2</v>
      </c>
      <c r="K508" s="1341">
        <f t="shared" si="32"/>
        <v>2</v>
      </c>
    </row>
    <row r="509" spans="1:15" ht="15" hidden="1" customHeight="1" outlineLevel="1">
      <c r="A509" s="1587" t="s">
        <v>1237</v>
      </c>
      <c r="B509" s="1604"/>
      <c r="C509" s="1593" t="s">
        <v>1194</v>
      </c>
      <c r="D509" s="1606">
        <v>21000</v>
      </c>
      <c r="E509" s="1596">
        <v>2</v>
      </c>
      <c r="F509" s="1596">
        <v>2</v>
      </c>
      <c r="G509" s="1596">
        <v>2</v>
      </c>
      <c r="H509" s="1596">
        <v>2</v>
      </c>
      <c r="I509" s="1596">
        <v>2</v>
      </c>
      <c r="J509" s="1341">
        <f t="shared" si="31"/>
        <v>2</v>
      </c>
      <c r="K509" s="1341">
        <f t="shared" si="32"/>
        <v>2</v>
      </c>
    </row>
    <row r="510" spans="1:15" ht="15" hidden="1" customHeight="1" outlineLevel="1">
      <c r="A510" s="1587" t="s">
        <v>1237</v>
      </c>
      <c r="B510" s="1604"/>
      <c r="C510" s="1593"/>
      <c r="D510" s="1596">
        <v>0</v>
      </c>
      <c r="E510" s="1596"/>
      <c r="F510" s="1596"/>
      <c r="G510" s="1596"/>
      <c r="H510" s="1596"/>
      <c r="I510" s="1596"/>
      <c r="J510" s="1341">
        <f t="shared" si="31"/>
        <v>0</v>
      </c>
      <c r="K510" s="1341">
        <f t="shared" si="32"/>
        <v>0</v>
      </c>
    </row>
    <row r="511" spans="1:15" ht="15" hidden="1" customHeight="1" outlineLevel="1">
      <c r="A511" s="1598" t="s">
        <v>1239</v>
      </c>
      <c r="B511" s="1591" t="s">
        <v>19</v>
      </c>
      <c r="C511" s="1591" t="s">
        <v>1196</v>
      </c>
      <c r="D511" s="1589">
        <v>35000</v>
      </c>
      <c r="E511" s="1592">
        <v>1</v>
      </c>
      <c r="F511" s="1592">
        <v>1</v>
      </c>
      <c r="G511" s="1592">
        <v>1</v>
      </c>
      <c r="H511" s="1592">
        <v>1</v>
      </c>
      <c r="I511" s="1592">
        <v>1</v>
      </c>
      <c r="J511" s="1341">
        <f t="shared" si="31"/>
        <v>1</v>
      </c>
      <c r="K511" s="1341">
        <f t="shared" si="32"/>
        <v>1</v>
      </c>
      <c r="M511" s="19" t="s">
        <v>1250</v>
      </c>
    </row>
    <row r="512" spans="1:15" ht="15" hidden="1" customHeight="1" outlineLevel="1">
      <c r="A512" s="1598" t="s">
        <v>1239</v>
      </c>
      <c r="B512" s="1591"/>
      <c r="C512" s="1591" t="s">
        <v>1181</v>
      </c>
      <c r="D512" s="1605">
        <v>45000</v>
      </c>
      <c r="E512" s="1592">
        <v>1</v>
      </c>
      <c r="F512" s="1592">
        <v>1</v>
      </c>
      <c r="G512" s="1592">
        <v>1</v>
      </c>
      <c r="H512" s="1592">
        <v>1</v>
      </c>
      <c r="I512" s="1592">
        <v>1</v>
      </c>
      <c r="J512" s="1341">
        <f t="shared" si="31"/>
        <v>1</v>
      </c>
      <c r="K512" s="1341">
        <f t="shared" si="32"/>
        <v>1</v>
      </c>
      <c r="M512" s="1408" t="str">
        <f>Отель3!D15</f>
        <v>Залы и переговорные</v>
      </c>
      <c r="N512" s="1561">
        <f>Отель3!F15</f>
        <v>100</v>
      </c>
      <c r="O512" s="19" t="s">
        <v>216</v>
      </c>
    </row>
    <row r="513" spans="1:15" ht="15" hidden="1" customHeight="1" outlineLevel="1">
      <c r="A513" s="1598" t="s">
        <v>1239</v>
      </c>
      <c r="B513" s="1591"/>
      <c r="C513" s="1591" t="s">
        <v>1197</v>
      </c>
      <c r="D513" s="1605">
        <v>25000</v>
      </c>
      <c r="E513" s="1592">
        <v>2</v>
      </c>
      <c r="F513" s="1592">
        <v>2</v>
      </c>
      <c r="G513" s="1592">
        <v>2</v>
      </c>
      <c r="H513" s="1592">
        <v>2</v>
      </c>
      <c r="I513" s="1592">
        <v>2</v>
      </c>
      <c r="J513" s="1341">
        <f t="shared" si="31"/>
        <v>2</v>
      </c>
      <c r="K513" s="1341">
        <f t="shared" si="32"/>
        <v>2</v>
      </c>
      <c r="M513" s="1408" t="str">
        <f>Отель3!D16</f>
        <v>Фойе</v>
      </c>
      <c r="N513" s="1561">
        <f>Отель3!F16</f>
        <v>35</v>
      </c>
      <c r="O513" s="19" t="s">
        <v>216</v>
      </c>
    </row>
    <row r="514" spans="1:15" ht="15" hidden="1" customHeight="1" outlineLevel="1">
      <c r="A514" s="1598" t="s">
        <v>1239</v>
      </c>
      <c r="B514" s="1591"/>
      <c r="C514" s="1591" t="s">
        <v>1198</v>
      </c>
      <c r="D514" s="1589">
        <v>25000</v>
      </c>
      <c r="E514" s="1592"/>
      <c r="F514" s="1592"/>
      <c r="G514" s="1592"/>
      <c r="H514" s="1592"/>
      <c r="I514" s="1592"/>
      <c r="J514" s="1341">
        <f t="shared" si="31"/>
        <v>0</v>
      </c>
      <c r="K514" s="1341">
        <f t="shared" si="32"/>
        <v>0</v>
      </c>
    </row>
    <row r="515" spans="1:15" ht="15" hidden="1" customHeight="1" outlineLevel="1">
      <c r="A515" s="1598" t="s">
        <v>1239</v>
      </c>
      <c r="B515" s="1591"/>
      <c r="C515" s="1591" t="s">
        <v>1199</v>
      </c>
      <c r="D515" s="1589">
        <v>20000</v>
      </c>
      <c r="E515" s="1592">
        <v>1</v>
      </c>
      <c r="F515" s="1592">
        <v>1</v>
      </c>
      <c r="G515" s="1592">
        <v>1</v>
      </c>
      <c r="H515" s="1592">
        <v>1</v>
      </c>
      <c r="I515" s="1592">
        <v>1</v>
      </c>
      <c r="J515" s="1341">
        <f t="shared" si="31"/>
        <v>1</v>
      </c>
      <c r="K515" s="1341">
        <f t="shared" si="32"/>
        <v>1</v>
      </c>
    </row>
    <row r="516" spans="1:15" ht="15" hidden="1" customHeight="1" outlineLevel="1">
      <c r="A516" s="1598" t="s">
        <v>1239</v>
      </c>
      <c r="B516" s="1591"/>
      <c r="C516" s="1591" t="s">
        <v>1200</v>
      </c>
      <c r="D516" s="1605">
        <v>21000</v>
      </c>
      <c r="E516" s="1592">
        <v>2</v>
      </c>
      <c r="F516" s="1592">
        <v>2</v>
      </c>
      <c r="G516" s="1592">
        <v>2</v>
      </c>
      <c r="H516" s="1592">
        <v>2</v>
      </c>
      <c r="I516" s="1592">
        <v>2</v>
      </c>
      <c r="J516" s="1341">
        <f t="shared" si="31"/>
        <v>2</v>
      </c>
      <c r="K516" s="1341">
        <f t="shared" si="32"/>
        <v>2</v>
      </c>
    </row>
    <row r="517" spans="1:15" ht="15" hidden="1" customHeight="1" outlineLevel="1">
      <c r="A517" s="1598" t="s">
        <v>1239</v>
      </c>
      <c r="B517" s="1591"/>
      <c r="C517" s="1591"/>
      <c r="D517" s="1589">
        <v>0</v>
      </c>
      <c r="E517" s="1592"/>
      <c r="F517" s="1592"/>
      <c r="G517" s="1592"/>
      <c r="H517" s="1592"/>
      <c r="I517" s="1592"/>
      <c r="J517" s="1341">
        <f t="shared" si="31"/>
        <v>0</v>
      </c>
      <c r="K517" s="1341">
        <f t="shared" si="32"/>
        <v>0</v>
      </c>
    </row>
    <row r="518" spans="1:15" ht="15" hidden="1" customHeight="1" outlineLevel="1">
      <c r="A518" s="1587" t="s">
        <v>1240</v>
      </c>
      <c r="B518" s="1594" t="s">
        <v>1202</v>
      </c>
      <c r="C518" s="1594" t="s">
        <v>1203</v>
      </c>
      <c r="D518" s="1595">
        <v>35000</v>
      </c>
      <c r="E518" s="1603">
        <v>2</v>
      </c>
      <c r="F518" s="1595">
        <v>2</v>
      </c>
      <c r="G518" s="1595">
        <v>2</v>
      </c>
      <c r="H518" s="1595">
        <v>2</v>
      </c>
      <c r="I518" s="1595">
        <v>2</v>
      </c>
      <c r="J518" s="1341">
        <f t="shared" si="31"/>
        <v>2</v>
      </c>
      <c r="K518" s="1341">
        <f t="shared" si="32"/>
        <v>2</v>
      </c>
      <c r="M518" s="19" t="str">
        <f>Отель3!D12</f>
        <v>Наличие СПА</v>
      </c>
    </row>
    <row r="519" spans="1:15" ht="15" hidden="1" customHeight="1" outlineLevel="1">
      <c r="A519" s="1587" t="s">
        <v>1240</v>
      </c>
      <c r="B519" s="1594"/>
      <c r="C519" s="1594" t="s">
        <v>1204</v>
      </c>
      <c r="D519" s="1595">
        <v>28000</v>
      </c>
      <c r="E519" s="1603">
        <v>3</v>
      </c>
      <c r="F519" s="1595">
        <v>4</v>
      </c>
      <c r="G519" s="1595">
        <v>4</v>
      </c>
      <c r="H519" s="1595">
        <v>4</v>
      </c>
      <c r="I519" s="1595">
        <v>4</v>
      </c>
      <c r="J519" s="1341">
        <f t="shared" si="31"/>
        <v>4</v>
      </c>
      <c r="K519" s="1341">
        <f t="shared" si="32"/>
        <v>4</v>
      </c>
      <c r="M519" s="19" t="str">
        <f>Отель3!G12</f>
        <v>Отдельно стоящий корпус SPA-комплекса - учитывается в опер.деятельности гостиницы 3*</v>
      </c>
    </row>
    <row r="520" spans="1:15" ht="15" hidden="1" customHeight="1" outlineLevel="1">
      <c r="A520" s="1587" t="s">
        <v>1240</v>
      </c>
      <c r="B520" s="1594"/>
      <c r="C520" s="1594" t="s">
        <v>1205</v>
      </c>
      <c r="D520" s="1595">
        <v>35000</v>
      </c>
      <c r="E520" s="1603">
        <v>3</v>
      </c>
      <c r="F520" s="1595">
        <v>4</v>
      </c>
      <c r="G520" s="1595">
        <v>4</v>
      </c>
      <c r="H520" s="1595">
        <v>4</v>
      </c>
      <c r="I520" s="1595">
        <v>4</v>
      </c>
      <c r="J520" s="1341">
        <f t="shared" si="31"/>
        <v>4</v>
      </c>
      <c r="K520" s="1341">
        <f t="shared" si="32"/>
        <v>4</v>
      </c>
      <c r="N520" s="1561">
        <f>Отель3!F12</f>
        <v>1900</v>
      </c>
      <c r="O520" s="19" t="s">
        <v>216</v>
      </c>
    </row>
    <row r="521" spans="1:15" ht="15" hidden="1" customHeight="1" outlineLevel="1">
      <c r="A521" s="1587" t="s">
        <v>1240</v>
      </c>
      <c r="B521" s="1594"/>
      <c r="C521" s="1594" t="s">
        <v>1206</v>
      </c>
      <c r="D521" s="1595">
        <v>25000</v>
      </c>
      <c r="E521" s="1603">
        <v>2</v>
      </c>
      <c r="F521" s="1595">
        <v>2</v>
      </c>
      <c r="G521" s="1595">
        <v>2</v>
      </c>
      <c r="H521" s="1595">
        <v>2</v>
      </c>
      <c r="I521" s="1595">
        <v>2</v>
      </c>
      <c r="J521" s="1341">
        <f t="shared" si="31"/>
        <v>2</v>
      </c>
      <c r="K521" s="1341">
        <f t="shared" si="32"/>
        <v>2</v>
      </c>
    </row>
    <row r="522" spans="1:15" ht="15" hidden="1" customHeight="1" outlineLevel="1">
      <c r="A522" s="1587" t="s">
        <v>1240</v>
      </c>
      <c r="B522" s="1594"/>
      <c r="C522" s="1594" t="s">
        <v>1207</v>
      </c>
      <c r="D522" s="1606">
        <v>21000</v>
      </c>
      <c r="E522" s="1603">
        <v>2</v>
      </c>
      <c r="F522" s="1595">
        <v>2</v>
      </c>
      <c r="G522" s="1595">
        <v>2</v>
      </c>
      <c r="H522" s="1595">
        <v>2</v>
      </c>
      <c r="I522" s="1595">
        <v>2</v>
      </c>
      <c r="J522" s="1341">
        <f t="shared" si="31"/>
        <v>2</v>
      </c>
      <c r="K522" s="1341">
        <f t="shared" si="32"/>
        <v>2</v>
      </c>
    </row>
    <row r="523" spans="1:15" ht="15" hidden="1" customHeight="1" outlineLevel="1">
      <c r="A523" s="1587" t="s">
        <v>1240</v>
      </c>
      <c r="B523" s="1593"/>
      <c r="C523" s="1593"/>
      <c r="D523" s="1595">
        <v>0</v>
      </c>
      <c r="E523" s="1596"/>
      <c r="F523" s="1596"/>
      <c r="G523" s="1596"/>
      <c r="H523" s="1596"/>
      <c r="I523" s="1596"/>
      <c r="J523" s="1341">
        <f t="shared" si="31"/>
        <v>0</v>
      </c>
      <c r="K523" s="1341">
        <f t="shared" si="32"/>
        <v>0</v>
      </c>
    </row>
    <row r="524" spans="1:15" ht="15" hidden="1" customHeight="1" outlineLevel="1">
      <c r="A524" s="1598" t="s">
        <v>1241</v>
      </c>
      <c r="B524" s="1588" t="s">
        <v>1209</v>
      </c>
      <c r="C524" s="1588" t="s">
        <v>1210</v>
      </c>
      <c r="D524" s="1589">
        <v>90000</v>
      </c>
      <c r="E524" s="1589"/>
      <c r="F524" s="1589"/>
      <c r="G524" s="1589"/>
      <c r="H524" s="1589"/>
      <c r="I524" s="1589"/>
      <c r="J524" s="1341">
        <f t="shared" si="31"/>
        <v>0</v>
      </c>
      <c r="K524" s="1341">
        <f t="shared" si="32"/>
        <v>0</v>
      </c>
    </row>
    <row r="525" spans="1:15" ht="15" hidden="1" customHeight="1" outlineLevel="1">
      <c r="A525" s="1598" t="s">
        <v>1241</v>
      </c>
      <c r="B525" s="1588"/>
      <c r="C525" s="1588" t="s">
        <v>1211</v>
      </c>
      <c r="D525" s="1589">
        <v>70000</v>
      </c>
      <c r="E525" s="1589"/>
      <c r="F525" s="1589"/>
      <c r="G525" s="1589"/>
      <c r="H525" s="1589"/>
      <c r="I525" s="1589"/>
      <c r="J525" s="1341">
        <f t="shared" si="31"/>
        <v>0</v>
      </c>
      <c r="K525" s="1341">
        <f t="shared" si="32"/>
        <v>0</v>
      </c>
    </row>
    <row r="526" spans="1:15" ht="15" hidden="1" customHeight="1" outlineLevel="1">
      <c r="A526" s="1598" t="s">
        <v>1241</v>
      </c>
      <c r="B526" s="1588"/>
      <c r="C526" s="1588" t="s">
        <v>1212</v>
      </c>
      <c r="D526" s="1589">
        <v>45000</v>
      </c>
      <c r="E526" s="1589"/>
      <c r="F526" s="1589"/>
      <c r="G526" s="1589"/>
      <c r="H526" s="1589"/>
      <c r="I526" s="1589"/>
      <c r="J526" s="1341">
        <f t="shared" si="31"/>
        <v>0</v>
      </c>
      <c r="K526" s="1341">
        <f t="shared" si="32"/>
        <v>0</v>
      </c>
    </row>
    <row r="527" spans="1:15" ht="15" hidden="1" customHeight="1" outlineLevel="1">
      <c r="A527" s="1598" t="s">
        <v>1241</v>
      </c>
      <c r="B527" s="1588"/>
      <c r="C527" s="1588" t="s">
        <v>1213</v>
      </c>
      <c r="D527" s="1589">
        <v>35000</v>
      </c>
      <c r="E527" s="1589"/>
      <c r="F527" s="1589"/>
      <c r="G527" s="1589"/>
      <c r="H527" s="1589"/>
      <c r="I527" s="1589"/>
      <c r="J527" s="1341">
        <f t="shared" si="31"/>
        <v>0</v>
      </c>
      <c r="K527" s="1341">
        <f t="shared" si="32"/>
        <v>0</v>
      </c>
    </row>
    <row r="528" spans="1:15" ht="15" hidden="1" customHeight="1" outlineLevel="1">
      <c r="A528" s="1598" t="s">
        <v>1241</v>
      </c>
      <c r="B528" s="1588"/>
      <c r="C528" s="1588" t="s">
        <v>1214</v>
      </c>
      <c r="D528" s="1589">
        <v>30000</v>
      </c>
      <c r="E528" s="1589"/>
      <c r="F528" s="1589"/>
      <c r="G528" s="1589"/>
      <c r="H528" s="1589"/>
      <c r="I528" s="1589"/>
      <c r="J528" s="1341">
        <f t="shared" si="31"/>
        <v>0</v>
      </c>
      <c r="K528" s="1341">
        <f t="shared" si="32"/>
        <v>0</v>
      </c>
    </row>
    <row r="529" spans="1:11" ht="15" hidden="1" customHeight="1" outlineLevel="1">
      <c r="A529" s="1598" t="s">
        <v>1241</v>
      </c>
      <c r="B529" s="1588"/>
      <c r="C529" s="1588" t="s">
        <v>1215</v>
      </c>
      <c r="D529" s="1605">
        <v>21000</v>
      </c>
      <c r="E529" s="1589"/>
      <c r="F529" s="1589"/>
      <c r="G529" s="1589"/>
      <c r="H529" s="1589"/>
      <c r="I529" s="1589"/>
      <c r="J529" s="1341">
        <f t="shared" si="31"/>
        <v>0</v>
      </c>
      <c r="K529" s="1341">
        <f t="shared" si="32"/>
        <v>0</v>
      </c>
    </row>
    <row r="530" spans="1:11" ht="15" hidden="1" customHeight="1" outlineLevel="1">
      <c r="A530" s="1598" t="s">
        <v>1241</v>
      </c>
      <c r="B530" s="1591"/>
      <c r="C530" s="1591"/>
      <c r="D530" s="1589">
        <v>0</v>
      </c>
      <c r="E530" s="1592"/>
      <c r="F530" s="1592"/>
      <c r="G530" s="1592"/>
      <c r="H530" s="1592"/>
      <c r="I530" s="1592"/>
      <c r="J530" s="1341">
        <f t="shared" si="31"/>
        <v>0</v>
      </c>
      <c r="K530" s="1341">
        <f t="shared" si="32"/>
        <v>0</v>
      </c>
    </row>
    <row r="531" spans="1:11" ht="15" hidden="1" customHeight="1" outlineLevel="1">
      <c r="A531" s="1587" t="s">
        <v>1236</v>
      </c>
      <c r="B531" s="1594" t="s">
        <v>1216</v>
      </c>
      <c r="C531" s="1594" t="s">
        <v>1217</v>
      </c>
      <c r="D531" s="1595">
        <v>35000</v>
      </c>
      <c r="E531" s="1595"/>
      <c r="F531" s="1595"/>
      <c r="G531" s="1595"/>
      <c r="H531" s="1595"/>
      <c r="I531" s="1595"/>
      <c r="J531" s="1341">
        <f t="shared" si="31"/>
        <v>0</v>
      </c>
      <c r="K531" s="1341">
        <f t="shared" si="32"/>
        <v>0</v>
      </c>
    </row>
    <row r="532" spans="1:11" ht="15" hidden="1" customHeight="1" outlineLevel="1">
      <c r="A532" s="1587" t="s">
        <v>1236</v>
      </c>
      <c r="B532" s="1594"/>
      <c r="C532" s="1594" t="s">
        <v>1218</v>
      </c>
      <c r="D532" s="1595">
        <v>25000</v>
      </c>
      <c r="E532" s="1595"/>
      <c r="F532" s="1595"/>
      <c r="G532" s="1595"/>
      <c r="H532" s="1595"/>
      <c r="I532" s="1595"/>
      <c r="J532" s="1341">
        <f t="shared" si="31"/>
        <v>0</v>
      </c>
      <c r="K532" s="1341">
        <f t="shared" si="32"/>
        <v>0</v>
      </c>
    </row>
    <row r="533" spans="1:11" ht="15" hidden="1" customHeight="1" outlineLevel="1">
      <c r="A533" s="1587" t="s">
        <v>1236</v>
      </c>
      <c r="B533" s="1594"/>
      <c r="C533" s="1594"/>
      <c r="D533" s="1595">
        <v>0</v>
      </c>
      <c r="E533" s="1595"/>
      <c r="F533" s="1595"/>
      <c r="G533" s="1595"/>
      <c r="H533" s="1595"/>
      <c r="I533" s="1595"/>
      <c r="J533" s="1341">
        <f t="shared" si="31"/>
        <v>0</v>
      </c>
      <c r="K533" s="1341">
        <f t="shared" si="32"/>
        <v>0</v>
      </c>
    </row>
    <row r="534" spans="1:11" ht="15" hidden="1" customHeight="1" outlineLevel="1">
      <c r="A534" s="1598" t="s">
        <v>1242</v>
      </c>
      <c r="B534" s="1588" t="s">
        <v>1220</v>
      </c>
      <c r="C534" s="1588" t="s">
        <v>1221</v>
      </c>
      <c r="D534" s="1589">
        <v>30000</v>
      </c>
      <c r="E534" s="1589"/>
      <c r="F534" s="1589"/>
      <c r="G534" s="1589"/>
      <c r="H534" s="1589"/>
      <c r="I534" s="1589"/>
      <c r="J534" s="1341">
        <f t="shared" si="31"/>
        <v>0</v>
      </c>
      <c r="K534" s="1341">
        <f t="shared" si="32"/>
        <v>0</v>
      </c>
    </row>
    <row r="535" spans="1:11" ht="15" hidden="1" customHeight="1" outlineLevel="1">
      <c r="A535" s="1598" t="s">
        <v>1242</v>
      </c>
      <c r="B535" s="1588"/>
      <c r="C535" s="1588" t="s">
        <v>1158</v>
      </c>
      <c r="D535" s="1589">
        <v>22000</v>
      </c>
      <c r="E535" s="1589">
        <v>2</v>
      </c>
      <c r="F535" s="1589">
        <v>2</v>
      </c>
      <c r="G535" s="1589">
        <v>2</v>
      </c>
      <c r="H535" s="1589">
        <v>2</v>
      </c>
      <c r="I535" s="1589">
        <v>2</v>
      </c>
      <c r="J535" s="1341">
        <f t="shared" si="31"/>
        <v>2</v>
      </c>
      <c r="K535" s="1341">
        <f t="shared" si="32"/>
        <v>2</v>
      </c>
    </row>
    <row r="536" spans="1:11" ht="15" hidden="1" customHeight="1" outlineLevel="1">
      <c r="A536" s="1598" t="s">
        <v>1242</v>
      </c>
      <c r="B536" s="1588"/>
      <c r="C536" s="1588"/>
      <c r="D536" s="1589">
        <v>22000</v>
      </c>
      <c r="E536" s="1589"/>
      <c r="F536" s="1589"/>
      <c r="G536" s="1589"/>
      <c r="H536" s="1589"/>
      <c r="I536" s="1589"/>
      <c r="J536" s="1341">
        <f t="shared" si="31"/>
        <v>0</v>
      </c>
      <c r="K536" s="1341">
        <f t="shared" si="32"/>
        <v>0</v>
      </c>
    </row>
    <row r="537" spans="1:11" ht="15" hidden="1" customHeight="1" outlineLevel="1">
      <c r="A537" s="1598" t="s">
        <v>1242</v>
      </c>
      <c r="B537" s="1588"/>
      <c r="C537" s="1588"/>
      <c r="D537" s="1589">
        <v>0</v>
      </c>
      <c r="E537" s="1589"/>
      <c r="F537" s="1589"/>
      <c r="G537" s="1589"/>
      <c r="H537" s="1589"/>
      <c r="I537" s="1589"/>
      <c r="J537" s="1341">
        <f t="shared" si="31"/>
        <v>0</v>
      </c>
      <c r="K537" s="1341">
        <f t="shared" si="32"/>
        <v>0</v>
      </c>
    </row>
    <row r="538" spans="1:11" ht="15" customHeight="1" collapsed="1">
      <c r="A538" s="1566"/>
      <c r="B538" s="1348"/>
      <c r="C538" s="1348" t="s">
        <v>1222</v>
      </c>
      <c r="D538" s="1608"/>
      <c r="E538" s="1609">
        <f>SUM(E412:E537)</f>
        <v>173</v>
      </c>
      <c r="F538" s="1609">
        <f t="shared" ref="F538:K538" si="33">SUM(F412:F537)</f>
        <v>175</v>
      </c>
      <c r="G538" s="1609">
        <f t="shared" si="33"/>
        <v>175</v>
      </c>
      <c r="H538" s="1609">
        <f t="shared" si="33"/>
        <v>175</v>
      </c>
      <c r="I538" s="1609">
        <f t="shared" si="33"/>
        <v>175</v>
      </c>
      <c r="J538" s="1609">
        <f t="shared" si="33"/>
        <v>175</v>
      </c>
      <c r="K538" s="1609">
        <f t="shared" si="33"/>
        <v>175</v>
      </c>
    </row>
    <row r="539" spans="1:11" ht="15" customHeight="1">
      <c r="A539" s="1566"/>
      <c r="B539" s="20"/>
      <c r="C539" s="20"/>
      <c r="D539" s="1610"/>
      <c r="E539" s="20"/>
      <c r="F539" s="20"/>
      <c r="G539" s="20"/>
      <c r="H539" s="20"/>
      <c r="I539" s="20"/>
      <c r="J539" s="20"/>
      <c r="K539" s="20"/>
    </row>
    <row r="540" spans="1:11" ht="15" customHeight="1">
      <c r="A540" s="1566"/>
      <c r="B540" s="20"/>
      <c r="C540" s="20"/>
      <c r="D540" s="1610"/>
      <c r="E540" s="20"/>
      <c r="F540" s="20"/>
      <c r="G540" s="20"/>
      <c r="H540" s="20"/>
      <c r="I540" s="20"/>
      <c r="J540" s="20"/>
      <c r="K540" s="20"/>
    </row>
    <row r="541" spans="1:11" ht="15.75" customHeight="1">
      <c r="A541" s="1566"/>
      <c r="B541" s="1580" t="str">
        <f>Объекты!$C$48</f>
        <v>Гостиница 2* - Ibis Budget</v>
      </c>
      <c r="C541" s="1571"/>
      <c r="D541" s="1581">
        <f>YEAR(Объекты!$K$8)</f>
        <v>1900</v>
      </c>
      <c r="E541" s="1571"/>
      <c r="F541" s="1571"/>
      <c r="G541" s="1571"/>
      <c r="H541" s="1571"/>
      <c r="I541" s="1571"/>
      <c r="J541" s="1571"/>
      <c r="K541" s="1571"/>
    </row>
    <row r="542" spans="1:11" ht="15.75" customHeight="1">
      <c r="A542" s="1566"/>
      <c r="B542" s="1582"/>
      <c r="C542" s="1583" t="s">
        <v>1098</v>
      </c>
      <c r="D542" s="1584"/>
      <c r="E542" s="1585">
        <f>Объекты!$F$8</f>
        <v>0</v>
      </c>
      <c r="F542" s="1616">
        <f t="shared" ref="F542:K542" si="34">E542</f>
        <v>0</v>
      </c>
      <c r="G542" s="1616">
        <f t="shared" si="34"/>
        <v>0</v>
      </c>
      <c r="H542" s="1616">
        <f t="shared" si="34"/>
        <v>0</v>
      </c>
      <c r="I542" s="1616">
        <f t="shared" si="34"/>
        <v>0</v>
      </c>
      <c r="J542" s="1616">
        <f t="shared" si="34"/>
        <v>0</v>
      </c>
      <c r="K542" s="1616">
        <f t="shared" si="34"/>
        <v>0</v>
      </c>
    </row>
    <row r="543" spans="1:11" ht="15.75" customHeight="1">
      <c r="A543" s="1566"/>
      <c r="B543" s="1582"/>
      <c r="C543" s="1583" t="s">
        <v>14</v>
      </c>
      <c r="D543" s="1584"/>
      <c r="E543" s="1613">
        <f>IFERROR(LOOKUP(E$2,Отель2_PL!$D$3:$T$3,Отель2_PL!$D$10:$T$10),"не введён")</f>
        <v>0</v>
      </c>
      <c r="F543" s="1613">
        <f>IFERROR(LOOKUP(F$2,Отель2_PL!$D$3:$T$3,Отель2_PL!$D$10:$T$10),"не введён")</f>
        <v>0</v>
      </c>
      <c r="G543" s="1613">
        <f>IFERROR(LOOKUP(G$2,Отель2_PL!$D$3:$T$3,Отель2_PL!$D$10:$T$10),"не введён")</f>
        <v>0</v>
      </c>
      <c r="H543" s="1613">
        <f>IFERROR(LOOKUP(H$2,Отель2_PL!$D$3:$T$3,Отель2_PL!$D$10:$T$10),"не введён")</f>
        <v>0</v>
      </c>
      <c r="I543" s="1613">
        <f>IFERROR(LOOKUP(I$2,Отель2_PL!$D$3:$T$3,Отель2_PL!$D$10:$T$10),"не введён")</f>
        <v>0</v>
      </c>
      <c r="J543" s="1613">
        <f>IFERROR(LOOKUP(J$2,Отель2_PL!$D$3:$T$3,Отель2_PL!$D$10:$T$10),"не введён")</f>
        <v>0</v>
      </c>
      <c r="K543" s="1613">
        <f>IFERROR(LOOKUP(K$2,Отель2_PL!$D$3:$T$3,Отель2_PL!$D$10:$T$10),"не введён")</f>
        <v>0</v>
      </c>
    </row>
    <row r="544" spans="1:11" ht="15.75" customHeight="1">
      <c r="A544" s="1566"/>
      <c r="B544" s="1582"/>
      <c r="C544" s="1583" t="s">
        <v>1099</v>
      </c>
      <c r="D544" s="1584"/>
      <c r="E544" s="1585">
        <f>IFERROR(E542/E600,"не введён")</f>
        <v>0</v>
      </c>
      <c r="F544" s="1585">
        <f t="shared" ref="F544:K544" si="35">IFERROR(F542/F600,"не введён")</f>
        <v>0</v>
      </c>
      <c r="G544" s="1585">
        <f t="shared" si="35"/>
        <v>0</v>
      </c>
      <c r="H544" s="1585">
        <f t="shared" si="35"/>
        <v>0</v>
      </c>
      <c r="I544" s="1585">
        <f t="shared" si="35"/>
        <v>0</v>
      </c>
      <c r="J544" s="1585">
        <f t="shared" si="35"/>
        <v>0</v>
      </c>
      <c r="K544" s="1585">
        <f t="shared" si="35"/>
        <v>0</v>
      </c>
    </row>
    <row r="545" spans="1:11" ht="15" hidden="1" customHeight="1" outlineLevel="1">
      <c r="A545" s="1587" t="s">
        <v>1251</v>
      </c>
      <c r="B545" s="1588" t="s">
        <v>1101</v>
      </c>
      <c r="C545" s="1588" t="s">
        <v>1102</v>
      </c>
      <c r="D545" s="1589">
        <v>120000</v>
      </c>
      <c r="E545" s="1589">
        <v>1</v>
      </c>
      <c r="F545" s="1589">
        <v>1</v>
      </c>
      <c r="G545" s="1589">
        <v>1</v>
      </c>
      <c r="H545" s="1589">
        <v>1</v>
      </c>
      <c r="I545" s="1589">
        <v>1</v>
      </c>
      <c r="J545" s="1341">
        <f t="shared" ref="J545:J608" si="36">I545</f>
        <v>1</v>
      </c>
      <c r="K545" s="1341">
        <f t="shared" ref="K545:K608" si="37">J545</f>
        <v>1</v>
      </c>
    </row>
    <row r="546" spans="1:11" ht="15" hidden="1" customHeight="1" outlineLevel="1">
      <c r="A546" s="1587" t="s">
        <v>1251</v>
      </c>
      <c r="B546" s="1588"/>
      <c r="C546" s="1588" t="s">
        <v>1103</v>
      </c>
      <c r="D546" s="1589">
        <v>100000</v>
      </c>
      <c r="E546" s="1589">
        <v>1</v>
      </c>
      <c r="F546" s="1589">
        <v>1</v>
      </c>
      <c r="G546" s="1589">
        <v>1</v>
      </c>
      <c r="H546" s="1589">
        <v>1</v>
      </c>
      <c r="I546" s="1589">
        <v>1</v>
      </c>
      <c r="J546" s="1341">
        <f t="shared" si="36"/>
        <v>1</v>
      </c>
      <c r="K546" s="1341">
        <f t="shared" si="37"/>
        <v>1</v>
      </c>
    </row>
    <row r="547" spans="1:11" ht="15" hidden="1" customHeight="1" outlineLevel="1">
      <c r="A547" s="1587" t="s">
        <v>1251</v>
      </c>
      <c r="B547" s="1588"/>
      <c r="C547" s="1590" t="s">
        <v>1104</v>
      </c>
      <c r="D547" s="1589">
        <v>40000</v>
      </c>
      <c r="E547" s="1589">
        <v>1</v>
      </c>
      <c r="F547" s="1589">
        <v>1</v>
      </c>
      <c r="G547" s="1589">
        <v>1</v>
      </c>
      <c r="H547" s="1589">
        <v>1</v>
      </c>
      <c r="I547" s="1589">
        <v>1</v>
      </c>
      <c r="J547" s="1341">
        <f t="shared" si="36"/>
        <v>1</v>
      </c>
      <c r="K547" s="1341">
        <f t="shared" si="37"/>
        <v>1</v>
      </c>
    </row>
    <row r="548" spans="1:11" ht="15" hidden="1" customHeight="1" outlineLevel="1">
      <c r="A548" s="1587" t="s">
        <v>1251</v>
      </c>
      <c r="B548" s="1588"/>
      <c r="C548" s="1588" t="s">
        <v>1105</v>
      </c>
      <c r="D548" s="1589">
        <v>45000</v>
      </c>
      <c r="E548" s="1589">
        <v>1</v>
      </c>
      <c r="F548" s="1589">
        <v>1</v>
      </c>
      <c r="G548" s="1589">
        <v>1</v>
      </c>
      <c r="H548" s="1589">
        <v>1</v>
      </c>
      <c r="I548" s="1589">
        <v>1</v>
      </c>
      <c r="J548" s="1341">
        <f t="shared" si="36"/>
        <v>1</v>
      </c>
      <c r="K548" s="1341">
        <f t="shared" si="37"/>
        <v>1</v>
      </c>
    </row>
    <row r="549" spans="1:11" ht="15" hidden="1" customHeight="1" outlineLevel="1">
      <c r="A549" s="1587" t="s">
        <v>1251</v>
      </c>
      <c r="B549" s="1588"/>
      <c r="C549" s="1588" t="s">
        <v>1106</v>
      </c>
      <c r="D549" s="1589">
        <v>32000</v>
      </c>
      <c r="E549" s="1589">
        <v>1</v>
      </c>
      <c r="F549" s="1589">
        <v>1</v>
      </c>
      <c r="G549" s="1589">
        <v>1</v>
      </c>
      <c r="H549" s="1589">
        <v>1</v>
      </c>
      <c r="I549" s="1589">
        <v>1</v>
      </c>
      <c r="J549" s="1341">
        <f t="shared" si="36"/>
        <v>1</v>
      </c>
      <c r="K549" s="1341">
        <f t="shared" si="37"/>
        <v>1</v>
      </c>
    </row>
    <row r="550" spans="1:11" ht="15" hidden="1" customHeight="1" outlineLevel="1">
      <c r="A550" s="1587" t="s">
        <v>1251</v>
      </c>
      <c r="B550" s="1588"/>
      <c r="C550" s="1588" t="s">
        <v>36</v>
      </c>
      <c r="D550" s="1589">
        <v>32000</v>
      </c>
      <c r="E550" s="1589">
        <v>1</v>
      </c>
      <c r="F550" s="1589">
        <v>1</v>
      </c>
      <c r="G550" s="1589">
        <v>1</v>
      </c>
      <c r="H550" s="1589">
        <v>1</v>
      </c>
      <c r="I550" s="1589">
        <v>1</v>
      </c>
      <c r="J550" s="1341">
        <f t="shared" si="36"/>
        <v>1</v>
      </c>
      <c r="K550" s="1341">
        <f t="shared" si="37"/>
        <v>1</v>
      </c>
    </row>
    <row r="551" spans="1:11" ht="15" hidden="1" customHeight="1" outlineLevel="1">
      <c r="A551" s="1587" t="s">
        <v>1251</v>
      </c>
      <c r="B551" s="1591"/>
      <c r="C551" s="1588" t="s">
        <v>42</v>
      </c>
      <c r="D551" s="1589">
        <v>45000</v>
      </c>
      <c r="E551" s="1592">
        <v>1</v>
      </c>
      <c r="F551" s="1592">
        <v>1</v>
      </c>
      <c r="G551" s="1592">
        <v>1</v>
      </c>
      <c r="H551" s="1592">
        <v>1</v>
      </c>
      <c r="I551" s="1592">
        <v>1</v>
      </c>
      <c r="J551" s="1341">
        <f t="shared" si="36"/>
        <v>1</v>
      </c>
      <c r="K551" s="1341">
        <f t="shared" si="37"/>
        <v>1</v>
      </c>
    </row>
    <row r="552" spans="1:11" ht="15" hidden="1" customHeight="1" outlineLevel="1">
      <c r="A552" s="1587" t="s">
        <v>1251</v>
      </c>
      <c r="B552" s="1591"/>
      <c r="C552" s="1588" t="s">
        <v>1107</v>
      </c>
      <c r="D552" s="1589">
        <v>40000</v>
      </c>
      <c r="E552" s="1592">
        <v>1</v>
      </c>
      <c r="F552" s="1592">
        <v>1</v>
      </c>
      <c r="G552" s="1592">
        <v>1</v>
      </c>
      <c r="H552" s="1592">
        <v>1</v>
      </c>
      <c r="I552" s="1592">
        <v>1</v>
      </c>
      <c r="J552" s="1341">
        <f t="shared" si="36"/>
        <v>1</v>
      </c>
      <c r="K552" s="1341">
        <f t="shared" si="37"/>
        <v>1</v>
      </c>
    </row>
    <row r="553" spans="1:11" ht="15" hidden="1" customHeight="1" outlineLevel="1">
      <c r="A553" s="1587" t="s">
        <v>1251</v>
      </c>
      <c r="B553" s="1593" t="s">
        <v>1108</v>
      </c>
      <c r="C553" s="1594" t="s">
        <v>1109</v>
      </c>
      <c r="D553" s="1595">
        <v>65000</v>
      </c>
      <c r="E553" s="1607">
        <v>1</v>
      </c>
      <c r="F553" s="1607">
        <v>1</v>
      </c>
      <c r="G553" s="1607">
        <v>1</v>
      </c>
      <c r="H553" s="1607">
        <v>1</v>
      </c>
      <c r="I553" s="1607">
        <v>1</v>
      </c>
      <c r="J553" s="1341">
        <f t="shared" si="36"/>
        <v>1</v>
      </c>
      <c r="K553" s="1341">
        <f t="shared" si="37"/>
        <v>1</v>
      </c>
    </row>
    <row r="554" spans="1:11" ht="15" hidden="1" customHeight="1" outlineLevel="1">
      <c r="A554" s="1587" t="s">
        <v>1251</v>
      </c>
      <c r="B554" s="1593"/>
      <c r="C554" s="1594" t="s">
        <v>1110</v>
      </c>
      <c r="D554" s="1595">
        <v>45000</v>
      </c>
      <c r="E554" s="1607"/>
      <c r="F554" s="1607"/>
      <c r="G554" s="1607"/>
      <c r="H554" s="1607"/>
      <c r="I554" s="1607"/>
      <c r="J554" s="1341">
        <f t="shared" si="36"/>
        <v>0</v>
      </c>
      <c r="K554" s="1341">
        <f t="shared" si="37"/>
        <v>0</v>
      </c>
    </row>
    <row r="555" spans="1:11" ht="15" hidden="1" customHeight="1" outlineLevel="1">
      <c r="A555" s="1587" t="s">
        <v>1251</v>
      </c>
      <c r="B555" s="1593"/>
      <c r="C555" s="1594" t="s">
        <v>1111</v>
      </c>
      <c r="D555" s="1595">
        <v>90000</v>
      </c>
      <c r="E555" s="1607">
        <v>1</v>
      </c>
      <c r="F555" s="1607">
        <v>1</v>
      </c>
      <c r="G555" s="1607">
        <v>1</v>
      </c>
      <c r="H555" s="1607">
        <v>1</v>
      </c>
      <c r="I555" s="1607">
        <v>1</v>
      </c>
      <c r="J555" s="1341">
        <f t="shared" si="36"/>
        <v>1</v>
      </c>
      <c r="K555" s="1341">
        <f t="shared" si="37"/>
        <v>1</v>
      </c>
    </row>
    <row r="556" spans="1:11" ht="15" hidden="1" customHeight="1" outlineLevel="1">
      <c r="A556" s="1587" t="s">
        <v>1251</v>
      </c>
      <c r="B556" s="1593"/>
      <c r="C556" s="1597" t="s">
        <v>1112</v>
      </c>
      <c r="D556" s="1595">
        <v>38000</v>
      </c>
      <c r="E556" s="1607"/>
      <c r="F556" s="1607"/>
      <c r="G556" s="1607"/>
      <c r="H556" s="1607"/>
      <c r="I556" s="1607"/>
      <c r="J556" s="1341">
        <f t="shared" si="36"/>
        <v>0</v>
      </c>
      <c r="K556" s="1341">
        <f t="shared" si="37"/>
        <v>0</v>
      </c>
    </row>
    <row r="557" spans="1:11" ht="15" hidden="1" customHeight="1" outlineLevel="1">
      <c r="A557" s="1587" t="s">
        <v>1251</v>
      </c>
      <c r="B557" s="1593"/>
      <c r="C557" s="1597" t="s">
        <v>1113</v>
      </c>
      <c r="D557" s="1595">
        <v>38000</v>
      </c>
      <c r="E557" s="1607"/>
      <c r="F557" s="1607"/>
      <c r="G557" s="1607"/>
      <c r="H557" s="1607"/>
      <c r="I557" s="1607"/>
      <c r="J557" s="1341">
        <f t="shared" si="36"/>
        <v>0</v>
      </c>
      <c r="K557" s="1341">
        <f t="shared" si="37"/>
        <v>0</v>
      </c>
    </row>
    <row r="558" spans="1:11" ht="15" hidden="1" customHeight="1" outlineLevel="1">
      <c r="A558" s="1587" t="s">
        <v>1251</v>
      </c>
      <c r="B558" s="1593"/>
      <c r="C558" s="1597" t="s">
        <v>1114</v>
      </c>
      <c r="D558" s="1595">
        <v>38000</v>
      </c>
      <c r="E558" s="1607"/>
      <c r="F558" s="1607"/>
      <c r="G558" s="1607"/>
      <c r="H558" s="1607"/>
      <c r="I558" s="1607"/>
      <c r="J558" s="1341">
        <f t="shared" si="36"/>
        <v>0</v>
      </c>
      <c r="K558" s="1341">
        <f t="shared" si="37"/>
        <v>0</v>
      </c>
    </row>
    <row r="559" spans="1:11" ht="15" hidden="1" customHeight="1" outlineLevel="1">
      <c r="A559" s="1587" t="s">
        <v>1251</v>
      </c>
      <c r="B559" s="1593"/>
      <c r="C559" s="1597" t="s">
        <v>1115</v>
      </c>
      <c r="D559" s="1595">
        <v>38000</v>
      </c>
      <c r="E559" s="1607"/>
      <c r="F559" s="1607"/>
      <c r="G559" s="1607"/>
      <c r="H559" s="1607"/>
      <c r="I559" s="1607"/>
      <c r="J559" s="1341">
        <f t="shared" si="36"/>
        <v>0</v>
      </c>
      <c r="K559" s="1341">
        <f t="shared" si="37"/>
        <v>0</v>
      </c>
    </row>
    <row r="560" spans="1:11" ht="15" hidden="1" customHeight="1" outlineLevel="1">
      <c r="A560" s="1587" t="s">
        <v>1251</v>
      </c>
      <c r="B560" s="1593"/>
      <c r="C560" s="1597" t="s">
        <v>1116</v>
      </c>
      <c r="D560" s="1595">
        <v>32000</v>
      </c>
      <c r="E560" s="1607"/>
      <c r="F560" s="1607"/>
      <c r="G560" s="1607"/>
      <c r="H560" s="1607"/>
      <c r="I560" s="1607"/>
      <c r="J560" s="1341">
        <f t="shared" si="36"/>
        <v>0</v>
      </c>
      <c r="K560" s="1341">
        <f t="shared" si="37"/>
        <v>0</v>
      </c>
    </row>
    <row r="561" spans="1:11" ht="15" hidden="1" customHeight="1" outlineLevel="1">
      <c r="A561" s="1587" t="s">
        <v>1251</v>
      </c>
      <c r="B561" s="1593"/>
      <c r="C561" s="1597" t="s">
        <v>1117</v>
      </c>
      <c r="D561" s="1595">
        <v>32000</v>
      </c>
      <c r="E561" s="1607"/>
      <c r="F561" s="1607"/>
      <c r="G561" s="1607"/>
      <c r="H561" s="1607"/>
      <c r="I561" s="1607"/>
      <c r="J561" s="1341">
        <f t="shared" si="36"/>
        <v>0</v>
      </c>
      <c r="K561" s="1341">
        <f t="shared" si="37"/>
        <v>0</v>
      </c>
    </row>
    <row r="562" spans="1:11" ht="15" hidden="1" customHeight="1" outlineLevel="1">
      <c r="A562" s="1587" t="s">
        <v>1251</v>
      </c>
      <c r="B562" s="1593"/>
      <c r="C562" s="1597" t="s">
        <v>1118</v>
      </c>
      <c r="D562" s="1595">
        <v>35000</v>
      </c>
      <c r="E562" s="1607"/>
      <c r="F562" s="1607"/>
      <c r="G562" s="1607"/>
      <c r="H562" s="1607"/>
      <c r="I562" s="1607"/>
      <c r="J562" s="1341">
        <f t="shared" si="36"/>
        <v>0</v>
      </c>
      <c r="K562" s="1341">
        <f t="shared" si="37"/>
        <v>0</v>
      </c>
    </row>
    <row r="563" spans="1:11" ht="15" hidden="1" customHeight="1" outlineLevel="1">
      <c r="A563" s="1587" t="s">
        <v>1251</v>
      </c>
      <c r="B563" s="1593"/>
      <c r="C563" s="1597" t="s">
        <v>1119</v>
      </c>
      <c r="D563" s="1595">
        <v>35000</v>
      </c>
      <c r="E563" s="1607">
        <v>1</v>
      </c>
      <c r="F563" s="1607">
        <v>1</v>
      </c>
      <c r="G563" s="1607">
        <v>1</v>
      </c>
      <c r="H563" s="1607">
        <v>1</v>
      </c>
      <c r="I563" s="1607">
        <v>1</v>
      </c>
      <c r="J563" s="1341">
        <f t="shared" si="36"/>
        <v>1</v>
      </c>
      <c r="K563" s="1341">
        <f t="shared" si="37"/>
        <v>1</v>
      </c>
    </row>
    <row r="564" spans="1:11" ht="15" hidden="1" customHeight="1" outlineLevel="1">
      <c r="A564" s="1587" t="s">
        <v>1251</v>
      </c>
      <c r="B564" s="1593"/>
      <c r="C564" s="1594"/>
      <c r="D564" s="1595">
        <v>0</v>
      </c>
      <c r="E564" s="1607"/>
      <c r="F564" s="1607"/>
      <c r="G564" s="1607"/>
      <c r="H564" s="1607"/>
      <c r="I564" s="1607"/>
      <c r="J564" s="1341">
        <f t="shared" si="36"/>
        <v>0</v>
      </c>
      <c r="K564" s="1341">
        <f t="shared" si="37"/>
        <v>0</v>
      </c>
    </row>
    <row r="565" spans="1:11" ht="15" hidden="1" customHeight="1" outlineLevel="1">
      <c r="A565" s="1587" t="s">
        <v>1251</v>
      </c>
      <c r="B565" s="1591" t="s">
        <v>1120</v>
      </c>
      <c r="C565" s="1588" t="s">
        <v>38</v>
      </c>
      <c r="D565" s="1589">
        <v>65000</v>
      </c>
      <c r="E565" s="1592">
        <v>1</v>
      </c>
      <c r="F565" s="1592">
        <v>1</v>
      </c>
      <c r="G565" s="1592">
        <v>1</v>
      </c>
      <c r="H565" s="1592">
        <v>1</v>
      </c>
      <c r="I565" s="1592">
        <v>1</v>
      </c>
      <c r="J565" s="1341">
        <f t="shared" si="36"/>
        <v>1</v>
      </c>
      <c r="K565" s="1341">
        <f t="shared" si="37"/>
        <v>1</v>
      </c>
    </row>
    <row r="566" spans="1:11" ht="15" hidden="1" customHeight="1" outlineLevel="1">
      <c r="A566" s="1587" t="s">
        <v>1251</v>
      </c>
      <c r="B566" s="1591"/>
      <c r="C566" s="1588" t="s">
        <v>1121</v>
      </c>
      <c r="D566" s="1589">
        <v>40000</v>
      </c>
      <c r="E566" s="1592">
        <v>1</v>
      </c>
      <c r="F566" s="1592">
        <v>1</v>
      </c>
      <c r="G566" s="1592">
        <v>1</v>
      </c>
      <c r="H566" s="1592">
        <v>1</v>
      </c>
      <c r="I566" s="1592">
        <v>1</v>
      </c>
      <c r="J566" s="1341">
        <f t="shared" si="36"/>
        <v>1</v>
      </c>
      <c r="K566" s="1341">
        <f t="shared" si="37"/>
        <v>1</v>
      </c>
    </row>
    <row r="567" spans="1:11" ht="15" hidden="1" customHeight="1" outlineLevel="1">
      <c r="A567" s="1587" t="s">
        <v>1251</v>
      </c>
      <c r="B567" s="1591"/>
      <c r="C567" s="1588" t="s">
        <v>1122</v>
      </c>
      <c r="D567" s="1589">
        <v>32000</v>
      </c>
      <c r="E567" s="1592">
        <v>1</v>
      </c>
      <c r="F567" s="1592">
        <v>1</v>
      </c>
      <c r="G567" s="1592">
        <v>1</v>
      </c>
      <c r="H567" s="1592">
        <v>1</v>
      </c>
      <c r="I567" s="1592">
        <v>1</v>
      </c>
      <c r="J567" s="1341">
        <f t="shared" si="36"/>
        <v>1</v>
      </c>
      <c r="K567" s="1341">
        <f t="shared" si="37"/>
        <v>1</v>
      </c>
    </row>
    <row r="568" spans="1:11" ht="15" hidden="1" customHeight="1" outlineLevel="1">
      <c r="A568" s="1587" t="s">
        <v>1251</v>
      </c>
      <c r="B568" s="1591"/>
      <c r="C568" s="1588"/>
      <c r="D568" s="1589">
        <v>0</v>
      </c>
      <c r="E568" s="1592"/>
      <c r="F568" s="1592"/>
      <c r="G568" s="1592"/>
      <c r="H568" s="1592"/>
      <c r="I568" s="1592"/>
      <c r="J568" s="1341">
        <f t="shared" si="36"/>
        <v>0</v>
      </c>
      <c r="K568" s="1341">
        <f t="shared" si="37"/>
        <v>0</v>
      </c>
    </row>
    <row r="569" spans="1:11" ht="15" hidden="1" customHeight="1" outlineLevel="1">
      <c r="A569" s="1587" t="s">
        <v>1251</v>
      </c>
      <c r="B569" s="1593" t="s">
        <v>1123</v>
      </c>
      <c r="C569" s="1594" t="s">
        <v>1124</v>
      </c>
      <c r="D569" s="1595">
        <v>32000</v>
      </c>
      <c r="E569" s="1607">
        <v>1</v>
      </c>
      <c r="F569" s="1607">
        <v>1</v>
      </c>
      <c r="G569" s="1607">
        <v>1</v>
      </c>
      <c r="H569" s="1607">
        <v>1</v>
      </c>
      <c r="I569" s="1607">
        <v>1</v>
      </c>
      <c r="J569" s="1341">
        <f t="shared" si="36"/>
        <v>1</v>
      </c>
      <c r="K569" s="1341">
        <f t="shared" si="37"/>
        <v>1</v>
      </c>
    </row>
    <row r="570" spans="1:11" ht="15" hidden="1" customHeight="1" outlineLevel="1">
      <c r="A570" s="1587" t="s">
        <v>1251</v>
      </c>
      <c r="B570" s="1593"/>
      <c r="C570" s="1594" t="s">
        <v>1125</v>
      </c>
      <c r="D570" s="1595">
        <v>32000</v>
      </c>
      <c r="E570" s="1607">
        <v>1</v>
      </c>
      <c r="F570" s="1607">
        <v>1</v>
      </c>
      <c r="G570" s="1607">
        <v>1</v>
      </c>
      <c r="H570" s="1607">
        <v>1</v>
      </c>
      <c r="I570" s="1607">
        <v>1</v>
      </c>
      <c r="J570" s="1341">
        <f t="shared" si="36"/>
        <v>1</v>
      </c>
      <c r="K570" s="1341">
        <f t="shared" si="37"/>
        <v>1</v>
      </c>
    </row>
    <row r="571" spans="1:11" ht="15" hidden="1" customHeight="1" outlineLevel="1">
      <c r="A571" s="1587" t="s">
        <v>1251</v>
      </c>
      <c r="B571" s="1593"/>
      <c r="C571" s="1594" t="s">
        <v>1126</v>
      </c>
      <c r="D571" s="1595">
        <v>65000</v>
      </c>
      <c r="E571" s="1607">
        <v>1</v>
      </c>
      <c r="F571" s="1607">
        <v>1</v>
      </c>
      <c r="G571" s="1607">
        <v>1</v>
      </c>
      <c r="H571" s="1607">
        <v>1</v>
      </c>
      <c r="I571" s="1607">
        <v>1</v>
      </c>
      <c r="J571" s="1341">
        <f t="shared" si="36"/>
        <v>1</v>
      </c>
      <c r="K571" s="1341">
        <f t="shared" si="37"/>
        <v>1</v>
      </c>
    </row>
    <row r="572" spans="1:11" ht="15" hidden="1" customHeight="1" outlineLevel="1">
      <c r="A572" s="1587" t="s">
        <v>1251</v>
      </c>
      <c r="B572" s="1593"/>
      <c r="C572" s="1594" t="s">
        <v>1127</v>
      </c>
      <c r="D572" s="1595">
        <v>35000</v>
      </c>
      <c r="E572" s="1607">
        <v>1</v>
      </c>
      <c r="F572" s="1607">
        <v>1</v>
      </c>
      <c r="G572" s="1607">
        <v>1</v>
      </c>
      <c r="H572" s="1607">
        <v>1</v>
      </c>
      <c r="I572" s="1607">
        <v>1</v>
      </c>
      <c r="J572" s="1341">
        <f t="shared" si="36"/>
        <v>1</v>
      </c>
      <c r="K572" s="1341">
        <f t="shared" si="37"/>
        <v>1</v>
      </c>
    </row>
    <row r="573" spans="1:11" ht="15" hidden="1" customHeight="1" outlineLevel="1">
      <c r="A573" s="1587" t="s">
        <v>1251</v>
      </c>
      <c r="B573" s="1593"/>
      <c r="C573" s="1594"/>
      <c r="D573" s="1595">
        <v>0</v>
      </c>
      <c r="E573" s="1607"/>
      <c r="F573" s="1607"/>
      <c r="G573" s="1607"/>
      <c r="H573" s="1607"/>
      <c r="I573" s="1607"/>
      <c r="J573" s="1341">
        <f t="shared" si="36"/>
        <v>0</v>
      </c>
      <c r="K573" s="1341">
        <f t="shared" si="37"/>
        <v>0</v>
      </c>
    </row>
    <row r="574" spans="1:11" ht="15" hidden="1" customHeight="1" outlineLevel="1">
      <c r="A574" s="1587" t="s">
        <v>1251</v>
      </c>
      <c r="B574" s="1591" t="s">
        <v>1128</v>
      </c>
      <c r="C574" s="1588" t="s">
        <v>1129</v>
      </c>
      <c r="D574" s="1589">
        <v>60000</v>
      </c>
      <c r="E574" s="1592">
        <v>1</v>
      </c>
      <c r="F574" s="1592">
        <v>1</v>
      </c>
      <c r="G574" s="1592">
        <v>1</v>
      </c>
      <c r="H574" s="1592">
        <v>1</v>
      </c>
      <c r="I574" s="1592">
        <v>1</v>
      </c>
      <c r="J574" s="1341">
        <f t="shared" si="36"/>
        <v>1</v>
      </c>
      <c r="K574" s="1341">
        <f t="shared" si="37"/>
        <v>1</v>
      </c>
    </row>
    <row r="575" spans="1:11" ht="15" hidden="1" customHeight="1" outlineLevel="1">
      <c r="A575" s="1587" t="s">
        <v>1251</v>
      </c>
      <c r="B575" s="1591"/>
      <c r="C575" s="1588" t="s">
        <v>1130</v>
      </c>
      <c r="D575" s="1589">
        <v>35000</v>
      </c>
      <c r="E575" s="1592">
        <v>1</v>
      </c>
      <c r="F575" s="1592">
        <v>1</v>
      </c>
      <c r="G575" s="1592">
        <v>1</v>
      </c>
      <c r="H575" s="1592">
        <v>1</v>
      </c>
      <c r="I575" s="1592">
        <v>1</v>
      </c>
      <c r="J575" s="1341">
        <f t="shared" si="36"/>
        <v>1</v>
      </c>
      <c r="K575" s="1341">
        <f t="shared" si="37"/>
        <v>1</v>
      </c>
    </row>
    <row r="576" spans="1:11" ht="15" hidden="1" customHeight="1" outlineLevel="1">
      <c r="A576" s="1587" t="s">
        <v>1251</v>
      </c>
      <c r="B576" s="1591"/>
      <c r="C576" s="1588"/>
      <c r="D576" s="1589">
        <v>0</v>
      </c>
      <c r="E576" s="1592"/>
      <c r="F576" s="1592"/>
      <c r="G576" s="1592"/>
      <c r="H576" s="1592"/>
      <c r="I576" s="1592"/>
      <c r="J576" s="1341">
        <f t="shared" si="36"/>
        <v>0</v>
      </c>
      <c r="K576" s="1341">
        <f t="shared" si="37"/>
        <v>0</v>
      </c>
    </row>
    <row r="577" spans="1:11" ht="15" hidden="1" customHeight="1" outlineLevel="1">
      <c r="A577" s="1598" t="s">
        <v>1252</v>
      </c>
      <c r="B577" s="1594" t="s">
        <v>1132</v>
      </c>
      <c r="C577" s="1594" t="s">
        <v>32</v>
      </c>
      <c r="D577" s="1595">
        <v>65000</v>
      </c>
      <c r="E577" s="1603">
        <v>1</v>
      </c>
      <c r="F577" s="1603">
        <v>1</v>
      </c>
      <c r="G577" s="1603">
        <v>1</v>
      </c>
      <c r="H577" s="1603">
        <v>1</v>
      </c>
      <c r="I577" s="1603">
        <v>1</v>
      </c>
      <c r="J577" s="1341">
        <f t="shared" si="36"/>
        <v>1</v>
      </c>
      <c r="K577" s="1341">
        <f t="shared" si="37"/>
        <v>1</v>
      </c>
    </row>
    <row r="578" spans="1:11" ht="15" hidden="1" customHeight="1" outlineLevel="1">
      <c r="A578" s="1598" t="s">
        <v>1252</v>
      </c>
      <c r="B578" s="1594"/>
      <c r="C578" s="1599" t="s">
        <v>1133</v>
      </c>
      <c r="D578" s="1595">
        <v>45000</v>
      </c>
      <c r="E578" s="1603">
        <v>2</v>
      </c>
      <c r="F578" s="1603">
        <v>2</v>
      </c>
      <c r="G578" s="1603">
        <v>2</v>
      </c>
      <c r="H578" s="1603">
        <v>2</v>
      </c>
      <c r="I578" s="1603">
        <v>2</v>
      </c>
      <c r="J578" s="1341">
        <f t="shared" si="36"/>
        <v>2</v>
      </c>
      <c r="K578" s="1341">
        <f t="shared" si="37"/>
        <v>2</v>
      </c>
    </row>
    <row r="579" spans="1:11" ht="15" hidden="1" customHeight="1" outlineLevel="1">
      <c r="A579" s="1598" t="s">
        <v>1252</v>
      </c>
      <c r="B579" s="1594"/>
      <c r="C579" s="1599" t="s">
        <v>1134</v>
      </c>
      <c r="D579" s="1595">
        <v>45000</v>
      </c>
      <c r="E579" s="1603">
        <v>1</v>
      </c>
      <c r="F579" s="1603">
        <v>1</v>
      </c>
      <c r="G579" s="1603">
        <v>1</v>
      </c>
      <c r="H579" s="1603">
        <v>1</v>
      </c>
      <c r="I579" s="1603">
        <v>1</v>
      </c>
      <c r="J579" s="1341">
        <f t="shared" si="36"/>
        <v>1</v>
      </c>
      <c r="K579" s="1341">
        <f t="shared" si="37"/>
        <v>1</v>
      </c>
    </row>
    <row r="580" spans="1:11" ht="15" hidden="1" customHeight="1" outlineLevel="1">
      <c r="A580" s="1598" t="s">
        <v>1252</v>
      </c>
      <c r="B580" s="1594"/>
      <c r="C580" s="1594" t="s">
        <v>1135</v>
      </c>
      <c r="D580" s="1595">
        <v>45000</v>
      </c>
      <c r="E580" s="1603"/>
      <c r="F580" s="1603"/>
      <c r="G580" s="1603"/>
      <c r="H580" s="1603"/>
      <c r="I580" s="1603"/>
      <c r="J580" s="1341">
        <f t="shared" si="36"/>
        <v>0</v>
      </c>
      <c r="K580" s="1341">
        <f t="shared" si="37"/>
        <v>0</v>
      </c>
    </row>
    <row r="581" spans="1:11" ht="15" hidden="1" customHeight="1" outlineLevel="1">
      <c r="A581" s="1598" t="s">
        <v>1252</v>
      </c>
      <c r="B581" s="1594"/>
      <c r="C581" s="1593" t="s">
        <v>1136</v>
      </c>
      <c r="D581" s="1595">
        <v>32000</v>
      </c>
      <c r="E581" s="1603">
        <v>2</v>
      </c>
      <c r="F581" s="1603">
        <v>2</v>
      </c>
      <c r="G581" s="1603">
        <v>2</v>
      </c>
      <c r="H581" s="1603">
        <v>2</v>
      </c>
      <c r="I581" s="1603">
        <v>2</v>
      </c>
      <c r="J581" s="1341">
        <f t="shared" si="36"/>
        <v>2</v>
      </c>
      <c r="K581" s="1341">
        <f t="shared" si="37"/>
        <v>2</v>
      </c>
    </row>
    <row r="582" spans="1:11" ht="15" hidden="1" customHeight="1" outlineLevel="1">
      <c r="A582" s="1598" t="s">
        <v>1252</v>
      </c>
      <c r="B582" s="1594"/>
      <c r="C582" s="1593" t="s">
        <v>1137</v>
      </c>
      <c r="D582" s="1595">
        <v>65000</v>
      </c>
      <c r="E582" s="1607">
        <v>1</v>
      </c>
      <c r="F582" s="1607">
        <v>1</v>
      </c>
      <c r="G582" s="1607">
        <v>1</v>
      </c>
      <c r="H582" s="1607">
        <v>1</v>
      </c>
      <c r="I582" s="1607">
        <v>1</v>
      </c>
      <c r="J582" s="1341">
        <f t="shared" si="36"/>
        <v>1</v>
      </c>
      <c r="K582" s="1341">
        <f t="shared" si="37"/>
        <v>1</v>
      </c>
    </row>
    <row r="583" spans="1:11" ht="15" hidden="1" customHeight="1" outlineLevel="1">
      <c r="A583" s="1598" t="s">
        <v>1252</v>
      </c>
      <c r="B583" s="1594"/>
      <c r="C583" s="1593" t="s">
        <v>1138</v>
      </c>
      <c r="D583" s="1595">
        <v>35000</v>
      </c>
      <c r="E583" s="1607">
        <v>1</v>
      </c>
      <c r="F583" s="1607">
        <v>1</v>
      </c>
      <c r="G583" s="1607">
        <v>1</v>
      </c>
      <c r="H583" s="1607">
        <v>1</v>
      </c>
      <c r="I583" s="1607">
        <v>1</v>
      </c>
      <c r="J583" s="1341">
        <f t="shared" si="36"/>
        <v>1</v>
      </c>
      <c r="K583" s="1341">
        <f t="shared" si="37"/>
        <v>1</v>
      </c>
    </row>
    <row r="584" spans="1:11" ht="15" hidden="1" customHeight="1" outlineLevel="1">
      <c r="A584" s="1598" t="s">
        <v>1252</v>
      </c>
      <c r="B584" s="1594"/>
      <c r="C584" s="1593" t="s">
        <v>1139</v>
      </c>
      <c r="D584" s="1595">
        <v>45000</v>
      </c>
      <c r="E584" s="1607">
        <v>1</v>
      </c>
      <c r="F584" s="1607">
        <v>1</v>
      </c>
      <c r="G584" s="1607">
        <v>1</v>
      </c>
      <c r="H584" s="1607">
        <v>1</v>
      </c>
      <c r="I584" s="1607">
        <v>1</v>
      </c>
      <c r="J584" s="1341">
        <f t="shared" si="36"/>
        <v>1</v>
      </c>
      <c r="K584" s="1341">
        <f t="shared" si="37"/>
        <v>1</v>
      </c>
    </row>
    <row r="585" spans="1:11" ht="15" hidden="1" customHeight="1" outlineLevel="1">
      <c r="A585" s="1598" t="s">
        <v>1252</v>
      </c>
      <c r="B585" s="1594"/>
      <c r="C585" s="1593" t="s">
        <v>40</v>
      </c>
      <c r="D585" s="1595">
        <v>32000</v>
      </c>
      <c r="E585" s="1607">
        <v>1</v>
      </c>
      <c r="F585" s="1607">
        <v>1</v>
      </c>
      <c r="G585" s="1607">
        <v>1</v>
      </c>
      <c r="H585" s="1607">
        <v>1</v>
      </c>
      <c r="I585" s="1607">
        <v>1</v>
      </c>
      <c r="J585" s="1341">
        <f t="shared" si="36"/>
        <v>1</v>
      </c>
      <c r="K585" s="1341">
        <f t="shared" si="37"/>
        <v>1</v>
      </c>
    </row>
    <row r="586" spans="1:11" ht="15" hidden="1" customHeight="1" outlineLevel="1">
      <c r="A586" s="1598" t="s">
        <v>1252</v>
      </c>
      <c r="B586" s="1594"/>
      <c r="C586" s="1593"/>
      <c r="D586" s="1595">
        <v>0</v>
      </c>
      <c r="E586" s="1607"/>
      <c r="F586" s="1607"/>
      <c r="G586" s="1607"/>
      <c r="H586" s="1607"/>
      <c r="I586" s="1607"/>
      <c r="J586" s="1341">
        <f t="shared" si="36"/>
        <v>0</v>
      </c>
      <c r="K586" s="1341">
        <f t="shared" si="37"/>
        <v>0</v>
      </c>
    </row>
    <row r="587" spans="1:11" ht="15" hidden="1" customHeight="1" outlineLevel="1">
      <c r="A587" s="1587" t="s">
        <v>1253</v>
      </c>
      <c r="B587" s="1588" t="s">
        <v>1141</v>
      </c>
      <c r="C587" s="1591" t="s">
        <v>1142</v>
      </c>
      <c r="D587" s="1589">
        <v>65000</v>
      </c>
      <c r="E587" s="1589">
        <v>1</v>
      </c>
      <c r="F587" s="1589">
        <v>1</v>
      </c>
      <c r="G587" s="1589">
        <v>1</v>
      </c>
      <c r="H587" s="1589">
        <v>1</v>
      </c>
      <c r="I587" s="1589">
        <v>1</v>
      </c>
      <c r="J587" s="1341">
        <f t="shared" si="36"/>
        <v>1</v>
      </c>
      <c r="K587" s="1341">
        <f t="shared" si="37"/>
        <v>1</v>
      </c>
    </row>
    <row r="588" spans="1:11" ht="15" hidden="1" customHeight="1" outlineLevel="1">
      <c r="A588" s="1587" t="s">
        <v>1253</v>
      </c>
      <c r="B588" s="1588"/>
      <c r="C588" s="1600" t="s">
        <v>1143</v>
      </c>
      <c r="D588" s="1589">
        <v>50000</v>
      </c>
      <c r="E588" s="1589">
        <v>1</v>
      </c>
      <c r="F588" s="1589">
        <v>1</v>
      </c>
      <c r="G588" s="1589">
        <v>1</v>
      </c>
      <c r="H588" s="1589">
        <v>1</v>
      </c>
      <c r="I588" s="1589">
        <v>1</v>
      </c>
      <c r="J588" s="1341">
        <f t="shared" si="36"/>
        <v>1</v>
      </c>
      <c r="K588" s="1341">
        <f t="shared" si="37"/>
        <v>1</v>
      </c>
    </row>
    <row r="589" spans="1:11" ht="15" hidden="1" customHeight="1" outlineLevel="1">
      <c r="A589" s="1587" t="s">
        <v>1253</v>
      </c>
      <c r="B589" s="1588"/>
      <c r="C589" s="1601" t="s">
        <v>1144</v>
      </c>
      <c r="D589" s="1589">
        <v>35000</v>
      </c>
      <c r="E589" s="1589">
        <v>1</v>
      </c>
      <c r="F589" s="1589">
        <v>1</v>
      </c>
      <c r="G589" s="1589">
        <v>1</v>
      </c>
      <c r="H589" s="1589">
        <v>1</v>
      </c>
      <c r="I589" s="1589">
        <v>1</v>
      </c>
      <c r="J589" s="1341">
        <f t="shared" si="36"/>
        <v>1</v>
      </c>
      <c r="K589" s="1341">
        <f t="shared" si="37"/>
        <v>1</v>
      </c>
    </row>
    <row r="590" spans="1:11" ht="15" hidden="1" customHeight="1" outlineLevel="1">
      <c r="A590" s="1587" t="s">
        <v>1253</v>
      </c>
      <c r="B590" s="1588"/>
      <c r="C590" s="1588" t="s">
        <v>1145</v>
      </c>
      <c r="D590" s="1589">
        <v>32000</v>
      </c>
      <c r="E590" s="1589">
        <v>1</v>
      </c>
      <c r="F590" s="1589">
        <v>1</v>
      </c>
      <c r="G590" s="1589">
        <v>1</v>
      </c>
      <c r="H590" s="1589">
        <v>1</v>
      </c>
      <c r="I590" s="1589">
        <v>1</v>
      </c>
      <c r="J590" s="1341">
        <f t="shared" si="36"/>
        <v>1</v>
      </c>
      <c r="K590" s="1341">
        <f t="shared" si="37"/>
        <v>1</v>
      </c>
    </row>
    <row r="591" spans="1:11" ht="15" hidden="1" customHeight="1" outlineLevel="1">
      <c r="A591" s="1587" t="s">
        <v>1253</v>
      </c>
      <c r="B591" s="1588"/>
      <c r="C591" s="1588" t="s">
        <v>1146</v>
      </c>
      <c r="D591" s="1589">
        <v>35000</v>
      </c>
      <c r="E591" s="1589">
        <v>1</v>
      </c>
      <c r="F591" s="1589">
        <v>1</v>
      </c>
      <c r="G591" s="1589">
        <v>1</v>
      </c>
      <c r="H591" s="1589">
        <v>1</v>
      </c>
      <c r="I591" s="1589">
        <v>1</v>
      </c>
      <c r="J591" s="1341">
        <f t="shared" si="36"/>
        <v>1</v>
      </c>
      <c r="K591" s="1341">
        <f t="shared" si="37"/>
        <v>1</v>
      </c>
    </row>
    <row r="592" spans="1:11" ht="15" hidden="1" customHeight="1" outlineLevel="1">
      <c r="A592" s="1587" t="s">
        <v>1253</v>
      </c>
      <c r="B592" s="1588"/>
      <c r="C592" s="1602" t="s">
        <v>1147</v>
      </c>
      <c r="D592" s="1589">
        <v>32000</v>
      </c>
      <c r="E592" s="1589">
        <v>2</v>
      </c>
      <c r="F592" s="1589">
        <v>2</v>
      </c>
      <c r="G592" s="1589">
        <v>2</v>
      </c>
      <c r="H592" s="1589">
        <v>2</v>
      </c>
      <c r="I592" s="1589">
        <v>2</v>
      </c>
      <c r="J592" s="1341">
        <f t="shared" si="36"/>
        <v>2</v>
      </c>
      <c r="K592" s="1341">
        <f t="shared" si="37"/>
        <v>2</v>
      </c>
    </row>
    <row r="593" spans="1:11" ht="15" hidden="1" customHeight="1" outlineLevel="1">
      <c r="A593" s="1587" t="s">
        <v>1253</v>
      </c>
      <c r="B593" s="1588"/>
      <c r="C593" s="1591" t="s">
        <v>1148</v>
      </c>
      <c r="D593" s="1589">
        <v>30000</v>
      </c>
      <c r="E593" s="1589">
        <v>2</v>
      </c>
      <c r="F593" s="1589">
        <v>2</v>
      </c>
      <c r="G593" s="1589">
        <v>2</v>
      </c>
      <c r="H593" s="1589">
        <v>2</v>
      </c>
      <c r="I593" s="1589">
        <v>2</v>
      </c>
      <c r="J593" s="1341">
        <f t="shared" si="36"/>
        <v>2</v>
      </c>
      <c r="K593" s="1341">
        <f t="shared" si="37"/>
        <v>2</v>
      </c>
    </row>
    <row r="594" spans="1:11" ht="15" hidden="1" customHeight="1" outlineLevel="1">
      <c r="A594" s="1587" t="s">
        <v>1253</v>
      </c>
      <c r="B594" s="1588"/>
      <c r="C594" s="1591" t="s">
        <v>1149</v>
      </c>
      <c r="D594" s="1589">
        <v>30000</v>
      </c>
      <c r="E594" s="1589">
        <v>2</v>
      </c>
      <c r="F594" s="1589">
        <v>2</v>
      </c>
      <c r="G594" s="1589">
        <v>2</v>
      </c>
      <c r="H594" s="1589">
        <v>2</v>
      </c>
      <c r="I594" s="1589">
        <v>2</v>
      </c>
      <c r="J594" s="1341">
        <f t="shared" si="36"/>
        <v>2</v>
      </c>
      <c r="K594" s="1341">
        <f t="shared" si="37"/>
        <v>2</v>
      </c>
    </row>
    <row r="595" spans="1:11" ht="15" hidden="1" customHeight="1" outlineLevel="1">
      <c r="A595" s="1587" t="s">
        <v>1253</v>
      </c>
      <c r="B595" s="1588"/>
      <c r="C595" s="1591" t="s">
        <v>1150</v>
      </c>
      <c r="D595" s="1589">
        <v>30000</v>
      </c>
      <c r="E595" s="1589">
        <v>2</v>
      </c>
      <c r="F595" s="1589">
        <v>2</v>
      </c>
      <c r="G595" s="1589">
        <v>2</v>
      </c>
      <c r="H595" s="1589">
        <v>2</v>
      </c>
      <c r="I595" s="1589">
        <v>2</v>
      </c>
      <c r="J595" s="1341">
        <f t="shared" si="36"/>
        <v>2</v>
      </c>
      <c r="K595" s="1341">
        <f t="shared" si="37"/>
        <v>2</v>
      </c>
    </row>
    <row r="596" spans="1:11" ht="15" hidden="1" customHeight="1" outlineLevel="1">
      <c r="A596" s="1587" t="s">
        <v>1253</v>
      </c>
      <c r="B596" s="1588"/>
      <c r="C596" s="1591"/>
      <c r="D596" s="1589">
        <v>0</v>
      </c>
      <c r="E596" s="1589"/>
      <c r="F596" s="1589"/>
      <c r="G596" s="1589"/>
      <c r="H596" s="1589"/>
      <c r="I596" s="1589"/>
      <c r="J596" s="1341">
        <f t="shared" si="36"/>
        <v>0</v>
      </c>
      <c r="K596" s="1341">
        <f t="shared" si="37"/>
        <v>0</v>
      </c>
    </row>
    <row r="597" spans="1:11" ht="15" hidden="1" customHeight="1" outlineLevel="1">
      <c r="A597" s="1598" t="s">
        <v>1254</v>
      </c>
      <c r="B597" s="1594" t="s">
        <v>1152</v>
      </c>
      <c r="C597" s="1593" t="s">
        <v>1153</v>
      </c>
      <c r="D597" s="1595">
        <v>65000</v>
      </c>
      <c r="E597" s="1595">
        <v>1</v>
      </c>
      <c r="F597" s="1595">
        <v>1</v>
      </c>
      <c r="G597" s="1595">
        <v>1</v>
      </c>
      <c r="H597" s="1595">
        <v>1</v>
      </c>
      <c r="I597" s="1595">
        <v>1</v>
      </c>
      <c r="J597" s="1341">
        <f t="shared" si="36"/>
        <v>1</v>
      </c>
      <c r="K597" s="1341">
        <f t="shared" si="37"/>
        <v>1</v>
      </c>
    </row>
    <row r="598" spans="1:11" ht="15" hidden="1" customHeight="1" outlineLevel="1">
      <c r="A598" s="1598" t="s">
        <v>1254</v>
      </c>
      <c r="B598" s="1594"/>
      <c r="C598" s="1593" t="s">
        <v>1154</v>
      </c>
      <c r="D598" s="1595">
        <v>45000</v>
      </c>
      <c r="E598" s="1595">
        <v>1</v>
      </c>
      <c r="F598" s="1595">
        <v>1</v>
      </c>
      <c r="G598" s="1595">
        <v>1</v>
      </c>
      <c r="H598" s="1595">
        <v>1</v>
      </c>
      <c r="I598" s="1595">
        <v>1</v>
      </c>
      <c r="J598" s="1341">
        <f t="shared" si="36"/>
        <v>1</v>
      </c>
      <c r="K598" s="1341">
        <f t="shared" si="37"/>
        <v>1</v>
      </c>
    </row>
    <row r="599" spans="1:11" ht="15" hidden="1" customHeight="1" outlineLevel="1">
      <c r="A599" s="1598" t="s">
        <v>1254</v>
      </c>
      <c r="B599" s="1594"/>
      <c r="C599" s="1593" t="s">
        <v>1155</v>
      </c>
      <c r="D599" s="1595">
        <v>38000</v>
      </c>
      <c r="E599" s="1595">
        <v>1</v>
      </c>
      <c r="F599" s="1595">
        <v>1</v>
      </c>
      <c r="G599" s="1595">
        <v>1</v>
      </c>
      <c r="H599" s="1595">
        <v>1</v>
      </c>
      <c r="I599" s="1595">
        <v>1</v>
      </c>
      <c r="J599" s="1341">
        <f t="shared" si="36"/>
        <v>1</v>
      </c>
      <c r="K599" s="1341">
        <f t="shared" si="37"/>
        <v>1</v>
      </c>
    </row>
    <row r="600" spans="1:11" ht="15" hidden="1" customHeight="1" outlineLevel="1">
      <c r="A600" s="1598" t="s">
        <v>1254</v>
      </c>
      <c r="B600" s="1594"/>
      <c r="C600" s="1593" t="s">
        <v>1156</v>
      </c>
      <c r="D600" s="1595">
        <v>28000</v>
      </c>
      <c r="E600" s="1603">
        <v>5</v>
      </c>
      <c r="F600" s="1603">
        <v>5</v>
      </c>
      <c r="G600" s="1603">
        <v>5</v>
      </c>
      <c r="H600" s="1603">
        <v>5</v>
      </c>
      <c r="I600" s="1603">
        <v>5</v>
      </c>
      <c r="J600" s="1341">
        <f t="shared" si="36"/>
        <v>5</v>
      </c>
      <c r="K600" s="1341">
        <f t="shared" si="37"/>
        <v>5</v>
      </c>
    </row>
    <row r="601" spans="1:11" ht="15" hidden="1" customHeight="1" outlineLevel="1">
      <c r="A601" s="1598" t="s">
        <v>1254</v>
      </c>
      <c r="B601" s="1594"/>
      <c r="C601" s="1594" t="s">
        <v>1157</v>
      </c>
      <c r="D601" s="1603">
        <v>23000</v>
      </c>
      <c r="E601" s="1595">
        <v>1</v>
      </c>
      <c r="F601" s="1595">
        <v>1</v>
      </c>
      <c r="G601" s="1595">
        <v>1</v>
      </c>
      <c r="H601" s="1595">
        <v>1</v>
      </c>
      <c r="I601" s="1595">
        <v>1</v>
      </c>
      <c r="J601" s="1341">
        <f t="shared" si="36"/>
        <v>1</v>
      </c>
      <c r="K601" s="1341">
        <f t="shared" si="37"/>
        <v>1</v>
      </c>
    </row>
    <row r="602" spans="1:11" ht="15" hidden="1" customHeight="1" outlineLevel="1">
      <c r="A602" s="1598" t="s">
        <v>1254</v>
      </c>
      <c r="B602" s="1594"/>
      <c r="C602" s="1593" t="s">
        <v>1158</v>
      </c>
      <c r="D602" s="1595">
        <v>21000</v>
      </c>
      <c r="E602" s="1595">
        <v>2</v>
      </c>
      <c r="F602" s="1595">
        <v>2</v>
      </c>
      <c r="G602" s="1595">
        <v>2</v>
      </c>
      <c r="H602" s="1595">
        <v>2</v>
      </c>
      <c r="I602" s="1595">
        <v>2</v>
      </c>
      <c r="J602" s="1341">
        <f t="shared" si="36"/>
        <v>2</v>
      </c>
      <c r="K602" s="1341">
        <f t="shared" si="37"/>
        <v>2</v>
      </c>
    </row>
    <row r="603" spans="1:11" ht="15" hidden="1" customHeight="1" outlineLevel="1">
      <c r="A603" s="1598" t="s">
        <v>1254</v>
      </c>
      <c r="B603" s="1594"/>
      <c r="C603" s="1593"/>
      <c r="D603" s="1595">
        <v>0</v>
      </c>
      <c r="E603" s="1595"/>
      <c r="F603" s="1595"/>
      <c r="G603" s="1595"/>
      <c r="H603" s="1595"/>
      <c r="I603" s="1595"/>
      <c r="J603" s="1341">
        <f t="shared" si="36"/>
        <v>0</v>
      </c>
      <c r="K603" s="1341">
        <f t="shared" si="37"/>
        <v>0</v>
      </c>
    </row>
    <row r="604" spans="1:11" ht="15" hidden="1" customHeight="1" outlineLevel="1">
      <c r="A604" s="1598" t="s">
        <v>1254</v>
      </c>
      <c r="B604" s="1590" t="s">
        <v>1159</v>
      </c>
      <c r="C604" s="1591" t="s">
        <v>1160</v>
      </c>
      <c r="D604" s="1589">
        <v>65000</v>
      </c>
      <c r="E604" s="1589">
        <v>1</v>
      </c>
      <c r="F604" s="1589">
        <v>1</v>
      </c>
      <c r="G604" s="1589">
        <v>1</v>
      </c>
      <c r="H604" s="1589">
        <v>1</v>
      </c>
      <c r="I604" s="1589">
        <v>1</v>
      </c>
      <c r="J604" s="1341">
        <f t="shared" si="36"/>
        <v>1</v>
      </c>
      <c r="K604" s="1341">
        <f t="shared" si="37"/>
        <v>1</v>
      </c>
    </row>
    <row r="605" spans="1:11" ht="15" hidden="1" customHeight="1" outlineLevel="1">
      <c r="A605" s="1598" t="s">
        <v>1254</v>
      </c>
      <c r="B605" s="1590"/>
      <c r="C605" s="1591" t="s">
        <v>1161</v>
      </c>
      <c r="D605" s="1589">
        <v>40000</v>
      </c>
      <c r="E605" s="1589">
        <v>1</v>
      </c>
      <c r="F605" s="1589">
        <v>1</v>
      </c>
      <c r="G605" s="1589">
        <v>1</v>
      </c>
      <c r="H605" s="1589">
        <v>1</v>
      </c>
      <c r="I605" s="1589">
        <v>1</v>
      </c>
      <c r="J605" s="1341">
        <f t="shared" si="36"/>
        <v>1</v>
      </c>
      <c r="K605" s="1341">
        <f t="shared" si="37"/>
        <v>1</v>
      </c>
    </row>
    <row r="606" spans="1:11" ht="15" hidden="1" customHeight="1" outlineLevel="1">
      <c r="A606" s="1598" t="s">
        <v>1254</v>
      </c>
      <c r="B606" s="1590"/>
      <c r="C606" s="1591" t="s">
        <v>1162</v>
      </c>
      <c r="D606" s="1589">
        <v>30000</v>
      </c>
      <c r="E606" s="1589">
        <v>2</v>
      </c>
      <c r="F606" s="1589">
        <v>2</v>
      </c>
      <c r="G606" s="1589">
        <v>2</v>
      </c>
      <c r="H606" s="1589">
        <v>2</v>
      </c>
      <c r="I606" s="1589">
        <v>2</v>
      </c>
      <c r="J606" s="1341">
        <f t="shared" si="36"/>
        <v>2</v>
      </c>
      <c r="K606" s="1341">
        <f t="shared" si="37"/>
        <v>2</v>
      </c>
    </row>
    <row r="607" spans="1:11" ht="15" hidden="1" customHeight="1" outlineLevel="1">
      <c r="A607" s="1598" t="s">
        <v>1254</v>
      </c>
      <c r="B607" s="1590"/>
      <c r="C607" s="1591" t="s">
        <v>1163</v>
      </c>
      <c r="D607" s="1589">
        <v>35000</v>
      </c>
      <c r="E607" s="1589">
        <v>1</v>
      </c>
      <c r="F607" s="1589">
        <v>1</v>
      </c>
      <c r="G607" s="1589">
        <v>1</v>
      </c>
      <c r="H607" s="1589">
        <v>1</v>
      </c>
      <c r="I607" s="1589">
        <v>1</v>
      </c>
      <c r="J607" s="1341">
        <f t="shared" si="36"/>
        <v>1</v>
      </c>
      <c r="K607" s="1341">
        <f t="shared" si="37"/>
        <v>1</v>
      </c>
    </row>
    <row r="608" spans="1:11" ht="15" hidden="1" customHeight="1" outlineLevel="1">
      <c r="A608" s="1598" t="s">
        <v>1254</v>
      </c>
      <c r="B608" s="1590"/>
      <c r="C608" s="1591" t="s">
        <v>1164</v>
      </c>
      <c r="D608" s="1589">
        <v>30000</v>
      </c>
      <c r="E608" s="1589"/>
      <c r="F608" s="1589"/>
      <c r="G608" s="1589"/>
      <c r="H608" s="1589"/>
      <c r="I608" s="1589"/>
      <c r="J608" s="1341">
        <f t="shared" si="36"/>
        <v>0</v>
      </c>
      <c r="K608" s="1341">
        <f t="shared" si="37"/>
        <v>0</v>
      </c>
    </row>
    <row r="609" spans="1:11" ht="15" hidden="1" customHeight="1" outlineLevel="1">
      <c r="A609" s="1598" t="s">
        <v>1254</v>
      </c>
      <c r="B609" s="1590"/>
      <c r="C609" s="1590" t="s">
        <v>1165</v>
      </c>
      <c r="D609" s="1589">
        <v>25000</v>
      </c>
      <c r="E609" s="1589">
        <v>2</v>
      </c>
      <c r="F609" s="1589">
        <v>2</v>
      </c>
      <c r="G609" s="1589">
        <v>2</v>
      </c>
      <c r="H609" s="1589">
        <v>2</v>
      </c>
      <c r="I609" s="1589">
        <v>2</v>
      </c>
      <c r="J609" s="1341">
        <f t="shared" ref="J609:J670" si="38">I609</f>
        <v>2</v>
      </c>
      <c r="K609" s="1341">
        <f t="shared" ref="K609:K670" si="39">J609</f>
        <v>2</v>
      </c>
    </row>
    <row r="610" spans="1:11" ht="15" hidden="1" customHeight="1" outlineLevel="1">
      <c r="A610" s="1598" t="s">
        <v>1254</v>
      </c>
      <c r="B610" s="1590"/>
      <c r="C610" s="1590" t="s">
        <v>1166</v>
      </c>
      <c r="D610" s="1589">
        <v>21000</v>
      </c>
      <c r="E610" s="1589">
        <v>2</v>
      </c>
      <c r="F610" s="1589">
        <v>2</v>
      </c>
      <c r="G610" s="1589">
        <v>2</v>
      </c>
      <c r="H610" s="1589">
        <v>2</v>
      </c>
      <c r="I610" s="1589">
        <v>2</v>
      </c>
      <c r="J610" s="1341">
        <f t="shared" si="38"/>
        <v>2</v>
      </c>
      <c r="K610" s="1341">
        <f t="shared" si="39"/>
        <v>2</v>
      </c>
    </row>
    <row r="611" spans="1:11" ht="15" hidden="1" customHeight="1" outlineLevel="1">
      <c r="A611" s="1598" t="s">
        <v>1254</v>
      </c>
      <c r="B611" s="1590"/>
      <c r="C611" s="1602"/>
      <c r="D611" s="1589">
        <v>0</v>
      </c>
      <c r="E611" s="1589"/>
      <c r="F611" s="1589"/>
      <c r="G611" s="1589"/>
      <c r="H611" s="1589"/>
      <c r="I611" s="1589"/>
      <c r="J611" s="1341">
        <f t="shared" si="38"/>
        <v>0</v>
      </c>
      <c r="K611" s="1341">
        <f t="shared" si="39"/>
        <v>0</v>
      </c>
    </row>
    <row r="612" spans="1:11" ht="15" hidden="1" customHeight="1" outlineLevel="1">
      <c r="A612" s="1598" t="s">
        <v>1254</v>
      </c>
      <c r="B612" s="1599" t="s">
        <v>1167</v>
      </c>
      <c r="C612" s="1593" t="s">
        <v>1168</v>
      </c>
      <c r="D612" s="1595">
        <v>40000</v>
      </c>
      <c r="E612" s="1595">
        <v>1</v>
      </c>
      <c r="F612" s="1595">
        <v>1</v>
      </c>
      <c r="G612" s="1595">
        <v>1</v>
      </c>
      <c r="H612" s="1595">
        <v>1</v>
      </c>
      <c r="I612" s="1595">
        <v>1</v>
      </c>
      <c r="J612" s="1341">
        <f t="shared" si="38"/>
        <v>1</v>
      </c>
      <c r="K612" s="1341">
        <f t="shared" si="39"/>
        <v>1</v>
      </c>
    </row>
    <row r="613" spans="1:11" ht="15" hidden="1" customHeight="1" outlineLevel="1">
      <c r="A613" s="1598" t="s">
        <v>1254</v>
      </c>
      <c r="B613" s="1599"/>
      <c r="C613" s="1593" t="s">
        <v>1169</v>
      </c>
      <c r="D613" s="1595">
        <v>25000</v>
      </c>
      <c r="E613" s="1595">
        <v>3</v>
      </c>
      <c r="F613" s="1595">
        <v>3</v>
      </c>
      <c r="G613" s="1595">
        <v>3</v>
      </c>
      <c r="H613" s="1595">
        <v>3</v>
      </c>
      <c r="I613" s="1595">
        <v>3</v>
      </c>
      <c r="J613" s="1341">
        <f t="shared" si="38"/>
        <v>3</v>
      </c>
      <c r="K613" s="1341">
        <f t="shared" si="39"/>
        <v>3</v>
      </c>
    </row>
    <row r="614" spans="1:11" ht="15" hidden="1" customHeight="1" outlineLevel="1">
      <c r="A614" s="1598" t="s">
        <v>1254</v>
      </c>
      <c r="B614" s="1599"/>
      <c r="C614" s="1604" t="s">
        <v>1170</v>
      </c>
      <c r="D614" s="1595">
        <v>23000</v>
      </c>
      <c r="E614" s="1595">
        <v>1</v>
      </c>
      <c r="F614" s="1595">
        <v>1</v>
      </c>
      <c r="G614" s="1595">
        <v>1</v>
      </c>
      <c r="H614" s="1595">
        <v>1</v>
      </c>
      <c r="I614" s="1595">
        <v>1</v>
      </c>
      <c r="J614" s="1341">
        <f t="shared" si="38"/>
        <v>1</v>
      </c>
      <c r="K614" s="1341">
        <f t="shared" si="39"/>
        <v>1</v>
      </c>
    </row>
    <row r="615" spans="1:11" ht="15" hidden="1" customHeight="1" outlineLevel="1">
      <c r="A615" s="1598" t="s">
        <v>1254</v>
      </c>
      <c r="B615" s="1599"/>
      <c r="C615" s="1604"/>
      <c r="D615" s="1595">
        <v>0</v>
      </c>
      <c r="E615" s="1595"/>
      <c r="F615" s="1595"/>
      <c r="G615" s="1595"/>
      <c r="H615" s="1595"/>
      <c r="I615" s="1595"/>
      <c r="J615" s="1341">
        <f t="shared" si="38"/>
        <v>0</v>
      </c>
      <c r="K615" s="1341">
        <f t="shared" si="39"/>
        <v>0</v>
      </c>
    </row>
    <row r="616" spans="1:11" ht="15" hidden="1" customHeight="1" outlineLevel="1">
      <c r="A616" s="1587" t="s">
        <v>1255</v>
      </c>
      <c r="B616" s="1588" t="s">
        <v>1172</v>
      </c>
      <c r="C616" s="1591" t="s">
        <v>1173</v>
      </c>
      <c r="D616" s="1589">
        <v>65000</v>
      </c>
      <c r="E616" s="1589"/>
      <c r="F616" s="1589"/>
      <c r="G616" s="1589"/>
      <c r="H616" s="1589"/>
      <c r="I616" s="1589"/>
      <c r="J616" s="1341">
        <f t="shared" si="38"/>
        <v>0</v>
      </c>
      <c r="K616" s="1341">
        <f t="shared" si="39"/>
        <v>0</v>
      </c>
    </row>
    <row r="617" spans="1:11" ht="15" hidden="1" customHeight="1" outlineLevel="1">
      <c r="A617" s="1587" t="s">
        <v>1255</v>
      </c>
      <c r="B617" s="1588"/>
      <c r="C617" s="1591" t="s">
        <v>1174</v>
      </c>
      <c r="D617" s="1589">
        <v>90000</v>
      </c>
      <c r="E617" s="1589"/>
      <c r="F617" s="1589"/>
      <c r="G617" s="1589"/>
      <c r="H617" s="1589"/>
      <c r="I617" s="1589"/>
      <c r="J617" s="1341">
        <f t="shared" si="38"/>
        <v>0</v>
      </c>
      <c r="K617" s="1341">
        <f t="shared" si="39"/>
        <v>0</v>
      </c>
    </row>
    <row r="618" spans="1:11" ht="15" hidden="1" customHeight="1" outlineLevel="1">
      <c r="A618" s="1587" t="s">
        <v>1255</v>
      </c>
      <c r="B618" s="1588"/>
      <c r="C618" s="1591" t="s">
        <v>1175</v>
      </c>
      <c r="D618" s="1589">
        <v>55000</v>
      </c>
      <c r="E618" s="1589"/>
      <c r="F618" s="1589"/>
      <c r="G618" s="1589"/>
      <c r="H618" s="1589"/>
      <c r="I618" s="1589"/>
      <c r="J618" s="1341">
        <f t="shared" si="38"/>
        <v>0</v>
      </c>
      <c r="K618" s="1341">
        <f t="shared" si="39"/>
        <v>0</v>
      </c>
    </row>
    <row r="619" spans="1:11" ht="15" hidden="1" customHeight="1" outlineLevel="1">
      <c r="A619" s="1587" t="s">
        <v>1255</v>
      </c>
      <c r="B619" s="1588"/>
      <c r="C619" s="1591" t="s">
        <v>1176</v>
      </c>
      <c r="D619" s="1589">
        <v>40000</v>
      </c>
      <c r="E619" s="1589"/>
      <c r="F619" s="1589"/>
      <c r="G619" s="1589"/>
      <c r="H619" s="1589"/>
      <c r="I619" s="1589"/>
      <c r="J619" s="1341">
        <f t="shared" si="38"/>
        <v>0</v>
      </c>
      <c r="K619" s="1341">
        <f t="shared" si="39"/>
        <v>0</v>
      </c>
    </row>
    <row r="620" spans="1:11" ht="15" hidden="1" customHeight="1" outlineLevel="1">
      <c r="A620" s="1587" t="s">
        <v>1255</v>
      </c>
      <c r="B620" s="1588"/>
      <c r="C620" s="1588" t="s">
        <v>1177</v>
      </c>
      <c r="D620" s="1589">
        <v>35000</v>
      </c>
      <c r="E620" s="1589"/>
      <c r="F620" s="1589"/>
      <c r="G620" s="1589"/>
      <c r="H620" s="1589"/>
      <c r="I620" s="1589"/>
      <c r="J620" s="1341">
        <f t="shared" si="38"/>
        <v>0</v>
      </c>
      <c r="K620" s="1341">
        <f t="shared" si="39"/>
        <v>0</v>
      </c>
    </row>
    <row r="621" spans="1:11" ht="15" hidden="1" customHeight="1" outlineLevel="1">
      <c r="A621" s="1587" t="s">
        <v>1255</v>
      </c>
      <c r="B621" s="1588"/>
      <c r="C621" s="1591" t="s">
        <v>1178</v>
      </c>
      <c r="D621" s="1589">
        <v>35000</v>
      </c>
      <c r="E621" s="1589">
        <v>1</v>
      </c>
      <c r="F621" s="1589">
        <v>1</v>
      </c>
      <c r="G621" s="1589">
        <v>1</v>
      </c>
      <c r="H621" s="1589">
        <v>1</v>
      </c>
      <c r="I621" s="1589">
        <v>1</v>
      </c>
      <c r="J621" s="1341">
        <f t="shared" si="38"/>
        <v>1</v>
      </c>
      <c r="K621" s="1341">
        <f t="shared" si="39"/>
        <v>1</v>
      </c>
    </row>
    <row r="622" spans="1:11" ht="15" hidden="1" customHeight="1" outlineLevel="1">
      <c r="A622" s="1587" t="s">
        <v>1255</v>
      </c>
      <c r="B622" s="1588"/>
      <c r="C622" s="1602" t="s">
        <v>1179</v>
      </c>
      <c r="D622" s="1605">
        <v>21000</v>
      </c>
      <c r="E622" s="1589">
        <v>2</v>
      </c>
      <c r="F622" s="1589">
        <v>2</v>
      </c>
      <c r="G622" s="1589">
        <v>2</v>
      </c>
      <c r="H622" s="1589">
        <v>2</v>
      </c>
      <c r="I622" s="1589">
        <v>2</v>
      </c>
      <c r="J622" s="1341">
        <f t="shared" si="38"/>
        <v>2</v>
      </c>
      <c r="K622" s="1341">
        <f t="shared" si="39"/>
        <v>2</v>
      </c>
    </row>
    <row r="623" spans="1:11" ht="15" hidden="1" customHeight="1" outlineLevel="1">
      <c r="A623" s="1587" t="s">
        <v>1255</v>
      </c>
      <c r="B623" s="1588"/>
      <c r="C623" s="1591"/>
      <c r="D623" s="1589">
        <v>0</v>
      </c>
      <c r="E623" s="1589"/>
      <c r="F623" s="1589"/>
      <c r="G623" s="1589"/>
      <c r="H623" s="1589"/>
      <c r="I623" s="1589"/>
      <c r="J623" s="1341">
        <f t="shared" si="38"/>
        <v>0</v>
      </c>
      <c r="K623" s="1341">
        <f t="shared" si="39"/>
        <v>0</v>
      </c>
    </row>
    <row r="624" spans="1:11" ht="15" hidden="1" customHeight="1" outlineLevel="1">
      <c r="A624" s="1587" t="s">
        <v>1255</v>
      </c>
      <c r="B624" s="1594" t="s">
        <v>1238</v>
      </c>
      <c r="C624" s="1593" t="s">
        <v>1181</v>
      </c>
      <c r="D624" s="1595">
        <v>50000</v>
      </c>
      <c r="E624" s="1595">
        <v>1</v>
      </c>
      <c r="F624" s="1595">
        <v>1</v>
      </c>
      <c r="G624" s="1595">
        <v>1</v>
      </c>
      <c r="H624" s="1595">
        <v>1</v>
      </c>
      <c r="I624" s="1595">
        <v>1</v>
      </c>
      <c r="J624" s="1341">
        <f t="shared" si="38"/>
        <v>1</v>
      </c>
      <c r="K624" s="1341">
        <f t="shared" si="39"/>
        <v>1</v>
      </c>
    </row>
    <row r="625" spans="1:11" ht="15" hidden="1" customHeight="1" outlineLevel="1">
      <c r="A625" s="1587" t="s">
        <v>1255</v>
      </c>
      <c r="B625" s="1594"/>
      <c r="C625" s="1593" t="s">
        <v>1182</v>
      </c>
      <c r="D625" s="1595">
        <v>35000</v>
      </c>
      <c r="E625" s="1595"/>
      <c r="F625" s="1595"/>
      <c r="G625" s="1595"/>
      <c r="H625" s="1595"/>
      <c r="I625" s="1595"/>
      <c r="J625" s="1341">
        <f t="shared" si="38"/>
        <v>0</v>
      </c>
      <c r="K625" s="1341">
        <f t="shared" si="39"/>
        <v>0</v>
      </c>
    </row>
    <row r="626" spans="1:11" ht="15" hidden="1" customHeight="1" outlineLevel="1">
      <c r="A626" s="1587" t="s">
        <v>1255</v>
      </c>
      <c r="B626" s="1594"/>
      <c r="C626" s="1593" t="s">
        <v>1183</v>
      </c>
      <c r="D626" s="1595">
        <v>30000</v>
      </c>
      <c r="E626" s="1595">
        <v>1</v>
      </c>
      <c r="F626" s="1595">
        <v>1</v>
      </c>
      <c r="G626" s="1595">
        <v>1</v>
      </c>
      <c r="H626" s="1595">
        <v>1</v>
      </c>
      <c r="I626" s="1595">
        <v>1</v>
      </c>
      <c r="J626" s="1341">
        <f t="shared" si="38"/>
        <v>1</v>
      </c>
      <c r="K626" s="1341">
        <f t="shared" si="39"/>
        <v>1</v>
      </c>
    </row>
    <row r="627" spans="1:11" ht="15" hidden="1" customHeight="1" outlineLevel="1">
      <c r="A627" s="1587" t="s">
        <v>1255</v>
      </c>
      <c r="B627" s="1594"/>
      <c r="C627" s="1593" t="s">
        <v>1184</v>
      </c>
      <c r="D627" s="1595">
        <v>30000</v>
      </c>
      <c r="E627" s="1595">
        <v>1</v>
      </c>
      <c r="F627" s="1595">
        <v>1</v>
      </c>
      <c r="G627" s="1595">
        <v>1</v>
      </c>
      <c r="H627" s="1595">
        <v>1</v>
      </c>
      <c r="I627" s="1595">
        <v>1</v>
      </c>
      <c r="J627" s="1341">
        <f t="shared" si="38"/>
        <v>1</v>
      </c>
      <c r="K627" s="1341">
        <f t="shared" si="39"/>
        <v>1</v>
      </c>
    </row>
    <row r="628" spans="1:11" ht="15" hidden="1" customHeight="1" outlineLevel="1">
      <c r="A628" s="1587" t="s">
        <v>1255</v>
      </c>
      <c r="B628" s="1594"/>
      <c r="C628" s="1593" t="s">
        <v>1185</v>
      </c>
      <c r="D628" s="1595">
        <v>32000</v>
      </c>
      <c r="E628" s="1595">
        <v>1</v>
      </c>
      <c r="F628" s="1595">
        <v>1</v>
      </c>
      <c r="G628" s="1595">
        <v>1</v>
      </c>
      <c r="H628" s="1595">
        <v>1</v>
      </c>
      <c r="I628" s="1595">
        <v>1</v>
      </c>
      <c r="J628" s="1341">
        <f t="shared" si="38"/>
        <v>1</v>
      </c>
      <c r="K628" s="1341">
        <f t="shared" si="39"/>
        <v>1</v>
      </c>
    </row>
    <row r="629" spans="1:11" ht="15" hidden="1" customHeight="1" outlineLevel="1">
      <c r="A629" s="1587" t="s">
        <v>1255</v>
      </c>
      <c r="B629" s="1594"/>
      <c r="C629" s="1593" t="s">
        <v>1186</v>
      </c>
      <c r="D629" s="1595">
        <v>30000</v>
      </c>
      <c r="E629" s="1595">
        <v>2</v>
      </c>
      <c r="F629" s="1595">
        <v>2</v>
      </c>
      <c r="G629" s="1595">
        <v>2</v>
      </c>
      <c r="H629" s="1595">
        <v>2</v>
      </c>
      <c r="I629" s="1595">
        <v>2</v>
      </c>
      <c r="J629" s="1341">
        <f t="shared" si="38"/>
        <v>2</v>
      </c>
      <c r="K629" s="1341">
        <f t="shared" si="39"/>
        <v>2</v>
      </c>
    </row>
    <row r="630" spans="1:11" ht="15" hidden="1" customHeight="1" outlineLevel="1">
      <c r="A630" s="1587" t="s">
        <v>1255</v>
      </c>
      <c r="B630" s="1594"/>
      <c r="C630" s="1593" t="s">
        <v>1187</v>
      </c>
      <c r="D630" s="1595">
        <v>25000</v>
      </c>
      <c r="E630" s="1595">
        <v>2</v>
      </c>
      <c r="F630" s="1595">
        <v>2</v>
      </c>
      <c r="G630" s="1595">
        <v>2</v>
      </c>
      <c r="H630" s="1595">
        <v>2</v>
      </c>
      <c r="I630" s="1595">
        <v>2</v>
      </c>
      <c r="J630" s="1341">
        <f t="shared" si="38"/>
        <v>2</v>
      </c>
      <c r="K630" s="1341">
        <f t="shared" si="39"/>
        <v>2</v>
      </c>
    </row>
    <row r="631" spans="1:11" ht="15" hidden="1" customHeight="1" outlineLevel="1">
      <c r="A631" s="1587" t="s">
        <v>1255</v>
      </c>
      <c r="B631" s="1594"/>
      <c r="C631" s="1593" t="s">
        <v>1188</v>
      </c>
      <c r="D631" s="1595">
        <v>28000</v>
      </c>
      <c r="E631" s="1595">
        <v>2</v>
      </c>
      <c r="F631" s="1595">
        <v>2</v>
      </c>
      <c r="G631" s="1595">
        <v>2</v>
      </c>
      <c r="H631" s="1595">
        <v>2</v>
      </c>
      <c r="I631" s="1595">
        <v>2</v>
      </c>
      <c r="J631" s="1341">
        <f t="shared" si="38"/>
        <v>2</v>
      </c>
      <c r="K631" s="1341">
        <f t="shared" si="39"/>
        <v>2</v>
      </c>
    </row>
    <row r="632" spans="1:11" ht="15" hidden="1" customHeight="1" outlineLevel="1">
      <c r="A632" s="1587" t="s">
        <v>1255</v>
      </c>
      <c r="B632" s="1593"/>
      <c r="C632" s="1593"/>
      <c r="D632" s="1595">
        <v>0</v>
      </c>
      <c r="E632" s="1596"/>
      <c r="F632" s="1596"/>
      <c r="G632" s="1596"/>
      <c r="H632" s="1596"/>
      <c r="I632" s="1596"/>
      <c r="J632" s="1341">
        <f t="shared" si="38"/>
        <v>0</v>
      </c>
      <c r="K632" s="1341">
        <f t="shared" si="39"/>
        <v>0</v>
      </c>
    </row>
    <row r="633" spans="1:11" ht="15" hidden="1" customHeight="1" outlineLevel="1">
      <c r="A633" s="1587" t="s">
        <v>1255</v>
      </c>
      <c r="B633" s="1591" t="s">
        <v>1189</v>
      </c>
      <c r="C633" s="1591" t="s">
        <v>1181</v>
      </c>
      <c r="D633" s="1605">
        <v>45000</v>
      </c>
      <c r="E633" s="1592"/>
      <c r="F633" s="1592"/>
      <c r="G633" s="1592"/>
      <c r="H633" s="1592"/>
      <c r="I633" s="1592"/>
      <c r="J633" s="1341">
        <f t="shared" si="38"/>
        <v>0</v>
      </c>
      <c r="K633" s="1341">
        <f t="shared" si="39"/>
        <v>0</v>
      </c>
    </row>
    <row r="634" spans="1:11" ht="15" hidden="1" customHeight="1" outlineLevel="1">
      <c r="A634" s="1587" t="s">
        <v>1255</v>
      </c>
      <c r="B634" s="1591"/>
      <c r="C634" s="1591" t="s">
        <v>1182</v>
      </c>
      <c r="D634" s="1605">
        <v>35000</v>
      </c>
      <c r="E634" s="1592"/>
      <c r="F634" s="1592"/>
      <c r="G634" s="1592"/>
      <c r="H634" s="1592"/>
      <c r="I634" s="1592"/>
      <c r="J634" s="1341">
        <f t="shared" si="38"/>
        <v>0</v>
      </c>
      <c r="K634" s="1341">
        <f t="shared" si="39"/>
        <v>0</v>
      </c>
    </row>
    <row r="635" spans="1:11" ht="15" hidden="1" customHeight="1" outlineLevel="1">
      <c r="A635" s="1587" t="s">
        <v>1255</v>
      </c>
      <c r="B635" s="1591"/>
      <c r="C635" s="1591" t="s">
        <v>1190</v>
      </c>
      <c r="D635" s="1605">
        <v>30000</v>
      </c>
      <c r="E635" s="1592"/>
      <c r="F635" s="1592"/>
      <c r="G635" s="1592"/>
      <c r="H635" s="1592"/>
      <c r="I635" s="1592"/>
      <c r="J635" s="1341">
        <f t="shared" si="38"/>
        <v>0</v>
      </c>
      <c r="K635" s="1341">
        <f t="shared" si="39"/>
        <v>0</v>
      </c>
    </row>
    <row r="636" spans="1:11" ht="15" hidden="1" customHeight="1" outlineLevel="1">
      <c r="A636" s="1587" t="s">
        <v>1255</v>
      </c>
      <c r="B636" s="1591"/>
      <c r="C636" s="1591" t="s">
        <v>1191</v>
      </c>
      <c r="D636" s="1589">
        <v>35000</v>
      </c>
      <c r="E636" s="1592"/>
      <c r="F636" s="1592"/>
      <c r="G636" s="1592"/>
      <c r="H636" s="1592"/>
      <c r="I636" s="1592"/>
      <c r="J636" s="1341">
        <f t="shared" si="38"/>
        <v>0</v>
      </c>
      <c r="K636" s="1341">
        <f t="shared" si="39"/>
        <v>0</v>
      </c>
    </row>
    <row r="637" spans="1:11" ht="15" hidden="1" customHeight="1" outlineLevel="1">
      <c r="A637" s="1587" t="s">
        <v>1255</v>
      </c>
      <c r="B637" s="1591"/>
      <c r="C637" s="1591" t="s">
        <v>1187</v>
      </c>
      <c r="D637" s="1605">
        <v>25000</v>
      </c>
      <c r="E637" s="1592"/>
      <c r="F637" s="1592"/>
      <c r="G637" s="1592"/>
      <c r="H637" s="1592"/>
      <c r="I637" s="1592"/>
      <c r="J637" s="1341">
        <f t="shared" si="38"/>
        <v>0</v>
      </c>
      <c r="K637" s="1341">
        <f t="shared" si="39"/>
        <v>0</v>
      </c>
    </row>
    <row r="638" spans="1:11" ht="15" hidden="1" customHeight="1" outlineLevel="1">
      <c r="A638" s="1587" t="s">
        <v>1255</v>
      </c>
      <c r="B638" s="1591"/>
      <c r="C638" s="1591"/>
      <c r="D638" s="1589">
        <v>0</v>
      </c>
      <c r="E638" s="1592"/>
      <c r="F638" s="1592"/>
      <c r="G638" s="1592"/>
      <c r="H638" s="1592"/>
      <c r="I638" s="1592"/>
      <c r="J638" s="1341">
        <f t="shared" si="38"/>
        <v>0</v>
      </c>
      <c r="K638" s="1341">
        <f t="shared" si="39"/>
        <v>0</v>
      </c>
    </row>
    <row r="639" spans="1:11" ht="15" hidden="1" customHeight="1" outlineLevel="1">
      <c r="A639" s="1587" t="s">
        <v>1255</v>
      </c>
      <c r="B639" s="1604" t="s">
        <v>1192</v>
      </c>
      <c r="C639" s="1593" t="s">
        <v>1193</v>
      </c>
      <c r="D639" s="1595">
        <v>45000</v>
      </c>
      <c r="E639" s="1596"/>
      <c r="F639" s="1596"/>
      <c r="G639" s="1596"/>
      <c r="H639" s="1596"/>
      <c r="I639" s="1596"/>
      <c r="J639" s="1341">
        <f t="shared" si="38"/>
        <v>0</v>
      </c>
      <c r="K639" s="1341">
        <f t="shared" si="39"/>
        <v>0</v>
      </c>
    </row>
    <row r="640" spans="1:11" ht="15" hidden="1" customHeight="1" outlineLevel="1">
      <c r="A640" s="1587" t="s">
        <v>1255</v>
      </c>
      <c r="B640" s="1604"/>
      <c r="C640" s="1593" t="s">
        <v>1187</v>
      </c>
      <c r="D640" s="1606">
        <v>25000</v>
      </c>
      <c r="E640" s="1596"/>
      <c r="F640" s="1596"/>
      <c r="G640" s="1596"/>
      <c r="H640" s="1596"/>
      <c r="I640" s="1596"/>
      <c r="J640" s="1341">
        <f t="shared" si="38"/>
        <v>0</v>
      </c>
      <c r="K640" s="1341">
        <f t="shared" si="39"/>
        <v>0</v>
      </c>
    </row>
    <row r="641" spans="1:11" ht="15" hidden="1" customHeight="1" outlineLevel="1">
      <c r="A641" s="1587" t="s">
        <v>1255</v>
      </c>
      <c r="B641" s="1604"/>
      <c r="C641" s="1593" t="s">
        <v>1188</v>
      </c>
      <c r="D641" s="1606">
        <v>28000</v>
      </c>
      <c r="E641" s="1596"/>
      <c r="F641" s="1596"/>
      <c r="G641" s="1596"/>
      <c r="H641" s="1596"/>
      <c r="I641" s="1596"/>
      <c r="J641" s="1341">
        <f t="shared" si="38"/>
        <v>0</v>
      </c>
      <c r="K641" s="1341">
        <f t="shared" si="39"/>
        <v>0</v>
      </c>
    </row>
    <row r="642" spans="1:11" ht="15" hidden="1" customHeight="1" outlineLevel="1">
      <c r="A642" s="1587" t="s">
        <v>1255</v>
      </c>
      <c r="B642" s="1604"/>
      <c r="C642" s="1593" t="s">
        <v>1194</v>
      </c>
      <c r="D642" s="1606">
        <v>21000</v>
      </c>
      <c r="E642" s="1596"/>
      <c r="F642" s="1596"/>
      <c r="G642" s="1596"/>
      <c r="H642" s="1596"/>
      <c r="I642" s="1596"/>
      <c r="J642" s="1341">
        <f t="shared" si="38"/>
        <v>0</v>
      </c>
      <c r="K642" s="1341">
        <f t="shared" si="39"/>
        <v>0</v>
      </c>
    </row>
    <row r="643" spans="1:11" ht="15" hidden="1" customHeight="1" outlineLevel="1">
      <c r="A643" s="1587" t="s">
        <v>1255</v>
      </c>
      <c r="B643" s="1604"/>
      <c r="C643" s="1593"/>
      <c r="D643" s="1596">
        <v>0</v>
      </c>
      <c r="E643" s="1596"/>
      <c r="F643" s="1596"/>
      <c r="G643" s="1596"/>
      <c r="H643" s="1596"/>
      <c r="I643" s="1596"/>
      <c r="J643" s="1341">
        <f t="shared" si="38"/>
        <v>0</v>
      </c>
      <c r="K643" s="1341">
        <f t="shared" si="39"/>
        <v>0</v>
      </c>
    </row>
    <row r="644" spans="1:11" ht="15" hidden="1" customHeight="1" outlineLevel="1">
      <c r="A644" s="1598" t="s">
        <v>1256</v>
      </c>
      <c r="B644" s="1591" t="s">
        <v>19</v>
      </c>
      <c r="C644" s="1591" t="s">
        <v>1196</v>
      </c>
      <c r="D644" s="1589">
        <v>35000</v>
      </c>
      <c r="E644" s="1592"/>
      <c r="F644" s="1592"/>
      <c r="G644" s="1592"/>
      <c r="H644" s="1592"/>
      <c r="I644" s="1592"/>
      <c r="J644" s="1341">
        <f t="shared" si="38"/>
        <v>0</v>
      </c>
      <c r="K644" s="1341">
        <f t="shared" si="39"/>
        <v>0</v>
      </c>
    </row>
    <row r="645" spans="1:11" ht="15" hidden="1" customHeight="1" outlineLevel="1">
      <c r="A645" s="1598" t="s">
        <v>1256</v>
      </c>
      <c r="B645" s="1591"/>
      <c r="C645" s="1591" t="s">
        <v>1181</v>
      </c>
      <c r="D645" s="1605">
        <v>45000</v>
      </c>
      <c r="E645" s="1592"/>
      <c r="F645" s="1592"/>
      <c r="G645" s="1592"/>
      <c r="H645" s="1592"/>
      <c r="I645" s="1592"/>
      <c r="J645" s="1341">
        <f t="shared" si="38"/>
        <v>0</v>
      </c>
      <c r="K645" s="1341">
        <f t="shared" si="39"/>
        <v>0</v>
      </c>
    </row>
    <row r="646" spans="1:11" ht="15" hidden="1" customHeight="1" outlineLevel="1">
      <c r="A646" s="1598" t="s">
        <v>1256</v>
      </c>
      <c r="B646" s="1591"/>
      <c r="C646" s="1591" t="s">
        <v>1197</v>
      </c>
      <c r="D646" s="1605">
        <v>25000</v>
      </c>
      <c r="E646" s="1592"/>
      <c r="F646" s="1592"/>
      <c r="G646" s="1592"/>
      <c r="H646" s="1592"/>
      <c r="I646" s="1592"/>
      <c r="J646" s="1341">
        <f t="shared" si="38"/>
        <v>0</v>
      </c>
      <c r="K646" s="1341">
        <f t="shared" si="39"/>
        <v>0</v>
      </c>
    </row>
    <row r="647" spans="1:11" ht="15" hidden="1" customHeight="1" outlineLevel="1">
      <c r="A647" s="1598" t="s">
        <v>1256</v>
      </c>
      <c r="B647" s="1591"/>
      <c r="C647" s="1591" t="s">
        <v>1198</v>
      </c>
      <c r="D647" s="1589">
        <v>25000</v>
      </c>
      <c r="E647" s="1592"/>
      <c r="F647" s="1592"/>
      <c r="G647" s="1592"/>
      <c r="H647" s="1592"/>
      <c r="I647" s="1592"/>
      <c r="J647" s="1341">
        <f t="shared" si="38"/>
        <v>0</v>
      </c>
      <c r="K647" s="1341">
        <f t="shared" si="39"/>
        <v>0</v>
      </c>
    </row>
    <row r="648" spans="1:11" ht="15" hidden="1" customHeight="1" outlineLevel="1">
      <c r="A648" s="1598" t="s">
        <v>1256</v>
      </c>
      <c r="B648" s="1591"/>
      <c r="C648" s="1591" t="s">
        <v>1199</v>
      </c>
      <c r="D648" s="1589">
        <v>20000</v>
      </c>
      <c r="E648" s="1592"/>
      <c r="F648" s="1592"/>
      <c r="G648" s="1592"/>
      <c r="H648" s="1592"/>
      <c r="I648" s="1592"/>
      <c r="J648" s="1341">
        <f t="shared" si="38"/>
        <v>0</v>
      </c>
      <c r="K648" s="1341">
        <f t="shared" si="39"/>
        <v>0</v>
      </c>
    </row>
    <row r="649" spans="1:11" ht="15" hidden="1" customHeight="1" outlineLevel="1">
      <c r="A649" s="1598" t="s">
        <v>1256</v>
      </c>
      <c r="B649" s="1591"/>
      <c r="C649" s="1591" t="s">
        <v>1200</v>
      </c>
      <c r="D649" s="1605">
        <v>21000</v>
      </c>
      <c r="E649" s="1592"/>
      <c r="F649" s="1592"/>
      <c r="G649" s="1592"/>
      <c r="H649" s="1592"/>
      <c r="I649" s="1592"/>
      <c r="J649" s="1341">
        <f t="shared" si="38"/>
        <v>0</v>
      </c>
      <c r="K649" s="1341">
        <f t="shared" si="39"/>
        <v>0</v>
      </c>
    </row>
    <row r="650" spans="1:11" ht="15" hidden="1" customHeight="1" outlineLevel="1">
      <c r="A650" s="1598" t="s">
        <v>1256</v>
      </c>
      <c r="B650" s="1591"/>
      <c r="C650" s="1591"/>
      <c r="D650" s="1589">
        <v>0</v>
      </c>
      <c r="E650" s="1592"/>
      <c r="F650" s="1592"/>
      <c r="G650" s="1592"/>
      <c r="H650" s="1592"/>
      <c r="I650" s="1592"/>
      <c r="J650" s="1341">
        <f t="shared" si="38"/>
        <v>0</v>
      </c>
      <c r="K650" s="1341">
        <f t="shared" si="39"/>
        <v>0</v>
      </c>
    </row>
    <row r="651" spans="1:11" ht="15" hidden="1" customHeight="1" outlineLevel="1">
      <c r="A651" s="1587" t="s">
        <v>1257</v>
      </c>
      <c r="B651" s="1594" t="s">
        <v>1202</v>
      </c>
      <c r="C651" s="1594" t="s">
        <v>1203</v>
      </c>
      <c r="D651" s="1595">
        <v>35000</v>
      </c>
      <c r="E651" s="1603"/>
      <c r="F651" s="1595"/>
      <c r="G651" s="1595"/>
      <c r="H651" s="1595"/>
      <c r="I651" s="1595"/>
      <c r="J651" s="1341">
        <f t="shared" si="38"/>
        <v>0</v>
      </c>
      <c r="K651" s="1341">
        <f t="shared" si="39"/>
        <v>0</v>
      </c>
    </row>
    <row r="652" spans="1:11" ht="15" hidden="1" customHeight="1" outlineLevel="1">
      <c r="A652" s="1587" t="s">
        <v>1257</v>
      </c>
      <c r="B652" s="1594"/>
      <c r="C652" s="1594" t="s">
        <v>1204</v>
      </c>
      <c r="D652" s="1595">
        <v>28000</v>
      </c>
      <c r="E652" s="1603"/>
      <c r="F652" s="1595"/>
      <c r="G652" s="1595"/>
      <c r="H652" s="1595"/>
      <c r="I652" s="1595"/>
      <c r="J652" s="1341">
        <f t="shared" si="38"/>
        <v>0</v>
      </c>
      <c r="K652" s="1341">
        <f t="shared" si="39"/>
        <v>0</v>
      </c>
    </row>
    <row r="653" spans="1:11" ht="15" hidden="1" customHeight="1" outlineLevel="1">
      <c r="A653" s="1587" t="s">
        <v>1257</v>
      </c>
      <c r="B653" s="1594"/>
      <c r="C653" s="1594" t="s">
        <v>1205</v>
      </c>
      <c r="D653" s="1595">
        <v>35000</v>
      </c>
      <c r="E653" s="1603"/>
      <c r="F653" s="1595"/>
      <c r="G653" s="1595"/>
      <c r="H653" s="1595"/>
      <c r="I653" s="1595"/>
      <c r="J653" s="1341">
        <f t="shared" si="38"/>
        <v>0</v>
      </c>
      <c r="K653" s="1341">
        <f t="shared" si="39"/>
        <v>0</v>
      </c>
    </row>
    <row r="654" spans="1:11" ht="15" hidden="1" customHeight="1" outlineLevel="1">
      <c r="A654" s="1587" t="s">
        <v>1257</v>
      </c>
      <c r="B654" s="1594"/>
      <c r="C654" s="1594" t="s">
        <v>1206</v>
      </c>
      <c r="D654" s="1595">
        <v>25000</v>
      </c>
      <c r="E654" s="1603"/>
      <c r="F654" s="1595"/>
      <c r="G654" s="1595"/>
      <c r="H654" s="1595"/>
      <c r="I654" s="1595"/>
      <c r="J654" s="1341">
        <f t="shared" si="38"/>
        <v>0</v>
      </c>
      <c r="K654" s="1341">
        <f t="shared" si="39"/>
        <v>0</v>
      </c>
    </row>
    <row r="655" spans="1:11" ht="15" hidden="1" customHeight="1" outlineLevel="1">
      <c r="A655" s="1587" t="s">
        <v>1257</v>
      </c>
      <c r="B655" s="1594"/>
      <c r="C655" s="1594" t="s">
        <v>1207</v>
      </c>
      <c r="D655" s="1606">
        <v>21000</v>
      </c>
      <c r="E655" s="1603"/>
      <c r="F655" s="1595"/>
      <c r="G655" s="1595"/>
      <c r="H655" s="1595"/>
      <c r="I655" s="1595"/>
      <c r="J655" s="1341">
        <f t="shared" si="38"/>
        <v>0</v>
      </c>
      <c r="K655" s="1341">
        <f t="shared" si="39"/>
        <v>0</v>
      </c>
    </row>
    <row r="656" spans="1:11" ht="15" hidden="1" customHeight="1" outlineLevel="1">
      <c r="A656" s="1587" t="s">
        <v>1257</v>
      </c>
      <c r="B656" s="1593"/>
      <c r="C656" s="1593"/>
      <c r="D656" s="1595">
        <v>0</v>
      </c>
      <c r="E656" s="1596"/>
      <c r="F656" s="1596"/>
      <c r="G656" s="1596"/>
      <c r="H656" s="1596"/>
      <c r="I656" s="1596"/>
      <c r="J656" s="1341">
        <f t="shared" si="38"/>
        <v>0</v>
      </c>
      <c r="K656" s="1341">
        <f t="shared" si="39"/>
        <v>0</v>
      </c>
    </row>
    <row r="657" spans="1:11" ht="15" hidden="1" customHeight="1" outlineLevel="1">
      <c r="A657" s="1598" t="s">
        <v>1258</v>
      </c>
      <c r="B657" s="1588" t="s">
        <v>1209</v>
      </c>
      <c r="C657" s="1588" t="s">
        <v>1210</v>
      </c>
      <c r="D657" s="1589">
        <v>90000</v>
      </c>
      <c r="E657" s="1589"/>
      <c r="F657" s="1589"/>
      <c r="G657" s="1589"/>
      <c r="H657" s="1589"/>
      <c r="I657" s="1589"/>
      <c r="J657" s="1341">
        <f t="shared" si="38"/>
        <v>0</v>
      </c>
      <c r="K657" s="1341">
        <f t="shared" si="39"/>
        <v>0</v>
      </c>
    </row>
    <row r="658" spans="1:11" ht="15" hidden="1" customHeight="1" outlineLevel="1">
      <c r="A658" s="1598" t="s">
        <v>1258</v>
      </c>
      <c r="B658" s="1588"/>
      <c r="C658" s="1588" t="s">
        <v>1211</v>
      </c>
      <c r="D658" s="1589">
        <v>70000</v>
      </c>
      <c r="E658" s="1589"/>
      <c r="F658" s="1589"/>
      <c r="G658" s="1589"/>
      <c r="H658" s="1589"/>
      <c r="I658" s="1589"/>
      <c r="J658" s="1341">
        <f t="shared" si="38"/>
        <v>0</v>
      </c>
      <c r="K658" s="1341">
        <f t="shared" si="39"/>
        <v>0</v>
      </c>
    </row>
    <row r="659" spans="1:11" ht="15" hidden="1" customHeight="1" outlineLevel="1">
      <c r="A659" s="1598" t="s">
        <v>1258</v>
      </c>
      <c r="B659" s="1588"/>
      <c r="C659" s="1588" t="s">
        <v>1212</v>
      </c>
      <c r="D659" s="1589">
        <v>45000</v>
      </c>
      <c r="E659" s="1589"/>
      <c r="F659" s="1589"/>
      <c r="G659" s="1589"/>
      <c r="H659" s="1589"/>
      <c r="I659" s="1589"/>
      <c r="J659" s="1341">
        <f t="shared" si="38"/>
        <v>0</v>
      </c>
      <c r="K659" s="1341">
        <f t="shared" si="39"/>
        <v>0</v>
      </c>
    </row>
    <row r="660" spans="1:11" ht="15" hidden="1" customHeight="1" outlineLevel="1">
      <c r="A660" s="1598" t="s">
        <v>1258</v>
      </c>
      <c r="B660" s="1588"/>
      <c r="C660" s="1588" t="s">
        <v>1213</v>
      </c>
      <c r="D660" s="1589">
        <v>35000</v>
      </c>
      <c r="E660" s="1589"/>
      <c r="F660" s="1589"/>
      <c r="G660" s="1589"/>
      <c r="H660" s="1589"/>
      <c r="I660" s="1589"/>
      <c r="J660" s="1341">
        <f t="shared" si="38"/>
        <v>0</v>
      </c>
      <c r="K660" s="1341">
        <f t="shared" si="39"/>
        <v>0</v>
      </c>
    </row>
    <row r="661" spans="1:11" ht="15" hidden="1" customHeight="1" outlineLevel="1">
      <c r="A661" s="1598" t="s">
        <v>1258</v>
      </c>
      <c r="B661" s="1588"/>
      <c r="C661" s="1588" t="s">
        <v>1214</v>
      </c>
      <c r="D661" s="1589">
        <v>30000</v>
      </c>
      <c r="E661" s="1589"/>
      <c r="F661" s="1589"/>
      <c r="G661" s="1589"/>
      <c r="H661" s="1589"/>
      <c r="I661" s="1589"/>
      <c r="J661" s="1341">
        <f t="shared" si="38"/>
        <v>0</v>
      </c>
      <c r="K661" s="1341">
        <f t="shared" si="39"/>
        <v>0</v>
      </c>
    </row>
    <row r="662" spans="1:11" ht="15" hidden="1" customHeight="1" outlineLevel="1">
      <c r="A662" s="1598" t="s">
        <v>1258</v>
      </c>
      <c r="B662" s="1588"/>
      <c r="C662" s="1588" t="s">
        <v>1215</v>
      </c>
      <c r="D662" s="1605">
        <v>21000</v>
      </c>
      <c r="E662" s="1589"/>
      <c r="F662" s="1589"/>
      <c r="G662" s="1589"/>
      <c r="H662" s="1589"/>
      <c r="I662" s="1589"/>
      <c r="J662" s="1341">
        <f t="shared" si="38"/>
        <v>0</v>
      </c>
      <c r="K662" s="1341">
        <f t="shared" si="39"/>
        <v>0</v>
      </c>
    </row>
    <row r="663" spans="1:11" ht="15" hidden="1" customHeight="1" outlineLevel="1">
      <c r="A663" s="1598" t="s">
        <v>1258</v>
      </c>
      <c r="B663" s="1591"/>
      <c r="C663" s="1591"/>
      <c r="D663" s="1589">
        <v>0</v>
      </c>
      <c r="E663" s="1592"/>
      <c r="F663" s="1592"/>
      <c r="G663" s="1592"/>
      <c r="H663" s="1592"/>
      <c r="I663" s="1592"/>
      <c r="J663" s="1341">
        <f t="shared" si="38"/>
        <v>0</v>
      </c>
      <c r="K663" s="1341">
        <f t="shared" si="39"/>
        <v>0</v>
      </c>
    </row>
    <row r="664" spans="1:11" ht="15" hidden="1" customHeight="1" outlineLevel="1">
      <c r="A664" s="1587" t="s">
        <v>1254</v>
      </c>
      <c r="B664" s="1594" t="s">
        <v>1216</v>
      </c>
      <c r="C664" s="1594" t="s">
        <v>1217</v>
      </c>
      <c r="D664" s="1595">
        <v>35000</v>
      </c>
      <c r="E664" s="1595"/>
      <c r="F664" s="1595"/>
      <c r="G664" s="1595"/>
      <c r="H664" s="1595"/>
      <c r="I664" s="1595"/>
      <c r="J664" s="1341">
        <f t="shared" si="38"/>
        <v>0</v>
      </c>
      <c r="K664" s="1341">
        <f t="shared" si="39"/>
        <v>0</v>
      </c>
    </row>
    <row r="665" spans="1:11" ht="15" hidden="1" customHeight="1" outlineLevel="1">
      <c r="A665" s="1587" t="s">
        <v>1254</v>
      </c>
      <c r="B665" s="1594"/>
      <c r="C665" s="1594" t="s">
        <v>1218</v>
      </c>
      <c r="D665" s="1595">
        <v>25000</v>
      </c>
      <c r="E665" s="1595"/>
      <c r="F665" s="1595"/>
      <c r="G665" s="1595"/>
      <c r="H665" s="1595"/>
      <c r="I665" s="1595"/>
      <c r="J665" s="1341">
        <f t="shared" si="38"/>
        <v>0</v>
      </c>
      <c r="K665" s="1341">
        <f t="shared" si="39"/>
        <v>0</v>
      </c>
    </row>
    <row r="666" spans="1:11" ht="15" hidden="1" customHeight="1" outlineLevel="1">
      <c r="A666" s="1587" t="s">
        <v>1254</v>
      </c>
      <c r="B666" s="1594"/>
      <c r="C666" s="1594"/>
      <c r="D666" s="1595">
        <v>0</v>
      </c>
      <c r="E666" s="1595"/>
      <c r="F666" s="1595"/>
      <c r="G666" s="1595"/>
      <c r="H666" s="1595"/>
      <c r="I666" s="1595"/>
      <c r="J666" s="1341">
        <f t="shared" si="38"/>
        <v>0</v>
      </c>
      <c r="K666" s="1341">
        <f t="shared" si="39"/>
        <v>0</v>
      </c>
    </row>
    <row r="667" spans="1:11" ht="15" hidden="1" customHeight="1" outlineLevel="1">
      <c r="A667" s="1598" t="s">
        <v>1259</v>
      </c>
      <c r="B667" s="1588" t="s">
        <v>1220</v>
      </c>
      <c r="C667" s="1588" t="s">
        <v>1221</v>
      </c>
      <c r="D667" s="1589">
        <v>30000</v>
      </c>
      <c r="E667" s="1589"/>
      <c r="F667" s="1589"/>
      <c r="G667" s="1589"/>
      <c r="H667" s="1589"/>
      <c r="I667" s="1589"/>
      <c r="J667" s="1341">
        <f t="shared" si="38"/>
        <v>0</v>
      </c>
      <c r="K667" s="1341">
        <f t="shared" si="39"/>
        <v>0</v>
      </c>
    </row>
    <row r="668" spans="1:11" ht="15" hidden="1" customHeight="1" outlineLevel="1">
      <c r="A668" s="1598" t="s">
        <v>1259</v>
      </c>
      <c r="B668" s="1588"/>
      <c r="C668" s="1588" t="s">
        <v>1158</v>
      </c>
      <c r="D668" s="1589">
        <v>22000</v>
      </c>
      <c r="E668" s="1589">
        <v>2</v>
      </c>
      <c r="F668" s="1589">
        <v>2</v>
      </c>
      <c r="G668" s="1589">
        <v>2</v>
      </c>
      <c r="H668" s="1589">
        <v>2</v>
      </c>
      <c r="I668" s="1589">
        <v>2</v>
      </c>
      <c r="J668" s="1341">
        <f t="shared" si="38"/>
        <v>2</v>
      </c>
      <c r="K668" s="1341">
        <f t="shared" si="39"/>
        <v>2</v>
      </c>
    </row>
    <row r="669" spans="1:11" ht="15" hidden="1" customHeight="1" outlineLevel="1">
      <c r="A669" s="1598" t="s">
        <v>1259</v>
      </c>
      <c r="B669" s="1588"/>
      <c r="C669" s="1588"/>
      <c r="D669" s="1589">
        <v>22000</v>
      </c>
      <c r="E669" s="1589"/>
      <c r="F669" s="1589"/>
      <c r="G669" s="1589"/>
      <c r="H669" s="1589"/>
      <c r="I669" s="1589"/>
      <c r="J669" s="1341">
        <f t="shared" si="38"/>
        <v>0</v>
      </c>
      <c r="K669" s="1341">
        <f t="shared" si="39"/>
        <v>0</v>
      </c>
    </row>
    <row r="670" spans="1:11" ht="15" hidden="1" customHeight="1" outlineLevel="1">
      <c r="A670" s="1598" t="s">
        <v>1259</v>
      </c>
      <c r="B670" s="1588"/>
      <c r="C670" s="1588"/>
      <c r="D670" s="1589">
        <v>0</v>
      </c>
      <c r="E670" s="1589"/>
      <c r="F670" s="1589"/>
      <c r="G670" s="1589"/>
      <c r="H670" s="1589"/>
      <c r="I670" s="1589"/>
      <c r="J670" s="1341">
        <f t="shared" si="38"/>
        <v>0</v>
      </c>
      <c r="K670" s="1341">
        <f t="shared" si="39"/>
        <v>0</v>
      </c>
    </row>
    <row r="671" spans="1:11" ht="15" customHeight="1" collapsed="1">
      <c r="A671" s="1566"/>
      <c r="B671" s="1348"/>
      <c r="C671" s="1348" t="s">
        <v>1222</v>
      </c>
      <c r="D671" s="1608"/>
      <c r="E671" s="1890"/>
      <c r="F671" s="1890"/>
      <c r="G671" s="1890"/>
      <c r="H671" s="1890"/>
      <c r="I671" s="1890"/>
      <c r="J671" s="1890"/>
      <c r="K671" s="1890"/>
    </row>
    <row r="672" spans="1:11" ht="15" customHeight="1">
      <c r="A672" s="1566"/>
      <c r="B672" s="20"/>
      <c r="C672" s="20"/>
      <c r="D672" s="1610"/>
      <c r="E672" s="20"/>
      <c r="F672" s="20"/>
      <c r="G672" s="20"/>
      <c r="H672" s="20"/>
      <c r="I672" s="20"/>
      <c r="J672" s="20"/>
      <c r="K672" s="20"/>
    </row>
    <row r="673" spans="1:11" ht="15" customHeight="1">
      <c r="A673" s="1566"/>
      <c r="B673" s="20"/>
      <c r="C673" s="20"/>
      <c r="D673" s="1610"/>
      <c r="E673" s="20"/>
      <c r="F673" s="20"/>
      <c r="G673" s="20"/>
      <c r="H673" s="20"/>
      <c r="I673" s="20"/>
      <c r="J673" s="20"/>
      <c r="K673" s="20"/>
    </row>
    <row r="674" spans="1:11" ht="15.75" customHeight="1">
      <c r="A674" s="1566"/>
      <c r="B674" s="1580" t="str">
        <f>Объекты!$C$9</f>
        <v>Хостел в составе МФЦ</v>
      </c>
      <c r="C674" s="1571"/>
      <c r="D674" s="1581">
        <f>YEAR(Объекты!$K$9)</f>
        <v>2025</v>
      </c>
      <c r="E674" s="1571"/>
      <c r="F674" s="1571"/>
      <c r="G674" s="1571"/>
      <c r="H674" s="1571"/>
      <c r="I674" s="1571"/>
      <c r="J674" s="1571"/>
      <c r="K674" s="1571"/>
    </row>
    <row r="675" spans="1:11" ht="15.75" customHeight="1">
      <c r="A675" s="1566"/>
      <c r="B675" s="1582"/>
      <c r="C675" s="1583" t="s">
        <v>1098</v>
      </c>
      <c r="D675" s="1617"/>
      <c r="E675" s="1585">
        <f>Объекты!$F$9</f>
        <v>101</v>
      </c>
      <c r="F675" s="1616">
        <f t="shared" ref="F675:K675" si="40">E675</f>
        <v>101</v>
      </c>
      <c r="G675" s="1616">
        <f t="shared" si="40"/>
        <v>101</v>
      </c>
      <c r="H675" s="1616">
        <f t="shared" si="40"/>
        <v>101</v>
      </c>
      <c r="I675" s="1616">
        <f t="shared" si="40"/>
        <v>101</v>
      </c>
      <c r="J675" s="1616">
        <f t="shared" si="40"/>
        <v>101</v>
      </c>
      <c r="K675" s="1616">
        <f t="shared" si="40"/>
        <v>101</v>
      </c>
    </row>
    <row r="676" spans="1:11" ht="15.75" customHeight="1">
      <c r="A676" s="1566"/>
      <c r="B676" s="1582"/>
      <c r="C676" s="1583" t="s">
        <v>14</v>
      </c>
      <c r="D676" s="1584"/>
      <c r="E676" s="1613">
        <f>IFERROR(LOOKUP(E$2,Хостел_PL!$D$3:$T$3,Хостел_PL!$D$10:$T$10),"не введён")</f>
        <v>0.38791735373093988</v>
      </c>
      <c r="F676" s="1613">
        <f>IFERROR(LOOKUP(F$2,Хостел_PL!$D$3:$T$3,Хостел_PL!$D$10:$T$10),"не введён")</f>
        <v>0.57071500893388927</v>
      </c>
      <c r="G676" s="1613">
        <f>IFERROR(LOOKUP(G$2,Хостел_PL!$D$3:$T$3,Хостел_PL!$D$10:$T$10),"не введён")</f>
        <v>0.60428648004764751</v>
      </c>
      <c r="H676" s="1613">
        <f>IFERROR(LOOKUP(H$2,Хостел_PL!$D$3:$T$3,Хостел_PL!$D$10:$T$10),"не введён")</f>
        <v>0.63785795116140565</v>
      </c>
      <c r="I676" s="1613">
        <f>IFERROR(LOOKUP(I$2,Хостел_PL!$D$3:$T$3,Хостел_PL!$D$10:$T$10),"не введён")</f>
        <v>0.67142942227516389</v>
      </c>
      <c r="J676" s="1613">
        <f>IFERROR(LOOKUP(J$2,Хостел_PL!$D$3:$T$3,Хостел_PL!$D$10:$T$10),"не введён")</f>
        <v>0.67142942227516389</v>
      </c>
      <c r="K676" s="1613">
        <f>IFERROR(LOOKUP(K$2,Хостел_PL!$D$3:$T$3,Хостел_PL!$D$10:$T$10),"не введён")</f>
        <v>0.67142942227516389</v>
      </c>
    </row>
    <row r="677" spans="1:11" ht="15.75" customHeight="1">
      <c r="A677" s="1566"/>
      <c r="B677" s="1582"/>
      <c r="C677" s="1583" t="s">
        <v>1099</v>
      </c>
      <c r="D677" s="1584"/>
      <c r="E677" s="1585">
        <f>IFERROR(E675/E733,"не введён")</f>
        <v>20.2</v>
      </c>
      <c r="F677" s="1585">
        <f t="shared" ref="F677:K677" si="41">IFERROR(F675/F733,"не введён")</f>
        <v>20.2</v>
      </c>
      <c r="G677" s="1585">
        <f t="shared" si="41"/>
        <v>20.2</v>
      </c>
      <c r="H677" s="1585">
        <f t="shared" si="41"/>
        <v>20.2</v>
      </c>
      <c r="I677" s="1585">
        <f t="shared" si="41"/>
        <v>20.2</v>
      </c>
      <c r="J677" s="1585">
        <f t="shared" si="41"/>
        <v>20.2</v>
      </c>
      <c r="K677" s="1585">
        <f t="shared" si="41"/>
        <v>20.2</v>
      </c>
    </row>
    <row r="678" spans="1:11" ht="15" hidden="1" customHeight="1" outlineLevel="1">
      <c r="A678" s="1587" t="s">
        <v>1260</v>
      </c>
      <c r="B678" s="1588" t="s">
        <v>1101</v>
      </c>
      <c r="C678" s="1588" t="s">
        <v>1102</v>
      </c>
      <c r="D678" s="1589">
        <v>120000</v>
      </c>
      <c r="E678" s="1589">
        <v>1</v>
      </c>
      <c r="F678" s="1589">
        <v>1</v>
      </c>
      <c r="G678" s="1589">
        <v>1</v>
      </c>
      <c r="H678" s="1589">
        <v>1</v>
      </c>
      <c r="I678" s="1589">
        <v>1</v>
      </c>
      <c r="J678" s="1341">
        <f t="shared" ref="J678:J741" si="42">I678</f>
        <v>1</v>
      </c>
      <c r="K678" s="1341">
        <f t="shared" ref="K678:K741" si="43">J678</f>
        <v>1</v>
      </c>
    </row>
    <row r="679" spans="1:11" ht="15" hidden="1" customHeight="1" outlineLevel="1">
      <c r="A679" s="1587" t="s">
        <v>1260</v>
      </c>
      <c r="B679" s="1588"/>
      <c r="C679" s="1588" t="s">
        <v>1103</v>
      </c>
      <c r="D679" s="1589">
        <v>100000</v>
      </c>
      <c r="E679" s="1589">
        <v>1</v>
      </c>
      <c r="F679" s="1589">
        <v>1</v>
      </c>
      <c r="G679" s="1589">
        <v>1</v>
      </c>
      <c r="H679" s="1589">
        <v>1</v>
      </c>
      <c r="I679" s="1589">
        <v>1</v>
      </c>
      <c r="J679" s="1341">
        <f t="shared" si="42"/>
        <v>1</v>
      </c>
      <c r="K679" s="1341">
        <f t="shared" si="43"/>
        <v>1</v>
      </c>
    </row>
    <row r="680" spans="1:11" ht="15" hidden="1" customHeight="1" outlineLevel="1">
      <c r="A680" s="1587" t="s">
        <v>1260</v>
      </c>
      <c r="B680" s="1588"/>
      <c r="C680" s="1590" t="s">
        <v>1104</v>
      </c>
      <c r="D680" s="1589">
        <v>40000</v>
      </c>
      <c r="E680" s="1589">
        <v>1</v>
      </c>
      <c r="F680" s="1589">
        <v>1</v>
      </c>
      <c r="G680" s="1589">
        <v>1</v>
      </c>
      <c r="H680" s="1589">
        <v>1</v>
      </c>
      <c r="I680" s="1589">
        <v>1</v>
      </c>
      <c r="J680" s="1341">
        <f t="shared" si="42"/>
        <v>1</v>
      </c>
      <c r="K680" s="1341">
        <f t="shared" si="43"/>
        <v>1</v>
      </c>
    </row>
    <row r="681" spans="1:11" ht="15" hidden="1" customHeight="1" outlineLevel="1">
      <c r="A681" s="1587" t="s">
        <v>1260</v>
      </c>
      <c r="B681" s="1588"/>
      <c r="C681" s="1588" t="s">
        <v>1105</v>
      </c>
      <c r="D681" s="1589">
        <v>45000</v>
      </c>
      <c r="E681" s="1589">
        <v>1</v>
      </c>
      <c r="F681" s="1589">
        <v>1</v>
      </c>
      <c r="G681" s="1589">
        <v>1</v>
      </c>
      <c r="H681" s="1589">
        <v>1</v>
      </c>
      <c r="I681" s="1589">
        <v>1</v>
      </c>
      <c r="J681" s="1341">
        <f t="shared" si="42"/>
        <v>1</v>
      </c>
      <c r="K681" s="1341">
        <f t="shared" si="43"/>
        <v>1</v>
      </c>
    </row>
    <row r="682" spans="1:11" ht="15" hidden="1" customHeight="1" outlineLevel="1">
      <c r="A682" s="1587" t="s">
        <v>1260</v>
      </c>
      <c r="B682" s="1588"/>
      <c r="C682" s="1588" t="s">
        <v>1106</v>
      </c>
      <c r="D682" s="1589">
        <v>32000</v>
      </c>
      <c r="E682" s="1589">
        <v>1</v>
      </c>
      <c r="F682" s="1589">
        <v>1</v>
      </c>
      <c r="G682" s="1589">
        <v>1</v>
      </c>
      <c r="H682" s="1589">
        <v>1</v>
      </c>
      <c r="I682" s="1589">
        <v>1</v>
      </c>
      <c r="J682" s="1341">
        <f t="shared" si="42"/>
        <v>1</v>
      </c>
      <c r="K682" s="1341">
        <f t="shared" si="43"/>
        <v>1</v>
      </c>
    </row>
    <row r="683" spans="1:11" ht="15" hidden="1" customHeight="1" outlineLevel="1">
      <c r="A683" s="1587" t="s">
        <v>1260</v>
      </c>
      <c r="B683" s="1588"/>
      <c r="C683" s="1588" t="s">
        <v>36</v>
      </c>
      <c r="D683" s="1589">
        <v>32000</v>
      </c>
      <c r="E683" s="1589">
        <v>1</v>
      </c>
      <c r="F683" s="1589">
        <v>1</v>
      </c>
      <c r="G683" s="1589">
        <v>1</v>
      </c>
      <c r="H683" s="1589">
        <v>1</v>
      </c>
      <c r="I683" s="1589">
        <v>1</v>
      </c>
      <c r="J683" s="1341">
        <f t="shared" si="42"/>
        <v>1</v>
      </c>
      <c r="K683" s="1341">
        <f t="shared" si="43"/>
        <v>1</v>
      </c>
    </row>
    <row r="684" spans="1:11" ht="15" hidden="1" customHeight="1" outlineLevel="1">
      <c r="A684" s="1587" t="s">
        <v>1260</v>
      </c>
      <c r="B684" s="1591"/>
      <c r="C684" s="1588" t="s">
        <v>42</v>
      </c>
      <c r="D684" s="1589">
        <v>45000</v>
      </c>
      <c r="E684" s="1592">
        <v>1</v>
      </c>
      <c r="F684" s="1592">
        <v>1</v>
      </c>
      <c r="G684" s="1592">
        <v>1</v>
      </c>
      <c r="H684" s="1592">
        <v>1</v>
      </c>
      <c r="I684" s="1592">
        <v>1</v>
      </c>
      <c r="J684" s="1341">
        <f t="shared" si="42"/>
        <v>1</v>
      </c>
      <c r="K684" s="1341">
        <f t="shared" si="43"/>
        <v>1</v>
      </c>
    </row>
    <row r="685" spans="1:11" ht="15" hidden="1" customHeight="1" outlineLevel="1">
      <c r="A685" s="1587" t="s">
        <v>1260</v>
      </c>
      <c r="B685" s="1591"/>
      <c r="C685" s="1588" t="s">
        <v>1107</v>
      </c>
      <c r="D685" s="1589">
        <v>40000</v>
      </c>
      <c r="E685" s="1592">
        <v>1</v>
      </c>
      <c r="F685" s="1592">
        <v>1</v>
      </c>
      <c r="G685" s="1592">
        <v>1</v>
      </c>
      <c r="H685" s="1592">
        <v>1</v>
      </c>
      <c r="I685" s="1592">
        <v>1</v>
      </c>
      <c r="J685" s="1341">
        <f t="shared" si="42"/>
        <v>1</v>
      </c>
      <c r="K685" s="1341">
        <f t="shared" si="43"/>
        <v>1</v>
      </c>
    </row>
    <row r="686" spans="1:11" ht="15" hidden="1" customHeight="1" outlineLevel="1">
      <c r="A686" s="1587" t="s">
        <v>1260</v>
      </c>
      <c r="B686" s="1593" t="s">
        <v>1108</v>
      </c>
      <c r="C686" s="1594" t="s">
        <v>1109</v>
      </c>
      <c r="D686" s="1595">
        <v>65000</v>
      </c>
      <c r="E686" s="1607">
        <v>1</v>
      </c>
      <c r="F686" s="1607">
        <v>1</v>
      </c>
      <c r="G686" s="1607">
        <v>1</v>
      </c>
      <c r="H686" s="1607">
        <v>1</v>
      </c>
      <c r="I686" s="1607">
        <v>1</v>
      </c>
      <c r="J686" s="1341">
        <f t="shared" si="42"/>
        <v>1</v>
      </c>
      <c r="K686" s="1341">
        <f t="shared" si="43"/>
        <v>1</v>
      </c>
    </row>
    <row r="687" spans="1:11" ht="15" hidden="1" customHeight="1" outlineLevel="1">
      <c r="A687" s="1587" t="s">
        <v>1260</v>
      </c>
      <c r="B687" s="1593"/>
      <c r="C687" s="1594" t="s">
        <v>1110</v>
      </c>
      <c r="D687" s="1595">
        <v>45000</v>
      </c>
      <c r="E687" s="1607">
        <v>1</v>
      </c>
      <c r="F687" s="1607">
        <v>1</v>
      </c>
      <c r="G687" s="1607">
        <v>1</v>
      </c>
      <c r="H687" s="1607">
        <v>1</v>
      </c>
      <c r="I687" s="1607">
        <v>1</v>
      </c>
      <c r="J687" s="1341">
        <f t="shared" si="42"/>
        <v>1</v>
      </c>
      <c r="K687" s="1341">
        <f t="shared" si="43"/>
        <v>1</v>
      </c>
    </row>
    <row r="688" spans="1:11" ht="15" hidden="1" customHeight="1" outlineLevel="1">
      <c r="A688" s="1587" t="s">
        <v>1260</v>
      </c>
      <c r="B688" s="1593"/>
      <c r="C688" s="1594" t="s">
        <v>1111</v>
      </c>
      <c r="D688" s="1595">
        <v>90000</v>
      </c>
      <c r="E688" s="1607">
        <v>1</v>
      </c>
      <c r="F688" s="1607">
        <v>1</v>
      </c>
      <c r="G688" s="1607">
        <v>1</v>
      </c>
      <c r="H688" s="1607">
        <v>1</v>
      </c>
      <c r="I688" s="1607">
        <v>1</v>
      </c>
      <c r="J688" s="1341">
        <f t="shared" si="42"/>
        <v>1</v>
      </c>
      <c r="K688" s="1341">
        <f t="shared" si="43"/>
        <v>1</v>
      </c>
    </row>
    <row r="689" spans="1:11" ht="15" hidden="1" customHeight="1" outlineLevel="1">
      <c r="A689" s="1587" t="s">
        <v>1260</v>
      </c>
      <c r="B689" s="1593"/>
      <c r="C689" s="1597" t="s">
        <v>1112</v>
      </c>
      <c r="D689" s="1595">
        <v>38000</v>
      </c>
      <c r="E689" s="1607">
        <v>1</v>
      </c>
      <c r="F689" s="1607">
        <v>1</v>
      </c>
      <c r="G689" s="1607">
        <v>1</v>
      </c>
      <c r="H689" s="1607">
        <v>1</v>
      </c>
      <c r="I689" s="1607">
        <v>1</v>
      </c>
      <c r="J689" s="1341">
        <f t="shared" si="42"/>
        <v>1</v>
      </c>
      <c r="K689" s="1341">
        <f t="shared" si="43"/>
        <v>1</v>
      </c>
    </row>
    <row r="690" spans="1:11" ht="15" hidden="1" customHeight="1" outlineLevel="1">
      <c r="A690" s="1587" t="s">
        <v>1260</v>
      </c>
      <c r="B690" s="1593"/>
      <c r="C690" s="1597" t="s">
        <v>1113</v>
      </c>
      <c r="D690" s="1595">
        <v>38000</v>
      </c>
      <c r="E690" s="1607">
        <v>1</v>
      </c>
      <c r="F690" s="1607">
        <v>1</v>
      </c>
      <c r="G690" s="1607">
        <v>1</v>
      </c>
      <c r="H690" s="1607">
        <v>1</v>
      </c>
      <c r="I690" s="1607">
        <v>1</v>
      </c>
      <c r="J690" s="1341">
        <f t="shared" si="42"/>
        <v>1</v>
      </c>
      <c r="K690" s="1341">
        <f t="shared" si="43"/>
        <v>1</v>
      </c>
    </row>
    <row r="691" spans="1:11" ht="15" hidden="1" customHeight="1" outlineLevel="1">
      <c r="A691" s="1587" t="s">
        <v>1260</v>
      </c>
      <c r="B691" s="1593"/>
      <c r="C691" s="1597" t="s">
        <v>1114</v>
      </c>
      <c r="D691" s="1595">
        <v>38000</v>
      </c>
      <c r="E691" s="1607">
        <v>1</v>
      </c>
      <c r="F691" s="1607">
        <v>1</v>
      </c>
      <c r="G691" s="1607">
        <v>1</v>
      </c>
      <c r="H691" s="1607">
        <v>1</v>
      </c>
      <c r="I691" s="1607">
        <v>1</v>
      </c>
      <c r="J691" s="1341">
        <f t="shared" si="42"/>
        <v>1</v>
      </c>
      <c r="K691" s="1341">
        <f t="shared" si="43"/>
        <v>1</v>
      </c>
    </row>
    <row r="692" spans="1:11" ht="15" hidden="1" customHeight="1" outlineLevel="1">
      <c r="A692" s="1587" t="s">
        <v>1260</v>
      </c>
      <c r="B692" s="1593"/>
      <c r="C692" s="1597" t="s">
        <v>1115</v>
      </c>
      <c r="D692" s="1595">
        <v>38000</v>
      </c>
      <c r="E692" s="1607">
        <v>1</v>
      </c>
      <c r="F692" s="1607">
        <v>1</v>
      </c>
      <c r="G692" s="1607">
        <v>1</v>
      </c>
      <c r="H692" s="1607">
        <v>1</v>
      </c>
      <c r="I692" s="1607">
        <v>1</v>
      </c>
      <c r="J692" s="1341">
        <f t="shared" si="42"/>
        <v>1</v>
      </c>
      <c r="K692" s="1341">
        <f t="shared" si="43"/>
        <v>1</v>
      </c>
    </row>
    <row r="693" spans="1:11" ht="15" hidden="1" customHeight="1" outlineLevel="1">
      <c r="A693" s="1587" t="s">
        <v>1260</v>
      </c>
      <c r="B693" s="1593"/>
      <c r="C693" s="1597" t="s">
        <v>1116</v>
      </c>
      <c r="D693" s="1595">
        <v>32000</v>
      </c>
      <c r="E693" s="1607">
        <v>1</v>
      </c>
      <c r="F693" s="1607">
        <v>1</v>
      </c>
      <c r="G693" s="1607">
        <v>1</v>
      </c>
      <c r="H693" s="1607">
        <v>1</v>
      </c>
      <c r="I693" s="1607">
        <v>1</v>
      </c>
      <c r="J693" s="1341">
        <f t="shared" si="42"/>
        <v>1</v>
      </c>
      <c r="K693" s="1341">
        <f t="shared" si="43"/>
        <v>1</v>
      </c>
    </row>
    <row r="694" spans="1:11" ht="15" hidden="1" customHeight="1" outlineLevel="1">
      <c r="A694" s="1587" t="s">
        <v>1260</v>
      </c>
      <c r="B694" s="1593"/>
      <c r="C694" s="1597" t="s">
        <v>1117</v>
      </c>
      <c r="D694" s="1595">
        <v>32000</v>
      </c>
      <c r="E694" s="1607">
        <v>1</v>
      </c>
      <c r="F694" s="1607">
        <v>1</v>
      </c>
      <c r="G694" s="1607">
        <v>1</v>
      </c>
      <c r="H694" s="1607">
        <v>1</v>
      </c>
      <c r="I694" s="1607">
        <v>1</v>
      </c>
      <c r="J694" s="1341">
        <f t="shared" si="42"/>
        <v>1</v>
      </c>
      <c r="K694" s="1341">
        <f t="shared" si="43"/>
        <v>1</v>
      </c>
    </row>
    <row r="695" spans="1:11" ht="15" hidden="1" customHeight="1" outlineLevel="1">
      <c r="A695" s="1587" t="s">
        <v>1260</v>
      </c>
      <c r="B695" s="1593"/>
      <c r="C695" s="1597" t="s">
        <v>1118</v>
      </c>
      <c r="D695" s="1595">
        <v>35000</v>
      </c>
      <c r="E695" s="1607">
        <v>1</v>
      </c>
      <c r="F695" s="1607">
        <v>1</v>
      </c>
      <c r="G695" s="1607">
        <v>1</v>
      </c>
      <c r="H695" s="1607">
        <v>1</v>
      </c>
      <c r="I695" s="1607">
        <v>1</v>
      </c>
      <c r="J695" s="1341">
        <f t="shared" si="42"/>
        <v>1</v>
      </c>
      <c r="K695" s="1341">
        <f t="shared" si="43"/>
        <v>1</v>
      </c>
    </row>
    <row r="696" spans="1:11" ht="15" hidden="1" customHeight="1" outlineLevel="1">
      <c r="A696" s="1587" t="s">
        <v>1260</v>
      </c>
      <c r="B696" s="1593"/>
      <c r="C696" s="1597" t="s">
        <v>1119</v>
      </c>
      <c r="D696" s="1595">
        <v>35000</v>
      </c>
      <c r="E696" s="1607">
        <v>1</v>
      </c>
      <c r="F696" s="1607">
        <v>1</v>
      </c>
      <c r="G696" s="1607">
        <v>1</v>
      </c>
      <c r="H696" s="1607">
        <v>1</v>
      </c>
      <c r="I696" s="1607">
        <v>1</v>
      </c>
      <c r="J696" s="1341">
        <f t="shared" si="42"/>
        <v>1</v>
      </c>
      <c r="K696" s="1341">
        <f t="shared" si="43"/>
        <v>1</v>
      </c>
    </row>
    <row r="697" spans="1:11" ht="15" hidden="1" customHeight="1" outlineLevel="1">
      <c r="A697" s="1587" t="s">
        <v>1260</v>
      </c>
      <c r="B697" s="1593"/>
      <c r="C697" s="1594"/>
      <c r="D697" s="1595">
        <v>0</v>
      </c>
      <c r="E697" s="1607"/>
      <c r="F697" s="1607"/>
      <c r="G697" s="1607"/>
      <c r="H697" s="1607"/>
      <c r="I697" s="1607"/>
      <c r="J697" s="1341">
        <f t="shared" si="42"/>
        <v>0</v>
      </c>
      <c r="K697" s="1341">
        <f t="shared" si="43"/>
        <v>0</v>
      </c>
    </row>
    <row r="698" spans="1:11" ht="15" hidden="1" customHeight="1" outlineLevel="1">
      <c r="A698" s="1587" t="s">
        <v>1260</v>
      </c>
      <c r="B698" s="1591" t="s">
        <v>1120</v>
      </c>
      <c r="C698" s="1588" t="s">
        <v>38</v>
      </c>
      <c r="D698" s="1589">
        <v>65000</v>
      </c>
      <c r="E698" s="1592">
        <v>1</v>
      </c>
      <c r="F698" s="1592">
        <v>1</v>
      </c>
      <c r="G698" s="1592">
        <v>1</v>
      </c>
      <c r="H698" s="1592">
        <v>1</v>
      </c>
      <c r="I698" s="1592">
        <v>1</v>
      </c>
      <c r="J698" s="1341">
        <f t="shared" si="42"/>
        <v>1</v>
      </c>
      <c r="K698" s="1341">
        <f t="shared" si="43"/>
        <v>1</v>
      </c>
    </row>
    <row r="699" spans="1:11" ht="15" hidden="1" customHeight="1" outlineLevel="1">
      <c r="A699" s="1587" t="s">
        <v>1260</v>
      </c>
      <c r="B699" s="1591"/>
      <c r="C699" s="1588" t="s">
        <v>1121</v>
      </c>
      <c r="D699" s="1589">
        <v>40000</v>
      </c>
      <c r="E699" s="1592">
        <v>1</v>
      </c>
      <c r="F699" s="1592">
        <v>1</v>
      </c>
      <c r="G699" s="1592">
        <v>1</v>
      </c>
      <c r="H699" s="1592">
        <v>1</v>
      </c>
      <c r="I699" s="1592">
        <v>1</v>
      </c>
      <c r="J699" s="1341">
        <f t="shared" si="42"/>
        <v>1</v>
      </c>
      <c r="K699" s="1341">
        <f t="shared" si="43"/>
        <v>1</v>
      </c>
    </row>
    <row r="700" spans="1:11" ht="15" hidden="1" customHeight="1" outlineLevel="1">
      <c r="A700" s="1587" t="s">
        <v>1260</v>
      </c>
      <c r="B700" s="1591"/>
      <c r="C700" s="1588" t="s">
        <v>1122</v>
      </c>
      <c r="D700" s="1589">
        <v>32000</v>
      </c>
      <c r="E700" s="1592">
        <v>2</v>
      </c>
      <c r="F700" s="1592">
        <v>2</v>
      </c>
      <c r="G700" s="1592">
        <v>2</v>
      </c>
      <c r="H700" s="1592">
        <v>2</v>
      </c>
      <c r="I700" s="1592">
        <v>2</v>
      </c>
      <c r="J700" s="1341">
        <f t="shared" si="42"/>
        <v>2</v>
      </c>
      <c r="K700" s="1341">
        <f t="shared" si="43"/>
        <v>2</v>
      </c>
    </row>
    <row r="701" spans="1:11" ht="15" hidden="1" customHeight="1" outlineLevel="1">
      <c r="A701" s="1587" t="s">
        <v>1260</v>
      </c>
      <c r="B701" s="1591"/>
      <c r="C701" s="1588"/>
      <c r="D701" s="1589">
        <v>0</v>
      </c>
      <c r="E701" s="1592"/>
      <c r="F701" s="1592"/>
      <c r="G701" s="1592"/>
      <c r="H701" s="1592"/>
      <c r="I701" s="1592"/>
      <c r="J701" s="1341">
        <f t="shared" si="42"/>
        <v>0</v>
      </c>
      <c r="K701" s="1341">
        <f t="shared" si="43"/>
        <v>0</v>
      </c>
    </row>
    <row r="702" spans="1:11" ht="15" hidden="1" customHeight="1" outlineLevel="1">
      <c r="A702" s="1587" t="s">
        <v>1260</v>
      </c>
      <c r="B702" s="1593" t="s">
        <v>1123</v>
      </c>
      <c r="C702" s="1594" t="s">
        <v>1124</v>
      </c>
      <c r="D702" s="1595">
        <v>32000</v>
      </c>
      <c r="E702" s="1607">
        <v>1</v>
      </c>
      <c r="F702" s="1607">
        <v>1</v>
      </c>
      <c r="G702" s="1607">
        <v>1</v>
      </c>
      <c r="H702" s="1607">
        <v>1</v>
      </c>
      <c r="I702" s="1607">
        <v>1</v>
      </c>
      <c r="J702" s="1341">
        <f t="shared" si="42"/>
        <v>1</v>
      </c>
      <c r="K702" s="1341">
        <f t="shared" si="43"/>
        <v>1</v>
      </c>
    </row>
    <row r="703" spans="1:11" ht="15" hidden="1" customHeight="1" outlineLevel="1">
      <c r="A703" s="1587" t="s">
        <v>1260</v>
      </c>
      <c r="B703" s="1593"/>
      <c r="C703" s="1594" t="s">
        <v>1125</v>
      </c>
      <c r="D703" s="1595">
        <v>32000</v>
      </c>
      <c r="E703" s="1607">
        <v>1</v>
      </c>
      <c r="F703" s="1607">
        <v>1</v>
      </c>
      <c r="G703" s="1607">
        <v>1</v>
      </c>
      <c r="H703" s="1607">
        <v>1</v>
      </c>
      <c r="I703" s="1607">
        <v>1</v>
      </c>
      <c r="J703" s="1341">
        <f t="shared" si="42"/>
        <v>1</v>
      </c>
      <c r="K703" s="1341">
        <f t="shared" si="43"/>
        <v>1</v>
      </c>
    </row>
    <row r="704" spans="1:11" ht="15" hidden="1" customHeight="1" outlineLevel="1">
      <c r="A704" s="1587" t="s">
        <v>1260</v>
      </c>
      <c r="B704" s="1593"/>
      <c r="C704" s="1594" t="s">
        <v>1126</v>
      </c>
      <c r="D704" s="1595">
        <v>65000</v>
      </c>
      <c r="E704" s="1607">
        <v>1</v>
      </c>
      <c r="F704" s="1607">
        <v>1</v>
      </c>
      <c r="G704" s="1607">
        <v>1</v>
      </c>
      <c r="H704" s="1607">
        <v>1</v>
      </c>
      <c r="I704" s="1607">
        <v>1</v>
      </c>
      <c r="J704" s="1341">
        <f t="shared" si="42"/>
        <v>1</v>
      </c>
      <c r="K704" s="1341">
        <f t="shared" si="43"/>
        <v>1</v>
      </c>
    </row>
    <row r="705" spans="1:11" ht="15" hidden="1" customHeight="1" outlineLevel="1">
      <c r="A705" s="1587" t="s">
        <v>1260</v>
      </c>
      <c r="B705" s="1593"/>
      <c r="C705" s="1594" t="s">
        <v>1127</v>
      </c>
      <c r="D705" s="1595">
        <v>35000</v>
      </c>
      <c r="E705" s="1607">
        <v>1</v>
      </c>
      <c r="F705" s="1607">
        <v>1</v>
      </c>
      <c r="G705" s="1607">
        <v>1</v>
      </c>
      <c r="H705" s="1607">
        <v>1</v>
      </c>
      <c r="I705" s="1607">
        <v>1</v>
      </c>
      <c r="J705" s="1341">
        <f t="shared" si="42"/>
        <v>1</v>
      </c>
      <c r="K705" s="1341">
        <f t="shared" si="43"/>
        <v>1</v>
      </c>
    </row>
    <row r="706" spans="1:11" ht="15" hidden="1" customHeight="1" outlineLevel="1">
      <c r="A706" s="1587" t="s">
        <v>1260</v>
      </c>
      <c r="B706" s="1593"/>
      <c r="C706" s="1594"/>
      <c r="D706" s="1595">
        <v>0</v>
      </c>
      <c r="E706" s="1607"/>
      <c r="F706" s="1607"/>
      <c r="G706" s="1607"/>
      <c r="H706" s="1607"/>
      <c r="I706" s="1607"/>
      <c r="J706" s="1341">
        <f t="shared" si="42"/>
        <v>0</v>
      </c>
      <c r="K706" s="1341">
        <f t="shared" si="43"/>
        <v>0</v>
      </c>
    </row>
    <row r="707" spans="1:11" ht="15" hidden="1" customHeight="1" outlineLevel="1">
      <c r="A707" s="1587" t="s">
        <v>1260</v>
      </c>
      <c r="B707" s="1591" t="s">
        <v>1128</v>
      </c>
      <c r="C707" s="1588" t="s">
        <v>1129</v>
      </c>
      <c r="D707" s="1589">
        <v>60000</v>
      </c>
      <c r="E707" s="1592">
        <v>1</v>
      </c>
      <c r="F707" s="1592">
        <v>1</v>
      </c>
      <c r="G707" s="1592">
        <v>1</v>
      </c>
      <c r="H707" s="1592">
        <v>1</v>
      </c>
      <c r="I707" s="1592">
        <v>1</v>
      </c>
      <c r="J707" s="1341">
        <f t="shared" si="42"/>
        <v>1</v>
      </c>
      <c r="K707" s="1341">
        <f t="shared" si="43"/>
        <v>1</v>
      </c>
    </row>
    <row r="708" spans="1:11" ht="15" hidden="1" customHeight="1" outlineLevel="1">
      <c r="A708" s="1587" t="s">
        <v>1260</v>
      </c>
      <c r="B708" s="1591"/>
      <c r="C708" s="1588" t="s">
        <v>1130</v>
      </c>
      <c r="D708" s="1589">
        <v>35000</v>
      </c>
      <c r="E708" s="1592">
        <v>1</v>
      </c>
      <c r="F708" s="1592">
        <v>1</v>
      </c>
      <c r="G708" s="1592">
        <v>1</v>
      </c>
      <c r="H708" s="1592">
        <v>1</v>
      </c>
      <c r="I708" s="1592">
        <v>1</v>
      </c>
      <c r="J708" s="1341">
        <f t="shared" si="42"/>
        <v>1</v>
      </c>
      <c r="K708" s="1341">
        <f t="shared" si="43"/>
        <v>1</v>
      </c>
    </row>
    <row r="709" spans="1:11" ht="15" hidden="1" customHeight="1" outlineLevel="1">
      <c r="A709" s="1587" t="s">
        <v>1260</v>
      </c>
      <c r="B709" s="1591"/>
      <c r="C709" s="1588"/>
      <c r="D709" s="1589">
        <v>0</v>
      </c>
      <c r="E709" s="1592"/>
      <c r="F709" s="1592"/>
      <c r="G709" s="1592"/>
      <c r="H709" s="1592"/>
      <c r="I709" s="1592"/>
      <c r="J709" s="1341">
        <f t="shared" si="42"/>
        <v>0</v>
      </c>
      <c r="K709" s="1341">
        <f t="shared" si="43"/>
        <v>0</v>
      </c>
    </row>
    <row r="710" spans="1:11" ht="15" hidden="1" customHeight="1" outlineLevel="1">
      <c r="A710" s="1598" t="s">
        <v>1261</v>
      </c>
      <c r="B710" s="1594" t="s">
        <v>1132</v>
      </c>
      <c r="C710" s="1594" t="s">
        <v>32</v>
      </c>
      <c r="D710" s="1595">
        <v>65000</v>
      </c>
      <c r="E710" s="1603">
        <v>1</v>
      </c>
      <c r="F710" s="1603">
        <v>1</v>
      </c>
      <c r="G710" s="1603">
        <v>1</v>
      </c>
      <c r="H710" s="1603">
        <v>1</v>
      </c>
      <c r="I710" s="1603">
        <v>1</v>
      </c>
      <c r="J710" s="1341">
        <f t="shared" si="42"/>
        <v>1</v>
      </c>
      <c r="K710" s="1341">
        <f t="shared" si="43"/>
        <v>1</v>
      </c>
    </row>
    <row r="711" spans="1:11" ht="15" hidden="1" customHeight="1" outlineLevel="1">
      <c r="A711" s="1598" t="s">
        <v>1261</v>
      </c>
      <c r="B711" s="1594"/>
      <c r="C711" s="1599" t="s">
        <v>1133</v>
      </c>
      <c r="D711" s="1595">
        <v>45000</v>
      </c>
      <c r="E711" s="1603">
        <v>2</v>
      </c>
      <c r="F711" s="1603">
        <v>2</v>
      </c>
      <c r="G711" s="1603">
        <v>2</v>
      </c>
      <c r="H711" s="1603">
        <v>2</v>
      </c>
      <c r="I711" s="1603">
        <v>2</v>
      </c>
      <c r="J711" s="1341">
        <f t="shared" si="42"/>
        <v>2</v>
      </c>
      <c r="K711" s="1341">
        <f t="shared" si="43"/>
        <v>2</v>
      </c>
    </row>
    <row r="712" spans="1:11" ht="15" hidden="1" customHeight="1" outlineLevel="1">
      <c r="A712" s="1598" t="s">
        <v>1261</v>
      </c>
      <c r="B712" s="1594"/>
      <c r="C712" s="1599" t="s">
        <v>1134</v>
      </c>
      <c r="D712" s="1595">
        <v>45000</v>
      </c>
      <c r="E712" s="1603">
        <v>2</v>
      </c>
      <c r="F712" s="1603">
        <v>2</v>
      </c>
      <c r="G712" s="1603">
        <v>2</v>
      </c>
      <c r="H712" s="1603">
        <v>2</v>
      </c>
      <c r="I712" s="1603">
        <v>2</v>
      </c>
      <c r="J712" s="1341">
        <f t="shared" si="42"/>
        <v>2</v>
      </c>
      <c r="K712" s="1341">
        <f t="shared" si="43"/>
        <v>2</v>
      </c>
    </row>
    <row r="713" spans="1:11" ht="15" hidden="1" customHeight="1" outlineLevel="1">
      <c r="A713" s="1598" t="s">
        <v>1261</v>
      </c>
      <c r="B713" s="1594"/>
      <c r="C713" s="1594" t="s">
        <v>1135</v>
      </c>
      <c r="D713" s="1595">
        <v>45000</v>
      </c>
      <c r="E713" s="1603">
        <v>0</v>
      </c>
      <c r="F713" s="1603">
        <v>0</v>
      </c>
      <c r="G713" s="1603">
        <v>0</v>
      </c>
      <c r="H713" s="1603">
        <v>0</v>
      </c>
      <c r="I713" s="1603">
        <v>0</v>
      </c>
      <c r="J713" s="1341">
        <f t="shared" si="42"/>
        <v>0</v>
      </c>
      <c r="K713" s="1341">
        <f t="shared" si="43"/>
        <v>0</v>
      </c>
    </row>
    <row r="714" spans="1:11" ht="15" hidden="1" customHeight="1" outlineLevel="1">
      <c r="A714" s="1598" t="s">
        <v>1261</v>
      </c>
      <c r="B714" s="1594"/>
      <c r="C714" s="1593" t="s">
        <v>1136</v>
      </c>
      <c r="D714" s="1595">
        <v>32000</v>
      </c>
      <c r="E714" s="1607">
        <v>2</v>
      </c>
      <c r="F714" s="1607">
        <v>2</v>
      </c>
      <c r="G714" s="1607">
        <v>2</v>
      </c>
      <c r="H714" s="1607">
        <v>2</v>
      </c>
      <c r="I714" s="1607">
        <v>2</v>
      </c>
      <c r="J714" s="1341">
        <f t="shared" si="42"/>
        <v>2</v>
      </c>
      <c r="K714" s="1341">
        <f t="shared" si="43"/>
        <v>2</v>
      </c>
    </row>
    <row r="715" spans="1:11" ht="15" hidden="1" customHeight="1" outlineLevel="1">
      <c r="A715" s="1598" t="s">
        <v>1261</v>
      </c>
      <c r="B715" s="1594"/>
      <c r="C715" s="1593" t="s">
        <v>1137</v>
      </c>
      <c r="D715" s="1595">
        <v>65000</v>
      </c>
      <c r="E715" s="1607">
        <v>0</v>
      </c>
      <c r="F715" s="1607">
        <v>0</v>
      </c>
      <c r="G715" s="1607">
        <v>0</v>
      </c>
      <c r="H715" s="1607">
        <v>0</v>
      </c>
      <c r="I715" s="1607">
        <v>0</v>
      </c>
      <c r="J715" s="1341">
        <f t="shared" si="42"/>
        <v>0</v>
      </c>
      <c r="K715" s="1341">
        <f t="shared" si="43"/>
        <v>0</v>
      </c>
    </row>
    <row r="716" spans="1:11" ht="15" hidden="1" customHeight="1" outlineLevel="1">
      <c r="A716" s="1598" t="s">
        <v>1261</v>
      </c>
      <c r="B716" s="1594"/>
      <c r="C716" s="1593" t="s">
        <v>1138</v>
      </c>
      <c r="D716" s="1595">
        <v>35000</v>
      </c>
      <c r="E716" s="1607">
        <v>0</v>
      </c>
      <c r="F716" s="1607">
        <v>0</v>
      </c>
      <c r="G716" s="1607">
        <v>0</v>
      </c>
      <c r="H716" s="1607">
        <v>0</v>
      </c>
      <c r="I716" s="1607">
        <v>0</v>
      </c>
      <c r="J716" s="1341">
        <f t="shared" si="42"/>
        <v>0</v>
      </c>
      <c r="K716" s="1341">
        <f t="shared" si="43"/>
        <v>0</v>
      </c>
    </row>
    <row r="717" spans="1:11" ht="15" hidden="1" customHeight="1" outlineLevel="1">
      <c r="A717" s="1598" t="s">
        <v>1261</v>
      </c>
      <c r="B717" s="1594"/>
      <c r="C717" s="1593" t="s">
        <v>1139</v>
      </c>
      <c r="D717" s="1595">
        <v>45000</v>
      </c>
      <c r="E717" s="1607">
        <v>1</v>
      </c>
      <c r="F717" s="1607">
        <v>1</v>
      </c>
      <c r="G717" s="1607">
        <v>1</v>
      </c>
      <c r="H717" s="1607">
        <v>1</v>
      </c>
      <c r="I717" s="1607">
        <v>1</v>
      </c>
      <c r="J717" s="1341">
        <f t="shared" si="42"/>
        <v>1</v>
      </c>
      <c r="K717" s="1341">
        <f t="shared" si="43"/>
        <v>1</v>
      </c>
    </row>
    <row r="718" spans="1:11" ht="15" hidden="1" customHeight="1" outlineLevel="1">
      <c r="A718" s="1598" t="s">
        <v>1261</v>
      </c>
      <c r="B718" s="1594"/>
      <c r="C718" s="1593" t="s">
        <v>40</v>
      </c>
      <c r="D718" s="1595">
        <v>32000</v>
      </c>
      <c r="E718" s="1607">
        <v>1</v>
      </c>
      <c r="F718" s="1607">
        <v>1</v>
      </c>
      <c r="G718" s="1607">
        <v>1</v>
      </c>
      <c r="H718" s="1607">
        <v>1</v>
      </c>
      <c r="I718" s="1607">
        <v>1</v>
      </c>
      <c r="J718" s="1341">
        <f t="shared" si="42"/>
        <v>1</v>
      </c>
      <c r="K718" s="1341">
        <f t="shared" si="43"/>
        <v>1</v>
      </c>
    </row>
    <row r="719" spans="1:11" ht="15" hidden="1" customHeight="1" outlineLevel="1">
      <c r="A719" s="1598" t="s">
        <v>1261</v>
      </c>
      <c r="B719" s="1594"/>
      <c r="C719" s="1593"/>
      <c r="D719" s="1595">
        <v>0</v>
      </c>
      <c r="E719" s="1607"/>
      <c r="F719" s="1607"/>
      <c r="G719" s="1607"/>
      <c r="H719" s="1607"/>
      <c r="I719" s="1607"/>
      <c r="J719" s="1341">
        <f t="shared" si="42"/>
        <v>0</v>
      </c>
      <c r="K719" s="1341">
        <f t="shared" si="43"/>
        <v>0</v>
      </c>
    </row>
    <row r="720" spans="1:11" ht="15" hidden="1" customHeight="1" outlineLevel="1">
      <c r="A720" s="1587" t="s">
        <v>1262</v>
      </c>
      <c r="B720" s="1588" t="s">
        <v>1141</v>
      </c>
      <c r="C720" s="1591" t="s">
        <v>1142</v>
      </c>
      <c r="D720" s="1589">
        <v>65000</v>
      </c>
      <c r="E720" s="1589">
        <v>1</v>
      </c>
      <c r="F720" s="1589">
        <v>1</v>
      </c>
      <c r="G720" s="1589">
        <v>1</v>
      </c>
      <c r="H720" s="1589">
        <v>1</v>
      </c>
      <c r="I720" s="1589">
        <v>1</v>
      </c>
      <c r="J720" s="1341">
        <f t="shared" si="42"/>
        <v>1</v>
      </c>
      <c r="K720" s="1341">
        <f t="shared" si="43"/>
        <v>1</v>
      </c>
    </row>
    <row r="721" spans="1:11" ht="15" hidden="1" customHeight="1" outlineLevel="1">
      <c r="A721" s="1587" t="s">
        <v>1262</v>
      </c>
      <c r="B721" s="1588"/>
      <c r="C721" s="1600" t="s">
        <v>1143</v>
      </c>
      <c r="D721" s="1589">
        <v>50000</v>
      </c>
      <c r="E721" s="1589">
        <v>2</v>
      </c>
      <c r="F721" s="1589">
        <v>2</v>
      </c>
      <c r="G721" s="1589">
        <v>2</v>
      </c>
      <c r="H721" s="1589">
        <v>2</v>
      </c>
      <c r="I721" s="1589">
        <v>2</v>
      </c>
      <c r="J721" s="1341">
        <f t="shared" si="42"/>
        <v>2</v>
      </c>
      <c r="K721" s="1341">
        <f t="shared" si="43"/>
        <v>2</v>
      </c>
    </row>
    <row r="722" spans="1:11" ht="15" hidden="1" customHeight="1" outlineLevel="1">
      <c r="A722" s="1587" t="s">
        <v>1262</v>
      </c>
      <c r="B722" s="1588"/>
      <c r="C722" s="1601" t="s">
        <v>1144</v>
      </c>
      <c r="D722" s="1589">
        <v>35000</v>
      </c>
      <c r="E722" s="1589">
        <v>2</v>
      </c>
      <c r="F722" s="1589">
        <v>2</v>
      </c>
      <c r="G722" s="1589">
        <v>2</v>
      </c>
      <c r="H722" s="1589">
        <v>2</v>
      </c>
      <c r="I722" s="1589">
        <v>2</v>
      </c>
      <c r="J722" s="1341">
        <f t="shared" si="42"/>
        <v>2</v>
      </c>
      <c r="K722" s="1341">
        <f t="shared" si="43"/>
        <v>2</v>
      </c>
    </row>
    <row r="723" spans="1:11" ht="15" hidden="1" customHeight="1" outlineLevel="1">
      <c r="A723" s="1587" t="s">
        <v>1262</v>
      </c>
      <c r="B723" s="1588"/>
      <c r="C723" s="1588" t="s">
        <v>1145</v>
      </c>
      <c r="D723" s="1589">
        <v>32000</v>
      </c>
      <c r="E723" s="1589">
        <v>2</v>
      </c>
      <c r="F723" s="1589">
        <v>2</v>
      </c>
      <c r="G723" s="1589">
        <v>2</v>
      </c>
      <c r="H723" s="1589">
        <v>2</v>
      </c>
      <c r="I723" s="1589">
        <v>2</v>
      </c>
      <c r="J723" s="1341">
        <f t="shared" si="42"/>
        <v>2</v>
      </c>
      <c r="K723" s="1341">
        <f t="shared" si="43"/>
        <v>2</v>
      </c>
    </row>
    <row r="724" spans="1:11" ht="15" hidden="1" customHeight="1" outlineLevel="1">
      <c r="A724" s="1587" t="s">
        <v>1262</v>
      </c>
      <c r="B724" s="1588"/>
      <c r="C724" s="1588" t="s">
        <v>1146</v>
      </c>
      <c r="D724" s="1589">
        <v>35000</v>
      </c>
      <c r="E724" s="1589">
        <v>2</v>
      </c>
      <c r="F724" s="1589">
        <v>2</v>
      </c>
      <c r="G724" s="1589">
        <v>2</v>
      </c>
      <c r="H724" s="1589">
        <v>2</v>
      </c>
      <c r="I724" s="1589">
        <v>2</v>
      </c>
      <c r="J724" s="1341">
        <f t="shared" si="42"/>
        <v>2</v>
      </c>
      <c r="K724" s="1341">
        <f t="shared" si="43"/>
        <v>2</v>
      </c>
    </row>
    <row r="725" spans="1:11" ht="15" hidden="1" customHeight="1" outlineLevel="1">
      <c r="A725" s="1587" t="s">
        <v>1262</v>
      </c>
      <c r="B725" s="1588"/>
      <c r="C725" s="1602" t="s">
        <v>1147</v>
      </c>
      <c r="D725" s="1589">
        <v>32000</v>
      </c>
      <c r="E725" s="1589">
        <v>2</v>
      </c>
      <c r="F725" s="1589">
        <v>2</v>
      </c>
      <c r="G725" s="1589">
        <v>2</v>
      </c>
      <c r="H725" s="1589">
        <v>2</v>
      </c>
      <c r="I725" s="1589">
        <v>2</v>
      </c>
      <c r="J725" s="1341">
        <f t="shared" si="42"/>
        <v>2</v>
      </c>
      <c r="K725" s="1341">
        <f t="shared" si="43"/>
        <v>2</v>
      </c>
    </row>
    <row r="726" spans="1:11" ht="15" hidden="1" customHeight="1" outlineLevel="1">
      <c r="A726" s="1587" t="s">
        <v>1262</v>
      </c>
      <c r="B726" s="1588"/>
      <c r="C726" s="1591" t="s">
        <v>1148</v>
      </c>
      <c r="D726" s="1589">
        <v>30000</v>
      </c>
      <c r="E726" s="1589">
        <v>2</v>
      </c>
      <c r="F726" s="1589">
        <v>2</v>
      </c>
      <c r="G726" s="1589">
        <v>2</v>
      </c>
      <c r="H726" s="1589">
        <v>2</v>
      </c>
      <c r="I726" s="1589">
        <v>2</v>
      </c>
      <c r="J726" s="1341">
        <f t="shared" si="42"/>
        <v>2</v>
      </c>
      <c r="K726" s="1341">
        <f t="shared" si="43"/>
        <v>2</v>
      </c>
    </row>
    <row r="727" spans="1:11" ht="15" hidden="1" customHeight="1" outlineLevel="1">
      <c r="A727" s="1587" t="s">
        <v>1262</v>
      </c>
      <c r="B727" s="1588"/>
      <c r="C727" s="1591" t="s">
        <v>1149</v>
      </c>
      <c r="D727" s="1589">
        <v>30000</v>
      </c>
      <c r="E727" s="1589">
        <v>2</v>
      </c>
      <c r="F727" s="1589">
        <v>2</v>
      </c>
      <c r="G727" s="1589">
        <v>2</v>
      </c>
      <c r="H727" s="1589">
        <v>2</v>
      </c>
      <c r="I727" s="1589">
        <v>2</v>
      </c>
      <c r="J727" s="1341">
        <f t="shared" si="42"/>
        <v>2</v>
      </c>
      <c r="K727" s="1341">
        <f t="shared" si="43"/>
        <v>2</v>
      </c>
    </row>
    <row r="728" spans="1:11" ht="15" hidden="1" customHeight="1" outlineLevel="1">
      <c r="A728" s="1587" t="s">
        <v>1262</v>
      </c>
      <c r="B728" s="1588"/>
      <c r="C728" s="1591" t="s">
        <v>1150</v>
      </c>
      <c r="D728" s="1589">
        <v>30000</v>
      </c>
      <c r="E728" s="1589">
        <v>3</v>
      </c>
      <c r="F728" s="1589">
        <v>3</v>
      </c>
      <c r="G728" s="1589">
        <v>3</v>
      </c>
      <c r="H728" s="1589">
        <v>3</v>
      </c>
      <c r="I728" s="1589">
        <v>3</v>
      </c>
      <c r="J728" s="1341">
        <f t="shared" si="42"/>
        <v>3</v>
      </c>
      <c r="K728" s="1341">
        <f t="shared" si="43"/>
        <v>3</v>
      </c>
    </row>
    <row r="729" spans="1:11" ht="15" hidden="1" customHeight="1" outlineLevel="1">
      <c r="A729" s="1587" t="s">
        <v>1262</v>
      </c>
      <c r="B729" s="1588"/>
      <c r="C729" s="1591"/>
      <c r="D729" s="1589">
        <v>0</v>
      </c>
      <c r="E729" s="1589"/>
      <c r="F729" s="1589"/>
      <c r="G729" s="1589"/>
      <c r="H729" s="1589"/>
      <c r="I729" s="1589"/>
      <c r="J729" s="1341">
        <f t="shared" si="42"/>
        <v>0</v>
      </c>
      <c r="K729" s="1341">
        <f t="shared" si="43"/>
        <v>0</v>
      </c>
    </row>
    <row r="730" spans="1:11" ht="15" hidden="1" customHeight="1" outlineLevel="1">
      <c r="A730" s="1598" t="s">
        <v>1263</v>
      </c>
      <c r="B730" s="1594" t="s">
        <v>1152</v>
      </c>
      <c r="C730" s="1593" t="s">
        <v>1153</v>
      </c>
      <c r="D730" s="1595">
        <v>65000</v>
      </c>
      <c r="E730" s="1603">
        <v>1</v>
      </c>
      <c r="F730" s="1603">
        <v>1</v>
      </c>
      <c r="G730" s="1603">
        <v>1</v>
      </c>
      <c r="H730" s="1603">
        <v>1</v>
      </c>
      <c r="I730" s="1603">
        <v>1</v>
      </c>
      <c r="J730" s="1341">
        <f t="shared" si="42"/>
        <v>1</v>
      </c>
      <c r="K730" s="1341">
        <f t="shared" si="43"/>
        <v>1</v>
      </c>
    </row>
    <row r="731" spans="1:11" ht="15" hidden="1" customHeight="1" outlineLevel="1">
      <c r="A731" s="1598" t="s">
        <v>1263</v>
      </c>
      <c r="B731" s="1594"/>
      <c r="C731" s="1593" t="s">
        <v>1154</v>
      </c>
      <c r="D731" s="1595">
        <v>45000</v>
      </c>
      <c r="E731" s="1603">
        <v>1</v>
      </c>
      <c r="F731" s="1603">
        <v>1</v>
      </c>
      <c r="G731" s="1603">
        <v>1</v>
      </c>
      <c r="H731" s="1603">
        <v>1</v>
      </c>
      <c r="I731" s="1603">
        <v>1</v>
      </c>
      <c r="J731" s="1341">
        <f t="shared" si="42"/>
        <v>1</v>
      </c>
      <c r="K731" s="1341">
        <f t="shared" si="43"/>
        <v>1</v>
      </c>
    </row>
    <row r="732" spans="1:11" ht="15" hidden="1" customHeight="1" outlineLevel="1">
      <c r="A732" s="1598" t="s">
        <v>1263</v>
      </c>
      <c r="B732" s="1594"/>
      <c r="C732" s="1593" t="s">
        <v>1155</v>
      </c>
      <c r="D732" s="1595">
        <v>38000</v>
      </c>
      <c r="E732" s="1603">
        <v>1</v>
      </c>
      <c r="F732" s="1603">
        <v>1</v>
      </c>
      <c r="G732" s="1603">
        <v>1</v>
      </c>
      <c r="H732" s="1603">
        <v>1</v>
      </c>
      <c r="I732" s="1603">
        <v>1</v>
      </c>
      <c r="J732" s="1341">
        <f t="shared" si="42"/>
        <v>1</v>
      </c>
      <c r="K732" s="1341">
        <f t="shared" si="43"/>
        <v>1</v>
      </c>
    </row>
    <row r="733" spans="1:11" ht="15" hidden="1" customHeight="1" outlineLevel="1">
      <c r="A733" s="1598" t="s">
        <v>1263</v>
      </c>
      <c r="B733" s="1594"/>
      <c r="C733" s="1593" t="s">
        <v>1156</v>
      </c>
      <c r="D733" s="1595">
        <v>28000</v>
      </c>
      <c r="E733" s="1603">
        <v>5</v>
      </c>
      <c r="F733" s="1603">
        <v>5</v>
      </c>
      <c r="G733" s="1603">
        <v>5</v>
      </c>
      <c r="H733" s="1603">
        <v>5</v>
      </c>
      <c r="I733" s="1603">
        <v>5</v>
      </c>
      <c r="J733" s="1341">
        <f t="shared" si="42"/>
        <v>5</v>
      </c>
      <c r="K733" s="1341">
        <f t="shared" si="43"/>
        <v>5</v>
      </c>
    </row>
    <row r="734" spans="1:11" ht="15" hidden="1" customHeight="1" outlineLevel="1">
      <c r="A734" s="1598" t="s">
        <v>1263</v>
      </c>
      <c r="B734" s="1594"/>
      <c r="C734" s="1594" t="s">
        <v>1157</v>
      </c>
      <c r="D734" s="1603">
        <v>23000</v>
      </c>
      <c r="E734" s="1595">
        <v>2</v>
      </c>
      <c r="F734" s="1595">
        <v>2</v>
      </c>
      <c r="G734" s="1595">
        <v>2</v>
      </c>
      <c r="H734" s="1595">
        <v>2</v>
      </c>
      <c r="I734" s="1595">
        <v>2</v>
      </c>
      <c r="J734" s="1341">
        <f t="shared" si="42"/>
        <v>2</v>
      </c>
      <c r="K734" s="1341">
        <f t="shared" si="43"/>
        <v>2</v>
      </c>
    </row>
    <row r="735" spans="1:11" ht="15" hidden="1" customHeight="1" outlineLevel="1">
      <c r="A735" s="1598" t="s">
        <v>1263</v>
      </c>
      <c r="B735" s="1594"/>
      <c r="C735" s="1593" t="s">
        <v>1158</v>
      </c>
      <c r="D735" s="1595">
        <v>21000</v>
      </c>
      <c r="E735" s="1595">
        <v>2</v>
      </c>
      <c r="F735" s="1595">
        <v>2</v>
      </c>
      <c r="G735" s="1595">
        <v>2</v>
      </c>
      <c r="H735" s="1595">
        <v>2</v>
      </c>
      <c r="I735" s="1595">
        <v>2</v>
      </c>
      <c r="J735" s="1341">
        <f t="shared" si="42"/>
        <v>2</v>
      </c>
      <c r="K735" s="1341">
        <f t="shared" si="43"/>
        <v>2</v>
      </c>
    </row>
    <row r="736" spans="1:11" ht="15" hidden="1" customHeight="1" outlineLevel="1">
      <c r="A736" s="1598" t="s">
        <v>1263</v>
      </c>
      <c r="B736" s="1594"/>
      <c r="C736" s="1593"/>
      <c r="D736" s="1595">
        <v>0</v>
      </c>
      <c r="E736" s="1595"/>
      <c r="F736" s="1595"/>
      <c r="G736" s="1595"/>
      <c r="H736" s="1595"/>
      <c r="I736" s="1595"/>
      <c r="J736" s="1341">
        <f t="shared" si="42"/>
        <v>0</v>
      </c>
      <c r="K736" s="1341">
        <f t="shared" si="43"/>
        <v>0</v>
      </c>
    </row>
    <row r="737" spans="1:11" ht="15" hidden="1" customHeight="1" outlineLevel="1">
      <c r="A737" s="1598" t="s">
        <v>1263</v>
      </c>
      <c r="B737" s="1590" t="s">
        <v>1159</v>
      </c>
      <c r="C737" s="1591" t="s">
        <v>1160</v>
      </c>
      <c r="D737" s="1589">
        <v>65000</v>
      </c>
      <c r="E737" s="1589">
        <v>1</v>
      </c>
      <c r="F737" s="1589">
        <v>1</v>
      </c>
      <c r="G737" s="1589">
        <v>1</v>
      </c>
      <c r="H737" s="1589">
        <v>1</v>
      </c>
      <c r="I737" s="1589">
        <v>1</v>
      </c>
      <c r="J737" s="1341">
        <f t="shared" si="42"/>
        <v>1</v>
      </c>
      <c r="K737" s="1341">
        <f t="shared" si="43"/>
        <v>1</v>
      </c>
    </row>
    <row r="738" spans="1:11" ht="15" hidden="1" customHeight="1" outlineLevel="1">
      <c r="A738" s="1598" t="s">
        <v>1263</v>
      </c>
      <c r="B738" s="1590"/>
      <c r="C738" s="1591" t="s">
        <v>1161</v>
      </c>
      <c r="D738" s="1589">
        <v>40000</v>
      </c>
      <c r="E738" s="1589">
        <v>1</v>
      </c>
      <c r="F738" s="1589">
        <v>1</v>
      </c>
      <c r="G738" s="1589">
        <v>1</v>
      </c>
      <c r="H738" s="1589">
        <v>1</v>
      </c>
      <c r="I738" s="1589">
        <v>1</v>
      </c>
      <c r="J738" s="1341">
        <f t="shared" si="42"/>
        <v>1</v>
      </c>
      <c r="K738" s="1341">
        <f t="shared" si="43"/>
        <v>1</v>
      </c>
    </row>
    <row r="739" spans="1:11" ht="15" hidden="1" customHeight="1" outlineLevel="1">
      <c r="A739" s="1598" t="s">
        <v>1263</v>
      </c>
      <c r="B739" s="1590"/>
      <c r="C739" s="1591" t="s">
        <v>1162</v>
      </c>
      <c r="D739" s="1589">
        <v>30000</v>
      </c>
      <c r="E739" s="1589">
        <v>3</v>
      </c>
      <c r="F739" s="1589">
        <v>3</v>
      </c>
      <c r="G739" s="1589">
        <v>3</v>
      </c>
      <c r="H739" s="1589">
        <v>3</v>
      </c>
      <c r="I739" s="1589">
        <v>3</v>
      </c>
      <c r="J739" s="1341">
        <f t="shared" si="42"/>
        <v>3</v>
      </c>
      <c r="K739" s="1341">
        <f t="shared" si="43"/>
        <v>3</v>
      </c>
    </row>
    <row r="740" spans="1:11" ht="15" hidden="1" customHeight="1" outlineLevel="1">
      <c r="A740" s="1598" t="s">
        <v>1263</v>
      </c>
      <c r="B740" s="1590"/>
      <c r="C740" s="1591" t="s">
        <v>1163</v>
      </c>
      <c r="D740" s="1589">
        <v>35000</v>
      </c>
      <c r="E740" s="1589">
        <v>1</v>
      </c>
      <c r="F740" s="1589">
        <v>1</v>
      </c>
      <c r="G740" s="1589">
        <v>1</v>
      </c>
      <c r="H740" s="1589">
        <v>1</v>
      </c>
      <c r="I740" s="1589">
        <v>1</v>
      </c>
      <c r="J740" s="1341">
        <f t="shared" si="42"/>
        <v>1</v>
      </c>
      <c r="K740" s="1341">
        <f t="shared" si="43"/>
        <v>1</v>
      </c>
    </row>
    <row r="741" spans="1:11" ht="15" hidden="1" customHeight="1" outlineLevel="1">
      <c r="A741" s="1598" t="s">
        <v>1263</v>
      </c>
      <c r="B741" s="1590"/>
      <c r="C741" s="1591" t="s">
        <v>1164</v>
      </c>
      <c r="D741" s="1589">
        <v>30000</v>
      </c>
      <c r="E741" s="1589">
        <v>2</v>
      </c>
      <c r="F741" s="1589">
        <v>2</v>
      </c>
      <c r="G741" s="1589">
        <v>2</v>
      </c>
      <c r="H741" s="1589">
        <v>2</v>
      </c>
      <c r="I741" s="1589">
        <v>2</v>
      </c>
      <c r="J741" s="1341">
        <f t="shared" si="42"/>
        <v>2</v>
      </c>
      <c r="K741" s="1341">
        <f t="shared" si="43"/>
        <v>2</v>
      </c>
    </row>
    <row r="742" spans="1:11" ht="15" hidden="1" customHeight="1" outlineLevel="1">
      <c r="A742" s="1598" t="s">
        <v>1263</v>
      </c>
      <c r="B742" s="1590"/>
      <c r="C742" s="1590" t="s">
        <v>1165</v>
      </c>
      <c r="D742" s="1589">
        <v>25000</v>
      </c>
      <c r="E742" s="1589"/>
      <c r="F742" s="1589"/>
      <c r="G742" s="1589"/>
      <c r="H742" s="1589"/>
      <c r="I742" s="1589"/>
      <c r="J742" s="1341">
        <f t="shared" ref="J742:J803" si="44">I742</f>
        <v>0</v>
      </c>
      <c r="K742" s="1341">
        <f t="shared" ref="K742:K803" si="45">J742</f>
        <v>0</v>
      </c>
    </row>
    <row r="743" spans="1:11" ht="15" hidden="1" customHeight="1" outlineLevel="1">
      <c r="A743" s="1598" t="s">
        <v>1263</v>
      </c>
      <c r="B743" s="1590"/>
      <c r="C743" s="1590" t="s">
        <v>1166</v>
      </c>
      <c r="D743" s="1589">
        <v>21000</v>
      </c>
      <c r="E743" s="1589"/>
      <c r="F743" s="1589"/>
      <c r="G743" s="1589"/>
      <c r="H743" s="1589"/>
      <c r="I743" s="1589"/>
      <c r="J743" s="1341">
        <f t="shared" si="44"/>
        <v>0</v>
      </c>
      <c r="K743" s="1341">
        <f t="shared" si="45"/>
        <v>0</v>
      </c>
    </row>
    <row r="744" spans="1:11" ht="15" hidden="1" customHeight="1" outlineLevel="1">
      <c r="A744" s="1598" t="s">
        <v>1263</v>
      </c>
      <c r="B744" s="1590"/>
      <c r="C744" s="1602"/>
      <c r="D744" s="1589">
        <v>0</v>
      </c>
      <c r="E744" s="1589"/>
      <c r="F744" s="1589"/>
      <c r="G744" s="1589"/>
      <c r="H744" s="1589"/>
      <c r="I744" s="1589"/>
      <c r="J744" s="1341">
        <f t="shared" si="44"/>
        <v>0</v>
      </c>
      <c r="K744" s="1341">
        <f t="shared" si="45"/>
        <v>0</v>
      </c>
    </row>
    <row r="745" spans="1:11" ht="15" hidden="1" customHeight="1" outlineLevel="1">
      <c r="A745" s="1598" t="s">
        <v>1263</v>
      </c>
      <c r="B745" s="1599" t="s">
        <v>1167</v>
      </c>
      <c r="C745" s="1593" t="s">
        <v>1168</v>
      </c>
      <c r="D745" s="1595">
        <v>40000</v>
      </c>
      <c r="E745" s="1595">
        <v>1</v>
      </c>
      <c r="F745" s="1595">
        <v>1</v>
      </c>
      <c r="G745" s="1595">
        <v>1</v>
      </c>
      <c r="H745" s="1595">
        <v>1</v>
      </c>
      <c r="I745" s="1595">
        <v>1</v>
      </c>
      <c r="J745" s="1341">
        <f t="shared" si="44"/>
        <v>1</v>
      </c>
      <c r="K745" s="1341">
        <f t="shared" si="45"/>
        <v>1</v>
      </c>
    </row>
    <row r="746" spans="1:11" ht="15" hidden="1" customHeight="1" outlineLevel="1">
      <c r="A746" s="1598" t="s">
        <v>1263</v>
      </c>
      <c r="B746" s="1599"/>
      <c r="C746" s="1593" t="s">
        <v>1169</v>
      </c>
      <c r="D746" s="1595">
        <v>25000</v>
      </c>
      <c r="E746" s="1595">
        <v>3</v>
      </c>
      <c r="F746" s="1595">
        <v>3</v>
      </c>
      <c r="G746" s="1595">
        <v>3</v>
      </c>
      <c r="H746" s="1595">
        <v>3</v>
      </c>
      <c r="I746" s="1595">
        <v>3</v>
      </c>
      <c r="J746" s="1341">
        <f t="shared" si="44"/>
        <v>3</v>
      </c>
      <c r="K746" s="1341">
        <f t="shared" si="45"/>
        <v>3</v>
      </c>
    </row>
    <row r="747" spans="1:11" ht="15" hidden="1" customHeight="1" outlineLevel="1">
      <c r="A747" s="1598" t="s">
        <v>1263</v>
      </c>
      <c r="B747" s="1599"/>
      <c r="C747" s="1604" t="s">
        <v>1170</v>
      </c>
      <c r="D747" s="1595">
        <v>23000</v>
      </c>
      <c r="E747" s="1595">
        <v>1</v>
      </c>
      <c r="F747" s="1595">
        <v>1</v>
      </c>
      <c r="G747" s="1595">
        <v>1</v>
      </c>
      <c r="H747" s="1595">
        <v>1</v>
      </c>
      <c r="I747" s="1595">
        <v>1</v>
      </c>
      <c r="J747" s="1341">
        <f t="shared" si="44"/>
        <v>1</v>
      </c>
      <c r="K747" s="1341">
        <f t="shared" si="45"/>
        <v>1</v>
      </c>
    </row>
    <row r="748" spans="1:11" ht="15" hidden="1" customHeight="1" outlineLevel="1">
      <c r="A748" s="1598" t="s">
        <v>1263</v>
      </c>
      <c r="B748" s="1599"/>
      <c r="C748" s="1604"/>
      <c r="D748" s="1595">
        <v>0</v>
      </c>
      <c r="E748" s="1603"/>
      <c r="F748" s="1603"/>
      <c r="G748" s="1603"/>
      <c r="H748" s="1603"/>
      <c r="I748" s="1603"/>
      <c r="J748" s="1341">
        <f t="shared" si="44"/>
        <v>0</v>
      </c>
      <c r="K748" s="1341">
        <f t="shared" si="45"/>
        <v>0</v>
      </c>
    </row>
    <row r="749" spans="1:11" ht="15" hidden="1" customHeight="1" outlineLevel="1">
      <c r="A749" s="1587" t="s">
        <v>1264</v>
      </c>
      <c r="B749" s="1588" t="s">
        <v>1172</v>
      </c>
      <c r="C749" s="1591" t="s">
        <v>1173</v>
      </c>
      <c r="D749" s="1589">
        <v>65000</v>
      </c>
      <c r="E749" s="1589"/>
      <c r="F749" s="1589"/>
      <c r="G749" s="1589"/>
      <c r="H749" s="1589"/>
      <c r="I749" s="1589"/>
      <c r="J749" s="1341">
        <f t="shared" si="44"/>
        <v>0</v>
      </c>
      <c r="K749" s="1341">
        <f t="shared" si="45"/>
        <v>0</v>
      </c>
    </row>
    <row r="750" spans="1:11" ht="15" hidden="1" customHeight="1" outlineLevel="1">
      <c r="A750" s="1587" t="s">
        <v>1264</v>
      </c>
      <c r="B750" s="1588"/>
      <c r="C750" s="1591" t="s">
        <v>1174</v>
      </c>
      <c r="D750" s="1589">
        <v>90000</v>
      </c>
      <c r="E750" s="1589"/>
      <c r="F750" s="1589"/>
      <c r="G750" s="1589"/>
      <c r="H750" s="1589"/>
      <c r="I750" s="1589"/>
      <c r="J750" s="1341">
        <f t="shared" si="44"/>
        <v>0</v>
      </c>
      <c r="K750" s="1341">
        <f t="shared" si="45"/>
        <v>0</v>
      </c>
    </row>
    <row r="751" spans="1:11" ht="15" hidden="1" customHeight="1" outlineLevel="1">
      <c r="A751" s="1587" t="s">
        <v>1264</v>
      </c>
      <c r="B751" s="1588"/>
      <c r="C751" s="1591" t="s">
        <v>1175</v>
      </c>
      <c r="D751" s="1589">
        <v>55000</v>
      </c>
      <c r="E751" s="1589"/>
      <c r="F751" s="1589"/>
      <c r="G751" s="1589"/>
      <c r="H751" s="1589"/>
      <c r="I751" s="1589"/>
      <c r="J751" s="1341">
        <f t="shared" si="44"/>
        <v>0</v>
      </c>
      <c r="K751" s="1341">
        <f t="shared" si="45"/>
        <v>0</v>
      </c>
    </row>
    <row r="752" spans="1:11" ht="15" hidden="1" customHeight="1" outlineLevel="1">
      <c r="A752" s="1587" t="s">
        <v>1264</v>
      </c>
      <c r="B752" s="1588"/>
      <c r="C752" s="1591" t="s">
        <v>1176</v>
      </c>
      <c r="D752" s="1589">
        <v>40000</v>
      </c>
      <c r="E752" s="1589"/>
      <c r="F752" s="1589"/>
      <c r="G752" s="1589"/>
      <c r="H752" s="1589"/>
      <c r="I752" s="1589"/>
      <c r="J752" s="1341">
        <f t="shared" si="44"/>
        <v>0</v>
      </c>
      <c r="K752" s="1341">
        <f t="shared" si="45"/>
        <v>0</v>
      </c>
    </row>
    <row r="753" spans="1:11" ht="15" hidden="1" customHeight="1" outlineLevel="1">
      <c r="A753" s="1587" t="s">
        <v>1264</v>
      </c>
      <c r="B753" s="1588"/>
      <c r="C753" s="1588" t="s">
        <v>1177</v>
      </c>
      <c r="D753" s="1589">
        <v>35000</v>
      </c>
      <c r="E753" s="1589"/>
      <c r="F753" s="1589"/>
      <c r="G753" s="1589"/>
      <c r="H753" s="1589"/>
      <c r="I753" s="1589"/>
      <c r="J753" s="1341">
        <f t="shared" si="44"/>
        <v>0</v>
      </c>
      <c r="K753" s="1341">
        <f t="shared" si="45"/>
        <v>0</v>
      </c>
    </row>
    <row r="754" spans="1:11" ht="15" hidden="1" customHeight="1" outlineLevel="1">
      <c r="A754" s="1587" t="s">
        <v>1264</v>
      </c>
      <c r="B754" s="1588"/>
      <c r="C754" s="1591" t="s">
        <v>1178</v>
      </c>
      <c r="D754" s="1589">
        <v>35000</v>
      </c>
      <c r="E754" s="1589"/>
      <c r="F754" s="1589"/>
      <c r="G754" s="1589"/>
      <c r="H754" s="1589"/>
      <c r="I754" s="1589"/>
      <c r="J754" s="1341">
        <f t="shared" si="44"/>
        <v>0</v>
      </c>
      <c r="K754" s="1341">
        <f t="shared" si="45"/>
        <v>0</v>
      </c>
    </row>
    <row r="755" spans="1:11" ht="15" hidden="1" customHeight="1" outlineLevel="1">
      <c r="A755" s="1587" t="s">
        <v>1264</v>
      </c>
      <c r="B755" s="1588"/>
      <c r="C755" s="1602" t="s">
        <v>1179</v>
      </c>
      <c r="D755" s="1605">
        <v>21000</v>
      </c>
      <c r="E755" s="1589"/>
      <c r="F755" s="1589"/>
      <c r="G755" s="1589"/>
      <c r="H755" s="1589"/>
      <c r="I755" s="1589"/>
      <c r="J755" s="1341">
        <f t="shared" si="44"/>
        <v>0</v>
      </c>
      <c r="K755" s="1341">
        <f t="shared" si="45"/>
        <v>0</v>
      </c>
    </row>
    <row r="756" spans="1:11" ht="15" hidden="1" customHeight="1" outlineLevel="1">
      <c r="A756" s="1587" t="s">
        <v>1264</v>
      </c>
      <c r="B756" s="1588"/>
      <c r="C756" s="1591"/>
      <c r="D756" s="1589">
        <v>0</v>
      </c>
      <c r="E756" s="1589"/>
      <c r="F756" s="1589"/>
      <c r="G756" s="1589"/>
      <c r="H756" s="1589"/>
      <c r="I756" s="1589"/>
      <c r="J756" s="1341">
        <f t="shared" si="44"/>
        <v>0</v>
      </c>
      <c r="K756" s="1341">
        <f t="shared" si="45"/>
        <v>0</v>
      </c>
    </row>
    <row r="757" spans="1:11" ht="15" hidden="1" customHeight="1" outlineLevel="1">
      <c r="A757" s="1587" t="s">
        <v>1264</v>
      </c>
      <c r="B757" s="1594" t="s">
        <v>1238</v>
      </c>
      <c r="C757" s="1593" t="s">
        <v>1181</v>
      </c>
      <c r="D757" s="1595">
        <v>50000</v>
      </c>
      <c r="E757" s="1595"/>
      <c r="F757" s="1595"/>
      <c r="G757" s="1595"/>
      <c r="H757" s="1595"/>
      <c r="I757" s="1595"/>
      <c r="J757" s="1341">
        <f t="shared" si="44"/>
        <v>0</v>
      </c>
      <c r="K757" s="1341">
        <f t="shared" si="45"/>
        <v>0</v>
      </c>
    </row>
    <row r="758" spans="1:11" ht="15" hidden="1" customHeight="1" outlineLevel="1">
      <c r="A758" s="1587" t="s">
        <v>1264</v>
      </c>
      <c r="B758" s="1594"/>
      <c r="C758" s="1593" t="s">
        <v>1182</v>
      </c>
      <c r="D758" s="1595">
        <v>35000</v>
      </c>
      <c r="E758" s="1595"/>
      <c r="F758" s="1595"/>
      <c r="G758" s="1595"/>
      <c r="H758" s="1595"/>
      <c r="I758" s="1595"/>
      <c r="J758" s="1341">
        <f t="shared" si="44"/>
        <v>0</v>
      </c>
      <c r="K758" s="1341">
        <f t="shared" si="45"/>
        <v>0</v>
      </c>
    </row>
    <row r="759" spans="1:11" ht="15" hidden="1" customHeight="1" outlineLevel="1">
      <c r="A759" s="1587" t="s">
        <v>1264</v>
      </c>
      <c r="B759" s="1594"/>
      <c r="C759" s="1593" t="s">
        <v>1183</v>
      </c>
      <c r="D759" s="1595">
        <v>30000</v>
      </c>
      <c r="E759" s="1595"/>
      <c r="F759" s="1595"/>
      <c r="G759" s="1595"/>
      <c r="H759" s="1595"/>
      <c r="I759" s="1595"/>
      <c r="J759" s="1341">
        <f t="shared" si="44"/>
        <v>0</v>
      </c>
      <c r="K759" s="1341">
        <f t="shared" si="45"/>
        <v>0</v>
      </c>
    </row>
    <row r="760" spans="1:11" ht="15" hidden="1" customHeight="1" outlineLevel="1">
      <c r="A760" s="1587" t="s">
        <v>1264</v>
      </c>
      <c r="B760" s="1594"/>
      <c r="C760" s="1593" t="s">
        <v>1184</v>
      </c>
      <c r="D760" s="1595">
        <v>30000</v>
      </c>
      <c r="E760" s="1595"/>
      <c r="F760" s="1595"/>
      <c r="G760" s="1595"/>
      <c r="H760" s="1595"/>
      <c r="I760" s="1595"/>
      <c r="J760" s="1341">
        <f t="shared" si="44"/>
        <v>0</v>
      </c>
      <c r="K760" s="1341">
        <f t="shared" si="45"/>
        <v>0</v>
      </c>
    </row>
    <row r="761" spans="1:11" ht="15" hidden="1" customHeight="1" outlineLevel="1">
      <c r="A761" s="1587" t="s">
        <v>1264</v>
      </c>
      <c r="B761" s="1594"/>
      <c r="C761" s="1593" t="s">
        <v>1185</v>
      </c>
      <c r="D761" s="1595">
        <v>32000</v>
      </c>
      <c r="E761" s="1595"/>
      <c r="F761" s="1595"/>
      <c r="G761" s="1595"/>
      <c r="H761" s="1595"/>
      <c r="I761" s="1595"/>
      <c r="J761" s="1341">
        <f t="shared" si="44"/>
        <v>0</v>
      </c>
      <c r="K761" s="1341">
        <f t="shared" si="45"/>
        <v>0</v>
      </c>
    </row>
    <row r="762" spans="1:11" ht="15" hidden="1" customHeight="1" outlineLevel="1">
      <c r="A762" s="1587" t="s">
        <v>1264</v>
      </c>
      <c r="B762" s="1594"/>
      <c r="C762" s="1593" t="s">
        <v>1186</v>
      </c>
      <c r="D762" s="1595">
        <v>30000</v>
      </c>
      <c r="E762" s="1595"/>
      <c r="F762" s="1595"/>
      <c r="G762" s="1595"/>
      <c r="H762" s="1595"/>
      <c r="I762" s="1595"/>
      <c r="J762" s="1341">
        <f t="shared" si="44"/>
        <v>0</v>
      </c>
      <c r="K762" s="1341">
        <f t="shared" si="45"/>
        <v>0</v>
      </c>
    </row>
    <row r="763" spans="1:11" ht="15" hidden="1" customHeight="1" outlineLevel="1">
      <c r="A763" s="1587" t="s">
        <v>1264</v>
      </c>
      <c r="B763" s="1594"/>
      <c r="C763" s="1593" t="s">
        <v>1187</v>
      </c>
      <c r="D763" s="1595">
        <v>25000</v>
      </c>
      <c r="E763" s="1595"/>
      <c r="F763" s="1595"/>
      <c r="G763" s="1595"/>
      <c r="H763" s="1595"/>
      <c r="I763" s="1595"/>
      <c r="J763" s="1341">
        <f t="shared" si="44"/>
        <v>0</v>
      </c>
      <c r="K763" s="1341">
        <f t="shared" si="45"/>
        <v>0</v>
      </c>
    </row>
    <row r="764" spans="1:11" ht="15" hidden="1" customHeight="1" outlineLevel="1">
      <c r="A764" s="1587" t="s">
        <v>1264</v>
      </c>
      <c r="B764" s="1594"/>
      <c r="C764" s="1593" t="s">
        <v>1188</v>
      </c>
      <c r="D764" s="1595">
        <v>28000</v>
      </c>
      <c r="E764" s="1595"/>
      <c r="F764" s="1595"/>
      <c r="G764" s="1595"/>
      <c r="H764" s="1595"/>
      <c r="I764" s="1595"/>
      <c r="J764" s="1341">
        <f t="shared" si="44"/>
        <v>0</v>
      </c>
      <c r="K764" s="1341">
        <f t="shared" si="45"/>
        <v>0</v>
      </c>
    </row>
    <row r="765" spans="1:11" ht="15" hidden="1" customHeight="1" outlineLevel="1">
      <c r="A765" s="1587" t="s">
        <v>1264</v>
      </c>
      <c r="B765" s="1593"/>
      <c r="C765" s="1593"/>
      <c r="D765" s="1595">
        <v>0</v>
      </c>
      <c r="E765" s="1596"/>
      <c r="F765" s="1596"/>
      <c r="G765" s="1596"/>
      <c r="H765" s="1596"/>
      <c r="I765" s="1596"/>
      <c r="J765" s="1341">
        <f t="shared" si="44"/>
        <v>0</v>
      </c>
      <c r="K765" s="1341">
        <f t="shared" si="45"/>
        <v>0</v>
      </c>
    </row>
    <row r="766" spans="1:11" ht="15" hidden="1" customHeight="1" outlineLevel="1">
      <c r="A766" s="1587" t="s">
        <v>1264</v>
      </c>
      <c r="B766" s="1591" t="s">
        <v>1189</v>
      </c>
      <c r="C766" s="1591" t="s">
        <v>1181</v>
      </c>
      <c r="D766" s="1605">
        <v>45000</v>
      </c>
      <c r="E766" s="1592"/>
      <c r="F766" s="1592"/>
      <c r="G766" s="1592"/>
      <c r="H766" s="1592"/>
      <c r="I766" s="1592"/>
      <c r="J766" s="1341">
        <f t="shared" si="44"/>
        <v>0</v>
      </c>
      <c r="K766" s="1341">
        <f t="shared" si="45"/>
        <v>0</v>
      </c>
    </row>
    <row r="767" spans="1:11" ht="15" hidden="1" customHeight="1" outlineLevel="1">
      <c r="A767" s="1587" t="s">
        <v>1264</v>
      </c>
      <c r="B767" s="1591"/>
      <c r="C767" s="1591" t="s">
        <v>1182</v>
      </c>
      <c r="D767" s="1605">
        <v>35000</v>
      </c>
      <c r="E767" s="1592"/>
      <c r="F767" s="1592"/>
      <c r="G767" s="1592"/>
      <c r="H767" s="1592"/>
      <c r="I767" s="1592"/>
      <c r="J767" s="1341">
        <f t="shared" si="44"/>
        <v>0</v>
      </c>
      <c r="K767" s="1341">
        <f t="shared" si="45"/>
        <v>0</v>
      </c>
    </row>
    <row r="768" spans="1:11" ht="15" hidden="1" customHeight="1" outlineLevel="1">
      <c r="A768" s="1587" t="s">
        <v>1264</v>
      </c>
      <c r="B768" s="1591"/>
      <c r="C768" s="1591" t="s">
        <v>1190</v>
      </c>
      <c r="D768" s="1605">
        <v>30000</v>
      </c>
      <c r="E768" s="1592"/>
      <c r="F768" s="1592"/>
      <c r="G768" s="1592"/>
      <c r="H768" s="1592"/>
      <c r="I768" s="1592"/>
      <c r="J768" s="1341">
        <f t="shared" si="44"/>
        <v>0</v>
      </c>
      <c r="K768" s="1341">
        <f t="shared" si="45"/>
        <v>0</v>
      </c>
    </row>
    <row r="769" spans="1:11" ht="15" hidden="1" customHeight="1" outlineLevel="1">
      <c r="A769" s="1587" t="s">
        <v>1264</v>
      </c>
      <c r="B769" s="1591"/>
      <c r="C769" s="1591" t="s">
        <v>1191</v>
      </c>
      <c r="D769" s="1589">
        <v>35000</v>
      </c>
      <c r="E769" s="1592"/>
      <c r="F769" s="1592"/>
      <c r="G769" s="1592"/>
      <c r="H769" s="1592"/>
      <c r="I769" s="1592"/>
      <c r="J769" s="1341">
        <f t="shared" si="44"/>
        <v>0</v>
      </c>
      <c r="K769" s="1341">
        <f t="shared" si="45"/>
        <v>0</v>
      </c>
    </row>
    <row r="770" spans="1:11" ht="15" hidden="1" customHeight="1" outlineLevel="1">
      <c r="A770" s="1587" t="s">
        <v>1264</v>
      </c>
      <c r="B770" s="1591"/>
      <c r="C770" s="1591" t="s">
        <v>1187</v>
      </c>
      <c r="D770" s="1605">
        <v>25000</v>
      </c>
      <c r="E770" s="1592"/>
      <c r="F770" s="1592"/>
      <c r="G770" s="1592"/>
      <c r="H770" s="1592"/>
      <c r="I770" s="1592"/>
      <c r="J770" s="1341">
        <f t="shared" si="44"/>
        <v>0</v>
      </c>
      <c r="K770" s="1341">
        <f t="shared" si="45"/>
        <v>0</v>
      </c>
    </row>
    <row r="771" spans="1:11" ht="15" hidden="1" customHeight="1" outlineLevel="1">
      <c r="A771" s="1587" t="s">
        <v>1264</v>
      </c>
      <c r="B771" s="1591"/>
      <c r="C771" s="1591"/>
      <c r="D771" s="1589">
        <v>0</v>
      </c>
      <c r="E771" s="1592"/>
      <c r="F771" s="1592"/>
      <c r="G771" s="1592"/>
      <c r="H771" s="1592"/>
      <c r="I771" s="1592"/>
      <c r="J771" s="1341">
        <f t="shared" si="44"/>
        <v>0</v>
      </c>
      <c r="K771" s="1341">
        <f t="shared" si="45"/>
        <v>0</v>
      </c>
    </row>
    <row r="772" spans="1:11" ht="15" hidden="1" customHeight="1" outlineLevel="1">
      <c r="A772" s="1587" t="s">
        <v>1264</v>
      </c>
      <c r="B772" s="1604" t="s">
        <v>1192</v>
      </c>
      <c r="C772" s="1593" t="s">
        <v>1193</v>
      </c>
      <c r="D772" s="1595">
        <v>45000</v>
      </c>
      <c r="E772" s="1596"/>
      <c r="F772" s="1596"/>
      <c r="G772" s="1596"/>
      <c r="H772" s="1596"/>
      <c r="I772" s="1596"/>
      <c r="J772" s="1341">
        <f t="shared" si="44"/>
        <v>0</v>
      </c>
      <c r="K772" s="1341">
        <f t="shared" si="45"/>
        <v>0</v>
      </c>
    </row>
    <row r="773" spans="1:11" ht="15" hidden="1" customHeight="1" outlineLevel="1">
      <c r="A773" s="1587" t="s">
        <v>1264</v>
      </c>
      <c r="B773" s="1604"/>
      <c r="C773" s="1593" t="s">
        <v>1187</v>
      </c>
      <c r="D773" s="1606">
        <v>25000</v>
      </c>
      <c r="E773" s="1596"/>
      <c r="F773" s="1596"/>
      <c r="G773" s="1596"/>
      <c r="H773" s="1596"/>
      <c r="I773" s="1596"/>
      <c r="J773" s="1341">
        <f t="shared" si="44"/>
        <v>0</v>
      </c>
      <c r="K773" s="1341">
        <f t="shared" si="45"/>
        <v>0</v>
      </c>
    </row>
    <row r="774" spans="1:11" ht="15" hidden="1" customHeight="1" outlineLevel="1">
      <c r="A774" s="1587" t="s">
        <v>1264</v>
      </c>
      <c r="B774" s="1604"/>
      <c r="C774" s="1593" t="s">
        <v>1188</v>
      </c>
      <c r="D774" s="1606">
        <v>28000</v>
      </c>
      <c r="E774" s="1596"/>
      <c r="F774" s="1596"/>
      <c r="G774" s="1596"/>
      <c r="H774" s="1596"/>
      <c r="I774" s="1596"/>
      <c r="J774" s="1341">
        <f t="shared" si="44"/>
        <v>0</v>
      </c>
      <c r="K774" s="1341">
        <f t="shared" si="45"/>
        <v>0</v>
      </c>
    </row>
    <row r="775" spans="1:11" ht="15" hidden="1" customHeight="1" outlineLevel="1">
      <c r="A775" s="1587" t="s">
        <v>1264</v>
      </c>
      <c r="B775" s="1604"/>
      <c r="C775" s="1593" t="s">
        <v>1194</v>
      </c>
      <c r="D775" s="1606">
        <v>21000</v>
      </c>
      <c r="E775" s="1596"/>
      <c r="F775" s="1596"/>
      <c r="G775" s="1596"/>
      <c r="H775" s="1596"/>
      <c r="I775" s="1596"/>
      <c r="J775" s="1341">
        <f t="shared" si="44"/>
        <v>0</v>
      </c>
      <c r="K775" s="1341">
        <f t="shared" si="45"/>
        <v>0</v>
      </c>
    </row>
    <row r="776" spans="1:11" ht="15" hidden="1" customHeight="1" outlineLevel="1">
      <c r="A776" s="1587" t="s">
        <v>1264</v>
      </c>
      <c r="B776" s="1604"/>
      <c r="C776" s="1593"/>
      <c r="D776" s="1596">
        <v>0</v>
      </c>
      <c r="E776" s="1596"/>
      <c r="F776" s="1596"/>
      <c r="G776" s="1596"/>
      <c r="H776" s="1596"/>
      <c r="I776" s="1596"/>
      <c r="J776" s="1341">
        <f t="shared" si="44"/>
        <v>0</v>
      </c>
      <c r="K776" s="1341">
        <f t="shared" si="45"/>
        <v>0</v>
      </c>
    </row>
    <row r="777" spans="1:11" ht="15" hidden="1" customHeight="1" outlineLevel="1">
      <c r="A777" s="1598" t="s">
        <v>1265</v>
      </c>
      <c r="B777" s="1591" t="s">
        <v>19</v>
      </c>
      <c r="C777" s="1591" t="s">
        <v>1196</v>
      </c>
      <c r="D777" s="1589">
        <v>35000</v>
      </c>
      <c r="E777" s="1592"/>
      <c r="F777" s="1592"/>
      <c r="G777" s="1592"/>
      <c r="H777" s="1592"/>
      <c r="I777" s="1592"/>
      <c r="J777" s="1341">
        <f t="shared" si="44"/>
        <v>0</v>
      </c>
      <c r="K777" s="1341">
        <f t="shared" si="45"/>
        <v>0</v>
      </c>
    </row>
    <row r="778" spans="1:11" ht="15" hidden="1" customHeight="1" outlineLevel="1">
      <c r="A778" s="1598" t="s">
        <v>1265</v>
      </c>
      <c r="B778" s="1591"/>
      <c r="C778" s="1591" t="s">
        <v>1181</v>
      </c>
      <c r="D778" s="1605">
        <v>45000</v>
      </c>
      <c r="E778" s="1592"/>
      <c r="F778" s="1592"/>
      <c r="G778" s="1592"/>
      <c r="H778" s="1592"/>
      <c r="I778" s="1592"/>
      <c r="J778" s="1341">
        <f t="shared" si="44"/>
        <v>0</v>
      </c>
      <c r="K778" s="1341">
        <f t="shared" si="45"/>
        <v>0</v>
      </c>
    </row>
    <row r="779" spans="1:11" ht="15" hidden="1" customHeight="1" outlineLevel="1">
      <c r="A779" s="1598" t="s">
        <v>1265</v>
      </c>
      <c r="B779" s="1591"/>
      <c r="C779" s="1591" t="s">
        <v>1197</v>
      </c>
      <c r="D779" s="1605">
        <v>25000</v>
      </c>
      <c r="E779" s="1592"/>
      <c r="F779" s="1592"/>
      <c r="G779" s="1592"/>
      <c r="H779" s="1592"/>
      <c r="I779" s="1592"/>
      <c r="J779" s="1341">
        <f t="shared" si="44"/>
        <v>0</v>
      </c>
      <c r="K779" s="1341">
        <f t="shared" si="45"/>
        <v>0</v>
      </c>
    </row>
    <row r="780" spans="1:11" ht="15" hidden="1" customHeight="1" outlineLevel="1">
      <c r="A780" s="1598" t="s">
        <v>1265</v>
      </c>
      <c r="B780" s="1591"/>
      <c r="C780" s="1591" t="s">
        <v>1198</v>
      </c>
      <c r="D780" s="1589">
        <v>25000</v>
      </c>
      <c r="E780" s="1592"/>
      <c r="F780" s="1592"/>
      <c r="G780" s="1592"/>
      <c r="H780" s="1592"/>
      <c r="I780" s="1592"/>
      <c r="J780" s="1341">
        <f t="shared" si="44"/>
        <v>0</v>
      </c>
      <c r="K780" s="1341">
        <f t="shared" si="45"/>
        <v>0</v>
      </c>
    </row>
    <row r="781" spans="1:11" ht="15" hidden="1" customHeight="1" outlineLevel="1">
      <c r="A781" s="1598" t="s">
        <v>1265</v>
      </c>
      <c r="B781" s="1591"/>
      <c r="C781" s="1591" t="s">
        <v>1199</v>
      </c>
      <c r="D781" s="1589">
        <v>20000</v>
      </c>
      <c r="E781" s="1592"/>
      <c r="F781" s="1592"/>
      <c r="G781" s="1592"/>
      <c r="H781" s="1592"/>
      <c r="I781" s="1592"/>
      <c r="J781" s="1341">
        <f t="shared" si="44"/>
        <v>0</v>
      </c>
      <c r="K781" s="1341">
        <f t="shared" si="45"/>
        <v>0</v>
      </c>
    </row>
    <row r="782" spans="1:11" ht="15" hidden="1" customHeight="1" outlineLevel="1">
      <c r="A782" s="1598" t="s">
        <v>1265</v>
      </c>
      <c r="B782" s="1591"/>
      <c r="C782" s="1591" t="s">
        <v>1200</v>
      </c>
      <c r="D782" s="1605">
        <v>21000</v>
      </c>
      <c r="E782" s="1592"/>
      <c r="F782" s="1592"/>
      <c r="G782" s="1592"/>
      <c r="H782" s="1592"/>
      <c r="I782" s="1592"/>
      <c r="J782" s="1341">
        <f t="shared" si="44"/>
        <v>0</v>
      </c>
      <c r="K782" s="1341">
        <f t="shared" si="45"/>
        <v>0</v>
      </c>
    </row>
    <row r="783" spans="1:11" ht="15" hidden="1" customHeight="1" outlineLevel="1">
      <c r="A783" s="1598" t="s">
        <v>1265</v>
      </c>
      <c r="B783" s="1591"/>
      <c r="C783" s="1591"/>
      <c r="D783" s="1589">
        <v>0</v>
      </c>
      <c r="E783" s="1592"/>
      <c r="F783" s="1592"/>
      <c r="G783" s="1592"/>
      <c r="H783" s="1592"/>
      <c r="I783" s="1592"/>
      <c r="J783" s="1341">
        <f t="shared" si="44"/>
        <v>0</v>
      </c>
      <c r="K783" s="1341">
        <f t="shared" si="45"/>
        <v>0</v>
      </c>
    </row>
    <row r="784" spans="1:11" ht="15" hidden="1" customHeight="1" outlineLevel="1">
      <c r="A784" s="1587" t="s">
        <v>1266</v>
      </c>
      <c r="B784" s="1594" t="s">
        <v>1202</v>
      </c>
      <c r="C784" s="1594" t="s">
        <v>1203</v>
      </c>
      <c r="D784" s="1595">
        <v>35000</v>
      </c>
      <c r="E784" s="1595"/>
      <c r="F784" s="1595"/>
      <c r="G784" s="1595"/>
      <c r="H784" s="1595"/>
      <c r="I784" s="1595"/>
      <c r="J784" s="1341">
        <f t="shared" si="44"/>
        <v>0</v>
      </c>
      <c r="K784" s="1341">
        <f t="shared" si="45"/>
        <v>0</v>
      </c>
    </row>
    <row r="785" spans="1:11" ht="15" hidden="1" customHeight="1" outlineLevel="1">
      <c r="A785" s="1587" t="s">
        <v>1266</v>
      </c>
      <c r="B785" s="1594"/>
      <c r="C785" s="1594" t="s">
        <v>1204</v>
      </c>
      <c r="D785" s="1595">
        <v>28000</v>
      </c>
      <c r="E785" s="1595"/>
      <c r="F785" s="1595"/>
      <c r="G785" s="1595"/>
      <c r="H785" s="1595"/>
      <c r="I785" s="1595"/>
      <c r="J785" s="1341">
        <f t="shared" si="44"/>
        <v>0</v>
      </c>
      <c r="K785" s="1341">
        <f t="shared" si="45"/>
        <v>0</v>
      </c>
    </row>
    <row r="786" spans="1:11" ht="15" hidden="1" customHeight="1" outlineLevel="1">
      <c r="A786" s="1587" t="s">
        <v>1266</v>
      </c>
      <c r="B786" s="1594"/>
      <c r="C786" s="1594" t="s">
        <v>1205</v>
      </c>
      <c r="D786" s="1595">
        <v>35000</v>
      </c>
      <c r="E786" s="1595"/>
      <c r="F786" s="1595"/>
      <c r="G786" s="1595"/>
      <c r="H786" s="1595"/>
      <c r="I786" s="1595"/>
      <c r="J786" s="1341">
        <f t="shared" si="44"/>
        <v>0</v>
      </c>
      <c r="K786" s="1341">
        <f t="shared" si="45"/>
        <v>0</v>
      </c>
    </row>
    <row r="787" spans="1:11" ht="15" hidden="1" customHeight="1" outlineLevel="1">
      <c r="A787" s="1587" t="s">
        <v>1266</v>
      </c>
      <c r="B787" s="1594"/>
      <c r="C787" s="1594" t="s">
        <v>1206</v>
      </c>
      <c r="D787" s="1595">
        <v>25000</v>
      </c>
      <c r="E787" s="1595"/>
      <c r="F787" s="1595"/>
      <c r="G787" s="1595"/>
      <c r="H787" s="1595"/>
      <c r="I787" s="1595"/>
      <c r="J787" s="1341">
        <f t="shared" si="44"/>
        <v>0</v>
      </c>
      <c r="K787" s="1341">
        <f t="shared" si="45"/>
        <v>0</v>
      </c>
    </row>
    <row r="788" spans="1:11" ht="15" hidden="1" customHeight="1" outlineLevel="1">
      <c r="A788" s="1587" t="s">
        <v>1266</v>
      </c>
      <c r="B788" s="1594"/>
      <c r="C788" s="1594" t="s">
        <v>1207</v>
      </c>
      <c r="D788" s="1606">
        <v>21000</v>
      </c>
      <c r="E788" s="1595"/>
      <c r="F788" s="1595"/>
      <c r="G788" s="1595"/>
      <c r="H788" s="1595"/>
      <c r="I788" s="1595"/>
      <c r="J788" s="1341">
        <f t="shared" si="44"/>
        <v>0</v>
      </c>
      <c r="K788" s="1341">
        <f t="shared" si="45"/>
        <v>0</v>
      </c>
    </row>
    <row r="789" spans="1:11" ht="15" hidden="1" customHeight="1" outlineLevel="1">
      <c r="A789" s="1587" t="s">
        <v>1266</v>
      </c>
      <c r="B789" s="1593"/>
      <c r="C789" s="1593"/>
      <c r="D789" s="1595">
        <v>0</v>
      </c>
      <c r="E789" s="1596"/>
      <c r="F789" s="1596"/>
      <c r="G789" s="1596"/>
      <c r="H789" s="1596"/>
      <c r="I789" s="1596"/>
      <c r="J789" s="1341">
        <f t="shared" si="44"/>
        <v>0</v>
      </c>
      <c r="K789" s="1341">
        <f t="shared" si="45"/>
        <v>0</v>
      </c>
    </row>
    <row r="790" spans="1:11" ht="15" hidden="1" customHeight="1" outlineLevel="1">
      <c r="A790" s="1598" t="s">
        <v>1267</v>
      </c>
      <c r="B790" s="1588" t="s">
        <v>1209</v>
      </c>
      <c r="C790" s="1588" t="s">
        <v>1210</v>
      </c>
      <c r="D790" s="1589">
        <v>90000</v>
      </c>
      <c r="E790" s="1589"/>
      <c r="F790" s="1589"/>
      <c r="G790" s="1589"/>
      <c r="H790" s="1589"/>
      <c r="I790" s="1589"/>
      <c r="J790" s="1341">
        <f t="shared" si="44"/>
        <v>0</v>
      </c>
      <c r="K790" s="1341">
        <f t="shared" si="45"/>
        <v>0</v>
      </c>
    </row>
    <row r="791" spans="1:11" ht="15" hidden="1" customHeight="1" outlineLevel="1">
      <c r="A791" s="1598" t="s">
        <v>1267</v>
      </c>
      <c r="B791" s="1588"/>
      <c r="C791" s="1588" t="s">
        <v>1211</v>
      </c>
      <c r="D791" s="1589">
        <v>70000</v>
      </c>
      <c r="E791" s="1589"/>
      <c r="F791" s="1589"/>
      <c r="G791" s="1589"/>
      <c r="H791" s="1589"/>
      <c r="I791" s="1589"/>
      <c r="J791" s="1341">
        <f t="shared" si="44"/>
        <v>0</v>
      </c>
      <c r="K791" s="1341">
        <f t="shared" si="45"/>
        <v>0</v>
      </c>
    </row>
    <row r="792" spans="1:11" ht="15" hidden="1" customHeight="1" outlineLevel="1">
      <c r="A792" s="1598" t="s">
        <v>1267</v>
      </c>
      <c r="B792" s="1588"/>
      <c r="C792" s="1588" t="s">
        <v>1212</v>
      </c>
      <c r="D792" s="1589">
        <v>45000</v>
      </c>
      <c r="E792" s="1589"/>
      <c r="F792" s="1589"/>
      <c r="G792" s="1589"/>
      <c r="H792" s="1589"/>
      <c r="I792" s="1589"/>
      <c r="J792" s="1341">
        <f t="shared" si="44"/>
        <v>0</v>
      </c>
      <c r="K792" s="1341">
        <f t="shared" si="45"/>
        <v>0</v>
      </c>
    </row>
    <row r="793" spans="1:11" ht="15" hidden="1" customHeight="1" outlineLevel="1">
      <c r="A793" s="1598" t="s">
        <v>1267</v>
      </c>
      <c r="B793" s="1588"/>
      <c r="C793" s="1588" t="s">
        <v>1213</v>
      </c>
      <c r="D793" s="1589">
        <v>35000</v>
      </c>
      <c r="E793" s="1589"/>
      <c r="F793" s="1589"/>
      <c r="G793" s="1589"/>
      <c r="H793" s="1589"/>
      <c r="I793" s="1589"/>
      <c r="J793" s="1341">
        <f t="shared" si="44"/>
        <v>0</v>
      </c>
      <c r="K793" s="1341">
        <f t="shared" si="45"/>
        <v>0</v>
      </c>
    </row>
    <row r="794" spans="1:11" ht="15" hidden="1" customHeight="1" outlineLevel="1">
      <c r="A794" s="1598" t="s">
        <v>1267</v>
      </c>
      <c r="B794" s="1588"/>
      <c r="C794" s="1588" t="s">
        <v>1214</v>
      </c>
      <c r="D794" s="1589">
        <v>30000</v>
      </c>
      <c r="E794" s="1589"/>
      <c r="F794" s="1589"/>
      <c r="G794" s="1589"/>
      <c r="H794" s="1589"/>
      <c r="I794" s="1589"/>
      <c r="J794" s="1341">
        <f t="shared" si="44"/>
        <v>0</v>
      </c>
      <c r="K794" s="1341">
        <f t="shared" si="45"/>
        <v>0</v>
      </c>
    </row>
    <row r="795" spans="1:11" ht="15" hidden="1" customHeight="1" outlineLevel="1">
      <c r="A795" s="1598" t="s">
        <v>1267</v>
      </c>
      <c r="B795" s="1588"/>
      <c r="C795" s="1588" t="s">
        <v>1215</v>
      </c>
      <c r="D795" s="1605">
        <v>21000</v>
      </c>
      <c r="E795" s="1589"/>
      <c r="F795" s="1589"/>
      <c r="G795" s="1589"/>
      <c r="H795" s="1589"/>
      <c r="I795" s="1589"/>
      <c r="J795" s="1341">
        <f t="shared" si="44"/>
        <v>0</v>
      </c>
      <c r="K795" s="1341">
        <f t="shared" si="45"/>
        <v>0</v>
      </c>
    </row>
    <row r="796" spans="1:11" ht="15" hidden="1" customHeight="1" outlineLevel="1">
      <c r="A796" s="1598" t="s">
        <v>1267</v>
      </c>
      <c r="B796" s="1591"/>
      <c r="C796" s="1591"/>
      <c r="D796" s="1589">
        <v>0</v>
      </c>
      <c r="E796" s="1592"/>
      <c r="F796" s="1592"/>
      <c r="G796" s="1592"/>
      <c r="H796" s="1592"/>
      <c r="I796" s="1592"/>
      <c r="J796" s="1341">
        <f t="shared" si="44"/>
        <v>0</v>
      </c>
      <c r="K796" s="1341">
        <f t="shared" si="45"/>
        <v>0</v>
      </c>
    </row>
    <row r="797" spans="1:11" ht="15" hidden="1" customHeight="1" outlineLevel="1">
      <c r="A797" s="1587" t="s">
        <v>1263</v>
      </c>
      <c r="B797" s="1594" t="s">
        <v>1216</v>
      </c>
      <c r="C797" s="1594" t="s">
        <v>1217</v>
      </c>
      <c r="D797" s="1595">
        <v>35000</v>
      </c>
      <c r="E797" s="1603"/>
      <c r="F797" s="1603"/>
      <c r="G797" s="1603"/>
      <c r="H797" s="1603"/>
      <c r="I797" s="1603"/>
      <c r="J797" s="1341">
        <f t="shared" si="44"/>
        <v>0</v>
      </c>
      <c r="K797" s="1341">
        <f t="shared" si="45"/>
        <v>0</v>
      </c>
    </row>
    <row r="798" spans="1:11" ht="15" hidden="1" customHeight="1" outlineLevel="1">
      <c r="A798" s="1587" t="s">
        <v>1263</v>
      </c>
      <c r="B798" s="1594"/>
      <c r="C798" s="1594" t="s">
        <v>1218</v>
      </c>
      <c r="D798" s="1595">
        <v>25000</v>
      </c>
      <c r="E798" s="1603"/>
      <c r="F798" s="1603"/>
      <c r="G798" s="1603"/>
      <c r="H798" s="1603"/>
      <c r="I798" s="1603"/>
      <c r="J798" s="1341">
        <f t="shared" si="44"/>
        <v>0</v>
      </c>
      <c r="K798" s="1341">
        <f t="shared" si="45"/>
        <v>0</v>
      </c>
    </row>
    <row r="799" spans="1:11" ht="15" hidden="1" customHeight="1" outlineLevel="1">
      <c r="A799" s="1587" t="s">
        <v>1263</v>
      </c>
      <c r="B799" s="1594"/>
      <c r="C799" s="1594"/>
      <c r="D799" s="1595">
        <v>0</v>
      </c>
      <c r="E799" s="1603"/>
      <c r="F799" s="1603"/>
      <c r="G799" s="1603"/>
      <c r="H799" s="1603"/>
      <c r="I799" s="1603"/>
      <c r="J799" s="1341">
        <f t="shared" si="44"/>
        <v>0</v>
      </c>
      <c r="K799" s="1341">
        <f t="shared" si="45"/>
        <v>0</v>
      </c>
    </row>
    <row r="800" spans="1:11" ht="15" hidden="1" customHeight="1" outlineLevel="1">
      <c r="A800" s="1598" t="s">
        <v>1268</v>
      </c>
      <c r="B800" s="1588" t="s">
        <v>1220</v>
      </c>
      <c r="C800" s="1588" t="s">
        <v>1221</v>
      </c>
      <c r="D800" s="1589">
        <v>30000</v>
      </c>
      <c r="E800" s="1589"/>
      <c r="F800" s="1589"/>
      <c r="G800" s="1589"/>
      <c r="H800" s="1589"/>
      <c r="I800" s="1589"/>
      <c r="J800" s="1341">
        <f t="shared" si="44"/>
        <v>0</v>
      </c>
      <c r="K800" s="1341">
        <f t="shared" si="45"/>
        <v>0</v>
      </c>
    </row>
    <row r="801" spans="1:11" ht="15" hidden="1" customHeight="1" outlineLevel="1">
      <c r="A801" s="1598" t="s">
        <v>1268</v>
      </c>
      <c r="B801" s="1588"/>
      <c r="C801" s="1588" t="s">
        <v>1158</v>
      </c>
      <c r="D801" s="1589">
        <v>22000</v>
      </c>
      <c r="E801" s="1589">
        <v>2</v>
      </c>
      <c r="F801" s="1589">
        <v>2</v>
      </c>
      <c r="G801" s="1589">
        <v>2</v>
      </c>
      <c r="H801" s="1589">
        <v>2</v>
      </c>
      <c r="I801" s="1589">
        <v>2</v>
      </c>
      <c r="J801" s="1341">
        <f t="shared" si="44"/>
        <v>2</v>
      </c>
      <c r="K801" s="1341">
        <f t="shared" si="45"/>
        <v>2</v>
      </c>
    </row>
    <row r="802" spans="1:11" ht="15" hidden="1" customHeight="1" outlineLevel="1">
      <c r="A802" s="1598" t="s">
        <v>1268</v>
      </c>
      <c r="B802" s="1588"/>
      <c r="C802" s="1588"/>
      <c r="D802" s="1589">
        <v>22000</v>
      </c>
      <c r="E802" s="1589"/>
      <c r="F802" s="1589"/>
      <c r="G802" s="1589"/>
      <c r="H802" s="1589"/>
      <c r="I802" s="1589"/>
      <c r="J802" s="1341">
        <f t="shared" si="44"/>
        <v>0</v>
      </c>
      <c r="K802" s="1341">
        <f t="shared" si="45"/>
        <v>0</v>
      </c>
    </row>
    <row r="803" spans="1:11" ht="15" hidden="1" customHeight="1" outlineLevel="1">
      <c r="A803" s="1598" t="s">
        <v>1268</v>
      </c>
      <c r="B803" s="1588"/>
      <c r="C803" s="1588"/>
      <c r="D803" s="1589">
        <v>0</v>
      </c>
      <c r="E803" s="1589"/>
      <c r="F803" s="1589"/>
      <c r="G803" s="1589"/>
      <c r="H803" s="1589"/>
      <c r="I803" s="1589"/>
      <c r="J803" s="1341">
        <f t="shared" si="44"/>
        <v>0</v>
      </c>
      <c r="K803" s="1341">
        <f t="shared" si="45"/>
        <v>0</v>
      </c>
    </row>
    <row r="804" spans="1:11" ht="15" customHeight="1" collapsed="1">
      <c r="A804" s="1566"/>
      <c r="B804" s="1348"/>
      <c r="C804" s="1348" t="s">
        <v>1222</v>
      </c>
      <c r="D804" s="1608"/>
      <c r="E804" s="1609">
        <f>SUM(E678:E803)</f>
        <v>83</v>
      </c>
      <c r="F804" s="1609">
        <f t="shared" ref="F804:K804" si="46">SUM(F678:F803)</f>
        <v>83</v>
      </c>
      <c r="G804" s="1609">
        <f t="shared" si="46"/>
        <v>83</v>
      </c>
      <c r="H804" s="1609">
        <f t="shared" si="46"/>
        <v>83</v>
      </c>
      <c r="I804" s="1609">
        <f t="shared" si="46"/>
        <v>83</v>
      </c>
      <c r="J804" s="1609">
        <f t="shared" si="46"/>
        <v>83</v>
      </c>
      <c r="K804" s="1609">
        <f t="shared" si="46"/>
        <v>83</v>
      </c>
    </row>
    <row r="805" spans="1:11" ht="15" customHeight="1">
      <c r="A805" s="1566"/>
      <c r="B805" s="20"/>
      <c r="C805" s="20"/>
      <c r="D805" s="1610"/>
      <c r="E805" s="20"/>
      <c r="F805" s="20"/>
      <c r="G805" s="20"/>
      <c r="H805" s="20"/>
      <c r="I805" s="20"/>
      <c r="J805" s="20"/>
      <c r="K805" s="20"/>
    </row>
    <row r="806" spans="1:11" ht="15" customHeight="1">
      <c r="A806" s="1566"/>
      <c r="B806" s="20"/>
      <c r="C806" s="20"/>
      <c r="D806" s="1610"/>
      <c r="E806" s="20"/>
      <c r="F806" s="20"/>
      <c r="G806" s="20"/>
      <c r="H806" s="20"/>
      <c r="I806" s="20"/>
      <c r="J806" s="20"/>
      <c r="K806" s="20"/>
    </row>
    <row r="807" spans="1:11" ht="15.75" customHeight="1">
      <c r="A807" s="1566"/>
      <c r="B807" s="1580" t="str">
        <f>Объекты!$C$13</f>
        <v>Туристские резиденции</v>
      </c>
      <c r="C807" s="1571"/>
      <c r="D807" s="1581">
        <f>YEAR(Объекты!$K$13)</f>
        <v>2025</v>
      </c>
      <c r="E807" s="1571"/>
      <c r="F807" s="1571"/>
      <c r="G807" s="1571"/>
      <c r="H807" s="1571"/>
      <c r="I807" s="1571"/>
      <c r="J807" s="1571"/>
      <c r="K807" s="1571"/>
    </row>
    <row r="808" spans="1:11" ht="15.75" customHeight="1">
      <c r="A808" s="1566"/>
      <c r="B808" s="1582"/>
      <c r="C808" s="1583" t="s">
        <v>1098</v>
      </c>
      <c r="D808" s="1584"/>
      <c r="E808" s="1585">
        <f>Объекты!$F$13</f>
        <v>385</v>
      </c>
      <c r="F808" s="1616">
        <f t="shared" ref="F808:K808" si="47">E808</f>
        <v>385</v>
      </c>
      <c r="G808" s="1616">
        <f t="shared" si="47"/>
        <v>385</v>
      </c>
      <c r="H808" s="1616">
        <f t="shared" si="47"/>
        <v>385</v>
      </c>
      <c r="I808" s="1616">
        <f t="shared" si="47"/>
        <v>385</v>
      </c>
      <c r="J808" s="1616">
        <f t="shared" si="47"/>
        <v>385</v>
      </c>
      <c r="K808" s="1616">
        <f t="shared" si="47"/>
        <v>385</v>
      </c>
    </row>
    <row r="809" spans="1:11" ht="15.75" customHeight="1">
      <c r="A809" s="1566"/>
      <c r="B809" s="1582"/>
      <c r="C809" s="1583" t="s">
        <v>14</v>
      </c>
      <c r="D809" s="1584"/>
      <c r="E809" s="1613">
        <f>IFERROR(LOOKUP(E$2,Резиденции_PL!$D$3:$V$3,Резиденции_PL!$D$10:$V$10),"не введён")</f>
        <v>0.44348574289613019</v>
      </c>
      <c r="F809" s="1613">
        <f>IFERROR(LOOKUP(F$2,Резиденции_PL!$D$3:$V$3,Резиденции_PL!$D$10:$V$10),"не введён")</f>
        <v>0.57071500893388927</v>
      </c>
      <c r="G809" s="1613">
        <f>IFERROR(LOOKUP(G$2,Резиденции_PL!$D$3:$V$3,Резиденции_PL!$D$10:$V$10),"не введён")</f>
        <v>0.60428648004764751</v>
      </c>
      <c r="H809" s="1613">
        <f>IFERROR(LOOKUP(H$2,Резиденции_PL!$D$3:$V$3,Резиденции_PL!$D$10:$V$10),"не введён")</f>
        <v>0.63785795116140565</v>
      </c>
      <c r="I809" s="1613">
        <f>IFERROR(LOOKUP(I$2,Резиденции_PL!$D$3:$V$3,Резиденции_PL!$D$10:$V$10),"не введён")</f>
        <v>0.67142942227516389</v>
      </c>
      <c r="J809" s="1613">
        <f>IFERROR(LOOKUP(J$2,Резиденции_PL!$D$3:$V$3,Резиденции_PL!$D$10:$V$10),"не введён")</f>
        <v>0.67142942227516389</v>
      </c>
      <c r="K809" s="1613">
        <f>IFERROR(LOOKUP(K$2,Резиденции_PL!$D$3:$V$3,Резиденции_PL!$D$10:$V$10),"не введён")</f>
        <v>0.67142942227516389</v>
      </c>
    </row>
    <row r="810" spans="1:11" ht="15.75" customHeight="1">
      <c r="A810" s="1566"/>
      <c r="B810" s="1582"/>
      <c r="C810" s="1583" t="s">
        <v>1099</v>
      </c>
      <c r="D810" s="1584"/>
      <c r="E810" s="1585">
        <f>IFERROR(E808/E866,"не введён")</f>
        <v>21.388888888888889</v>
      </c>
      <c r="F810" s="1585">
        <f t="shared" ref="F810:K810" si="48">IFERROR(F808/F866,"не введён")</f>
        <v>21.388888888888889</v>
      </c>
      <c r="G810" s="1585">
        <f t="shared" si="48"/>
        <v>21.388888888888889</v>
      </c>
      <c r="H810" s="1585">
        <f t="shared" si="48"/>
        <v>21.388888888888889</v>
      </c>
      <c r="I810" s="1585">
        <f t="shared" si="48"/>
        <v>21.388888888888889</v>
      </c>
      <c r="J810" s="1585">
        <f t="shared" si="48"/>
        <v>21.388888888888889</v>
      </c>
      <c r="K810" s="1585">
        <f t="shared" si="48"/>
        <v>21.388888888888889</v>
      </c>
    </row>
    <row r="811" spans="1:11" ht="15" hidden="1" customHeight="1" outlineLevel="1">
      <c r="A811" s="1587" t="s">
        <v>1270</v>
      </c>
      <c r="B811" s="1588" t="s">
        <v>1101</v>
      </c>
      <c r="C811" s="1588" t="s">
        <v>1102</v>
      </c>
      <c r="D811" s="1589">
        <v>120000</v>
      </c>
      <c r="E811" s="1589">
        <v>1</v>
      </c>
      <c r="F811" s="1341">
        <f t="shared" ref="F811:K811" si="49">E811</f>
        <v>1</v>
      </c>
      <c r="G811" s="1341">
        <f t="shared" si="49"/>
        <v>1</v>
      </c>
      <c r="H811" s="1341">
        <f t="shared" si="49"/>
        <v>1</v>
      </c>
      <c r="I811" s="1341">
        <f t="shared" si="49"/>
        <v>1</v>
      </c>
      <c r="J811" s="1341">
        <f t="shared" si="49"/>
        <v>1</v>
      </c>
      <c r="K811" s="1341">
        <f t="shared" si="49"/>
        <v>1</v>
      </c>
    </row>
    <row r="812" spans="1:11" ht="15" hidden="1" customHeight="1" outlineLevel="1">
      <c r="A812" s="1587" t="s">
        <v>1270</v>
      </c>
      <c r="B812" s="1588"/>
      <c r="C812" s="1588" t="s">
        <v>1103</v>
      </c>
      <c r="D812" s="1589">
        <v>65000</v>
      </c>
      <c r="E812" s="1589">
        <v>1</v>
      </c>
      <c r="F812" s="1341">
        <f t="shared" ref="F812:F875" si="50">E812</f>
        <v>1</v>
      </c>
      <c r="G812" s="1341">
        <f t="shared" ref="G812:G875" si="51">F812</f>
        <v>1</v>
      </c>
      <c r="H812" s="1341">
        <f t="shared" ref="H812:H875" si="52">G812</f>
        <v>1</v>
      </c>
      <c r="I812" s="1341">
        <f t="shared" ref="I812:I875" si="53">H812</f>
        <v>1</v>
      </c>
      <c r="J812" s="1341">
        <f t="shared" ref="J812:J875" si="54">I812</f>
        <v>1</v>
      </c>
      <c r="K812" s="1341">
        <f t="shared" ref="K812:K875" si="55">J812</f>
        <v>1</v>
      </c>
    </row>
    <row r="813" spans="1:11" ht="15" hidden="1" customHeight="1" outlineLevel="1">
      <c r="A813" s="1587" t="s">
        <v>1270</v>
      </c>
      <c r="B813" s="1588"/>
      <c r="C813" s="1590" t="s">
        <v>1104</v>
      </c>
      <c r="D813" s="1589">
        <v>40000</v>
      </c>
      <c r="E813" s="1589">
        <v>1</v>
      </c>
      <c r="F813" s="1341">
        <f t="shared" si="50"/>
        <v>1</v>
      </c>
      <c r="G813" s="1341">
        <f t="shared" si="51"/>
        <v>1</v>
      </c>
      <c r="H813" s="1341">
        <f t="shared" si="52"/>
        <v>1</v>
      </c>
      <c r="I813" s="1341">
        <f t="shared" si="53"/>
        <v>1</v>
      </c>
      <c r="J813" s="1341">
        <f t="shared" si="54"/>
        <v>1</v>
      </c>
      <c r="K813" s="1341">
        <f t="shared" si="55"/>
        <v>1</v>
      </c>
    </row>
    <row r="814" spans="1:11" ht="15" hidden="1" customHeight="1" outlineLevel="1">
      <c r="A814" s="1587" t="s">
        <v>1270</v>
      </c>
      <c r="B814" s="1588"/>
      <c r="C814" s="1588" t="s">
        <v>1105</v>
      </c>
      <c r="D814" s="1589">
        <v>40000</v>
      </c>
      <c r="E814" s="1589">
        <v>1</v>
      </c>
      <c r="F814" s="1341">
        <f t="shared" si="50"/>
        <v>1</v>
      </c>
      <c r="G814" s="1341">
        <f t="shared" si="51"/>
        <v>1</v>
      </c>
      <c r="H814" s="1341">
        <f t="shared" si="52"/>
        <v>1</v>
      </c>
      <c r="I814" s="1341">
        <f t="shared" si="53"/>
        <v>1</v>
      </c>
      <c r="J814" s="1341">
        <f t="shared" si="54"/>
        <v>1</v>
      </c>
      <c r="K814" s="1341">
        <f t="shared" si="55"/>
        <v>1</v>
      </c>
    </row>
    <row r="815" spans="1:11" ht="15" hidden="1" customHeight="1" outlineLevel="1">
      <c r="A815" s="1587" t="s">
        <v>1270</v>
      </c>
      <c r="B815" s="1588"/>
      <c r="C815" s="1588" t="s">
        <v>1106</v>
      </c>
      <c r="D815" s="1589">
        <v>30000</v>
      </c>
      <c r="E815" s="1589">
        <v>1</v>
      </c>
      <c r="F815" s="1341">
        <f t="shared" si="50"/>
        <v>1</v>
      </c>
      <c r="G815" s="1341">
        <f t="shared" si="51"/>
        <v>1</v>
      </c>
      <c r="H815" s="1341">
        <f t="shared" si="52"/>
        <v>1</v>
      </c>
      <c r="I815" s="1341">
        <f t="shared" si="53"/>
        <v>1</v>
      </c>
      <c r="J815" s="1341">
        <f t="shared" si="54"/>
        <v>1</v>
      </c>
      <c r="K815" s="1341">
        <f t="shared" si="55"/>
        <v>1</v>
      </c>
    </row>
    <row r="816" spans="1:11" ht="15" hidden="1" customHeight="1" outlineLevel="1">
      <c r="A816" s="1587" t="s">
        <v>1270</v>
      </c>
      <c r="B816" s="1588"/>
      <c r="C816" s="1588" t="s">
        <v>36</v>
      </c>
      <c r="D816" s="1589">
        <v>30000</v>
      </c>
      <c r="E816" s="1589">
        <v>1</v>
      </c>
      <c r="F816" s="1341">
        <f t="shared" si="50"/>
        <v>1</v>
      </c>
      <c r="G816" s="1341">
        <f t="shared" si="51"/>
        <v>1</v>
      </c>
      <c r="H816" s="1341">
        <f t="shared" si="52"/>
        <v>1</v>
      </c>
      <c r="I816" s="1341">
        <f t="shared" si="53"/>
        <v>1</v>
      </c>
      <c r="J816" s="1341">
        <f t="shared" si="54"/>
        <v>1</v>
      </c>
      <c r="K816" s="1341">
        <f t="shared" si="55"/>
        <v>1</v>
      </c>
    </row>
    <row r="817" spans="1:11" ht="15" hidden="1" customHeight="1" outlineLevel="1">
      <c r="A817" s="1587" t="s">
        <v>1270</v>
      </c>
      <c r="B817" s="1591"/>
      <c r="C817" s="1588" t="s">
        <v>42</v>
      </c>
      <c r="D817" s="1589">
        <v>45000</v>
      </c>
      <c r="E817" s="1592">
        <v>1</v>
      </c>
      <c r="F817" s="1341">
        <f t="shared" si="50"/>
        <v>1</v>
      </c>
      <c r="G817" s="1341">
        <f t="shared" si="51"/>
        <v>1</v>
      </c>
      <c r="H817" s="1341">
        <f t="shared" si="52"/>
        <v>1</v>
      </c>
      <c r="I817" s="1341">
        <f t="shared" si="53"/>
        <v>1</v>
      </c>
      <c r="J817" s="1341">
        <f t="shared" si="54"/>
        <v>1</v>
      </c>
      <c r="K817" s="1341">
        <f t="shared" si="55"/>
        <v>1</v>
      </c>
    </row>
    <row r="818" spans="1:11" ht="15" hidden="1" customHeight="1" outlineLevel="1">
      <c r="A818" s="1587" t="s">
        <v>1270</v>
      </c>
      <c r="B818" s="1591"/>
      <c r="C818" s="1588" t="s">
        <v>1107</v>
      </c>
      <c r="D818" s="1589">
        <v>40000</v>
      </c>
      <c r="E818" s="1592">
        <v>1</v>
      </c>
      <c r="F818" s="1341">
        <f t="shared" si="50"/>
        <v>1</v>
      </c>
      <c r="G818" s="1341">
        <f t="shared" si="51"/>
        <v>1</v>
      </c>
      <c r="H818" s="1341">
        <f t="shared" si="52"/>
        <v>1</v>
      </c>
      <c r="I818" s="1341">
        <f t="shared" si="53"/>
        <v>1</v>
      </c>
      <c r="J818" s="1341">
        <f t="shared" si="54"/>
        <v>1</v>
      </c>
      <c r="K818" s="1341">
        <f t="shared" si="55"/>
        <v>1</v>
      </c>
    </row>
    <row r="819" spans="1:11" ht="15" hidden="1" customHeight="1" outlineLevel="1">
      <c r="A819" s="1587" t="s">
        <v>1270</v>
      </c>
      <c r="B819" s="1593" t="s">
        <v>1108</v>
      </c>
      <c r="C819" s="1594" t="s">
        <v>1109</v>
      </c>
      <c r="D819" s="1595">
        <v>65000</v>
      </c>
      <c r="E819" s="1607">
        <v>1</v>
      </c>
      <c r="F819" s="1341">
        <f t="shared" si="50"/>
        <v>1</v>
      </c>
      <c r="G819" s="1341">
        <f t="shared" si="51"/>
        <v>1</v>
      </c>
      <c r="H819" s="1341">
        <f t="shared" si="52"/>
        <v>1</v>
      </c>
      <c r="I819" s="1341">
        <f t="shared" si="53"/>
        <v>1</v>
      </c>
      <c r="J819" s="1341">
        <f t="shared" si="54"/>
        <v>1</v>
      </c>
      <c r="K819" s="1341">
        <f t="shared" si="55"/>
        <v>1</v>
      </c>
    </row>
    <row r="820" spans="1:11" ht="15" hidden="1" customHeight="1" outlineLevel="1">
      <c r="A820" s="1587" t="s">
        <v>1270</v>
      </c>
      <c r="B820" s="1593"/>
      <c r="C820" s="1594" t="s">
        <v>1110</v>
      </c>
      <c r="D820" s="1595">
        <v>45000</v>
      </c>
      <c r="E820" s="1607">
        <v>1</v>
      </c>
      <c r="F820" s="1341">
        <f t="shared" si="50"/>
        <v>1</v>
      </c>
      <c r="G820" s="1341">
        <f t="shared" si="51"/>
        <v>1</v>
      </c>
      <c r="H820" s="1341">
        <f t="shared" si="52"/>
        <v>1</v>
      </c>
      <c r="I820" s="1341">
        <f t="shared" si="53"/>
        <v>1</v>
      </c>
      <c r="J820" s="1341">
        <f t="shared" si="54"/>
        <v>1</v>
      </c>
      <c r="K820" s="1341">
        <f t="shared" si="55"/>
        <v>1</v>
      </c>
    </row>
    <row r="821" spans="1:11" ht="15" hidden="1" customHeight="1" outlineLevel="1">
      <c r="A821" s="1587" t="s">
        <v>1270</v>
      </c>
      <c r="B821" s="1593"/>
      <c r="C821" s="1594" t="s">
        <v>1111</v>
      </c>
      <c r="D821" s="1595">
        <v>90000</v>
      </c>
      <c r="E821" s="1607">
        <v>1</v>
      </c>
      <c r="F821" s="1341">
        <f t="shared" si="50"/>
        <v>1</v>
      </c>
      <c r="G821" s="1341">
        <f t="shared" si="51"/>
        <v>1</v>
      </c>
      <c r="H821" s="1341">
        <f t="shared" si="52"/>
        <v>1</v>
      </c>
      <c r="I821" s="1341">
        <f t="shared" si="53"/>
        <v>1</v>
      </c>
      <c r="J821" s="1341">
        <f t="shared" si="54"/>
        <v>1</v>
      </c>
      <c r="K821" s="1341">
        <f t="shared" si="55"/>
        <v>1</v>
      </c>
    </row>
    <row r="822" spans="1:11" ht="15" hidden="1" customHeight="1" outlineLevel="1">
      <c r="A822" s="1587" t="s">
        <v>1270</v>
      </c>
      <c r="B822" s="1593"/>
      <c r="C822" s="1597" t="s">
        <v>1112</v>
      </c>
      <c r="D822" s="1595">
        <v>35000</v>
      </c>
      <c r="E822" s="1607">
        <v>1</v>
      </c>
      <c r="F822" s="1341">
        <f t="shared" si="50"/>
        <v>1</v>
      </c>
      <c r="G822" s="1341">
        <f t="shared" si="51"/>
        <v>1</v>
      </c>
      <c r="H822" s="1341">
        <f t="shared" si="52"/>
        <v>1</v>
      </c>
      <c r="I822" s="1341">
        <f t="shared" si="53"/>
        <v>1</v>
      </c>
      <c r="J822" s="1341">
        <f t="shared" si="54"/>
        <v>1</v>
      </c>
      <c r="K822" s="1341">
        <f t="shared" si="55"/>
        <v>1</v>
      </c>
    </row>
    <row r="823" spans="1:11" ht="15" hidden="1" customHeight="1" outlineLevel="1">
      <c r="A823" s="1587" t="s">
        <v>1270</v>
      </c>
      <c r="B823" s="1593"/>
      <c r="C823" s="1597" t="s">
        <v>1113</v>
      </c>
      <c r="D823" s="1595">
        <v>35000</v>
      </c>
      <c r="E823" s="1607">
        <v>1</v>
      </c>
      <c r="F823" s="1341">
        <f t="shared" si="50"/>
        <v>1</v>
      </c>
      <c r="G823" s="1341">
        <f t="shared" si="51"/>
        <v>1</v>
      </c>
      <c r="H823" s="1341">
        <f t="shared" si="52"/>
        <v>1</v>
      </c>
      <c r="I823" s="1341">
        <f t="shared" si="53"/>
        <v>1</v>
      </c>
      <c r="J823" s="1341">
        <f t="shared" si="54"/>
        <v>1</v>
      </c>
      <c r="K823" s="1341">
        <f t="shared" si="55"/>
        <v>1</v>
      </c>
    </row>
    <row r="824" spans="1:11" ht="15" hidden="1" customHeight="1" outlineLevel="1">
      <c r="A824" s="1587" t="s">
        <v>1270</v>
      </c>
      <c r="B824" s="1593"/>
      <c r="C824" s="1597" t="s">
        <v>1114</v>
      </c>
      <c r="D824" s="1595">
        <v>35000</v>
      </c>
      <c r="E824" s="1607">
        <v>1</v>
      </c>
      <c r="F824" s="1341">
        <f t="shared" si="50"/>
        <v>1</v>
      </c>
      <c r="G824" s="1341">
        <f t="shared" si="51"/>
        <v>1</v>
      </c>
      <c r="H824" s="1341">
        <f t="shared" si="52"/>
        <v>1</v>
      </c>
      <c r="I824" s="1341">
        <f t="shared" si="53"/>
        <v>1</v>
      </c>
      <c r="J824" s="1341">
        <f t="shared" si="54"/>
        <v>1</v>
      </c>
      <c r="K824" s="1341">
        <f t="shared" si="55"/>
        <v>1</v>
      </c>
    </row>
    <row r="825" spans="1:11" ht="15" hidden="1" customHeight="1" outlineLevel="1">
      <c r="A825" s="1587" t="s">
        <v>1270</v>
      </c>
      <c r="B825" s="1593"/>
      <c r="C825" s="1597" t="s">
        <v>1115</v>
      </c>
      <c r="D825" s="1595">
        <v>35000</v>
      </c>
      <c r="E825" s="1607">
        <v>1</v>
      </c>
      <c r="F825" s="1341">
        <f t="shared" si="50"/>
        <v>1</v>
      </c>
      <c r="G825" s="1341">
        <f t="shared" si="51"/>
        <v>1</v>
      </c>
      <c r="H825" s="1341">
        <f t="shared" si="52"/>
        <v>1</v>
      </c>
      <c r="I825" s="1341">
        <f t="shared" si="53"/>
        <v>1</v>
      </c>
      <c r="J825" s="1341">
        <f t="shared" si="54"/>
        <v>1</v>
      </c>
      <c r="K825" s="1341">
        <f t="shared" si="55"/>
        <v>1</v>
      </c>
    </row>
    <row r="826" spans="1:11" ht="15" hidden="1" customHeight="1" outlineLevel="1">
      <c r="A826" s="1587" t="s">
        <v>1270</v>
      </c>
      <c r="B826" s="1593"/>
      <c r="C826" s="1597" t="s">
        <v>1116</v>
      </c>
      <c r="D826" s="1595">
        <v>32000</v>
      </c>
      <c r="E826" s="1607">
        <v>1</v>
      </c>
      <c r="F826" s="1341">
        <f t="shared" si="50"/>
        <v>1</v>
      </c>
      <c r="G826" s="1341">
        <f t="shared" si="51"/>
        <v>1</v>
      </c>
      <c r="H826" s="1341">
        <f t="shared" si="52"/>
        <v>1</v>
      </c>
      <c r="I826" s="1341">
        <f t="shared" si="53"/>
        <v>1</v>
      </c>
      <c r="J826" s="1341">
        <f t="shared" si="54"/>
        <v>1</v>
      </c>
      <c r="K826" s="1341">
        <f t="shared" si="55"/>
        <v>1</v>
      </c>
    </row>
    <row r="827" spans="1:11" ht="15" hidden="1" customHeight="1" outlineLevel="1">
      <c r="A827" s="1587" t="s">
        <v>1270</v>
      </c>
      <c r="B827" s="1593"/>
      <c r="C827" s="1597" t="s">
        <v>1117</v>
      </c>
      <c r="D827" s="1595">
        <v>32000</v>
      </c>
      <c r="E827" s="1607">
        <v>1</v>
      </c>
      <c r="F827" s="1341">
        <f t="shared" si="50"/>
        <v>1</v>
      </c>
      <c r="G827" s="1341">
        <f t="shared" si="51"/>
        <v>1</v>
      </c>
      <c r="H827" s="1341">
        <f t="shared" si="52"/>
        <v>1</v>
      </c>
      <c r="I827" s="1341">
        <f t="shared" si="53"/>
        <v>1</v>
      </c>
      <c r="J827" s="1341">
        <f t="shared" si="54"/>
        <v>1</v>
      </c>
      <c r="K827" s="1341">
        <f t="shared" si="55"/>
        <v>1</v>
      </c>
    </row>
    <row r="828" spans="1:11" ht="15" hidden="1" customHeight="1" outlineLevel="1">
      <c r="A828" s="1587" t="s">
        <v>1270</v>
      </c>
      <c r="B828" s="1593"/>
      <c r="C828" s="1597" t="s">
        <v>1118</v>
      </c>
      <c r="D828" s="1595">
        <v>35000</v>
      </c>
      <c r="E828" s="1607">
        <v>1</v>
      </c>
      <c r="F828" s="1341">
        <f t="shared" si="50"/>
        <v>1</v>
      </c>
      <c r="G828" s="1341">
        <f t="shared" si="51"/>
        <v>1</v>
      </c>
      <c r="H828" s="1341">
        <f t="shared" si="52"/>
        <v>1</v>
      </c>
      <c r="I828" s="1341">
        <f t="shared" si="53"/>
        <v>1</v>
      </c>
      <c r="J828" s="1341">
        <f t="shared" si="54"/>
        <v>1</v>
      </c>
      <c r="K828" s="1341">
        <f t="shared" si="55"/>
        <v>1</v>
      </c>
    </row>
    <row r="829" spans="1:11" ht="15" hidden="1" customHeight="1" outlineLevel="1">
      <c r="A829" s="1587" t="s">
        <v>1270</v>
      </c>
      <c r="B829" s="1593"/>
      <c r="C829" s="1597" t="s">
        <v>1119</v>
      </c>
      <c r="D829" s="1595">
        <v>35000</v>
      </c>
      <c r="E829" s="1607">
        <v>1</v>
      </c>
      <c r="F829" s="1341">
        <f t="shared" si="50"/>
        <v>1</v>
      </c>
      <c r="G829" s="1341">
        <f t="shared" si="51"/>
        <v>1</v>
      </c>
      <c r="H829" s="1341">
        <f t="shared" si="52"/>
        <v>1</v>
      </c>
      <c r="I829" s="1341">
        <f t="shared" si="53"/>
        <v>1</v>
      </c>
      <c r="J829" s="1341">
        <f t="shared" si="54"/>
        <v>1</v>
      </c>
      <c r="K829" s="1341">
        <f t="shared" si="55"/>
        <v>1</v>
      </c>
    </row>
    <row r="830" spans="1:11" ht="15" hidden="1" customHeight="1" outlineLevel="1">
      <c r="A830" s="1587" t="s">
        <v>1270</v>
      </c>
      <c r="B830" s="1593"/>
      <c r="C830" s="1594"/>
      <c r="D830" s="1595">
        <v>0</v>
      </c>
      <c r="E830" s="1607"/>
      <c r="F830" s="1341">
        <f t="shared" si="50"/>
        <v>0</v>
      </c>
      <c r="G830" s="1341">
        <f t="shared" si="51"/>
        <v>0</v>
      </c>
      <c r="H830" s="1341">
        <f t="shared" si="52"/>
        <v>0</v>
      </c>
      <c r="I830" s="1341">
        <f t="shared" si="53"/>
        <v>0</v>
      </c>
      <c r="J830" s="1341">
        <f t="shared" si="54"/>
        <v>0</v>
      </c>
      <c r="K830" s="1341">
        <f t="shared" si="55"/>
        <v>0</v>
      </c>
    </row>
    <row r="831" spans="1:11" ht="15" hidden="1" customHeight="1" outlineLevel="1">
      <c r="A831" s="1587" t="s">
        <v>1270</v>
      </c>
      <c r="B831" s="1591" t="s">
        <v>1120</v>
      </c>
      <c r="C831" s="1588" t="s">
        <v>38</v>
      </c>
      <c r="D831" s="1589">
        <v>65000</v>
      </c>
      <c r="E831" s="1592">
        <v>1</v>
      </c>
      <c r="F831" s="1341">
        <f t="shared" si="50"/>
        <v>1</v>
      </c>
      <c r="G831" s="1341">
        <f t="shared" si="51"/>
        <v>1</v>
      </c>
      <c r="H831" s="1341">
        <f t="shared" si="52"/>
        <v>1</v>
      </c>
      <c r="I831" s="1341">
        <f t="shared" si="53"/>
        <v>1</v>
      </c>
      <c r="J831" s="1341">
        <f t="shared" si="54"/>
        <v>1</v>
      </c>
      <c r="K831" s="1341">
        <f t="shared" si="55"/>
        <v>1</v>
      </c>
    </row>
    <row r="832" spans="1:11" ht="15" hidden="1" customHeight="1" outlineLevel="1">
      <c r="A832" s="1587" t="s">
        <v>1270</v>
      </c>
      <c r="B832" s="1591"/>
      <c r="C832" s="1588" t="s">
        <v>1121</v>
      </c>
      <c r="D832" s="1589">
        <v>40000</v>
      </c>
      <c r="E832" s="1592">
        <v>1</v>
      </c>
      <c r="F832" s="1341">
        <f t="shared" si="50"/>
        <v>1</v>
      </c>
      <c r="G832" s="1341">
        <f t="shared" si="51"/>
        <v>1</v>
      </c>
      <c r="H832" s="1341">
        <f t="shared" si="52"/>
        <v>1</v>
      </c>
      <c r="I832" s="1341">
        <f t="shared" si="53"/>
        <v>1</v>
      </c>
      <c r="J832" s="1341">
        <f t="shared" si="54"/>
        <v>1</v>
      </c>
      <c r="K832" s="1341">
        <f t="shared" si="55"/>
        <v>1</v>
      </c>
    </row>
    <row r="833" spans="1:11" ht="15" hidden="1" customHeight="1" outlineLevel="1">
      <c r="A833" s="1587" t="s">
        <v>1270</v>
      </c>
      <c r="B833" s="1591"/>
      <c r="C833" s="1588" t="s">
        <v>1122</v>
      </c>
      <c r="D833" s="1589">
        <v>32000</v>
      </c>
      <c r="E833" s="1592">
        <v>2</v>
      </c>
      <c r="F833" s="1341">
        <f t="shared" si="50"/>
        <v>2</v>
      </c>
      <c r="G833" s="1341">
        <f t="shared" si="51"/>
        <v>2</v>
      </c>
      <c r="H833" s="1341">
        <f t="shared" si="52"/>
        <v>2</v>
      </c>
      <c r="I833" s="1341">
        <f t="shared" si="53"/>
        <v>2</v>
      </c>
      <c r="J833" s="1341">
        <f t="shared" si="54"/>
        <v>2</v>
      </c>
      <c r="K833" s="1341">
        <f t="shared" si="55"/>
        <v>2</v>
      </c>
    </row>
    <row r="834" spans="1:11" ht="15" hidden="1" customHeight="1" outlineLevel="1">
      <c r="A834" s="1587" t="s">
        <v>1270</v>
      </c>
      <c r="B834" s="1591"/>
      <c r="C834" s="1588"/>
      <c r="D834" s="1589">
        <v>0</v>
      </c>
      <c r="E834" s="1592"/>
      <c r="F834" s="1341">
        <f t="shared" si="50"/>
        <v>0</v>
      </c>
      <c r="G834" s="1341">
        <f t="shared" si="51"/>
        <v>0</v>
      </c>
      <c r="H834" s="1341">
        <f t="shared" si="52"/>
        <v>0</v>
      </c>
      <c r="I834" s="1341">
        <f t="shared" si="53"/>
        <v>0</v>
      </c>
      <c r="J834" s="1341">
        <f t="shared" si="54"/>
        <v>0</v>
      </c>
      <c r="K834" s="1341">
        <f t="shared" si="55"/>
        <v>0</v>
      </c>
    </row>
    <row r="835" spans="1:11" ht="15" hidden="1" customHeight="1" outlineLevel="1">
      <c r="A835" s="1587" t="s">
        <v>1270</v>
      </c>
      <c r="B835" s="1593" t="s">
        <v>1123</v>
      </c>
      <c r="C835" s="1594" t="s">
        <v>1124</v>
      </c>
      <c r="D835" s="1595">
        <v>32000</v>
      </c>
      <c r="E835" s="1607">
        <v>1</v>
      </c>
      <c r="F835" s="1341">
        <f t="shared" si="50"/>
        <v>1</v>
      </c>
      <c r="G835" s="1341">
        <f t="shared" si="51"/>
        <v>1</v>
      </c>
      <c r="H835" s="1341">
        <f t="shared" si="52"/>
        <v>1</v>
      </c>
      <c r="I835" s="1341">
        <f t="shared" si="53"/>
        <v>1</v>
      </c>
      <c r="J835" s="1341">
        <f t="shared" si="54"/>
        <v>1</v>
      </c>
      <c r="K835" s="1341">
        <f t="shared" si="55"/>
        <v>1</v>
      </c>
    </row>
    <row r="836" spans="1:11" ht="15" hidden="1" customHeight="1" outlineLevel="1">
      <c r="A836" s="1587" t="s">
        <v>1270</v>
      </c>
      <c r="B836" s="1593"/>
      <c r="C836" s="1594" t="s">
        <v>1125</v>
      </c>
      <c r="D836" s="1595">
        <v>32000</v>
      </c>
      <c r="E836" s="1607">
        <v>1</v>
      </c>
      <c r="F836" s="1341">
        <f t="shared" si="50"/>
        <v>1</v>
      </c>
      <c r="G836" s="1341">
        <f t="shared" si="51"/>
        <v>1</v>
      </c>
      <c r="H836" s="1341">
        <f t="shared" si="52"/>
        <v>1</v>
      </c>
      <c r="I836" s="1341">
        <f t="shared" si="53"/>
        <v>1</v>
      </c>
      <c r="J836" s="1341">
        <f t="shared" si="54"/>
        <v>1</v>
      </c>
      <c r="K836" s="1341">
        <f t="shared" si="55"/>
        <v>1</v>
      </c>
    </row>
    <row r="837" spans="1:11" ht="15" hidden="1" customHeight="1" outlineLevel="1">
      <c r="A837" s="1587" t="s">
        <v>1270</v>
      </c>
      <c r="B837" s="1593"/>
      <c r="C837" s="1594" t="s">
        <v>1126</v>
      </c>
      <c r="D837" s="1595">
        <v>50000</v>
      </c>
      <c r="E837" s="1607">
        <v>1</v>
      </c>
      <c r="F837" s="1341">
        <f t="shared" si="50"/>
        <v>1</v>
      </c>
      <c r="G837" s="1341">
        <f t="shared" si="51"/>
        <v>1</v>
      </c>
      <c r="H837" s="1341">
        <f t="shared" si="52"/>
        <v>1</v>
      </c>
      <c r="I837" s="1341">
        <f t="shared" si="53"/>
        <v>1</v>
      </c>
      <c r="J837" s="1341">
        <f t="shared" si="54"/>
        <v>1</v>
      </c>
      <c r="K837" s="1341">
        <f t="shared" si="55"/>
        <v>1</v>
      </c>
    </row>
    <row r="838" spans="1:11" ht="15" hidden="1" customHeight="1" outlineLevel="1">
      <c r="A838" s="1587" t="s">
        <v>1270</v>
      </c>
      <c r="B838" s="1593"/>
      <c r="C838" s="1594" t="s">
        <v>1127</v>
      </c>
      <c r="D838" s="1595">
        <v>35000</v>
      </c>
      <c r="E838" s="1607">
        <v>1</v>
      </c>
      <c r="F838" s="1341">
        <f t="shared" si="50"/>
        <v>1</v>
      </c>
      <c r="G838" s="1341">
        <f t="shared" si="51"/>
        <v>1</v>
      </c>
      <c r="H838" s="1341">
        <f t="shared" si="52"/>
        <v>1</v>
      </c>
      <c r="I838" s="1341">
        <f t="shared" si="53"/>
        <v>1</v>
      </c>
      <c r="J838" s="1341">
        <f t="shared" si="54"/>
        <v>1</v>
      </c>
      <c r="K838" s="1341">
        <f t="shared" si="55"/>
        <v>1</v>
      </c>
    </row>
    <row r="839" spans="1:11" ht="15" hidden="1" customHeight="1" outlineLevel="1">
      <c r="A839" s="1587" t="s">
        <v>1270</v>
      </c>
      <c r="B839" s="1593"/>
      <c r="C839" s="1594"/>
      <c r="D839" s="1595">
        <v>0</v>
      </c>
      <c r="E839" s="1607"/>
      <c r="F839" s="1341">
        <f t="shared" si="50"/>
        <v>0</v>
      </c>
      <c r="G839" s="1341">
        <f t="shared" si="51"/>
        <v>0</v>
      </c>
      <c r="H839" s="1341">
        <f t="shared" si="52"/>
        <v>0</v>
      </c>
      <c r="I839" s="1341">
        <f t="shared" si="53"/>
        <v>0</v>
      </c>
      <c r="J839" s="1341">
        <f t="shared" si="54"/>
        <v>0</v>
      </c>
      <c r="K839" s="1341">
        <f t="shared" si="55"/>
        <v>0</v>
      </c>
    </row>
    <row r="840" spans="1:11" ht="15" hidden="1" customHeight="1" outlineLevel="1">
      <c r="A840" s="1587" t="s">
        <v>1270</v>
      </c>
      <c r="B840" s="1591" t="s">
        <v>1128</v>
      </c>
      <c r="C840" s="1588" t="s">
        <v>1129</v>
      </c>
      <c r="D840" s="1589">
        <v>55000</v>
      </c>
      <c r="E840" s="1592">
        <v>1</v>
      </c>
      <c r="F840" s="1341">
        <f t="shared" si="50"/>
        <v>1</v>
      </c>
      <c r="G840" s="1341">
        <f t="shared" si="51"/>
        <v>1</v>
      </c>
      <c r="H840" s="1341">
        <f t="shared" si="52"/>
        <v>1</v>
      </c>
      <c r="I840" s="1341">
        <f t="shared" si="53"/>
        <v>1</v>
      </c>
      <c r="J840" s="1341">
        <f t="shared" si="54"/>
        <v>1</v>
      </c>
      <c r="K840" s="1341">
        <f t="shared" si="55"/>
        <v>1</v>
      </c>
    </row>
    <row r="841" spans="1:11" ht="15" hidden="1" customHeight="1" outlineLevel="1">
      <c r="A841" s="1587" t="s">
        <v>1270</v>
      </c>
      <c r="B841" s="1591"/>
      <c r="C841" s="1588" t="s">
        <v>1130</v>
      </c>
      <c r="D841" s="1589">
        <v>35000</v>
      </c>
      <c r="E841" s="1592">
        <v>1</v>
      </c>
      <c r="F841" s="1341">
        <f t="shared" si="50"/>
        <v>1</v>
      </c>
      <c r="G841" s="1341">
        <f t="shared" si="51"/>
        <v>1</v>
      </c>
      <c r="H841" s="1341">
        <f t="shared" si="52"/>
        <v>1</v>
      </c>
      <c r="I841" s="1341">
        <f t="shared" si="53"/>
        <v>1</v>
      </c>
      <c r="J841" s="1341">
        <f t="shared" si="54"/>
        <v>1</v>
      </c>
      <c r="K841" s="1341">
        <f t="shared" si="55"/>
        <v>1</v>
      </c>
    </row>
    <row r="842" spans="1:11" ht="15" hidden="1" customHeight="1" outlineLevel="1">
      <c r="A842" s="1587" t="s">
        <v>1270</v>
      </c>
      <c r="B842" s="1591"/>
      <c r="C842" s="1588"/>
      <c r="D842" s="1589">
        <v>0</v>
      </c>
      <c r="E842" s="1592"/>
      <c r="F842" s="1341">
        <f t="shared" si="50"/>
        <v>0</v>
      </c>
      <c r="G842" s="1341">
        <f t="shared" si="51"/>
        <v>0</v>
      </c>
      <c r="H842" s="1341">
        <f t="shared" si="52"/>
        <v>0</v>
      </c>
      <c r="I842" s="1341">
        <f t="shared" si="53"/>
        <v>0</v>
      </c>
      <c r="J842" s="1341">
        <f t="shared" si="54"/>
        <v>0</v>
      </c>
      <c r="K842" s="1341">
        <f t="shared" si="55"/>
        <v>0</v>
      </c>
    </row>
    <row r="843" spans="1:11" ht="15" hidden="1" customHeight="1" outlineLevel="1">
      <c r="A843" s="1598" t="s">
        <v>1271</v>
      </c>
      <c r="B843" s="1594" t="s">
        <v>1132</v>
      </c>
      <c r="C843" s="1594" t="s">
        <v>32</v>
      </c>
      <c r="D843" s="1595">
        <v>65000</v>
      </c>
      <c r="E843" s="1603">
        <v>1</v>
      </c>
      <c r="F843" s="1341">
        <f t="shared" si="50"/>
        <v>1</v>
      </c>
      <c r="G843" s="1341">
        <f t="shared" si="51"/>
        <v>1</v>
      </c>
      <c r="H843" s="1341">
        <f t="shared" si="52"/>
        <v>1</v>
      </c>
      <c r="I843" s="1341">
        <f t="shared" si="53"/>
        <v>1</v>
      </c>
      <c r="J843" s="1341">
        <f t="shared" si="54"/>
        <v>1</v>
      </c>
      <c r="K843" s="1341">
        <f t="shared" si="55"/>
        <v>1</v>
      </c>
    </row>
    <row r="844" spans="1:11" ht="15" hidden="1" customHeight="1" outlineLevel="1">
      <c r="A844" s="1598" t="s">
        <v>1271</v>
      </c>
      <c r="B844" s="1594"/>
      <c r="C844" s="1599" t="s">
        <v>1133</v>
      </c>
      <c r="D844" s="1595">
        <v>45000</v>
      </c>
      <c r="E844" s="1603">
        <v>2</v>
      </c>
      <c r="F844" s="1341">
        <f t="shared" si="50"/>
        <v>2</v>
      </c>
      <c r="G844" s="1341">
        <f t="shared" si="51"/>
        <v>2</v>
      </c>
      <c r="H844" s="1341">
        <f t="shared" si="52"/>
        <v>2</v>
      </c>
      <c r="I844" s="1341">
        <f t="shared" si="53"/>
        <v>2</v>
      </c>
      <c r="J844" s="1341">
        <f t="shared" si="54"/>
        <v>2</v>
      </c>
      <c r="K844" s="1341">
        <f t="shared" si="55"/>
        <v>2</v>
      </c>
    </row>
    <row r="845" spans="1:11" ht="15" hidden="1" customHeight="1" outlineLevel="1">
      <c r="A845" s="1598" t="s">
        <v>1271</v>
      </c>
      <c r="B845" s="1594"/>
      <c r="C845" s="1599" t="s">
        <v>1134</v>
      </c>
      <c r="D845" s="1595">
        <v>45000</v>
      </c>
      <c r="E845" s="1603">
        <v>2</v>
      </c>
      <c r="F845" s="1341">
        <f t="shared" si="50"/>
        <v>2</v>
      </c>
      <c r="G845" s="1341">
        <f t="shared" si="51"/>
        <v>2</v>
      </c>
      <c r="H845" s="1341">
        <f t="shared" si="52"/>
        <v>2</v>
      </c>
      <c r="I845" s="1341">
        <f t="shared" si="53"/>
        <v>2</v>
      </c>
      <c r="J845" s="1341">
        <f t="shared" si="54"/>
        <v>2</v>
      </c>
      <c r="K845" s="1341">
        <f t="shared" si="55"/>
        <v>2</v>
      </c>
    </row>
    <row r="846" spans="1:11" ht="15" hidden="1" customHeight="1" outlineLevel="1">
      <c r="A846" s="1598" t="s">
        <v>1271</v>
      </c>
      <c r="B846" s="1594"/>
      <c r="C846" s="1594" t="s">
        <v>1135</v>
      </c>
      <c r="D846" s="1595">
        <v>45000</v>
      </c>
      <c r="E846" s="1603">
        <v>0</v>
      </c>
      <c r="F846" s="1341">
        <f t="shared" si="50"/>
        <v>0</v>
      </c>
      <c r="G846" s="1341">
        <f t="shared" si="51"/>
        <v>0</v>
      </c>
      <c r="H846" s="1341">
        <f t="shared" si="52"/>
        <v>0</v>
      </c>
      <c r="I846" s="1341">
        <f t="shared" si="53"/>
        <v>0</v>
      </c>
      <c r="J846" s="1341">
        <f t="shared" si="54"/>
        <v>0</v>
      </c>
      <c r="K846" s="1341">
        <f t="shared" si="55"/>
        <v>0</v>
      </c>
    </row>
    <row r="847" spans="1:11" ht="15" hidden="1" customHeight="1" outlineLevel="1">
      <c r="A847" s="1598" t="s">
        <v>1271</v>
      </c>
      <c r="B847" s="1594"/>
      <c r="C847" s="1593" t="s">
        <v>1136</v>
      </c>
      <c r="D847" s="1595">
        <v>32000</v>
      </c>
      <c r="E847" s="1607">
        <v>2</v>
      </c>
      <c r="F847" s="1341">
        <f t="shared" si="50"/>
        <v>2</v>
      </c>
      <c r="G847" s="1341">
        <f t="shared" si="51"/>
        <v>2</v>
      </c>
      <c r="H847" s="1341">
        <f t="shared" si="52"/>
        <v>2</v>
      </c>
      <c r="I847" s="1341">
        <f t="shared" si="53"/>
        <v>2</v>
      </c>
      <c r="J847" s="1341">
        <f t="shared" si="54"/>
        <v>2</v>
      </c>
      <c r="K847" s="1341">
        <f t="shared" si="55"/>
        <v>2</v>
      </c>
    </row>
    <row r="848" spans="1:11" ht="15" hidden="1" customHeight="1" outlineLevel="1">
      <c r="A848" s="1598" t="s">
        <v>1271</v>
      </c>
      <c r="B848" s="1594"/>
      <c r="C848" s="1593" t="s">
        <v>1137</v>
      </c>
      <c r="D848" s="1595">
        <v>65000</v>
      </c>
      <c r="E848" s="1607">
        <v>0</v>
      </c>
      <c r="F848" s="1341">
        <f t="shared" si="50"/>
        <v>0</v>
      </c>
      <c r="G848" s="1341">
        <f t="shared" si="51"/>
        <v>0</v>
      </c>
      <c r="H848" s="1341">
        <f t="shared" si="52"/>
        <v>0</v>
      </c>
      <c r="I848" s="1341">
        <f t="shared" si="53"/>
        <v>0</v>
      </c>
      <c r="J848" s="1341">
        <f t="shared" si="54"/>
        <v>0</v>
      </c>
      <c r="K848" s="1341">
        <f t="shared" si="55"/>
        <v>0</v>
      </c>
    </row>
    <row r="849" spans="1:11" ht="15" hidden="1" customHeight="1" outlineLevel="1">
      <c r="A849" s="1598" t="s">
        <v>1271</v>
      </c>
      <c r="B849" s="1594"/>
      <c r="C849" s="1593" t="s">
        <v>1138</v>
      </c>
      <c r="D849" s="1595">
        <v>35000</v>
      </c>
      <c r="E849" s="1607">
        <v>0</v>
      </c>
      <c r="F849" s="1341">
        <f t="shared" si="50"/>
        <v>0</v>
      </c>
      <c r="G849" s="1341">
        <f t="shared" si="51"/>
        <v>0</v>
      </c>
      <c r="H849" s="1341">
        <f t="shared" si="52"/>
        <v>0</v>
      </c>
      <c r="I849" s="1341">
        <f t="shared" si="53"/>
        <v>0</v>
      </c>
      <c r="J849" s="1341">
        <f t="shared" si="54"/>
        <v>0</v>
      </c>
      <c r="K849" s="1341">
        <f t="shared" si="55"/>
        <v>0</v>
      </c>
    </row>
    <row r="850" spans="1:11" ht="15" hidden="1" customHeight="1" outlineLevel="1">
      <c r="A850" s="1598" t="s">
        <v>1271</v>
      </c>
      <c r="B850" s="1594"/>
      <c r="C850" s="1593" t="s">
        <v>1139</v>
      </c>
      <c r="D850" s="1595">
        <v>45000</v>
      </c>
      <c r="E850" s="1607">
        <v>1</v>
      </c>
      <c r="F850" s="1341">
        <f t="shared" si="50"/>
        <v>1</v>
      </c>
      <c r="G850" s="1341">
        <f t="shared" si="51"/>
        <v>1</v>
      </c>
      <c r="H850" s="1341">
        <f t="shared" si="52"/>
        <v>1</v>
      </c>
      <c r="I850" s="1341">
        <f t="shared" si="53"/>
        <v>1</v>
      </c>
      <c r="J850" s="1341">
        <f t="shared" si="54"/>
        <v>1</v>
      </c>
      <c r="K850" s="1341">
        <f t="shared" si="55"/>
        <v>1</v>
      </c>
    </row>
    <row r="851" spans="1:11" ht="15" hidden="1" customHeight="1" outlineLevel="1">
      <c r="A851" s="1598" t="s">
        <v>1271</v>
      </c>
      <c r="B851" s="1594"/>
      <c r="C851" s="1593" t="s">
        <v>40</v>
      </c>
      <c r="D851" s="1595">
        <v>32000</v>
      </c>
      <c r="E851" s="1607">
        <v>1</v>
      </c>
      <c r="F851" s="1341">
        <f t="shared" si="50"/>
        <v>1</v>
      </c>
      <c r="G851" s="1341">
        <f t="shared" si="51"/>
        <v>1</v>
      </c>
      <c r="H851" s="1341">
        <f t="shared" si="52"/>
        <v>1</v>
      </c>
      <c r="I851" s="1341">
        <f t="shared" si="53"/>
        <v>1</v>
      </c>
      <c r="J851" s="1341">
        <f t="shared" si="54"/>
        <v>1</v>
      </c>
      <c r="K851" s="1341">
        <f t="shared" si="55"/>
        <v>1</v>
      </c>
    </row>
    <row r="852" spans="1:11" ht="15" hidden="1" customHeight="1" outlineLevel="1">
      <c r="A852" s="1598" t="s">
        <v>1271</v>
      </c>
      <c r="B852" s="1594"/>
      <c r="C852" s="1593"/>
      <c r="D852" s="1595">
        <v>0</v>
      </c>
      <c r="E852" s="1607"/>
      <c r="F852" s="1341">
        <f t="shared" si="50"/>
        <v>0</v>
      </c>
      <c r="G852" s="1341">
        <f t="shared" si="51"/>
        <v>0</v>
      </c>
      <c r="H852" s="1341">
        <f t="shared" si="52"/>
        <v>0</v>
      </c>
      <c r="I852" s="1341">
        <f t="shared" si="53"/>
        <v>0</v>
      </c>
      <c r="J852" s="1341">
        <f t="shared" si="54"/>
        <v>0</v>
      </c>
      <c r="K852" s="1341">
        <f t="shared" si="55"/>
        <v>0</v>
      </c>
    </row>
    <row r="853" spans="1:11" ht="15" hidden="1" customHeight="1" outlineLevel="1">
      <c r="A853" s="1587" t="s">
        <v>1272</v>
      </c>
      <c r="B853" s="1588" t="s">
        <v>1141</v>
      </c>
      <c r="C853" s="1591" t="s">
        <v>1142</v>
      </c>
      <c r="D853" s="1589">
        <v>65000</v>
      </c>
      <c r="E853" s="1589">
        <v>1</v>
      </c>
      <c r="F853" s="1341">
        <f t="shared" si="50"/>
        <v>1</v>
      </c>
      <c r="G853" s="1341">
        <f t="shared" si="51"/>
        <v>1</v>
      </c>
      <c r="H853" s="1341">
        <f t="shared" si="52"/>
        <v>1</v>
      </c>
      <c r="I853" s="1341">
        <f t="shared" si="53"/>
        <v>1</v>
      </c>
      <c r="J853" s="1341">
        <f t="shared" si="54"/>
        <v>1</v>
      </c>
      <c r="K853" s="1341">
        <f t="shared" si="55"/>
        <v>1</v>
      </c>
    </row>
    <row r="854" spans="1:11" ht="15" hidden="1" customHeight="1" outlineLevel="1">
      <c r="A854" s="1587" t="s">
        <v>1272</v>
      </c>
      <c r="B854" s="1588"/>
      <c r="C854" s="1600" t="s">
        <v>1143</v>
      </c>
      <c r="D854" s="1589">
        <v>45000</v>
      </c>
      <c r="E854" s="1589">
        <v>2</v>
      </c>
      <c r="F854" s="1341">
        <f t="shared" si="50"/>
        <v>2</v>
      </c>
      <c r="G854" s="1341">
        <f t="shared" si="51"/>
        <v>2</v>
      </c>
      <c r="H854" s="1341">
        <f t="shared" si="52"/>
        <v>2</v>
      </c>
      <c r="I854" s="1341">
        <f t="shared" si="53"/>
        <v>2</v>
      </c>
      <c r="J854" s="1341">
        <f t="shared" si="54"/>
        <v>2</v>
      </c>
      <c r="K854" s="1341">
        <f t="shared" si="55"/>
        <v>2</v>
      </c>
    </row>
    <row r="855" spans="1:11" ht="15" hidden="1" customHeight="1" outlineLevel="1">
      <c r="A855" s="1587" t="s">
        <v>1272</v>
      </c>
      <c r="B855" s="1588"/>
      <c r="C855" s="1601" t="s">
        <v>1144</v>
      </c>
      <c r="D855" s="1589">
        <v>35000</v>
      </c>
      <c r="E855" s="1589">
        <v>2</v>
      </c>
      <c r="F855" s="1341">
        <f t="shared" si="50"/>
        <v>2</v>
      </c>
      <c r="G855" s="1341">
        <f t="shared" si="51"/>
        <v>2</v>
      </c>
      <c r="H855" s="1341">
        <f t="shared" si="52"/>
        <v>2</v>
      </c>
      <c r="I855" s="1341">
        <f t="shared" si="53"/>
        <v>2</v>
      </c>
      <c r="J855" s="1341">
        <f t="shared" si="54"/>
        <v>2</v>
      </c>
      <c r="K855" s="1341">
        <f t="shared" si="55"/>
        <v>2</v>
      </c>
    </row>
    <row r="856" spans="1:11" ht="15" hidden="1" customHeight="1" outlineLevel="1">
      <c r="A856" s="1587" t="s">
        <v>1272</v>
      </c>
      <c r="B856" s="1588"/>
      <c r="C856" s="1588" t="s">
        <v>1145</v>
      </c>
      <c r="D856" s="1589">
        <v>32000</v>
      </c>
      <c r="E856" s="1589">
        <v>3</v>
      </c>
      <c r="F856" s="1341">
        <f t="shared" si="50"/>
        <v>3</v>
      </c>
      <c r="G856" s="1341">
        <f t="shared" si="51"/>
        <v>3</v>
      </c>
      <c r="H856" s="1341">
        <f t="shared" si="52"/>
        <v>3</v>
      </c>
      <c r="I856" s="1341">
        <f t="shared" si="53"/>
        <v>3</v>
      </c>
      <c r="J856" s="1341">
        <f t="shared" si="54"/>
        <v>3</v>
      </c>
      <c r="K856" s="1341">
        <f t="shared" si="55"/>
        <v>3</v>
      </c>
    </row>
    <row r="857" spans="1:11" ht="15" hidden="1" customHeight="1" outlineLevel="1">
      <c r="A857" s="1587" t="s">
        <v>1272</v>
      </c>
      <c r="B857" s="1588"/>
      <c r="C857" s="1588" t="s">
        <v>1146</v>
      </c>
      <c r="D857" s="1589">
        <v>35000</v>
      </c>
      <c r="E857" s="1589">
        <v>2</v>
      </c>
      <c r="F857" s="1341">
        <f t="shared" si="50"/>
        <v>2</v>
      </c>
      <c r="G857" s="1341">
        <f t="shared" si="51"/>
        <v>2</v>
      </c>
      <c r="H857" s="1341">
        <f t="shared" si="52"/>
        <v>2</v>
      </c>
      <c r="I857" s="1341">
        <f t="shared" si="53"/>
        <v>2</v>
      </c>
      <c r="J857" s="1341">
        <f t="shared" si="54"/>
        <v>2</v>
      </c>
      <c r="K857" s="1341">
        <f t="shared" si="55"/>
        <v>2</v>
      </c>
    </row>
    <row r="858" spans="1:11" ht="15" hidden="1" customHeight="1" outlineLevel="1">
      <c r="A858" s="1587" t="s">
        <v>1272</v>
      </c>
      <c r="B858" s="1588"/>
      <c r="C858" s="1602" t="s">
        <v>1147</v>
      </c>
      <c r="D858" s="1589">
        <v>32000</v>
      </c>
      <c r="E858" s="1589">
        <v>3</v>
      </c>
      <c r="F858" s="1341">
        <f t="shared" si="50"/>
        <v>3</v>
      </c>
      <c r="G858" s="1341">
        <f t="shared" si="51"/>
        <v>3</v>
      </c>
      <c r="H858" s="1341">
        <f t="shared" si="52"/>
        <v>3</v>
      </c>
      <c r="I858" s="1341">
        <f t="shared" si="53"/>
        <v>3</v>
      </c>
      <c r="J858" s="1341">
        <f t="shared" si="54"/>
        <v>3</v>
      </c>
      <c r="K858" s="1341">
        <f t="shared" si="55"/>
        <v>3</v>
      </c>
    </row>
    <row r="859" spans="1:11" ht="15" hidden="1" customHeight="1" outlineLevel="1">
      <c r="A859" s="1587" t="s">
        <v>1272</v>
      </c>
      <c r="B859" s="1588"/>
      <c r="C859" s="1591" t="s">
        <v>1148</v>
      </c>
      <c r="D859" s="1589">
        <v>30000</v>
      </c>
      <c r="E859" s="1589">
        <v>3</v>
      </c>
      <c r="F859" s="1341">
        <f t="shared" si="50"/>
        <v>3</v>
      </c>
      <c r="G859" s="1341">
        <f t="shared" si="51"/>
        <v>3</v>
      </c>
      <c r="H859" s="1341">
        <f t="shared" si="52"/>
        <v>3</v>
      </c>
      <c r="I859" s="1341">
        <f t="shared" si="53"/>
        <v>3</v>
      </c>
      <c r="J859" s="1341">
        <f t="shared" si="54"/>
        <v>3</v>
      </c>
      <c r="K859" s="1341">
        <f t="shared" si="55"/>
        <v>3</v>
      </c>
    </row>
    <row r="860" spans="1:11" ht="15" hidden="1" customHeight="1" outlineLevel="1">
      <c r="A860" s="1587" t="s">
        <v>1272</v>
      </c>
      <c r="B860" s="1588"/>
      <c r="C860" s="1591" t="s">
        <v>1149</v>
      </c>
      <c r="D860" s="1589">
        <v>30000</v>
      </c>
      <c r="E860" s="1589">
        <v>3</v>
      </c>
      <c r="F860" s="1341">
        <f t="shared" si="50"/>
        <v>3</v>
      </c>
      <c r="G860" s="1341">
        <f t="shared" si="51"/>
        <v>3</v>
      </c>
      <c r="H860" s="1341">
        <f t="shared" si="52"/>
        <v>3</v>
      </c>
      <c r="I860" s="1341">
        <f t="shared" si="53"/>
        <v>3</v>
      </c>
      <c r="J860" s="1341">
        <f t="shared" si="54"/>
        <v>3</v>
      </c>
      <c r="K860" s="1341">
        <f t="shared" si="55"/>
        <v>3</v>
      </c>
    </row>
    <row r="861" spans="1:11" ht="15" hidden="1" customHeight="1" outlineLevel="1">
      <c r="A861" s="1587" t="s">
        <v>1272</v>
      </c>
      <c r="B861" s="1588"/>
      <c r="C861" s="1591" t="s">
        <v>1150</v>
      </c>
      <c r="D861" s="1589">
        <v>30000</v>
      </c>
      <c r="E861" s="1589">
        <v>4</v>
      </c>
      <c r="F861" s="1341">
        <f t="shared" si="50"/>
        <v>4</v>
      </c>
      <c r="G861" s="1341">
        <f t="shared" si="51"/>
        <v>4</v>
      </c>
      <c r="H861" s="1341">
        <f t="shared" si="52"/>
        <v>4</v>
      </c>
      <c r="I861" s="1341">
        <f t="shared" si="53"/>
        <v>4</v>
      </c>
      <c r="J861" s="1341">
        <f t="shared" si="54"/>
        <v>4</v>
      </c>
      <c r="K861" s="1341">
        <f t="shared" si="55"/>
        <v>4</v>
      </c>
    </row>
    <row r="862" spans="1:11" ht="15" hidden="1" customHeight="1" outlineLevel="1">
      <c r="A862" s="1587" t="s">
        <v>1272</v>
      </c>
      <c r="B862" s="1588"/>
      <c r="C862" s="1591"/>
      <c r="D862" s="1589">
        <v>0</v>
      </c>
      <c r="E862" s="1589"/>
      <c r="F862" s="1341">
        <f t="shared" si="50"/>
        <v>0</v>
      </c>
      <c r="G862" s="1341">
        <f t="shared" si="51"/>
        <v>0</v>
      </c>
      <c r="H862" s="1341">
        <f t="shared" si="52"/>
        <v>0</v>
      </c>
      <c r="I862" s="1341">
        <f t="shared" si="53"/>
        <v>0</v>
      </c>
      <c r="J862" s="1341">
        <f t="shared" si="54"/>
        <v>0</v>
      </c>
      <c r="K862" s="1341">
        <f t="shared" si="55"/>
        <v>0</v>
      </c>
    </row>
    <row r="863" spans="1:11" ht="15" hidden="1" customHeight="1" outlineLevel="1">
      <c r="A863" s="1598" t="s">
        <v>1273</v>
      </c>
      <c r="B863" s="1594" t="s">
        <v>1152</v>
      </c>
      <c r="C863" s="1593" t="s">
        <v>1153</v>
      </c>
      <c r="D863" s="1595">
        <v>65000</v>
      </c>
      <c r="E863" s="1603">
        <v>1</v>
      </c>
      <c r="F863" s="1341">
        <f t="shared" si="50"/>
        <v>1</v>
      </c>
      <c r="G863" s="1341">
        <f t="shared" si="51"/>
        <v>1</v>
      </c>
      <c r="H863" s="1341">
        <f t="shared" si="52"/>
        <v>1</v>
      </c>
      <c r="I863" s="1341">
        <f t="shared" si="53"/>
        <v>1</v>
      </c>
      <c r="J863" s="1341">
        <f t="shared" si="54"/>
        <v>1</v>
      </c>
      <c r="K863" s="1341">
        <f t="shared" si="55"/>
        <v>1</v>
      </c>
    </row>
    <row r="864" spans="1:11" ht="15" hidden="1" customHeight="1" outlineLevel="1">
      <c r="A864" s="1598" t="s">
        <v>1273</v>
      </c>
      <c r="B864" s="1594"/>
      <c r="C864" s="1593" t="s">
        <v>1154</v>
      </c>
      <c r="D864" s="1595">
        <v>50000</v>
      </c>
      <c r="E864" s="1595">
        <v>2</v>
      </c>
      <c r="F864" s="1341">
        <f t="shared" si="50"/>
        <v>2</v>
      </c>
      <c r="G864" s="1341">
        <f t="shared" si="51"/>
        <v>2</v>
      </c>
      <c r="H864" s="1341">
        <f t="shared" si="52"/>
        <v>2</v>
      </c>
      <c r="I864" s="1341">
        <f t="shared" si="53"/>
        <v>2</v>
      </c>
      <c r="J864" s="1341">
        <f t="shared" si="54"/>
        <v>2</v>
      </c>
      <c r="K864" s="1341">
        <f t="shared" si="55"/>
        <v>2</v>
      </c>
    </row>
    <row r="865" spans="1:11" ht="15" hidden="1" customHeight="1" outlineLevel="1">
      <c r="A865" s="1598" t="s">
        <v>1273</v>
      </c>
      <c r="B865" s="1594"/>
      <c r="C865" s="1593" t="s">
        <v>1155</v>
      </c>
      <c r="D865" s="1595">
        <v>38000</v>
      </c>
      <c r="E865" s="1595">
        <v>2</v>
      </c>
      <c r="F865" s="1341">
        <f t="shared" si="50"/>
        <v>2</v>
      </c>
      <c r="G865" s="1341">
        <f t="shared" si="51"/>
        <v>2</v>
      </c>
      <c r="H865" s="1341">
        <f t="shared" si="52"/>
        <v>2</v>
      </c>
      <c r="I865" s="1341">
        <f t="shared" si="53"/>
        <v>2</v>
      </c>
      <c r="J865" s="1341">
        <f t="shared" si="54"/>
        <v>2</v>
      </c>
      <c r="K865" s="1341">
        <f t="shared" si="55"/>
        <v>2</v>
      </c>
    </row>
    <row r="866" spans="1:11" ht="15" hidden="1" customHeight="1" outlineLevel="1">
      <c r="A866" s="1598" t="s">
        <v>1273</v>
      </c>
      <c r="B866" s="1594"/>
      <c r="C866" s="1593" t="s">
        <v>1156</v>
      </c>
      <c r="D866" s="1595">
        <v>25000</v>
      </c>
      <c r="E866" s="1603">
        <v>18</v>
      </c>
      <c r="F866" s="1341">
        <f t="shared" si="50"/>
        <v>18</v>
      </c>
      <c r="G866" s="1341">
        <f t="shared" si="51"/>
        <v>18</v>
      </c>
      <c r="H866" s="1341">
        <f t="shared" si="52"/>
        <v>18</v>
      </c>
      <c r="I866" s="1341">
        <f t="shared" si="53"/>
        <v>18</v>
      </c>
      <c r="J866" s="1341">
        <f t="shared" si="54"/>
        <v>18</v>
      </c>
      <c r="K866" s="1341">
        <f t="shared" si="55"/>
        <v>18</v>
      </c>
    </row>
    <row r="867" spans="1:11" ht="15" hidden="1" customHeight="1" outlineLevel="1">
      <c r="A867" s="1598" t="s">
        <v>1273</v>
      </c>
      <c r="B867" s="1594"/>
      <c r="C867" s="1594" t="s">
        <v>1157</v>
      </c>
      <c r="D867" s="1603">
        <v>23000</v>
      </c>
      <c r="E867" s="1595">
        <v>6</v>
      </c>
      <c r="F867" s="1341">
        <f t="shared" si="50"/>
        <v>6</v>
      </c>
      <c r="G867" s="1341">
        <f t="shared" si="51"/>
        <v>6</v>
      </c>
      <c r="H867" s="1341">
        <f t="shared" si="52"/>
        <v>6</v>
      </c>
      <c r="I867" s="1341">
        <f t="shared" si="53"/>
        <v>6</v>
      </c>
      <c r="J867" s="1341">
        <f t="shared" si="54"/>
        <v>6</v>
      </c>
      <c r="K867" s="1341">
        <f t="shared" si="55"/>
        <v>6</v>
      </c>
    </row>
    <row r="868" spans="1:11" ht="15" hidden="1" customHeight="1" outlineLevel="1">
      <c r="A868" s="1598" t="s">
        <v>1273</v>
      </c>
      <c r="B868" s="1594"/>
      <c r="C868" s="1593" t="s">
        <v>1158</v>
      </c>
      <c r="D868" s="1595">
        <v>21000</v>
      </c>
      <c r="E868" s="1595">
        <v>3</v>
      </c>
      <c r="F868" s="1341">
        <f t="shared" si="50"/>
        <v>3</v>
      </c>
      <c r="G868" s="1341">
        <f t="shared" si="51"/>
        <v>3</v>
      </c>
      <c r="H868" s="1341">
        <f t="shared" si="52"/>
        <v>3</v>
      </c>
      <c r="I868" s="1341">
        <f t="shared" si="53"/>
        <v>3</v>
      </c>
      <c r="J868" s="1341">
        <f t="shared" si="54"/>
        <v>3</v>
      </c>
      <c r="K868" s="1341">
        <f t="shared" si="55"/>
        <v>3</v>
      </c>
    </row>
    <row r="869" spans="1:11" ht="15" hidden="1" customHeight="1" outlineLevel="1">
      <c r="A869" s="1598" t="s">
        <v>1273</v>
      </c>
      <c r="B869" s="1594"/>
      <c r="C869" s="1593"/>
      <c r="D869" s="1595">
        <v>0</v>
      </c>
      <c r="E869" s="1595"/>
      <c r="F869" s="1341">
        <f t="shared" si="50"/>
        <v>0</v>
      </c>
      <c r="G869" s="1341">
        <f t="shared" si="51"/>
        <v>0</v>
      </c>
      <c r="H869" s="1341">
        <f t="shared" si="52"/>
        <v>0</v>
      </c>
      <c r="I869" s="1341">
        <f t="shared" si="53"/>
        <v>0</v>
      </c>
      <c r="J869" s="1341">
        <f t="shared" si="54"/>
        <v>0</v>
      </c>
      <c r="K869" s="1341">
        <f t="shared" si="55"/>
        <v>0</v>
      </c>
    </row>
    <row r="870" spans="1:11" ht="15" hidden="1" customHeight="1" outlineLevel="1">
      <c r="A870" s="1598" t="s">
        <v>1273</v>
      </c>
      <c r="B870" s="1590" t="s">
        <v>1159</v>
      </c>
      <c r="C870" s="1591" t="s">
        <v>1160</v>
      </c>
      <c r="D870" s="1589">
        <v>65000</v>
      </c>
      <c r="E870" s="1589">
        <v>1</v>
      </c>
      <c r="F870" s="1341">
        <f t="shared" si="50"/>
        <v>1</v>
      </c>
      <c r="G870" s="1341">
        <f t="shared" si="51"/>
        <v>1</v>
      </c>
      <c r="H870" s="1341">
        <f t="shared" si="52"/>
        <v>1</v>
      </c>
      <c r="I870" s="1341">
        <f t="shared" si="53"/>
        <v>1</v>
      </c>
      <c r="J870" s="1341">
        <f t="shared" si="54"/>
        <v>1</v>
      </c>
      <c r="K870" s="1341">
        <f t="shared" si="55"/>
        <v>1</v>
      </c>
    </row>
    <row r="871" spans="1:11" ht="15" hidden="1" customHeight="1" outlineLevel="1">
      <c r="A871" s="1598" t="s">
        <v>1273</v>
      </c>
      <c r="B871" s="1590"/>
      <c r="C871" s="1591" t="s">
        <v>1161</v>
      </c>
      <c r="D871" s="1589">
        <v>35000</v>
      </c>
      <c r="E871" s="1589">
        <v>2</v>
      </c>
      <c r="F871" s="1341">
        <f t="shared" si="50"/>
        <v>2</v>
      </c>
      <c r="G871" s="1341">
        <f t="shared" si="51"/>
        <v>2</v>
      </c>
      <c r="H871" s="1341">
        <f t="shared" si="52"/>
        <v>2</v>
      </c>
      <c r="I871" s="1341">
        <f t="shared" si="53"/>
        <v>2</v>
      </c>
      <c r="J871" s="1341">
        <f t="shared" si="54"/>
        <v>2</v>
      </c>
      <c r="K871" s="1341">
        <f t="shared" si="55"/>
        <v>2</v>
      </c>
    </row>
    <row r="872" spans="1:11" ht="15" hidden="1" customHeight="1" outlineLevel="1">
      <c r="A872" s="1598" t="s">
        <v>1273</v>
      </c>
      <c r="B872" s="1590"/>
      <c r="C872" s="1591" t="s">
        <v>1162</v>
      </c>
      <c r="D872" s="1589">
        <v>30000</v>
      </c>
      <c r="E872" s="1589">
        <v>3</v>
      </c>
      <c r="F872" s="1341">
        <f t="shared" si="50"/>
        <v>3</v>
      </c>
      <c r="G872" s="1341">
        <f t="shared" si="51"/>
        <v>3</v>
      </c>
      <c r="H872" s="1341">
        <f t="shared" si="52"/>
        <v>3</v>
      </c>
      <c r="I872" s="1341">
        <f t="shared" si="53"/>
        <v>3</v>
      </c>
      <c r="J872" s="1341">
        <f t="shared" si="54"/>
        <v>3</v>
      </c>
      <c r="K872" s="1341">
        <f t="shared" si="55"/>
        <v>3</v>
      </c>
    </row>
    <row r="873" spans="1:11" ht="15" hidden="1" customHeight="1" outlineLevel="1">
      <c r="A873" s="1598" t="s">
        <v>1273</v>
      </c>
      <c r="B873" s="1590"/>
      <c r="C873" s="1591" t="s">
        <v>1163</v>
      </c>
      <c r="D873" s="1589">
        <v>35000</v>
      </c>
      <c r="E873" s="1589">
        <v>1</v>
      </c>
      <c r="F873" s="1341">
        <f t="shared" si="50"/>
        <v>1</v>
      </c>
      <c r="G873" s="1341">
        <f t="shared" si="51"/>
        <v>1</v>
      </c>
      <c r="H873" s="1341">
        <f t="shared" si="52"/>
        <v>1</v>
      </c>
      <c r="I873" s="1341">
        <f t="shared" si="53"/>
        <v>1</v>
      </c>
      <c r="J873" s="1341">
        <f t="shared" si="54"/>
        <v>1</v>
      </c>
      <c r="K873" s="1341">
        <f t="shared" si="55"/>
        <v>1</v>
      </c>
    </row>
    <row r="874" spans="1:11" ht="15" hidden="1" customHeight="1" outlineLevel="1">
      <c r="A874" s="1598" t="s">
        <v>1273</v>
      </c>
      <c r="B874" s="1590"/>
      <c r="C874" s="1591" t="s">
        <v>1164</v>
      </c>
      <c r="D874" s="1589">
        <v>30000</v>
      </c>
      <c r="E874" s="1589">
        <v>5</v>
      </c>
      <c r="F874" s="1341">
        <f t="shared" si="50"/>
        <v>5</v>
      </c>
      <c r="G874" s="1341">
        <f t="shared" si="51"/>
        <v>5</v>
      </c>
      <c r="H874" s="1341">
        <f t="shared" si="52"/>
        <v>5</v>
      </c>
      <c r="I874" s="1341">
        <f t="shared" si="53"/>
        <v>5</v>
      </c>
      <c r="J874" s="1341">
        <f t="shared" si="54"/>
        <v>5</v>
      </c>
      <c r="K874" s="1341">
        <f t="shared" si="55"/>
        <v>5</v>
      </c>
    </row>
    <row r="875" spans="1:11" ht="15" hidden="1" customHeight="1" outlineLevel="1">
      <c r="A875" s="1598" t="s">
        <v>1273</v>
      </c>
      <c r="B875" s="1590"/>
      <c r="C875" s="1590" t="s">
        <v>1165</v>
      </c>
      <c r="D875" s="1589">
        <v>25000</v>
      </c>
      <c r="E875" s="1589">
        <v>2</v>
      </c>
      <c r="F875" s="1341">
        <f t="shared" si="50"/>
        <v>2</v>
      </c>
      <c r="G875" s="1341">
        <f t="shared" si="51"/>
        <v>2</v>
      </c>
      <c r="H875" s="1341">
        <f t="shared" si="52"/>
        <v>2</v>
      </c>
      <c r="I875" s="1341">
        <f t="shared" si="53"/>
        <v>2</v>
      </c>
      <c r="J875" s="1341">
        <f t="shared" si="54"/>
        <v>2</v>
      </c>
      <c r="K875" s="1341">
        <f t="shared" si="55"/>
        <v>2</v>
      </c>
    </row>
    <row r="876" spans="1:11" ht="15" hidden="1" customHeight="1" outlineLevel="1">
      <c r="A876" s="1598" t="s">
        <v>1273</v>
      </c>
      <c r="B876" s="1590"/>
      <c r="C876" s="1590" t="s">
        <v>1166</v>
      </c>
      <c r="D876" s="1589">
        <v>21000</v>
      </c>
      <c r="E876" s="1589">
        <v>3</v>
      </c>
      <c r="F876" s="1341">
        <f t="shared" ref="F876:F936" si="56">E876</f>
        <v>3</v>
      </c>
      <c r="G876" s="1341">
        <f t="shared" ref="G876:G936" si="57">F876</f>
        <v>3</v>
      </c>
      <c r="H876" s="1341">
        <f t="shared" ref="H876:H936" si="58">G876</f>
        <v>3</v>
      </c>
      <c r="I876" s="1341">
        <f t="shared" ref="I876:I936" si="59">H876</f>
        <v>3</v>
      </c>
      <c r="J876" s="1341">
        <f t="shared" ref="J876:J936" si="60">I876</f>
        <v>3</v>
      </c>
      <c r="K876" s="1341">
        <f t="shared" ref="K876:K936" si="61">J876</f>
        <v>3</v>
      </c>
    </row>
    <row r="877" spans="1:11" ht="15" hidden="1" customHeight="1" outlineLevel="1">
      <c r="A877" s="1598" t="s">
        <v>1273</v>
      </c>
      <c r="B877" s="1590"/>
      <c r="C877" s="1602"/>
      <c r="D877" s="1589">
        <v>0</v>
      </c>
      <c r="E877" s="1589"/>
      <c r="F877" s="1341">
        <f t="shared" si="56"/>
        <v>0</v>
      </c>
      <c r="G877" s="1341">
        <f t="shared" si="57"/>
        <v>0</v>
      </c>
      <c r="H877" s="1341">
        <f t="shared" si="58"/>
        <v>0</v>
      </c>
      <c r="I877" s="1341">
        <f t="shared" si="59"/>
        <v>0</v>
      </c>
      <c r="J877" s="1341">
        <f t="shared" si="60"/>
        <v>0</v>
      </c>
      <c r="K877" s="1341">
        <f t="shared" si="61"/>
        <v>0</v>
      </c>
    </row>
    <row r="878" spans="1:11" ht="15" hidden="1" customHeight="1" outlineLevel="1">
      <c r="A878" s="1598" t="s">
        <v>1273</v>
      </c>
      <c r="B878" s="1599" t="s">
        <v>1167</v>
      </c>
      <c r="C878" s="1593" t="s">
        <v>1168</v>
      </c>
      <c r="D878" s="1595">
        <v>40000</v>
      </c>
      <c r="E878" s="1595">
        <v>1</v>
      </c>
      <c r="F878" s="1341">
        <f t="shared" si="56"/>
        <v>1</v>
      </c>
      <c r="G878" s="1341">
        <f t="shared" si="57"/>
        <v>1</v>
      </c>
      <c r="H878" s="1341">
        <f t="shared" si="58"/>
        <v>1</v>
      </c>
      <c r="I878" s="1341">
        <f t="shared" si="59"/>
        <v>1</v>
      </c>
      <c r="J878" s="1341">
        <f t="shared" si="60"/>
        <v>1</v>
      </c>
      <c r="K878" s="1341">
        <f t="shared" si="61"/>
        <v>1</v>
      </c>
    </row>
    <row r="879" spans="1:11" ht="15" hidden="1" customHeight="1" outlineLevel="1">
      <c r="A879" s="1598" t="s">
        <v>1273</v>
      </c>
      <c r="B879" s="1599"/>
      <c r="C879" s="1593" t="s">
        <v>1169</v>
      </c>
      <c r="D879" s="1595">
        <v>25000</v>
      </c>
      <c r="E879" s="1595">
        <v>3</v>
      </c>
      <c r="F879" s="1341">
        <f t="shared" si="56"/>
        <v>3</v>
      </c>
      <c r="G879" s="1341">
        <f t="shared" si="57"/>
        <v>3</v>
      </c>
      <c r="H879" s="1341">
        <f t="shared" si="58"/>
        <v>3</v>
      </c>
      <c r="I879" s="1341">
        <f t="shared" si="59"/>
        <v>3</v>
      </c>
      <c r="J879" s="1341">
        <f t="shared" si="60"/>
        <v>3</v>
      </c>
      <c r="K879" s="1341">
        <f t="shared" si="61"/>
        <v>3</v>
      </c>
    </row>
    <row r="880" spans="1:11" ht="15" hidden="1" customHeight="1" outlineLevel="1">
      <c r="A880" s="1598" t="s">
        <v>1273</v>
      </c>
      <c r="B880" s="1599"/>
      <c r="C880" s="1604" t="s">
        <v>1170</v>
      </c>
      <c r="D880" s="1595">
        <v>23000</v>
      </c>
      <c r="E880" s="1595">
        <v>1</v>
      </c>
      <c r="F880" s="1341">
        <f t="shared" si="56"/>
        <v>1</v>
      </c>
      <c r="G880" s="1341">
        <f t="shared" si="57"/>
        <v>1</v>
      </c>
      <c r="H880" s="1341">
        <f t="shared" si="58"/>
        <v>1</v>
      </c>
      <c r="I880" s="1341">
        <f t="shared" si="59"/>
        <v>1</v>
      </c>
      <c r="J880" s="1341">
        <f t="shared" si="60"/>
        <v>1</v>
      </c>
      <c r="K880" s="1341">
        <f t="shared" si="61"/>
        <v>1</v>
      </c>
    </row>
    <row r="881" spans="1:11" ht="15" hidden="1" customHeight="1" outlineLevel="1">
      <c r="A881" s="1598" t="s">
        <v>1273</v>
      </c>
      <c r="B881" s="1599"/>
      <c r="C881" s="1604"/>
      <c r="D881" s="1595">
        <v>0</v>
      </c>
      <c r="E881" s="1603"/>
      <c r="F881" s="1341">
        <f t="shared" si="56"/>
        <v>0</v>
      </c>
      <c r="G881" s="1341">
        <f t="shared" si="57"/>
        <v>0</v>
      </c>
      <c r="H881" s="1341">
        <f t="shared" si="58"/>
        <v>0</v>
      </c>
      <c r="I881" s="1341">
        <f t="shared" si="59"/>
        <v>0</v>
      </c>
      <c r="J881" s="1341">
        <f t="shared" si="60"/>
        <v>0</v>
      </c>
      <c r="K881" s="1341">
        <f t="shared" si="61"/>
        <v>0</v>
      </c>
    </row>
    <row r="882" spans="1:11" ht="15" hidden="1" customHeight="1" outlineLevel="1">
      <c r="A882" s="1587" t="s">
        <v>1274</v>
      </c>
      <c r="B882" s="1588" t="s">
        <v>1172</v>
      </c>
      <c r="C882" s="1591" t="s">
        <v>1173</v>
      </c>
      <c r="D882" s="1589">
        <v>65000</v>
      </c>
      <c r="E882" s="1589"/>
      <c r="F882" s="1341">
        <f t="shared" si="56"/>
        <v>0</v>
      </c>
      <c r="G882" s="1341">
        <f t="shared" si="57"/>
        <v>0</v>
      </c>
      <c r="H882" s="1341">
        <f t="shared" si="58"/>
        <v>0</v>
      </c>
      <c r="I882" s="1341">
        <f t="shared" si="59"/>
        <v>0</v>
      </c>
      <c r="J882" s="1341">
        <f t="shared" si="60"/>
        <v>0</v>
      </c>
      <c r="K882" s="1341">
        <f t="shared" si="61"/>
        <v>0</v>
      </c>
    </row>
    <row r="883" spans="1:11" ht="15" hidden="1" customHeight="1" outlineLevel="1">
      <c r="A883" s="1587" t="s">
        <v>1274</v>
      </c>
      <c r="B883" s="1588"/>
      <c r="C883" s="1591" t="s">
        <v>1174</v>
      </c>
      <c r="D883" s="1589">
        <v>90000</v>
      </c>
      <c r="E883" s="1589"/>
      <c r="F883" s="1341">
        <f t="shared" si="56"/>
        <v>0</v>
      </c>
      <c r="G883" s="1341">
        <f t="shared" si="57"/>
        <v>0</v>
      </c>
      <c r="H883" s="1341">
        <f t="shared" si="58"/>
        <v>0</v>
      </c>
      <c r="I883" s="1341">
        <f t="shared" si="59"/>
        <v>0</v>
      </c>
      <c r="J883" s="1341">
        <f t="shared" si="60"/>
        <v>0</v>
      </c>
      <c r="K883" s="1341">
        <f t="shared" si="61"/>
        <v>0</v>
      </c>
    </row>
    <row r="884" spans="1:11" ht="15" hidden="1" customHeight="1" outlineLevel="1">
      <c r="A884" s="1587" t="s">
        <v>1274</v>
      </c>
      <c r="B884" s="1588"/>
      <c r="C884" s="1591" t="s">
        <v>1175</v>
      </c>
      <c r="D884" s="1589">
        <v>60000</v>
      </c>
      <c r="E884" s="1589"/>
      <c r="F884" s="1341">
        <f t="shared" si="56"/>
        <v>0</v>
      </c>
      <c r="G884" s="1341">
        <f t="shared" si="57"/>
        <v>0</v>
      </c>
      <c r="H884" s="1341">
        <f t="shared" si="58"/>
        <v>0</v>
      </c>
      <c r="I884" s="1341">
        <f t="shared" si="59"/>
        <v>0</v>
      </c>
      <c r="J884" s="1341">
        <f t="shared" si="60"/>
        <v>0</v>
      </c>
      <c r="K884" s="1341">
        <f t="shared" si="61"/>
        <v>0</v>
      </c>
    </row>
    <row r="885" spans="1:11" ht="15" hidden="1" customHeight="1" outlineLevel="1">
      <c r="A885" s="1587" t="s">
        <v>1274</v>
      </c>
      <c r="B885" s="1588"/>
      <c r="C885" s="1591" t="s">
        <v>1176</v>
      </c>
      <c r="D885" s="1589">
        <v>40000</v>
      </c>
      <c r="E885" s="1589"/>
      <c r="F885" s="1341">
        <f t="shared" si="56"/>
        <v>0</v>
      </c>
      <c r="G885" s="1341">
        <f t="shared" si="57"/>
        <v>0</v>
      </c>
      <c r="H885" s="1341">
        <f t="shared" si="58"/>
        <v>0</v>
      </c>
      <c r="I885" s="1341">
        <f t="shared" si="59"/>
        <v>0</v>
      </c>
      <c r="J885" s="1341">
        <f t="shared" si="60"/>
        <v>0</v>
      </c>
      <c r="K885" s="1341">
        <f t="shared" si="61"/>
        <v>0</v>
      </c>
    </row>
    <row r="886" spans="1:11" ht="15" hidden="1" customHeight="1" outlineLevel="1">
      <c r="A886" s="1587" t="s">
        <v>1274</v>
      </c>
      <c r="B886" s="1588"/>
      <c r="C886" s="1588" t="s">
        <v>1177</v>
      </c>
      <c r="D886" s="1589">
        <v>35000</v>
      </c>
      <c r="E886" s="1589"/>
      <c r="F886" s="1341">
        <f t="shared" si="56"/>
        <v>0</v>
      </c>
      <c r="G886" s="1341">
        <f t="shared" si="57"/>
        <v>0</v>
      </c>
      <c r="H886" s="1341">
        <f t="shared" si="58"/>
        <v>0</v>
      </c>
      <c r="I886" s="1341">
        <f t="shared" si="59"/>
        <v>0</v>
      </c>
      <c r="J886" s="1341">
        <f t="shared" si="60"/>
        <v>0</v>
      </c>
      <c r="K886" s="1341">
        <f t="shared" si="61"/>
        <v>0</v>
      </c>
    </row>
    <row r="887" spans="1:11" ht="15" hidden="1" customHeight="1" outlineLevel="1">
      <c r="A887" s="1587" t="s">
        <v>1274</v>
      </c>
      <c r="B887" s="1588"/>
      <c r="C887" s="1591" t="s">
        <v>1178</v>
      </c>
      <c r="D887" s="1589">
        <v>35000</v>
      </c>
      <c r="E887" s="1589"/>
      <c r="F887" s="1341">
        <f t="shared" si="56"/>
        <v>0</v>
      </c>
      <c r="G887" s="1341">
        <f t="shared" si="57"/>
        <v>0</v>
      </c>
      <c r="H887" s="1341">
        <f t="shared" si="58"/>
        <v>0</v>
      </c>
      <c r="I887" s="1341">
        <f t="shared" si="59"/>
        <v>0</v>
      </c>
      <c r="J887" s="1341">
        <f t="shared" si="60"/>
        <v>0</v>
      </c>
      <c r="K887" s="1341">
        <f t="shared" si="61"/>
        <v>0</v>
      </c>
    </row>
    <row r="888" spans="1:11" ht="15" hidden="1" customHeight="1" outlineLevel="1">
      <c r="A888" s="1587" t="s">
        <v>1274</v>
      </c>
      <c r="B888" s="1588"/>
      <c r="C888" s="1602" t="s">
        <v>1179</v>
      </c>
      <c r="D888" s="1605">
        <v>21000</v>
      </c>
      <c r="E888" s="1589"/>
      <c r="F888" s="1341">
        <f t="shared" si="56"/>
        <v>0</v>
      </c>
      <c r="G888" s="1341">
        <f t="shared" si="57"/>
        <v>0</v>
      </c>
      <c r="H888" s="1341">
        <f t="shared" si="58"/>
        <v>0</v>
      </c>
      <c r="I888" s="1341">
        <f t="shared" si="59"/>
        <v>0</v>
      </c>
      <c r="J888" s="1341">
        <f t="shared" si="60"/>
        <v>0</v>
      </c>
      <c r="K888" s="1341">
        <f t="shared" si="61"/>
        <v>0</v>
      </c>
    </row>
    <row r="889" spans="1:11" ht="15" hidden="1" customHeight="1" outlineLevel="1">
      <c r="A889" s="1587" t="s">
        <v>1274</v>
      </c>
      <c r="B889" s="1588"/>
      <c r="C889" s="1591"/>
      <c r="D889" s="1589">
        <v>0</v>
      </c>
      <c r="E889" s="1589"/>
      <c r="F889" s="1341">
        <f t="shared" si="56"/>
        <v>0</v>
      </c>
      <c r="G889" s="1341">
        <f t="shared" si="57"/>
        <v>0</v>
      </c>
      <c r="H889" s="1341">
        <f t="shared" si="58"/>
        <v>0</v>
      </c>
      <c r="I889" s="1341">
        <f t="shared" si="59"/>
        <v>0</v>
      </c>
      <c r="J889" s="1341">
        <f t="shared" si="60"/>
        <v>0</v>
      </c>
      <c r="K889" s="1341">
        <f t="shared" si="61"/>
        <v>0</v>
      </c>
    </row>
    <row r="890" spans="1:11" ht="15" hidden="1" customHeight="1" outlineLevel="1">
      <c r="A890" s="1587" t="s">
        <v>1274</v>
      </c>
      <c r="B890" s="1594" t="s">
        <v>1180</v>
      </c>
      <c r="C890" s="1593" t="s">
        <v>1181</v>
      </c>
      <c r="D890" s="1595">
        <v>45000</v>
      </c>
      <c r="E890" s="1595"/>
      <c r="F890" s="1341">
        <f t="shared" si="56"/>
        <v>0</v>
      </c>
      <c r="G890" s="1341">
        <f t="shared" si="57"/>
        <v>0</v>
      </c>
      <c r="H890" s="1341">
        <f t="shared" si="58"/>
        <v>0</v>
      </c>
      <c r="I890" s="1341">
        <f t="shared" si="59"/>
        <v>0</v>
      </c>
      <c r="J890" s="1341">
        <f t="shared" si="60"/>
        <v>0</v>
      </c>
      <c r="K890" s="1341">
        <f t="shared" si="61"/>
        <v>0</v>
      </c>
    </row>
    <row r="891" spans="1:11" ht="15" hidden="1" customHeight="1" outlineLevel="1">
      <c r="A891" s="1587" t="s">
        <v>1274</v>
      </c>
      <c r="B891" s="1594"/>
      <c r="C891" s="1593" t="s">
        <v>1182</v>
      </c>
      <c r="D891" s="1595">
        <v>35000</v>
      </c>
      <c r="E891" s="1595"/>
      <c r="F891" s="1341">
        <f t="shared" si="56"/>
        <v>0</v>
      </c>
      <c r="G891" s="1341">
        <f t="shared" si="57"/>
        <v>0</v>
      </c>
      <c r="H891" s="1341">
        <f t="shared" si="58"/>
        <v>0</v>
      </c>
      <c r="I891" s="1341">
        <f t="shared" si="59"/>
        <v>0</v>
      </c>
      <c r="J891" s="1341">
        <f t="shared" si="60"/>
        <v>0</v>
      </c>
      <c r="K891" s="1341">
        <f t="shared" si="61"/>
        <v>0</v>
      </c>
    </row>
    <row r="892" spans="1:11" ht="15" hidden="1" customHeight="1" outlineLevel="1">
      <c r="A892" s="1587" t="s">
        <v>1274</v>
      </c>
      <c r="B892" s="1594"/>
      <c r="C892" s="1593" t="s">
        <v>1183</v>
      </c>
      <c r="D892" s="1595">
        <v>25000</v>
      </c>
      <c r="E892" s="1595"/>
      <c r="F892" s="1341">
        <f t="shared" si="56"/>
        <v>0</v>
      </c>
      <c r="G892" s="1341">
        <f t="shared" si="57"/>
        <v>0</v>
      </c>
      <c r="H892" s="1341">
        <f t="shared" si="58"/>
        <v>0</v>
      </c>
      <c r="I892" s="1341">
        <f t="shared" si="59"/>
        <v>0</v>
      </c>
      <c r="J892" s="1341">
        <f t="shared" si="60"/>
        <v>0</v>
      </c>
      <c r="K892" s="1341">
        <f t="shared" si="61"/>
        <v>0</v>
      </c>
    </row>
    <row r="893" spans="1:11" ht="15" hidden="1" customHeight="1" outlineLevel="1">
      <c r="A893" s="1587" t="s">
        <v>1274</v>
      </c>
      <c r="B893" s="1594"/>
      <c r="C893" s="1593" t="s">
        <v>1184</v>
      </c>
      <c r="D893" s="1595">
        <v>25000</v>
      </c>
      <c r="E893" s="1595"/>
      <c r="F893" s="1341">
        <f t="shared" si="56"/>
        <v>0</v>
      </c>
      <c r="G893" s="1341">
        <f t="shared" si="57"/>
        <v>0</v>
      </c>
      <c r="H893" s="1341">
        <f t="shared" si="58"/>
        <v>0</v>
      </c>
      <c r="I893" s="1341">
        <f t="shared" si="59"/>
        <v>0</v>
      </c>
      <c r="J893" s="1341">
        <f t="shared" si="60"/>
        <v>0</v>
      </c>
      <c r="K893" s="1341">
        <f t="shared" si="61"/>
        <v>0</v>
      </c>
    </row>
    <row r="894" spans="1:11" ht="15" hidden="1" customHeight="1" outlineLevel="1">
      <c r="A894" s="1587" t="s">
        <v>1274</v>
      </c>
      <c r="B894" s="1594"/>
      <c r="C894" s="1593" t="s">
        <v>1185</v>
      </c>
      <c r="D894" s="1595">
        <v>32000</v>
      </c>
      <c r="E894" s="1595"/>
      <c r="F894" s="1341">
        <f t="shared" si="56"/>
        <v>0</v>
      </c>
      <c r="G894" s="1341">
        <f t="shared" si="57"/>
        <v>0</v>
      </c>
      <c r="H894" s="1341">
        <f t="shared" si="58"/>
        <v>0</v>
      </c>
      <c r="I894" s="1341">
        <f t="shared" si="59"/>
        <v>0</v>
      </c>
      <c r="J894" s="1341">
        <f t="shared" si="60"/>
        <v>0</v>
      </c>
      <c r="K894" s="1341">
        <f t="shared" si="61"/>
        <v>0</v>
      </c>
    </row>
    <row r="895" spans="1:11" ht="15" hidden="1" customHeight="1" outlineLevel="1">
      <c r="A895" s="1587" t="s">
        <v>1274</v>
      </c>
      <c r="B895" s="1594"/>
      <c r="C895" s="1593" t="s">
        <v>1186</v>
      </c>
      <c r="D895" s="1595">
        <v>30000</v>
      </c>
      <c r="E895" s="1595"/>
      <c r="F895" s="1341">
        <f t="shared" si="56"/>
        <v>0</v>
      </c>
      <c r="G895" s="1341">
        <f t="shared" si="57"/>
        <v>0</v>
      </c>
      <c r="H895" s="1341">
        <f t="shared" si="58"/>
        <v>0</v>
      </c>
      <c r="I895" s="1341">
        <f t="shared" si="59"/>
        <v>0</v>
      </c>
      <c r="J895" s="1341">
        <f t="shared" si="60"/>
        <v>0</v>
      </c>
      <c r="K895" s="1341">
        <f t="shared" si="61"/>
        <v>0</v>
      </c>
    </row>
    <row r="896" spans="1:11" ht="15" hidden="1" customHeight="1" outlineLevel="1">
      <c r="A896" s="1587" t="s">
        <v>1274</v>
      </c>
      <c r="B896" s="1594"/>
      <c r="C896" s="1593" t="s">
        <v>1187</v>
      </c>
      <c r="D896" s="1595">
        <v>28000</v>
      </c>
      <c r="E896" s="1595"/>
      <c r="F896" s="1341">
        <f t="shared" si="56"/>
        <v>0</v>
      </c>
      <c r="G896" s="1341">
        <f t="shared" si="57"/>
        <v>0</v>
      </c>
      <c r="H896" s="1341">
        <f t="shared" si="58"/>
        <v>0</v>
      </c>
      <c r="I896" s="1341">
        <f t="shared" si="59"/>
        <v>0</v>
      </c>
      <c r="J896" s="1341">
        <f t="shared" si="60"/>
        <v>0</v>
      </c>
      <c r="K896" s="1341">
        <f t="shared" si="61"/>
        <v>0</v>
      </c>
    </row>
    <row r="897" spans="1:11" ht="15" hidden="1" customHeight="1" outlineLevel="1">
      <c r="A897" s="1587" t="s">
        <v>1274</v>
      </c>
      <c r="B897" s="1594"/>
      <c r="C897" s="1593" t="s">
        <v>1188</v>
      </c>
      <c r="D897" s="1595">
        <v>28000</v>
      </c>
      <c r="E897" s="1595"/>
      <c r="F897" s="1341">
        <f t="shared" si="56"/>
        <v>0</v>
      </c>
      <c r="G897" s="1341">
        <f t="shared" si="57"/>
        <v>0</v>
      </c>
      <c r="H897" s="1341">
        <f t="shared" si="58"/>
        <v>0</v>
      </c>
      <c r="I897" s="1341">
        <f t="shared" si="59"/>
        <v>0</v>
      </c>
      <c r="J897" s="1341">
        <f t="shared" si="60"/>
        <v>0</v>
      </c>
      <c r="K897" s="1341">
        <f t="shared" si="61"/>
        <v>0</v>
      </c>
    </row>
    <row r="898" spans="1:11" ht="15" hidden="1" customHeight="1" outlineLevel="1">
      <c r="A898" s="1587" t="s">
        <v>1274</v>
      </c>
      <c r="B898" s="1593"/>
      <c r="C898" s="1593"/>
      <c r="D898" s="1595">
        <v>0</v>
      </c>
      <c r="E898" s="1596"/>
      <c r="F898" s="1341">
        <f t="shared" si="56"/>
        <v>0</v>
      </c>
      <c r="G898" s="1341">
        <f t="shared" si="57"/>
        <v>0</v>
      </c>
      <c r="H898" s="1341">
        <f t="shared" si="58"/>
        <v>0</v>
      </c>
      <c r="I898" s="1341">
        <f t="shared" si="59"/>
        <v>0</v>
      </c>
      <c r="J898" s="1341">
        <f t="shared" si="60"/>
        <v>0</v>
      </c>
      <c r="K898" s="1341">
        <f t="shared" si="61"/>
        <v>0</v>
      </c>
    </row>
    <row r="899" spans="1:11" ht="15" hidden="1" customHeight="1" outlineLevel="1">
      <c r="A899" s="1587" t="s">
        <v>1274</v>
      </c>
      <c r="B899" s="1591" t="s">
        <v>1189</v>
      </c>
      <c r="C899" s="1591" t="s">
        <v>1181</v>
      </c>
      <c r="D899" s="1605">
        <v>45000</v>
      </c>
      <c r="E899" s="1592"/>
      <c r="F899" s="1341">
        <f t="shared" si="56"/>
        <v>0</v>
      </c>
      <c r="G899" s="1341">
        <f t="shared" si="57"/>
        <v>0</v>
      </c>
      <c r="H899" s="1341">
        <f t="shared" si="58"/>
        <v>0</v>
      </c>
      <c r="I899" s="1341">
        <f t="shared" si="59"/>
        <v>0</v>
      </c>
      <c r="J899" s="1341">
        <f t="shared" si="60"/>
        <v>0</v>
      </c>
      <c r="K899" s="1341">
        <f t="shared" si="61"/>
        <v>0</v>
      </c>
    </row>
    <row r="900" spans="1:11" ht="15" hidden="1" customHeight="1" outlineLevel="1">
      <c r="A900" s="1587" t="s">
        <v>1274</v>
      </c>
      <c r="B900" s="1591"/>
      <c r="C900" s="1591" t="s">
        <v>1182</v>
      </c>
      <c r="D900" s="1605">
        <v>35000</v>
      </c>
      <c r="E900" s="1592"/>
      <c r="F900" s="1341">
        <f t="shared" si="56"/>
        <v>0</v>
      </c>
      <c r="G900" s="1341">
        <f t="shared" si="57"/>
        <v>0</v>
      </c>
      <c r="H900" s="1341">
        <f t="shared" si="58"/>
        <v>0</v>
      </c>
      <c r="I900" s="1341">
        <f t="shared" si="59"/>
        <v>0</v>
      </c>
      <c r="J900" s="1341">
        <f t="shared" si="60"/>
        <v>0</v>
      </c>
      <c r="K900" s="1341">
        <f t="shared" si="61"/>
        <v>0</v>
      </c>
    </row>
    <row r="901" spans="1:11" ht="15" hidden="1" customHeight="1" outlineLevel="1">
      <c r="A901" s="1587" t="s">
        <v>1274</v>
      </c>
      <c r="B901" s="1591"/>
      <c r="C901" s="1591" t="s">
        <v>1190</v>
      </c>
      <c r="D901" s="1605">
        <v>25000</v>
      </c>
      <c r="E901" s="1592"/>
      <c r="F901" s="1341">
        <f t="shared" si="56"/>
        <v>0</v>
      </c>
      <c r="G901" s="1341">
        <f t="shared" si="57"/>
        <v>0</v>
      </c>
      <c r="H901" s="1341">
        <f t="shared" si="58"/>
        <v>0</v>
      </c>
      <c r="I901" s="1341">
        <f t="shared" si="59"/>
        <v>0</v>
      </c>
      <c r="J901" s="1341">
        <f t="shared" si="60"/>
        <v>0</v>
      </c>
      <c r="K901" s="1341">
        <f t="shared" si="61"/>
        <v>0</v>
      </c>
    </row>
    <row r="902" spans="1:11" ht="15" hidden="1" customHeight="1" outlineLevel="1">
      <c r="A902" s="1587" t="s">
        <v>1274</v>
      </c>
      <c r="B902" s="1591"/>
      <c r="C902" s="1591" t="s">
        <v>1191</v>
      </c>
      <c r="D902" s="1589">
        <v>35000</v>
      </c>
      <c r="E902" s="1592"/>
      <c r="F902" s="1341">
        <f t="shared" si="56"/>
        <v>0</v>
      </c>
      <c r="G902" s="1341">
        <f t="shared" si="57"/>
        <v>0</v>
      </c>
      <c r="H902" s="1341">
        <f t="shared" si="58"/>
        <v>0</v>
      </c>
      <c r="I902" s="1341">
        <f t="shared" si="59"/>
        <v>0</v>
      </c>
      <c r="J902" s="1341">
        <f t="shared" si="60"/>
        <v>0</v>
      </c>
      <c r="K902" s="1341">
        <f t="shared" si="61"/>
        <v>0</v>
      </c>
    </row>
    <row r="903" spans="1:11" ht="15" hidden="1" customHeight="1" outlineLevel="1">
      <c r="A903" s="1587" t="s">
        <v>1274</v>
      </c>
      <c r="B903" s="1591"/>
      <c r="C903" s="1591" t="s">
        <v>1187</v>
      </c>
      <c r="D903" s="1605">
        <v>28000</v>
      </c>
      <c r="E903" s="1592"/>
      <c r="F903" s="1341">
        <f t="shared" si="56"/>
        <v>0</v>
      </c>
      <c r="G903" s="1341">
        <f t="shared" si="57"/>
        <v>0</v>
      </c>
      <c r="H903" s="1341">
        <f t="shared" si="58"/>
        <v>0</v>
      </c>
      <c r="I903" s="1341">
        <f t="shared" si="59"/>
        <v>0</v>
      </c>
      <c r="J903" s="1341">
        <f t="shared" si="60"/>
        <v>0</v>
      </c>
      <c r="K903" s="1341">
        <f t="shared" si="61"/>
        <v>0</v>
      </c>
    </row>
    <row r="904" spans="1:11" ht="15" hidden="1" customHeight="1" outlineLevel="1">
      <c r="A904" s="1587" t="s">
        <v>1274</v>
      </c>
      <c r="B904" s="1591"/>
      <c r="C904" s="1591"/>
      <c r="D904" s="1589">
        <v>0</v>
      </c>
      <c r="E904" s="1592"/>
      <c r="F904" s="1341">
        <f t="shared" si="56"/>
        <v>0</v>
      </c>
      <c r="G904" s="1341">
        <f t="shared" si="57"/>
        <v>0</v>
      </c>
      <c r="H904" s="1341">
        <f t="shared" si="58"/>
        <v>0</v>
      </c>
      <c r="I904" s="1341">
        <f t="shared" si="59"/>
        <v>0</v>
      </c>
      <c r="J904" s="1341">
        <f t="shared" si="60"/>
        <v>0</v>
      </c>
      <c r="K904" s="1341">
        <f t="shared" si="61"/>
        <v>0</v>
      </c>
    </row>
    <row r="905" spans="1:11" ht="15" hidden="1" customHeight="1" outlineLevel="1">
      <c r="A905" s="1587" t="s">
        <v>1274</v>
      </c>
      <c r="B905" s="1604" t="s">
        <v>1192</v>
      </c>
      <c r="C905" s="1593" t="s">
        <v>1193</v>
      </c>
      <c r="D905" s="1595">
        <v>50000</v>
      </c>
      <c r="E905" s="1596"/>
      <c r="F905" s="1341">
        <f t="shared" si="56"/>
        <v>0</v>
      </c>
      <c r="G905" s="1341">
        <f t="shared" si="57"/>
        <v>0</v>
      </c>
      <c r="H905" s="1341">
        <f t="shared" si="58"/>
        <v>0</v>
      </c>
      <c r="I905" s="1341">
        <f t="shared" si="59"/>
        <v>0</v>
      </c>
      <c r="J905" s="1341">
        <f t="shared" si="60"/>
        <v>0</v>
      </c>
      <c r="K905" s="1341">
        <f t="shared" si="61"/>
        <v>0</v>
      </c>
    </row>
    <row r="906" spans="1:11" ht="15" hidden="1" customHeight="1" outlineLevel="1">
      <c r="A906" s="1587" t="s">
        <v>1274</v>
      </c>
      <c r="B906" s="1604"/>
      <c r="C906" s="1593" t="s">
        <v>1187</v>
      </c>
      <c r="D906" s="1606">
        <v>28000</v>
      </c>
      <c r="E906" s="1596"/>
      <c r="F906" s="1341">
        <f t="shared" si="56"/>
        <v>0</v>
      </c>
      <c r="G906" s="1341">
        <f t="shared" si="57"/>
        <v>0</v>
      </c>
      <c r="H906" s="1341">
        <f t="shared" si="58"/>
        <v>0</v>
      </c>
      <c r="I906" s="1341">
        <f t="shared" si="59"/>
        <v>0</v>
      </c>
      <c r="J906" s="1341">
        <f t="shared" si="60"/>
        <v>0</v>
      </c>
      <c r="K906" s="1341">
        <f t="shared" si="61"/>
        <v>0</v>
      </c>
    </row>
    <row r="907" spans="1:11" ht="15" hidden="1" customHeight="1" outlineLevel="1">
      <c r="A907" s="1587" t="s">
        <v>1274</v>
      </c>
      <c r="B907" s="1604"/>
      <c r="C907" s="1593" t="s">
        <v>1188</v>
      </c>
      <c r="D907" s="1606">
        <v>28000</v>
      </c>
      <c r="E907" s="1596"/>
      <c r="F907" s="1341">
        <f t="shared" si="56"/>
        <v>0</v>
      </c>
      <c r="G907" s="1341">
        <f t="shared" si="57"/>
        <v>0</v>
      </c>
      <c r="H907" s="1341">
        <f t="shared" si="58"/>
        <v>0</v>
      </c>
      <c r="I907" s="1341">
        <f t="shared" si="59"/>
        <v>0</v>
      </c>
      <c r="J907" s="1341">
        <f t="shared" si="60"/>
        <v>0</v>
      </c>
      <c r="K907" s="1341">
        <f t="shared" si="61"/>
        <v>0</v>
      </c>
    </row>
    <row r="908" spans="1:11" ht="15" hidden="1" customHeight="1" outlineLevel="1">
      <c r="A908" s="1587" t="s">
        <v>1274</v>
      </c>
      <c r="B908" s="1604"/>
      <c r="C908" s="1593" t="s">
        <v>1194</v>
      </c>
      <c r="D908" s="1606">
        <v>21000</v>
      </c>
      <c r="E908" s="1596"/>
      <c r="F908" s="1341">
        <f t="shared" si="56"/>
        <v>0</v>
      </c>
      <c r="G908" s="1341">
        <f t="shared" si="57"/>
        <v>0</v>
      </c>
      <c r="H908" s="1341">
        <f t="shared" si="58"/>
        <v>0</v>
      </c>
      <c r="I908" s="1341">
        <f t="shared" si="59"/>
        <v>0</v>
      </c>
      <c r="J908" s="1341">
        <f t="shared" si="60"/>
        <v>0</v>
      </c>
      <c r="K908" s="1341">
        <f t="shared" si="61"/>
        <v>0</v>
      </c>
    </row>
    <row r="909" spans="1:11" ht="15" hidden="1" customHeight="1" outlineLevel="1">
      <c r="A909" s="1587" t="s">
        <v>1274</v>
      </c>
      <c r="B909" s="1604"/>
      <c r="C909" s="1593"/>
      <c r="D909" s="1596">
        <v>0</v>
      </c>
      <c r="E909" s="1596"/>
      <c r="F909" s="1341">
        <f t="shared" si="56"/>
        <v>0</v>
      </c>
      <c r="G909" s="1341">
        <f t="shared" si="57"/>
        <v>0</v>
      </c>
      <c r="H909" s="1341">
        <f t="shared" si="58"/>
        <v>0</v>
      </c>
      <c r="I909" s="1341">
        <f t="shared" si="59"/>
        <v>0</v>
      </c>
      <c r="J909" s="1341">
        <f t="shared" si="60"/>
        <v>0</v>
      </c>
      <c r="K909" s="1341">
        <f t="shared" si="61"/>
        <v>0</v>
      </c>
    </row>
    <row r="910" spans="1:11" ht="15" hidden="1" customHeight="1" outlineLevel="1">
      <c r="A910" s="1598" t="s">
        <v>1275</v>
      </c>
      <c r="B910" s="1591" t="s">
        <v>19</v>
      </c>
      <c r="C910" s="1591" t="s">
        <v>1196</v>
      </c>
      <c r="D910" s="1589">
        <v>38000</v>
      </c>
      <c r="E910" s="1592"/>
      <c r="F910" s="1341">
        <f t="shared" si="56"/>
        <v>0</v>
      </c>
      <c r="G910" s="1341">
        <f t="shared" si="57"/>
        <v>0</v>
      </c>
      <c r="H910" s="1341">
        <f t="shared" si="58"/>
        <v>0</v>
      </c>
      <c r="I910" s="1341">
        <f t="shared" si="59"/>
        <v>0</v>
      </c>
      <c r="J910" s="1341">
        <f t="shared" si="60"/>
        <v>0</v>
      </c>
      <c r="K910" s="1341">
        <f t="shared" si="61"/>
        <v>0</v>
      </c>
    </row>
    <row r="911" spans="1:11" ht="15" hidden="1" customHeight="1" outlineLevel="1">
      <c r="A911" s="1598" t="s">
        <v>1275</v>
      </c>
      <c r="B911" s="1591"/>
      <c r="C911" s="1591" t="s">
        <v>1181</v>
      </c>
      <c r="D911" s="1605">
        <v>45000</v>
      </c>
      <c r="E911" s="1592"/>
      <c r="F911" s="1341">
        <f t="shared" si="56"/>
        <v>0</v>
      </c>
      <c r="G911" s="1341">
        <f t="shared" si="57"/>
        <v>0</v>
      </c>
      <c r="H911" s="1341">
        <f t="shared" si="58"/>
        <v>0</v>
      </c>
      <c r="I911" s="1341">
        <f t="shared" si="59"/>
        <v>0</v>
      </c>
      <c r="J911" s="1341">
        <f t="shared" si="60"/>
        <v>0</v>
      </c>
      <c r="K911" s="1341">
        <f t="shared" si="61"/>
        <v>0</v>
      </c>
    </row>
    <row r="912" spans="1:11" ht="15" hidden="1" customHeight="1" outlineLevel="1">
      <c r="A912" s="1598" t="s">
        <v>1275</v>
      </c>
      <c r="B912" s="1591"/>
      <c r="C912" s="1591" t="s">
        <v>1197</v>
      </c>
      <c r="D912" s="1605">
        <v>28000</v>
      </c>
      <c r="E912" s="1592"/>
      <c r="F912" s="1341">
        <f t="shared" si="56"/>
        <v>0</v>
      </c>
      <c r="G912" s="1341">
        <f t="shared" si="57"/>
        <v>0</v>
      </c>
      <c r="H912" s="1341">
        <f t="shared" si="58"/>
        <v>0</v>
      </c>
      <c r="I912" s="1341">
        <f t="shared" si="59"/>
        <v>0</v>
      </c>
      <c r="J912" s="1341">
        <f t="shared" si="60"/>
        <v>0</v>
      </c>
      <c r="K912" s="1341">
        <f t="shared" si="61"/>
        <v>0</v>
      </c>
    </row>
    <row r="913" spans="1:11" ht="15" hidden="1" customHeight="1" outlineLevel="1">
      <c r="A913" s="1598" t="s">
        <v>1275</v>
      </c>
      <c r="B913" s="1591"/>
      <c r="C913" s="1591" t="s">
        <v>1198</v>
      </c>
      <c r="D913" s="1589">
        <v>25000</v>
      </c>
      <c r="E913" s="1592"/>
      <c r="F913" s="1341">
        <f t="shared" si="56"/>
        <v>0</v>
      </c>
      <c r="G913" s="1341">
        <f t="shared" si="57"/>
        <v>0</v>
      </c>
      <c r="H913" s="1341">
        <f t="shared" si="58"/>
        <v>0</v>
      </c>
      <c r="I913" s="1341">
        <f t="shared" si="59"/>
        <v>0</v>
      </c>
      <c r="J913" s="1341">
        <f t="shared" si="60"/>
        <v>0</v>
      </c>
      <c r="K913" s="1341">
        <f t="shared" si="61"/>
        <v>0</v>
      </c>
    </row>
    <row r="914" spans="1:11" ht="15" hidden="1" customHeight="1" outlineLevel="1">
      <c r="A914" s="1598" t="s">
        <v>1275</v>
      </c>
      <c r="B914" s="1591"/>
      <c r="C914" s="1591" t="s">
        <v>1199</v>
      </c>
      <c r="D914" s="1589">
        <v>20000</v>
      </c>
      <c r="E914" s="1592"/>
      <c r="F914" s="1341">
        <f t="shared" si="56"/>
        <v>0</v>
      </c>
      <c r="G914" s="1341">
        <f t="shared" si="57"/>
        <v>0</v>
      </c>
      <c r="H914" s="1341">
        <f t="shared" si="58"/>
        <v>0</v>
      </c>
      <c r="I914" s="1341">
        <f t="shared" si="59"/>
        <v>0</v>
      </c>
      <c r="J914" s="1341">
        <f t="shared" si="60"/>
        <v>0</v>
      </c>
      <c r="K914" s="1341">
        <f t="shared" si="61"/>
        <v>0</v>
      </c>
    </row>
    <row r="915" spans="1:11" ht="15" hidden="1" customHeight="1" outlineLevel="1">
      <c r="A915" s="1598" t="s">
        <v>1275</v>
      </c>
      <c r="B915" s="1591"/>
      <c r="C915" s="1591" t="s">
        <v>1200</v>
      </c>
      <c r="D915" s="1605">
        <v>21000</v>
      </c>
      <c r="E915" s="1592"/>
      <c r="F915" s="1341">
        <f t="shared" si="56"/>
        <v>0</v>
      </c>
      <c r="G915" s="1341">
        <f t="shared" si="57"/>
        <v>0</v>
      </c>
      <c r="H915" s="1341">
        <f t="shared" si="58"/>
        <v>0</v>
      </c>
      <c r="I915" s="1341">
        <f t="shared" si="59"/>
        <v>0</v>
      </c>
      <c r="J915" s="1341">
        <f t="shared" si="60"/>
        <v>0</v>
      </c>
      <c r="K915" s="1341">
        <f t="shared" si="61"/>
        <v>0</v>
      </c>
    </row>
    <row r="916" spans="1:11" ht="15" hidden="1" customHeight="1" outlineLevel="1">
      <c r="A916" s="1598" t="s">
        <v>1275</v>
      </c>
      <c r="B916" s="1591"/>
      <c r="C916" s="1591"/>
      <c r="D916" s="1589">
        <v>0</v>
      </c>
      <c r="E916" s="1592"/>
      <c r="F916" s="1341">
        <f t="shared" si="56"/>
        <v>0</v>
      </c>
      <c r="G916" s="1341">
        <f t="shared" si="57"/>
        <v>0</v>
      </c>
      <c r="H916" s="1341">
        <f t="shared" si="58"/>
        <v>0</v>
      </c>
      <c r="I916" s="1341">
        <f t="shared" si="59"/>
        <v>0</v>
      </c>
      <c r="J916" s="1341">
        <f t="shared" si="60"/>
        <v>0</v>
      </c>
      <c r="K916" s="1341">
        <f t="shared" si="61"/>
        <v>0</v>
      </c>
    </row>
    <row r="917" spans="1:11" ht="15" hidden="1" customHeight="1" outlineLevel="1">
      <c r="A917" s="1587" t="s">
        <v>1276</v>
      </c>
      <c r="B917" s="1594" t="s">
        <v>1202</v>
      </c>
      <c r="C917" s="1594" t="s">
        <v>1203</v>
      </c>
      <c r="D917" s="1595">
        <v>35000</v>
      </c>
      <c r="E917" s="1595"/>
      <c r="F917" s="1341">
        <f t="shared" si="56"/>
        <v>0</v>
      </c>
      <c r="G917" s="1341">
        <f t="shared" si="57"/>
        <v>0</v>
      </c>
      <c r="H917" s="1341">
        <f t="shared" si="58"/>
        <v>0</v>
      </c>
      <c r="I917" s="1341">
        <f t="shared" si="59"/>
        <v>0</v>
      </c>
      <c r="J917" s="1341">
        <f t="shared" si="60"/>
        <v>0</v>
      </c>
      <c r="K917" s="1341">
        <f t="shared" si="61"/>
        <v>0</v>
      </c>
    </row>
    <row r="918" spans="1:11" ht="15" hidden="1" customHeight="1" outlineLevel="1">
      <c r="A918" s="1587" t="s">
        <v>1276</v>
      </c>
      <c r="B918" s="1594"/>
      <c r="C918" s="1594" t="s">
        <v>1204</v>
      </c>
      <c r="D918" s="1595">
        <v>28000</v>
      </c>
      <c r="E918" s="1595"/>
      <c r="F918" s="1341">
        <f t="shared" si="56"/>
        <v>0</v>
      </c>
      <c r="G918" s="1341">
        <f t="shared" si="57"/>
        <v>0</v>
      </c>
      <c r="H918" s="1341">
        <f t="shared" si="58"/>
        <v>0</v>
      </c>
      <c r="I918" s="1341">
        <f t="shared" si="59"/>
        <v>0</v>
      </c>
      <c r="J918" s="1341">
        <f t="shared" si="60"/>
        <v>0</v>
      </c>
      <c r="K918" s="1341">
        <f t="shared" si="61"/>
        <v>0</v>
      </c>
    </row>
    <row r="919" spans="1:11" ht="15" hidden="1" customHeight="1" outlineLevel="1">
      <c r="A919" s="1587" t="s">
        <v>1276</v>
      </c>
      <c r="B919" s="1594"/>
      <c r="C919" s="1594" t="s">
        <v>1205</v>
      </c>
      <c r="D919" s="1595">
        <v>35000</v>
      </c>
      <c r="E919" s="1595"/>
      <c r="F919" s="1341">
        <f t="shared" si="56"/>
        <v>0</v>
      </c>
      <c r="G919" s="1341">
        <f t="shared" si="57"/>
        <v>0</v>
      </c>
      <c r="H919" s="1341">
        <f t="shared" si="58"/>
        <v>0</v>
      </c>
      <c r="I919" s="1341">
        <f t="shared" si="59"/>
        <v>0</v>
      </c>
      <c r="J919" s="1341">
        <f t="shared" si="60"/>
        <v>0</v>
      </c>
      <c r="K919" s="1341">
        <f t="shared" si="61"/>
        <v>0</v>
      </c>
    </row>
    <row r="920" spans="1:11" ht="15" hidden="1" customHeight="1" outlineLevel="1">
      <c r="A920" s="1587" t="s">
        <v>1276</v>
      </c>
      <c r="B920" s="1594"/>
      <c r="C920" s="1594" t="s">
        <v>1206</v>
      </c>
      <c r="D920" s="1595">
        <v>25000</v>
      </c>
      <c r="E920" s="1595"/>
      <c r="F920" s="1341">
        <f t="shared" si="56"/>
        <v>0</v>
      </c>
      <c r="G920" s="1341">
        <f t="shared" si="57"/>
        <v>0</v>
      </c>
      <c r="H920" s="1341">
        <f t="shared" si="58"/>
        <v>0</v>
      </c>
      <c r="I920" s="1341">
        <f t="shared" si="59"/>
        <v>0</v>
      </c>
      <c r="J920" s="1341">
        <f t="shared" si="60"/>
        <v>0</v>
      </c>
      <c r="K920" s="1341">
        <f t="shared" si="61"/>
        <v>0</v>
      </c>
    </row>
    <row r="921" spans="1:11" ht="15" hidden="1" customHeight="1" outlineLevel="1">
      <c r="A921" s="1587" t="s">
        <v>1276</v>
      </c>
      <c r="B921" s="1594"/>
      <c r="C921" s="1594" t="s">
        <v>1207</v>
      </c>
      <c r="D921" s="1606">
        <v>21000</v>
      </c>
      <c r="E921" s="1595"/>
      <c r="F921" s="1341">
        <f t="shared" si="56"/>
        <v>0</v>
      </c>
      <c r="G921" s="1341">
        <f t="shared" si="57"/>
        <v>0</v>
      </c>
      <c r="H921" s="1341">
        <f t="shared" si="58"/>
        <v>0</v>
      </c>
      <c r="I921" s="1341">
        <f t="shared" si="59"/>
        <v>0</v>
      </c>
      <c r="J921" s="1341">
        <f t="shared" si="60"/>
        <v>0</v>
      </c>
      <c r="K921" s="1341">
        <f t="shared" si="61"/>
        <v>0</v>
      </c>
    </row>
    <row r="922" spans="1:11" ht="15" hidden="1" customHeight="1" outlineLevel="1">
      <c r="A922" s="1587" t="s">
        <v>1276</v>
      </c>
      <c r="B922" s="1593"/>
      <c r="C922" s="1593"/>
      <c r="D922" s="1595">
        <v>0</v>
      </c>
      <c r="E922" s="1596"/>
      <c r="F922" s="1341">
        <f t="shared" si="56"/>
        <v>0</v>
      </c>
      <c r="G922" s="1341">
        <f t="shared" si="57"/>
        <v>0</v>
      </c>
      <c r="H922" s="1341">
        <f t="shared" si="58"/>
        <v>0</v>
      </c>
      <c r="I922" s="1341">
        <f t="shared" si="59"/>
        <v>0</v>
      </c>
      <c r="J922" s="1341">
        <f t="shared" si="60"/>
        <v>0</v>
      </c>
      <c r="K922" s="1341">
        <f t="shared" si="61"/>
        <v>0</v>
      </c>
    </row>
    <row r="923" spans="1:11" ht="15" hidden="1" customHeight="1" outlineLevel="1">
      <c r="A923" s="1598" t="s">
        <v>1277</v>
      </c>
      <c r="B923" s="1588" t="s">
        <v>1209</v>
      </c>
      <c r="C923" s="1588" t="s">
        <v>1210</v>
      </c>
      <c r="D923" s="1589">
        <v>110000</v>
      </c>
      <c r="E923" s="1589"/>
      <c r="F923" s="1341">
        <f t="shared" si="56"/>
        <v>0</v>
      </c>
      <c r="G923" s="1341">
        <f t="shared" si="57"/>
        <v>0</v>
      </c>
      <c r="H923" s="1341">
        <f t="shared" si="58"/>
        <v>0</v>
      </c>
      <c r="I923" s="1341">
        <f t="shared" si="59"/>
        <v>0</v>
      </c>
      <c r="J923" s="1341">
        <f t="shared" si="60"/>
        <v>0</v>
      </c>
      <c r="K923" s="1341">
        <f t="shared" si="61"/>
        <v>0</v>
      </c>
    </row>
    <row r="924" spans="1:11" ht="15" hidden="1" customHeight="1" outlineLevel="1">
      <c r="A924" s="1598" t="s">
        <v>1277</v>
      </c>
      <c r="B924" s="1588"/>
      <c r="C924" s="1588" t="s">
        <v>1211</v>
      </c>
      <c r="D924" s="1589">
        <v>70000</v>
      </c>
      <c r="E924" s="1589"/>
      <c r="F924" s="1341">
        <f t="shared" si="56"/>
        <v>0</v>
      </c>
      <c r="G924" s="1341">
        <f t="shared" si="57"/>
        <v>0</v>
      </c>
      <c r="H924" s="1341">
        <f t="shared" si="58"/>
        <v>0</v>
      </c>
      <c r="I924" s="1341">
        <f t="shared" si="59"/>
        <v>0</v>
      </c>
      <c r="J924" s="1341">
        <f t="shared" si="60"/>
        <v>0</v>
      </c>
      <c r="K924" s="1341">
        <f t="shared" si="61"/>
        <v>0</v>
      </c>
    </row>
    <row r="925" spans="1:11" ht="15" hidden="1" customHeight="1" outlineLevel="1">
      <c r="A925" s="1598" t="s">
        <v>1277</v>
      </c>
      <c r="B925" s="1588"/>
      <c r="C925" s="1588" t="s">
        <v>1212</v>
      </c>
      <c r="D925" s="1589">
        <v>60000</v>
      </c>
      <c r="E925" s="1589"/>
      <c r="F925" s="1341">
        <f t="shared" si="56"/>
        <v>0</v>
      </c>
      <c r="G925" s="1341">
        <f t="shared" si="57"/>
        <v>0</v>
      </c>
      <c r="H925" s="1341">
        <f t="shared" si="58"/>
        <v>0</v>
      </c>
      <c r="I925" s="1341">
        <f t="shared" si="59"/>
        <v>0</v>
      </c>
      <c r="J925" s="1341">
        <f t="shared" si="60"/>
        <v>0</v>
      </c>
      <c r="K925" s="1341">
        <f t="shared" si="61"/>
        <v>0</v>
      </c>
    </row>
    <row r="926" spans="1:11" ht="15" hidden="1" customHeight="1" outlineLevel="1">
      <c r="A926" s="1598" t="s">
        <v>1277</v>
      </c>
      <c r="B926" s="1588"/>
      <c r="C926" s="1588" t="s">
        <v>1213</v>
      </c>
      <c r="D926" s="1589">
        <v>45000</v>
      </c>
      <c r="E926" s="1589"/>
      <c r="F926" s="1341">
        <f t="shared" si="56"/>
        <v>0</v>
      </c>
      <c r="G926" s="1341">
        <f t="shared" si="57"/>
        <v>0</v>
      </c>
      <c r="H926" s="1341">
        <f t="shared" si="58"/>
        <v>0</v>
      </c>
      <c r="I926" s="1341">
        <f t="shared" si="59"/>
        <v>0</v>
      </c>
      <c r="J926" s="1341">
        <f t="shared" si="60"/>
        <v>0</v>
      </c>
      <c r="K926" s="1341">
        <f t="shared" si="61"/>
        <v>0</v>
      </c>
    </row>
    <row r="927" spans="1:11" ht="15" hidden="1" customHeight="1" outlineLevel="1">
      <c r="A927" s="1598" t="s">
        <v>1277</v>
      </c>
      <c r="B927" s="1588"/>
      <c r="C927" s="1588" t="s">
        <v>1214</v>
      </c>
      <c r="D927" s="1589">
        <v>35000</v>
      </c>
      <c r="E927" s="1589"/>
      <c r="F927" s="1341">
        <f t="shared" si="56"/>
        <v>0</v>
      </c>
      <c r="G927" s="1341">
        <f t="shared" si="57"/>
        <v>0</v>
      </c>
      <c r="H927" s="1341">
        <f t="shared" si="58"/>
        <v>0</v>
      </c>
      <c r="I927" s="1341">
        <f t="shared" si="59"/>
        <v>0</v>
      </c>
      <c r="J927" s="1341">
        <f t="shared" si="60"/>
        <v>0</v>
      </c>
      <c r="K927" s="1341">
        <f t="shared" si="61"/>
        <v>0</v>
      </c>
    </row>
    <row r="928" spans="1:11" ht="15" hidden="1" customHeight="1" outlineLevel="1">
      <c r="A928" s="1598" t="s">
        <v>1277</v>
      </c>
      <c r="B928" s="1588"/>
      <c r="C928" s="1588" t="s">
        <v>1215</v>
      </c>
      <c r="D928" s="1605">
        <v>21000</v>
      </c>
      <c r="E928" s="1589"/>
      <c r="F928" s="1341">
        <f t="shared" si="56"/>
        <v>0</v>
      </c>
      <c r="G928" s="1341">
        <f t="shared" si="57"/>
        <v>0</v>
      </c>
      <c r="H928" s="1341">
        <f t="shared" si="58"/>
        <v>0</v>
      </c>
      <c r="I928" s="1341">
        <f t="shared" si="59"/>
        <v>0</v>
      </c>
      <c r="J928" s="1341">
        <f t="shared" si="60"/>
        <v>0</v>
      </c>
      <c r="K928" s="1341">
        <f t="shared" si="61"/>
        <v>0</v>
      </c>
    </row>
    <row r="929" spans="1:11" ht="15" hidden="1" customHeight="1" outlineLevel="1">
      <c r="A929" s="1598" t="s">
        <v>1277</v>
      </c>
      <c r="B929" s="1591"/>
      <c r="C929" s="1591"/>
      <c r="D929" s="1589">
        <v>0</v>
      </c>
      <c r="E929" s="1592"/>
      <c r="F929" s="1341">
        <f t="shared" si="56"/>
        <v>0</v>
      </c>
      <c r="G929" s="1341">
        <f t="shared" si="57"/>
        <v>0</v>
      </c>
      <c r="H929" s="1341">
        <f t="shared" si="58"/>
        <v>0</v>
      </c>
      <c r="I929" s="1341">
        <f t="shared" si="59"/>
        <v>0</v>
      </c>
      <c r="J929" s="1341">
        <f t="shared" si="60"/>
        <v>0</v>
      </c>
      <c r="K929" s="1341">
        <f t="shared" si="61"/>
        <v>0</v>
      </c>
    </row>
    <row r="930" spans="1:11" ht="15" hidden="1" customHeight="1" outlineLevel="1">
      <c r="A930" s="1587" t="s">
        <v>1273</v>
      </c>
      <c r="B930" s="1594" t="s">
        <v>1216</v>
      </c>
      <c r="C930" s="1594" t="s">
        <v>1217</v>
      </c>
      <c r="D930" s="1595">
        <v>35000</v>
      </c>
      <c r="E930" s="1603"/>
      <c r="F930" s="1341">
        <f t="shared" si="56"/>
        <v>0</v>
      </c>
      <c r="G930" s="1341">
        <f t="shared" si="57"/>
        <v>0</v>
      </c>
      <c r="H930" s="1341">
        <f t="shared" si="58"/>
        <v>0</v>
      </c>
      <c r="I930" s="1341">
        <f t="shared" si="59"/>
        <v>0</v>
      </c>
      <c r="J930" s="1341">
        <f t="shared" si="60"/>
        <v>0</v>
      </c>
      <c r="K930" s="1341">
        <f t="shared" si="61"/>
        <v>0</v>
      </c>
    </row>
    <row r="931" spans="1:11" ht="15" hidden="1" customHeight="1" outlineLevel="1">
      <c r="A931" s="1587" t="s">
        <v>1273</v>
      </c>
      <c r="B931" s="1594"/>
      <c r="C931" s="1594" t="s">
        <v>1218</v>
      </c>
      <c r="D931" s="1595">
        <v>25000</v>
      </c>
      <c r="E931" s="1603"/>
      <c r="F931" s="1341">
        <f t="shared" si="56"/>
        <v>0</v>
      </c>
      <c r="G931" s="1341">
        <f t="shared" si="57"/>
        <v>0</v>
      </c>
      <c r="H931" s="1341">
        <f t="shared" si="58"/>
        <v>0</v>
      </c>
      <c r="I931" s="1341">
        <f t="shared" si="59"/>
        <v>0</v>
      </c>
      <c r="J931" s="1341">
        <f t="shared" si="60"/>
        <v>0</v>
      </c>
      <c r="K931" s="1341">
        <f t="shared" si="61"/>
        <v>0</v>
      </c>
    </row>
    <row r="932" spans="1:11" ht="15" hidden="1" customHeight="1" outlineLevel="1">
      <c r="A932" s="1587" t="s">
        <v>1273</v>
      </c>
      <c r="B932" s="1594"/>
      <c r="C932" s="1594"/>
      <c r="D932" s="1595">
        <v>0</v>
      </c>
      <c r="E932" s="1603"/>
      <c r="F932" s="1341">
        <f t="shared" si="56"/>
        <v>0</v>
      </c>
      <c r="G932" s="1341">
        <f t="shared" si="57"/>
        <v>0</v>
      </c>
      <c r="H932" s="1341">
        <f t="shared" si="58"/>
        <v>0</v>
      </c>
      <c r="I932" s="1341">
        <f t="shared" si="59"/>
        <v>0</v>
      </c>
      <c r="J932" s="1341">
        <f t="shared" si="60"/>
        <v>0</v>
      </c>
      <c r="K932" s="1341">
        <f t="shared" si="61"/>
        <v>0</v>
      </c>
    </row>
    <row r="933" spans="1:11" ht="15" hidden="1" customHeight="1" outlineLevel="1">
      <c r="A933" s="1598" t="s">
        <v>1278</v>
      </c>
      <c r="B933" s="1588" t="s">
        <v>1220</v>
      </c>
      <c r="C933" s="1588" t="s">
        <v>1221</v>
      </c>
      <c r="D933" s="1589">
        <v>25000</v>
      </c>
      <c r="E933" s="1589"/>
      <c r="F933" s="1341">
        <f t="shared" si="56"/>
        <v>0</v>
      </c>
      <c r="G933" s="1341">
        <f t="shared" si="57"/>
        <v>0</v>
      </c>
      <c r="H933" s="1341">
        <f t="shared" si="58"/>
        <v>0</v>
      </c>
      <c r="I933" s="1341">
        <f t="shared" si="59"/>
        <v>0</v>
      </c>
      <c r="J933" s="1341">
        <f t="shared" si="60"/>
        <v>0</v>
      </c>
      <c r="K933" s="1341">
        <f t="shared" si="61"/>
        <v>0</v>
      </c>
    </row>
    <row r="934" spans="1:11" ht="15" hidden="1" customHeight="1" outlineLevel="1">
      <c r="A934" s="1598" t="s">
        <v>1278</v>
      </c>
      <c r="B934" s="1588"/>
      <c r="C934" s="1588" t="s">
        <v>1158</v>
      </c>
      <c r="D934" s="1589">
        <v>22000</v>
      </c>
      <c r="E934" s="1589">
        <v>2</v>
      </c>
      <c r="F934" s="1341">
        <f t="shared" si="56"/>
        <v>2</v>
      </c>
      <c r="G934" s="1341">
        <f t="shared" si="57"/>
        <v>2</v>
      </c>
      <c r="H934" s="1341">
        <f t="shared" si="58"/>
        <v>2</v>
      </c>
      <c r="I934" s="1341">
        <f t="shared" si="59"/>
        <v>2</v>
      </c>
      <c r="J934" s="1341">
        <f t="shared" si="60"/>
        <v>2</v>
      </c>
      <c r="K934" s="1341">
        <f t="shared" si="61"/>
        <v>2</v>
      </c>
    </row>
    <row r="935" spans="1:11" ht="15" hidden="1" customHeight="1" outlineLevel="1">
      <c r="A935" s="1598" t="s">
        <v>1278</v>
      </c>
      <c r="B935" s="1588"/>
      <c r="C935" s="1588"/>
      <c r="D935" s="1589">
        <v>22000</v>
      </c>
      <c r="E935" s="1589"/>
      <c r="F935" s="1341">
        <f t="shared" si="56"/>
        <v>0</v>
      </c>
      <c r="G935" s="1341">
        <f t="shared" si="57"/>
        <v>0</v>
      </c>
      <c r="H935" s="1341">
        <f t="shared" si="58"/>
        <v>0</v>
      </c>
      <c r="I935" s="1341">
        <f t="shared" si="59"/>
        <v>0</v>
      </c>
      <c r="J935" s="1341">
        <f t="shared" si="60"/>
        <v>0</v>
      </c>
      <c r="K935" s="1341">
        <f t="shared" si="61"/>
        <v>0</v>
      </c>
    </row>
    <row r="936" spans="1:11" ht="15" hidden="1" customHeight="1" outlineLevel="1">
      <c r="A936" s="1598" t="s">
        <v>1278</v>
      </c>
      <c r="B936" s="1588"/>
      <c r="C936" s="1588"/>
      <c r="D936" s="1589">
        <v>0</v>
      </c>
      <c r="E936" s="1589"/>
      <c r="F936" s="1341">
        <f t="shared" si="56"/>
        <v>0</v>
      </c>
      <c r="G936" s="1341">
        <f t="shared" si="57"/>
        <v>0</v>
      </c>
      <c r="H936" s="1341">
        <f t="shared" si="58"/>
        <v>0</v>
      </c>
      <c r="I936" s="1341">
        <f t="shared" si="59"/>
        <v>0</v>
      </c>
      <c r="J936" s="1341">
        <f t="shared" si="60"/>
        <v>0</v>
      </c>
      <c r="K936" s="1341">
        <f t="shared" si="61"/>
        <v>0</v>
      </c>
    </row>
    <row r="937" spans="1:11" ht="15" customHeight="1" collapsed="1">
      <c r="A937" s="1566"/>
      <c r="B937" s="1348"/>
      <c r="C937" s="1348" t="s">
        <v>1222</v>
      </c>
      <c r="D937" s="1608"/>
      <c r="E937" s="1609">
        <f>SUM(E811:E936)</f>
        <v>117</v>
      </c>
      <c r="F937" s="1609">
        <f t="shared" ref="F937:K937" si="62">SUM(F811:F936)</f>
        <v>117</v>
      </c>
      <c r="G937" s="1609">
        <f t="shared" si="62"/>
        <v>117</v>
      </c>
      <c r="H937" s="1609">
        <f t="shared" si="62"/>
        <v>117</v>
      </c>
      <c r="I937" s="1609">
        <f t="shared" si="62"/>
        <v>117</v>
      </c>
      <c r="J937" s="1609">
        <f t="shared" si="62"/>
        <v>117</v>
      </c>
      <c r="K937" s="1609">
        <f t="shared" si="62"/>
        <v>117</v>
      </c>
    </row>
    <row r="938" spans="1:11" ht="15" customHeight="1">
      <c r="A938" s="1566"/>
      <c r="B938" s="20"/>
      <c r="C938" s="20"/>
      <c r="D938" s="1610"/>
      <c r="E938" s="20"/>
      <c r="F938" s="20"/>
      <c r="G938" s="20"/>
      <c r="H938" s="20"/>
      <c r="I938" s="20"/>
      <c r="J938" s="20"/>
      <c r="K938" s="20"/>
    </row>
    <row r="939" spans="1:11" ht="15" customHeight="1">
      <c r="A939" s="1615"/>
      <c r="B939" s="20"/>
      <c r="C939" s="20"/>
      <c r="D939" s="1610"/>
      <c r="E939" s="20"/>
      <c r="F939" s="20"/>
      <c r="G939" s="20"/>
      <c r="H939" s="20"/>
      <c r="I939" s="20"/>
      <c r="J939" s="20"/>
      <c r="K939" s="20"/>
    </row>
    <row r="940" spans="1:11" ht="15" customHeight="1">
      <c r="A940" s="1566"/>
      <c r="B940" s="1580" t="s">
        <v>1243</v>
      </c>
      <c r="C940" s="1571"/>
      <c r="D940" s="1572"/>
      <c r="E940" s="1571"/>
      <c r="F940" s="1571"/>
      <c r="G940" s="1571"/>
      <c r="H940" s="1571"/>
      <c r="I940" s="1571"/>
      <c r="J940" s="1571"/>
      <c r="K940" s="1571"/>
    </row>
    <row r="941" spans="1:11" ht="15" customHeight="1">
      <c r="A941" s="1566"/>
      <c r="B941" s="1348"/>
      <c r="C941" s="1348" t="s">
        <v>1222</v>
      </c>
      <c r="D941" s="1608"/>
      <c r="E941" s="1619">
        <f>LOOKUP(E2,ФОТ_УК!1:1,ФОТ_УК!33:33)</f>
        <v>32</v>
      </c>
      <c r="F941" s="1619">
        <f>LOOKUP(F2,ФОТ_УК!1:1,ФОТ_УК!33:33)</f>
        <v>33</v>
      </c>
      <c r="G941" s="1619">
        <f>LOOKUP(G2,ФОТ_УК!1:1,ФОТ_УК!33:33)</f>
        <v>34</v>
      </c>
      <c r="H941" s="1619">
        <f>LOOKUP(H2,ФОТ_УК!1:1,ФОТ_УК!33:33)</f>
        <v>34</v>
      </c>
      <c r="I941" s="1619">
        <f>LOOKUP(I2,ФОТ_УК!1:1,ФОТ_УК!33:33)</f>
        <v>34</v>
      </c>
      <c r="J941" s="1619">
        <f>LOOKUP(J2,ФОТ_УК!1:1,ФОТ_УК!33:33)</f>
        <v>34</v>
      </c>
      <c r="K941" s="1619">
        <f>LOOKUP(K2,ФОТ_УК!1:1,ФОТ_УК!33:33)</f>
        <v>34</v>
      </c>
    </row>
    <row r="944" spans="1:11" ht="15" customHeight="1">
      <c r="A944" s="1566"/>
      <c r="B944" s="1622" t="s">
        <v>1269</v>
      </c>
      <c r="C944" s="1571"/>
      <c r="D944" s="1572"/>
      <c r="E944" s="1571"/>
      <c r="F944" s="1571"/>
      <c r="G944" s="1571"/>
      <c r="H944" s="1571"/>
      <c r="I944" s="1571"/>
      <c r="J944" s="1571"/>
      <c r="K944" s="1571"/>
    </row>
    <row r="945" spans="1:11" ht="15" hidden="1" customHeight="1" outlineLevel="1">
      <c r="A945" s="1587" t="s">
        <v>1082</v>
      </c>
      <c r="B945" s="1588"/>
      <c r="C945" s="1588" t="s">
        <v>1279</v>
      </c>
      <c r="D945" s="1589"/>
      <c r="E945" s="1589">
        <v>1</v>
      </c>
      <c r="F945" s="1589">
        <v>2</v>
      </c>
      <c r="G945" s="1341">
        <f t="shared" ref="G945:K946" si="63">F945</f>
        <v>2</v>
      </c>
      <c r="H945" s="1341">
        <f t="shared" si="63"/>
        <v>2</v>
      </c>
      <c r="I945" s="1341">
        <f t="shared" si="63"/>
        <v>2</v>
      </c>
      <c r="J945" s="1341">
        <f t="shared" si="63"/>
        <v>2</v>
      </c>
      <c r="K945" s="1341">
        <f t="shared" si="63"/>
        <v>2</v>
      </c>
    </row>
    <row r="946" spans="1:11" ht="15" hidden="1" customHeight="1" outlineLevel="1">
      <c r="A946" s="1587" t="s">
        <v>1082</v>
      </c>
      <c r="B946" s="1588"/>
      <c r="C946" s="1588" t="s">
        <v>1280</v>
      </c>
      <c r="D946" s="1589"/>
      <c r="E946" s="1589">
        <v>1</v>
      </c>
      <c r="F946" s="1589">
        <v>1</v>
      </c>
      <c r="G946" s="1341">
        <f t="shared" si="63"/>
        <v>1</v>
      </c>
      <c r="H946" s="1341">
        <f t="shared" si="63"/>
        <v>1</v>
      </c>
      <c r="I946" s="1341">
        <f t="shared" si="63"/>
        <v>1</v>
      </c>
      <c r="J946" s="1341">
        <f t="shared" si="63"/>
        <v>1</v>
      </c>
      <c r="K946" s="1341">
        <f t="shared" si="63"/>
        <v>1</v>
      </c>
    </row>
    <row r="947" spans="1:11" ht="15" customHeight="1" collapsed="1">
      <c r="A947" s="1566"/>
      <c r="B947" s="1348"/>
      <c r="C947" s="1348" t="s">
        <v>1222</v>
      </c>
      <c r="D947" s="1608"/>
      <c r="E947" s="1619">
        <f>E945+E946</f>
        <v>2</v>
      </c>
      <c r="F947" s="1619">
        <f t="shared" ref="F947:K947" si="64">F945+F946</f>
        <v>3</v>
      </c>
      <c r="G947" s="1619">
        <f t="shared" si="64"/>
        <v>3</v>
      </c>
      <c r="H947" s="1619">
        <f t="shared" si="64"/>
        <v>3</v>
      </c>
      <c r="I947" s="1619">
        <f t="shared" si="64"/>
        <v>3</v>
      </c>
      <c r="J947" s="1619">
        <f t="shared" si="64"/>
        <v>3</v>
      </c>
      <c r="K947" s="1619">
        <f t="shared" si="64"/>
        <v>3</v>
      </c>
    </row>
    <row r="948" spans="1:11" ht="15" customHeight="1">
      <c r="E948" s="1561"/>
      <c r="F948" s="1561"/>
      <c r="G948" s="1561"/>
      <c r="H948" s="1561"/>
    </row>
    <row r="949" spans="1:11" ht="15" customHeight="1">
      <c r="E949" s="1561"/>
      <c r="F949" s="1561"/>
      <c r="G949" s="1561"/>
      <c r="H949" s="1561"/>
    </row>
    <row r="950" spans="1:11" ht="15" customHeight="1" thickBot="1">
      <c r="A950" s="1566"/>
      <c r="B950" s="1580" t="s">
        <v>0</v>
      </c>
      <c r="C950" s="1571"/>
      <c r="D950" s="1572"/>
      <c r="E950" s="1571"/>
      <c r="F950" s="1571"/>
      <c r="G950" s="1571"/>
      <c r="H950" s="1571"/>
      <c r="I950" s="1571"/>
      <c r="J950" s="1571"/>
      <c r="K950" s="1571"/>
    </row>
    <row r="951" spans="1:11" ht="15" customHeight="1" thickBot="1">
      <c r="A951" s="1566"/>
      <c r="B951" s="1348"/>
      <c r="C951" s="1348" t="s">
        <v>1245</v>
      </c>
      <c r="D951" s="1608"/>
      <c r="E951" s="1619">
        <f>E139+E272+E405+E538+E671+E804+E937+E941+E947</f>
        <v>407</v>
      </c>
      <c r="F951" s="1619">
        <f t="shared" ref="F951:K951" si="65">F139+F272+F405+F538+F671+F804+F937+F941+F947</f>
        <v>809</v>
      </c>
      <c r="G951" s="1619">
        <f t="shared" si="65"/>
        <v>825</v>
      </c>
      <c r="H951" s="1619">
        <f t="shared" si="65"/>
        <v>831</v>
      </c>
      <c r="I951" s="1619">
        <f t="shared" si="65"/>
        <v>832</v>
      </c>
      <c r="J951" s="1619">
        <f t="shared" si="65"/>
        <v>832</v>
      </c>
      <c r="K951" s="1623">
        <f t="shared" si="65"/>
        <v>832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DQ198"/>
  <sheetViews>
    <sheetView showGridLines="0" zoomScale="70" zoomScaleNormal="70" zoomScaleSheetLayoutView="90" workbookViewId="0">
      <pane xSplit="3" ySplit="8" topLeftCell="D154" activePane="bottomRight" state="frozen"/>
      <selection pane="topRight" activeCell="D1" sqref="D1"/>
      <selection pane="bottomLeft" activeCell="A9" sqref="A9"/>
      <selection pane="bottomRight" activeCell="D179" sqref="D179:H179"/>
    </sheetView>
  </sheetViews>
  <sheetFormatPr defaultColWidth="9.140625" defaultRowHeight="12.75" outlineLevelRow="1" outlineLevelCol="1"/>
  <cols>
    <col min="1" max="1" width="14.5703125" style="40" customWidth="1"/>
    <col min="2" max="2" width="52.28515625" style="40" customWidth="1"/>
    <col min="3" max="3" width="16.5703125" style="40" customWidth="1" outlineLevel="1"/>
    <col min="4" max="4" width="21.42578125" style="30" bestFit="1" customWidth="1"/>
    <col min="5" max="19" width="10.7109375" style="30" bestFit="1" customWidth="1"/>
    <col min="20" max="20" width="14.42578125" style="30" customWidth="1"/>
    <col min="21" max="16384" width="9.140625" style="40"/>
  </cols>
  <sheetData>
    <row r="1" spans="1:20" ht="13.5" thickBot="1">
      <c r="A1" s="189">
        <v>0</v>
      </c>
      <c r="B1" s="337"/>
      <c r="C1" s="337"/>
      <c r="D1" s="46"/>
      <c r="E1" s="46"/>
      <c r="F1" s="46"/>
      <c r="G1" s="46"/>
      <c r="H1" s="46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9"/>
    </row>
    <row r="2" spans="1:20">
      <c r="A2" s="340"/>
      <c r="B2" s="337"/>
      <c r="C2" s="337" t="s">
        <v>192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339"/>
    </row>
    <row r="3" spans="1:20">
      <c r="B3" s="2" t="s">
        <v>75</v>
      </c>
      <c r="C3" s="1325">
        <f>10^6</f>
        <v>1000000</v>
      </c>
      <c r="D3" s="1402" t="s">
        <v>985</v>
      </c>
      <c r="E3" s="47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20">
      <c r="B4" s="2"/>
      <c r="C4" s="2"/>
      <c r="D4" s="46"/>
      <c r="E4" s="46"/>
      <c r="F4" s="46"/>
      <c r="G4" s="49"/>
      <c r="H4" s="46"/>
      <c r="I4" s="48"/>
      <c r="J4" s="48"/>
      <c r="K4" s="46"/>
      <c r="L4" s="48"/>
      <c r="M4" s="48"/>
      <c r="N4" s="46"/>
      <c r="O4" s="46"/>
      <c r="P4" s="46"/>
      <c r="Q4" s="46"/>
      <c r="R4" s="46"/>
      <c r="S4" s="46"/>
      <c r="T4" s="341" t="s">
        <v>76</v>
      </c>
    </row>
    <row r="5" spans="1:20">
      <c r="B5" s="341"/>
      <c r="C5" s="341"/>
      <c r="D5" s="341">
        <f>YEAR(D6)</f>
        <v>2022</v>
      </c>
      <c r="E5" s="341">
        <f>D5+1</f>
        <v>2023</v>
      </c>
      <c r="F5" s="341">
        <f t="shared" ref="F5:T5" si="0">E5+1</f>
        <v>2024</v>
      </c>
      <c r="G5" s="341">
        <f t="shared" si="0"/>
        <v>2025</v>
      </c>
      <c r="H5" s="341">
        <f t="shared" si="0"/>
        <v>2026</v>
      </c>
      <c r="I5" s="341">
        <f t="shared" si="0"/>
        <v>2027</v>
      </c>
      <c r="J5" s="341">
        <f t="shared" si="0"/>
        <v>2028</v>
      </c>
      <c r="K5" s="341">
        <f t="shared" si="0"/>
        <v>2029</v>
      </c>
      <c r="L5" s="341">
        <f t="shared" si="0"/>
        <v>2030</v>
      </c>
      <c r="M5" s="341">
        <f t="shared" si="0"/>
        <v>2031</v>
      </c>
      <c r="N5" s="341">
        <f t="shared" si="0"/>
        <v>2032</v>
      </c>
      <c r="O5" s="341">
        <f t="shared" si="0"/>
        <v>2033</v>
      </c>
      <c r="P5" s="341">
        <f t="shared" si="0"/>
        <v>2034</v>
      </c>
      <c r="Q5" s="341">
        <f t="shared" si="0"/>
        <v>2035</v>
      </c>
      <c r="R5" s="341">
        <f t="shared" si="0"/>
        <v>2036</v>
      </c>
      <c r="S5" s="341">
        <f t="shared" si="0"/>
        <v>2037</v>
      </c>
      <c r="T5" s="341">
        <f t="shared" si="0"/>
        <v>2038</v>
      </c>
    </row>
    <row r="6" spans="1:20" ht="15" customHeight="1">
      <c r="B6" s="50" t="s">
        <v>77</v>
      </c>
      <c r="C6" s="1333" t="s">
        <v>929</v>
      </c>
      <c r="D6" s="51">
        <f>Вводные!D4</f>
        <v>44593</v>
      </c>
      <c r="E6" s="51">
        <f>DATE(E5,1,1)</f>
        <v>44927</v>
      </c>
      <c r="F6" s="51">
        <f t="shared" ref="F6:T6" si="1">DATE(F5,1,1)</f>
        <v>45292</v>
      </c>
      <c r="G6" s="51">
        <f t="shared" si="1"/>
        <v>45658</v>
      </c>
      <c r="H6" s="51">
        <f t="shared" si="1"/>
        <v>46023</v>
      </c>
      <c r="I6" s="51">
        <f t="shared" si="1"/>
        <v>46388</v>
      </c>
      <c r="J6" s="51">
        <f t="shared" si="1"/>
        <v>46753</v>
      </c>
      <c r="K6" s="51">
        <f t="shared" si="1"/>
        <v>47119</v>
      </c>
      <c r="L6" s="51">
        <f t="shared" si="1"/>
        <v>47484</v>
      </c>
      <c r="M6" s="51">
        <f t="shared" si="1"/>
        <v>47849</v>
      </c>
      <c r="N6" s="51">
        <f t="shared" si="1"/>
        <v>48214</v>
      </c>
      <c r="O6" s="51">
        <f t="shared" si="1"/>
        <v>48580</v>
      </c>
      <c r="P6" s="51">
        <f t="shared" si="1"/>
        <v>48945</v>
      </c>
      <c r="Q6" s="51">
        <f t="shared" si="1"/>
        <v>49310</v>
      </c>
      <c r="R6" s="51">
        <f t="shared" si="1"/>
        <v>49675</v>
      </c>
      <c r="S6" s="51">
        <f t="shared" si="1"/>
        <v>50041</v>
      </c>
      <c r="T6" s="51">
        <f t="shared" si="1"/>
        <v>50406</v>
      </c>
    </row>
    <row r="7" spans="1:20" ht="15" customHeight="1">
      <c r="B7" s="50" t="s">
        <v>78</v>
      </c>
      <c r="C7" s="1333" t="s">
        <v>960</v>
      </c>
      <c r="D7" s="51">
        <f>DATE(D5,12,31)</f>
        <v>44926</v>
      </c>
      <c r="E7" s="51">
        <f>DATE(E5,12,31)</f>
        <v>45291</v>
      </c>
      <c r="F7" s="51">
        <f t="shared" ref="F7:T7" si="2">DATE(F5,12,31)</f>
        <v>45657</v>
      </c>
      <c r="G7" s="51">
        <f t="shared" si="2"/>
        <v>46022</v>
      </c>
      <c r="H7" s="51">
        <f t="shared" si="2"/>
        <v>46387</v>
      </c>
      <c r="I7" s="51">
        <f t="shared" si="2"/>
        <v>46752</v>
      </c>
      <c r="J7" s="51">
        <f t="shared" si="2"/>
        <v>47118</v>
      </c>
      <c r="K7" s="51">
        <f t="shared" si="2"/>
        <v>47483</v>
      </c>
      <c r="L7" s="51">
        <f t="shared" si="2"/>
        <v>47848</v>
      </c>
      <c r="M7" s="51">
        <f t="shared" si="2"/>
        <v>48213</v>
      </c>
      <c r="N7" s="51">
        <f t="shared" si="2"/>
        <v>48579</v>
      </c>
      <c r="O7" s="51">
        <f t="shared" si="2"/>
        <v>48944</v>
      </c>
      <c r="P7" s="51">
        <f t="shared" si="2"/>
        <v>49309</v>
      </c>
      <c r="Q7" s="51">
        <f t="shared" si="2"/>
        <v>49674</v>
      </c>
      <c r="R7" s="51">
        <f t="shared" si="2"/>
        <v>50040</v>
      </c>
      <c r="S7" s="51">
        <f t="shared" si="2"/>
        <v>50405</v>
      </c>
      <c r="T7" s="51">
        <f t="shared" si="2"/>
        <v>50770</v>
      </c>
    </row>
    <row r="8" spans="1:20" ht="15" customHeight="1">
      <c r="B8" s="50" t="s">
        <v>79</v>
      </c>
      <c r="C8" s="1333" t="s">
        <v>928</v>
      </c>
      <c r="D8" s="342">
        <f>D7-D6+1</f>
        <v>334</v>
      </c>
      <c r="E8" s="342">
        <f t="shared" ref="E8:T8" si="3">E7-E6+1</f>
        <v>365</v>
      </c>
      <c r="F8" s="342">
        <f t="shared" si="3"/>
        <v>366</v>
      </c>
      <c r="G8" s="342">
        <f t="shared" si="3"/>
        <v>365</v>
      </c>
      <c r="H8" s="342">
        <f t="shared" si="3"/>
        <v>365</v>
      </c>
      <c r="I8" s="342">
        <f t="shared" si="3"/>
        <v>365</v>
      </c>
      <c r="J8" s="342">
        <f t="shared" si="3"/>
        <v>366</v>
      </c>
      <c r="K8" s="342">
        <f t="shared" si="3"/>
        <v>365</v>
      </c>
      <c r="L8" s="342">
        <f t="shared" si="3"/>
        <v>365</v>
      </c>
      <c r="M8" s="342">
        <f t="shared" si="3"/>
        <v>365</v>
      </c>
      <c r="N8" s="342">
        <f t="shared" si="3"/>
        <v>366</v>
      </c>
      <c r="O8" s="342">
        <f t="shared" si="3"/>
        <v>365</v>
      </c>
      <c r="P8" s="342">
        <f t="shared" si="3"/>
        <v>365</v>
      </c>
      <c r="Q8" s="342">
        <f t="shared" si="3"/>
        <v>365</v>
      </c>
      <c r="R8" s="342">
        <f t="shared" si="3"/>
        <v>366</v>
      </c>
      <c r="S8" s="342">
        <f t="shared" si="3"/>
        <v>365</v>
      </c>
      <c r="T8" s="342">
        <f t="shared" si="3"/>
        <v>365</v>
      </c>
    </row>
    <row r="9" spans="1:20" s="114" customFormat="1">
      <c r="B9" s="343" t="s">
        <v>916</v>
      </c>
      <c r="C9" s="53"/>
      <c r="D9" s="344"/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</row>
    <row r="10" spans="1:20">
      <c r="A10" s="345"/>
      <c r="B10" s="346" t="s">
        <v>799</v>
      </c>
      <c r="C10" s="53">
        <f t="shared" ref="C10:C15" si="4">SUM(D10:S10)</f>
        <v>13393.230067363458</v>
      </c>
      <c r="D10" s="55">
        <f>CF_15!D10/$C$3</f>
        <v>0</v>
      </c>
      <c r="E10" s="55">
        <f>CF_15!E10/$C$3</f>
        <v>0</v>
      </c>
      <c r="F10" s="55">
        <f>CF_15!F10/$C$3</f>
        <v>0</v>
      </c>
      <c r="G10" s="55">
        <f>CF_15!G10/$C$3</f>
        <v>158.21052979225973</v>
      </c>
      <c r="H10" s="55">
        <f>CF_15!H10/$C$3</f>
        <v>552.55701526813846</v>
      </c>
      <c r="I10" s="55">
        <f>CF_15!I10/$C$3</f>
        <v>870.88409018437551</v>
      </c>
      <c r="J10" s="55">
        <f>CF_15!J10/$C$3</f>
        <v>883.58984673026487</v>
      </c>
      <c r="K10" s="55">
        <f>CF_15!K10/$C$3</f>
        <v>1007.6993636855656</v>
      </c>
      <c r="L10" s="55">
        <f>CF_15!L10/$C$3</f>
        <v>1103.0794301800222</v>
      </c>
      <c r="M10" s="55">
        <f>CF_15!M10/$C$3</f>
        <v>1137.5847605151569</v>
      </c>
      <c r="N10" s="55">
        <f>CF_15!N10/$C$3</f>
        <v>1187.3747990061629</v>
      </c>
      <c r="O10" s="55">
        <f>CF_15!O10/$C$3</f>
        <v>1232.4613546755527</v>
      </c>
      <c r="P10" s="55">
        <f>CF_15!P10/$C$3</f>
        <v>1282.7385254864912</v>
      </c>
      <c r="Q10" s="55">
        <f>CF_15!Q10/$C$3</f>
        <v>1309.8504931139464</v>
      </c>
      <c r="R10" s="55">
        <f>CF_15!R10/$C$3</f>
        <v>1305.040822592214</v>
      </c>
      <c r="S10" s="55">
        <f>CF_15!S10/$C$3</f>
        <v>1362.1590361333062</v>
      </c>
      <c r="T10" s="55">
        <f>CF_15!T10/$C$3</f>
        <v>1425.3589394606533</v>
      </c>
    </row>
    <row r="11" spans="1:20">
      <c r="A11" s="345"/>
      <c r="B11" s="346" t="s">
        <v>290</v>
      </c>
      <c r="C11" s="53">
        <f t="shared" si="4"/>
        <v>450.63302007185291</v>
      </c>
      <c r="D11" s="55">
        <f>CF_15!D11/$C$3</f>
        <v>0</v>
      </c>
      <c r="E11" s="55">
        <f>CF_15!E11/$C$3</f>
        <v>0</v>
      </c>
      <c r="F11" s="55">
        <f>CF_15!F11/$C$3</f>
        <v>0</v>
      </c>
      <c r="G11" s="55">
        <f>CF_15!G11/$C$3</f>
        <v>3.2458158633571697</v>
      </c>
      <c r="H11" s="55">
        <f>CF_15!H11/$C$3</f>
        <v>23.501214894560174</v>
      </c>
      <c r="I11" s="55">
        <f>CF_15!I11/$C$3</f>
        <v>28.570794914055735</v>
      </c>
      <c r="J11" s="55">
        <f>CF_15!J11/$C$3</f>
        <v>31.519834034922482</v>
      </c>
      <c r="K11" s="55">
        <f>CF_15!K11/$C$3</f>
        <v>33.982989043950049</v>
      </c>
      <c r="L11" s="55">
        <f>CF_15!L11/$C$3</f>
        <v>35.750599012748417</v>
      </c>
      <c r="M11" s="55">
        <f>CF_15!M11/$C$3</f>
        <v>37.180622973258345</v>
      </c>
      <c r="N11" s="55">
        <f>CF_15!N11/$C$3</f>
        <v>38.851391229823292</v>
      </c>
      <c r="O11" s="55">
        <f>CF_15!O11/$C$3</f>
        <v>40.21456180787623</v>
      </c>
      <c r="P11" s="55">
        <f>CF_15!P11/$C$3</f>
        <v>41.823144280191272</v>
      </c>
      <c r="Q11" s="55">
        <f>CF_15!Q11/$C$3</f>
        <v>43.496070051398931</v>
      </c>
      <c r="R11" s="55">
        <f>CF_15!R11/$C$3</f>
        <v>45.450632598117735</v>
      </c>
      <c r="S11" s="55">
        <f>CF_15!S11/$C$3</f>
        <v>47.045349367593083</v>
      </c>
      <c r="T11" s="55">
        <f>CF_15!T11/$C$3</f>
        <v>48.927163342296808</v>
      </c>
    </row>
    <row r="12" spans="1:20" ht="25.5">
      <c r="A12" s="345"/>
      <c r="B12" s="346" t="s">
        <v>984</v>
      </c>
      <c r="C12" s="53">
        <f t="shared" si="4"/>
        <v>681.55313547731748</v>
      </c>
      <c r="D12" s="55">
        <f>CF_15!D12/$C$3</f>
        <v>0</v>
      </c>
      <c r="E12" s="55">
        <f>CF_15!E12/$C$3</f>
        <v>0</v>
      </c>
      <c r="F12" s="55">
        <f>CF_15!F12/$C$3</f>
        <v>0</v>
      </c>
      <c r="G12" s="55">
        <f>CF_15!G12/$C$3</f>
        <v>12.893463107724278</v>
      </c>
      <c r="H12" s="55">
        <f>CF_15!H12/$C$3</f>
        <v>34.263065707600248</v>
      </c>
      <c r="I12" s="55">
        <f>CF_15!I12/$C$3</f>
        <v>40.583044874927694</v>
      </c>
      <c r="J12" s="55">
        <f>CF_15!J12/$C$3</f>
        <v>49.459292317286511</v>
      </c>
      <c r="K12" s="55">
        <f>CF_15!K12/$C$3</f>
        <v>51.437664009977979</v>
      </c>
      <c r="L12" s="55">
        <f>CF_15!L12/$C$3</f>
        <v>53.495170570377105</v>
      </c>
      <c r="M12" s="55">
        <f>CF_15!M12/$C$3</f>
        <v>55.634977393192194</v>
      </c>
      <c r="N12" s="55">
        <f>CF_15!N12/$C$3</f>
        <v>57.860376488919883</v>
      </c>
      <c r="O12" s="55">
        <f>CF_15!O12/$C$3</f>
        <v>60.174791548476684</v>
      </c>
      <c r="P12" s="55">
        <f>CF_15!P12/$C$3</f>
        <v>62.581783210415743</v>
      </c>
      <c r="Q12" s="55">
        <f>CF_15!Q12/$C$3</f>
        <v>65.085054538832381</v>
      </c>
      <c r="R12" s="55">
        <f>CF_15!R12/$C$3</f>
        <v>67.688456720385673</v>
      </c>
      <c r="S12" s="55">
        <f>CF_15!S12/$C$3</f>
        <v>70.3959949892011</v>
      </c>
      <c r="T12" s="55">
        <f>CF_15!T12/$C$3</f>
        <v>73.211834788769153</v>
      </c>
    </row>
    <row r="13" spans="1:20">
      <c r="A13" s="345"/>
      <c r="B13" s="346" t="s">
        <v>955</v>
      </c>
      <c r="C13" s="53">
        <f t="shared" si="4"/>
        <v>54.351311166024878</v>
      </c>
      <c r="D13" s="55">
        <f>CF_15!D13/$C$3</f>
        <v>0</v>
      </c>
      <c r="E13" s="55">
        <f>CF_15!E13/$C$3</f>
        <v>0</v>
      </c>
      <c r="F13" s="55">
        <f>CF_15!F13/$C$3</f>
        <v>0</v>
      </c>
      <c r="G13" s="55">
        <f>CF_15!G13/$C$3</f>
        <v>6.1355329862453858E-2</v>
      </c>
      <c r="H13" s="55">
        <f>CF_15!H13/$C$3</f>
        <v>1.8171202938100826</v>
      </c>
      <c r="I13" s="55">
        <f>CF_15!I13/$C$3</f>
        <v>2.7448239431981984</v>
      </c>
      <c r="J13" s="55">
        <f>CF_15!J13/$C$3</f>
        <v>3.7116448529751915</v>
      </c>
      <c r="K13" s="55">
        <f>CF_15!K13/$C$3</f>
        <v>4.2938552693837178</v>
      </c>
      <c r="L13" s="55">
        <f>CF_15!L13/$C$3</f>
        <v>4.5312059019108366</v>
      </c>
      <c r="M13" s="55">
        <f>CF_15!M13/$C$3</f>
        <v>4.7124541379872689</v>
      </c>
      <c r="N13" s="55">
        <f>CF_15!N13/$C$3</f>
        <v>4.9143795700917101</v>
      </c>
      <c r="O13" s="55">
        <f>CF_15!O13/$C$3</f>
        <v>5.0969903956470288</v>
      </c>
      <c r="P13" s="55">
        <f>CF_15!P13/$C$3</f>
        <v>5.3008700114729095</v>
      </c>
      <c r="Q13" s="55">
        <f>CF_15!Q13/$C$3</f>
        <v>5.5129048119318265</v>
      </c>
      <c r="R13" s="55">
        <f>CF_15!R13/$C$3</f>
        <v>5.7491290071609038</v>
      </c>
      <c r="S13" s="55">
        <f>CF_15!S13/$C$3</f>
        <v>5.9045776405927501</v>
      </c>
      <c r="T13" s="55">
        <f>CF_15!T13/$C$3</f>
        <v>5.9045776405927501</v>
      </c>
    </row>
    <row r="14" spans="1:20">
      <c r="A14" s="345"/>
      <c r="B14" s="346" t="s">
        <v>917</v>
      </c>
      <c r="C14" s="53">
        <f t="shared" si="4"/>
        <v>3945.4946400711765</v>
      </c>
      <c r="D14" s="55">
        <f>CF_15!D14/$C$3</f>
        <v>0</v>
      </c>
      <c r="E14" s="55">
        <f>CF_15!E14/$C$3</f>
        <v>0</v>
      </c>
      <c r="F14" s="55">
        <f>CF_15!F14/$C$3</f>
        <v>0</v>
      </c>
      <c r="G14" s="55">
        <f>CF_15!G14/$C$3</f>
        <v>0</v>
      </c>
      <c r="H14" s="55">
        <f>CF_15!H14/$C$3</f>
        <v>923.23552700585492</v>
      </c>
      <c r="I14" s="55">
        <f>CF_15!I14/$C$3</f>
        <v>1585.7868640079328</v>
      </c>
      <c r="J14" s="55">
        <f>CF_15!J14/$C$3</f>
        <v>1436.472249057389</v>
      </c>
      <c r="K14" s="55">
        <f>CF_15!K14/$C$3</f>
        <v>0</v>
      </c>
      <c r="L14" s="55">
        <f>CF_15!L14/$C$3</f>
        <v>0</v>
      </c>
      <c r="M14" s="55">
        <f>CF_15!M14/$C$3</f>
        <v>0</v>
      </c>
      <c r="N14" s="55">
        <f>CF_15!N14/$C$3</f>
        <v>0</v>
      </c>
      <c r="O14" s="55">
        <f>CF_15!O14/$C$3</f>
        <v>0</v>
      </c>
      <c r="P14" s="55">
        <f>CF_15!P14/$C$3</f>
        <v>0</v>
      </c>
      <c r="Q14" s="55">
        <f>CF_15!Q14/$C$3</f>
        <v>0</v>
      </c>
      <c r="R14" s="55">
        <f>CF_15!R14/$C$3</f>
        <v>0</v>
      </c>
      <c r="S14" s="55">
        <f>CF_15!S14/$C$3</f>
        <v>0</v>
      </c>
      <c r="T14" s="55">
        <f>CF_15!T14/$C$3</f>
        <v>0</v>
      </c>
    </row>
    <row r="15" spans="1:20" s="146" customFormat="1">
      <c r="B15" s="347" t="s">
        <v>441</v>
      </c>
      <c r="C15" s="53">
        <f t="shared" si="4"/>
        <v>18525.262174149826</v>
      </c>
      <c r="D15" s="348">
        <f>SUM(D10:D14)</f>
        <v>0</v>
      </c>
      <c r="E15" s="348">
        <f>SUM(E10:E14)</f>
        <v>0</v>
      </c>
      <c r="F15" s="348">
        <f>SUM(F10:F14)</f>
        <v>0</v>
      </c>
      <c r="G15" s="348">
        <f>SUM(G10:G14)</f>
        <v>174.41116409320364</v>
      </c>
      <c r="H15" s="348">
        <f>SUM(H10:H14)</f>
        <v>1535.3739431699637</v>
      </c>
      <c r="I15" s="348">
        <f t="shared" ref="I15:T15" si="5">SUM(I10:I14)</f>
        <v>2528.5696179244896</v>
      </c>
      <c r="J15" s="348">
        <f t="shared" si="5"/>
        <v>2404.7528669928379</v>
      </c>
      <c r="K15" s="348">
        <f t="shared" si="5"/>
        <v>1097.4138720088772</v>
      </c>
      <c r="L15" s="348">
        <f t="shared" si="5"/>
        <v>1196.8564056650584</v>
      </c>
      <c r="M15" s="348">
        <f t="shared" si="5"/>
        <v>1235.1128150195948</v>
      </c>
      <c r="N15" s="348">
        <f t="shared" si="5"/>
        <v>1289.0009462949979</v>
      </c>
      <c r="O15" s="348">
        <f t="shared" si="5"/>
        <v>1337.9476984275525</v>
      </c>
      <c r="P15" s="348">
        <f t="shared" si="5"/>
        <v>1392.444322988571</v>
      </c>
      <c r="Q15" s="348">
        <f t="shared" si="5"/>
        <v>1423.9445225161094</v>
      </c>
      <c r="R15" s="348">
        <f t="shared" si="5"/>
        <v>1423.9290409178782</v>
      </c>
      <c r="S15" s="348">
        <f t="shared" si="5"/>
        <v>1485.5049581306935</v>
      </c>
      <c r="T15" s="348">
        <f t="shared" si="5"/>
        <v>1553.4025152323122</v>
      </c>
    </row>
    <row r="16" spans="1:20">
      <c r="B16" s="349" t="s">
        <v>442</v>
      </c>
      <c r="C16" s="53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</row>
    <row r="17" spans="2:22">
      <c r="B17" s="60" t="s">
        <v>630</v>
      </c>
      <c r="C17" s="53"/>
      <c r="D17" s="55">
        <f>CF_15!D17/$C$3</f>
        <v>0</v>
      </c>
      <c r="E17" s="55">
        <f>CF_15!E17/$C$3</f>
        <v>0</v>
      </c>
      <c r="F17" s="55">
        <f>CF_15!F17/$C$3</f>
        <v>0</v>
      </c>
      <c r="G17" s="55">
        <f>CF_15!G17/$C$3</f>
        <v>-29.183266110846407</v>
      </c>
      <c r="H17" s="55">
        <f>CF_15!H17/$C$3</f>
        <v>-35.884076502210064</v>
      </c>
      <c r="I17" s="55">
        <f>CF_15!I17/$C$3</f>
        <v>-39.746300479172071</v>
      </c>
      <c r="J17" s="55">
        <f>CF_15!J17/$C$3</f>
        <v>-40.076614166847669</v>
      </c>
      <c r="K17" s="55">
        <f>CF_15!K17/$C$3</f>
        <v>-42.181946451720925</v>
      </c>
      <c r="L17" s="55">
        <f>CF_15!L17/$C$3</f>
        <v>-44.220861644703731</v>
      </c>
      <c r="M17" s="55">
        <f>CF_15!M17/$C$3</f>
        <v>-45.989696110491884</v>
      </c>
      <c r="N17" s="55">
        <f>CF_15!N17/$C$3</f>
        <v>-47.86798056310527</v>
      </c>
      <c r="O17" s="55">
        <f>CF_15!O17/$C$3</f>
        <v>-49.742455313108017</v>
      </c>
      <c r="P17" s="55">
        <f>CF_15!P17/$C$3</f>
        <v>-51.732153525632349</v>
      </c>
      <c r="Q17" s="55">
        <f>CF_15!Q17/$C$3</f>
        <v>-53.80143966665765</v>
      </c>
      <c r="R17" s="55">
        <f>CF_15!R17/$C$3</f>
        <v>-55.998766811662314</v>
      </c>
      <c r="S17" s="55">
        <f>CF_15!S17/$C$3</f>
        <v>-58.191637143456909</v>
      </c>
      <c r="T17" s="55">
        <f>CF_15!T17/$C$3</f>
        <v>-60.519302629195188</v>
      </c>
    </row>
    <row r="18" spans="2:22">
      <c r="B18" s="60" t="s">
        <v>631</v>
      </c>
      <c r="C18" s="53"/>
      <c r="D18" s="55">
        <f>CF_15!D18/$C$3</f>
        <v>0</v>
      </c>
      <c r="E18" s="55">
        <f>CF_15!E18/$C$3</f>
        <v>0</v>
      </c>
      <c r="F18" s="55">
        <f>CF_15!F18/$C$3</f>
        <v>0</v>
      </c>
      <c r="G18" s="55">
        <f>CF_15!G18/$C$3</f>
        <v>-16.414221638076011</v>
      </c>
      <c r="H18" s="55">
        <f>CF_15!H18/$C$3</f>
        <v>-23.176155324398426</v>
      </c>
      <c r="I18" s="55">
        <f>CF_15!I18/$C$3</f>
        <v>-32.34112039359993</v>
      </c>
      <c r="J18" s="55">
        <f>CF_15!J18/$C$3</f>
        <v>-33.54751088110477</v>
      </c>
      <c r="K18" s="55">
        <f>CF_15!K18/$C$3</f>
        <v>-36.005561801236404</v>
      </c>
      <c r="L18" s="55">
        <f>CF_15!L18/$C$3</f>
        <v>-38.227200573094692</v>
      </c>
      <c r="M18" s="55">
        <f>CF_15!M18/$C$3</f>
        <v>-39.756288596018479</v>
      </c>
      <c r="N18" s="55">
        <f>CF_15!N18/$C$3</f>
        <v>-41.432532602511898</v>
      </c>
      <c r="O18" s="55">
        <f>CF_15!O18/$C$3</f>
        <v>-43.000401745453587</v>
      </c>
      <c r="P18" s="55">
        <f>CF_15!P18/$C$3</f>
        <v>-44.720417815271738</v>
      </c>
      <c r="Q18" s="55">
        <f>CF_15!Q18/$C$3</f>
        <v>-46.509234527882604</v>
      </c>
      <c r="R18" s="55">
        <f>CF_15!R18/$C$3</f>
        <v>-48.470202927527623</v>
      </c>
      <c r="S18" s="55">
        <f>CF_15!S18/$C$3</f>
        <v>-50.304388065357827</v>
      </c>
      <c r="T18" s="55">
        <f>CF_15!T18/$C$3</f>
        <v>-52.316563587972141</v>
      </c>
    </row>
    <row r="19" spans="2:22">
      <c r="B19" s="60" t="s">
        <v>537</v>
      </c>
      <c r="C19" s="53"/>
      <c r="D19" s="55">
        <f>CF_15!D19/$C$3</f>
        <v>0</v>
      </c>
      <c r="E19" s="55">
        <f>CF_15!E19/$C$3</f>
        <v>0</v>
      </c>
      <c r="F19" s="55">
        <f>CF_15!F19/$C$3</f>
        <v>0</v>
      </c>
      <c r="G19" s="55">
        <f>CF_15!G19/$C$3</f>
        <v>-20.222371806874015</v>
      </c>
      <c r="H19" s="55">
        <f>CF_15!H19/$C$3</f>
        <v>-27.252648284957722</v>
      </c>
      <c r="I19" s="55">
        <f>CF_15!I19/$C$3</f>
        <v>-28.505888713450702</v>
      </c>
      <c r="J19" s="55">
        <f>CF_15!J19/$C$3</f>
        <v>-28.364772348437647</v>
      </c>
      <c r="K19" s="55">
        <f>CF_15!K19/$C$3</f>
        <v>-30.28066858179637</v>
      </c>
      <c r="L19" s="55">
        <f>CF_15!L19/$C$3</f>
        <v>-32.038886734934401</v>
      </c>
      <c r="M19" s="55">
        <f>CF_15!M19/$C$3</f>
        <v>-33.320442204331783</v>
      </c>
      <c r="N19" s="55">
        <f>CF_15!N19/$C$3</f>
        <v>-34.713454616361929</v>
      </c>
      <c r="O19" s="55">
        <f>CF_15!O19/$C$3</f>
        <v>-36.039390288205261</v>
      </c>
      <c r="P19" s="55">
        <f>CF_15!P19/$C$3</f>
        <v>-37.480965899733469</v>
      </c>
      <c r="Q19" s="55">
        <f>CF_15!Q19/$C$3</f>
        <v>-38.980204535722805</v>
      </c>
      <c r="R19" s="55">
        <f>CF_15!R19/$C$3</f>
        <v>-40.609832030122519</v>
      </c>
      <c r="S19" s="55">
        <f>CF_15!S19/$C$3</f>
        <v>-42.160989225837795</v>
      </c>
      <c r="T19" s="55">
        <f>CF_15!T19/$C$3</f>
        <v>-43.847428794871298</v>
      </c>
      <c r="U19" s="352"/>
      <c r="V19" s="352"/>
    </row>
    <row r="20" spans="2:22">
      <c r="B20" s="60" t="s">
        <v>900</v>
      </c>
      <c r="C20" s="53"/>
      <c r="D20" s="55">
        <f>CF_15!D20/$C$3</f>
        <v>0</v>
      </c>
      <c r="E20" s="55">
        <f>CF_15!E20/$C$3</f>
        <v>0</v>
      </c>
      <c r="F20" s="55">
        <f>CF_15!F20/$C$3</f>
        <v>0</v>
      </c>
      <c r="G20" s="55">
        <f>CF_15!G20/$C$3</f>
        <v>-2.0523546568790021</v>
      </c>
      <c r="H20" s="55">
        <f>CF_15!H20/$C$3</f>
        <v>-8.135088996342235</v>
      </c>
      <c r="I20" s="55">
        <f>CF_15!I20/$C$3</f>
        <v>-11.733402728689116</v>
      </c>
      <c r="J20" s="55">
        <f>CF_15!J20/$C$3</f>
        <v>-12.159111673717101</v>
      </c>
      <c r="K20" s="55">
        <f>CF_15!K20/$C$3</f>
        <v>-13.203551383109509</v>
      </c>
      <c r="L20" s="55">
        <f>CF_15!L20/$C$3</f>
        <v>-14.122401588338301</v>
      </c>
      <c r="M20" s="55">
        <f>CF_15!M20/$C$3</f>
        <v>-14.687297651871834</v>
      </c>
      <c r="N20" s="55">
        <f>CF_15!N20/$C$3</f>
        <v>-15.317785789273046</v>
      </c>
      <c r="O20" s="55">
        <f>CF_15!O20/$C$3</f>
        <v>-15.885781140264577</v>
      </c>
      <c r="P20" s="55">
        <f>CF_15!P20/$C$3</f>
        <v>-16.521212385875163</v>
      </c>
      <c r="Q20" s="55">
        <f>CF_15!Q20/$C$3</f>
        <v>-17.182060881310168</v>
      </c>
      <c r="R20" s="55">
        <f>CF_15!R20/$C$3</f>
        <v>-17.919642825827431</v>
      </c>
      <c r="S20" s="55">
        <f>CF_15!S20/$C$3</f>
        <v>-18.584117049225078</v>
      </c>
      <c r="T20" s="55">
        <f>CF_15!T20/$C$3</f>
        <v>-19.327481731194084</v>
      </c>
      <c r="U20" s="352"/>
      <c r="V20" s="352"/>
    </row>
    <row r="21" spans="2:22">
      <c r="B21" s="60" t="s">
        <v>887</v>
      </c>
      <c r="C21" s="53"/>
      <c r="D21" s="55">
        <f>CF_15!D21/$C$3</f>
        <v>0</v>
      </c>
      <c r="E21" s="55">
        <f>CF_15!E21/$C$3</f>
        <v>0</v>
      </c>
      <c r="F21" s="55">
        <f>CF_15!F21/$C$3</f>
        <v>0</v>
      </c>
      <c r="G21" s="55">
        <f>CF_15!G21/$C$3</f>
        <v>0</v>
      </c>
      <c r="H21" s="55">
        <f>CF_15!H21/$C$3</f>
        <v>0</v>
      </c>
      <c r="I21" s="55">
        <f>CF_15!I21/$C$3</f>
        <v>0</v>
      </c>
      <c r="J21" s="55">
        <f>CF_15!J21/$C$3</f>
        <v>0</v>
      </c>
      <c r="K21" s="55">
        <f>CF_15!K21/$C$3</f>
        <v>0</v>
      </c>
      <c r="L21" s="55">
        <f>CF_15!L21/$C$3</f>
        <v>0</v>
      </c>
      <c r="M21" s="55">
        <f>CF_15!M21/$C$3</f>
        <v>0</v>
      </c>
      <c r="N21" s="55">
        <f>CF_15!N21/$C$3</f>
        <v>0</v>
      </c>
      <c r="O21" s="55">
        <f>CF_15!O21/$C$3</f>
        <v>0</v>
      </c>
      <c r="P21" s="55">
        <f>CF_15!P21/$C$3</f>
        <v>0</v>
      </c>
      <c r="Q21" s="55">
        <f>CF_15!Q21/$C$3</f>
        <v>-13.461858337010458</v>
      </c>
      <c r="R21" s="55">
        <f>CF_15!R21/$C$3</f>
        <v>-12.788765420159937</v>
      </c>
      <c r="S21" s="55">
        <f>CF_15!S21/$C$3</f>
        <v>-12.115672503309414</v>
      </c>
      <c r="T21" s="55">
        <f>CF_15!T21/$C$3</f>
        <v>-11.442579586458891</v>
      </c>
      <c r="U21" s="352"/>
      <c r="V21" s="352"/>
    </row>
    <row r="22" spans="2:22">
      <c r="B22" s="60" t="s">
        <v>922</v>
      </c>
      <c r="C22" s="53"/>
      <c r="D22" s="55">
        <f>CF_15!D22/$C$3</f>
        <v>0</v>
      </c>
      <c r="E22" s="55">
        <f>CF_15!E22/$C$3</f>
        <v>0</v>
      </c>
      <c r="F22" s="55">
        <f>CF_15!F22/$C$3</f>
        <v>0</v>
      </c>
      <c r="G22" s="55">
        <f>CF_15!G22/$C$3</f>
        <v>-2.2563910280784563</v>
      </c>
      <c r="H22" s="55">
        <f>CF_15!H22/$C$3</f>
        <v>-2.1799031966181701</v>
      </c>
      <c r="I22" s="55">
        <f>CF_15!I22/$C$3</f>
        <v>-2.1034153651578835</v>
      </c>
      <c r="J22" s="55">
        <f>CF_15!J22/$C$3</f>
        <v>-2.0269275336975969</v>
      </c>
      <c r="K22" s="55">
        <f>CF_15!K22/$C$3</f>
        <v>-1.9504397022373106</v>
      </c>
      <c r="L22" s="55">
        <f>CF_15!L22/$C$3</f>
        <v>-1.873951870777024</v>
      </c>
      <c r="M22" s="55">
        <f>CF_15!M22/$C$3</f>
        <v>-1.7974640393167374</v>
      </c>
      <c r="N22" s="55">
        <f>CF_15!N22/$C$3</f>
        <v>-1.7209762078564508</v>
      </c>
      <c r="O22" s="55">
        <f>CF_15!O22/$C$3</f>
        <v>-1.644488376396164</v>
      </c>
      <c r="P22" s="55">
        <f>CF_15!P22/$C$3</f>
        <v>-1.5680005449358774</v>
      </c>
      <c r="Q22" s="55">
        <f>CF_15!Q22/$C$3</f>
        <v>-1.4915127134755906</v>
      </c>
      <c r="R22" s="55">
        <f>CF_15!R22/$C$3</f>
        <v>-1.415024882015304</v>
      </c>
      <c r="S22" s="55">
        <f>CF_15!S22/$C$3</f>
        <v>-1.3385370505550174</v>
      </c>
      <c r="T22" s="55">
        <f>CF_15!T22/$C$3</f>
        <v>-1.2620492190947308</v>
      </c>
      <c r="U22" s="352"/>
      <c r="V22" s="352"/>
    </row>
    <row r="23" spans="2:22">
      <c r="B23" s="347" t="s">
        <v>443</v>
      </c>
      <c r="C23" s="53">
        <f>SUM(D23:S23)</f>
        <v>-1757.7300841742356</v>
      </c>
      <c r="D23" s="348">
        <f>SUM(D17:D22)</f>
        <v>0</v>
      </c>
      <c r="E23" s="348">
        <f>SUM(E17:E22)</f>
        <v>0</v>
      </c>
      <c r="F23" s="348">
        <f>SUM(F17:F22)</f>
        <v>0</v>
      </c>
      <c r="G23" s="348">
        <f>SUM(G17:G22)</f>
        <v>-70.128605240753885</v>
      </c>
      <c r="H23" s="348">
        <f>SUM(H17:H22)</f>
        <v>-96.627872304526619</v>
      </c>
      <c r="I23" s="348">
        <f t="shared" ref="I23:T23" si="6">SUM(I17:I22)</f>
        <v>-114.4301276800697</v>
      </c>
      <c r="J23" s="348">
        <f t="shared" si="6"/>
        <v>-116.1749366038048</v>
      </c>
      <c r="K23" s="348">
        <f t="shared" si="6"/>
        <v>-123.62216792010052</v>
      </c>
      <c r="L23" s="348">
        <f t="shared" si="6"/>
        <v>-130.48330241184817</v>
      </c>
      <c r="M23" s="348">
        <f t="shared" si="6"/>
        <v>-135.55118860203072</v>
      </c>
      <c r="N23" s="348">
        <f t="shared" si="6"/>
        <v>-141.05272977910857</v>
      </c>
      <c r="O23" s="348">
        <f t="shared" si="6"/>
        <v>-146.31251686342762</v>
      </c>
      <c r="P23" s="348">
        <f t="shared" si="6"/>
        <v>-152.02275017144859</v>
      </c>
      <c r="Q23" s="348">
        <f t="shared" si="6"/>
        <v>-171.42631066205928</v>
      </c>
      <c r="R23" s="348">
        <f t="shared" si="6"/>
        <v>-177.20223489731512</v>
      </c>
      <c r="S23" s="348">
        <f t="shared" si="6"/>
        <v>-182.69534103774203</v>
      </c>
      <c r="T23" s="348">
        <f t="shared" si="6"/>
        <v>-188.71540554878635</v>
      </c>
      <c r="U23" s="352"/>
      <c r="V23" s="352"/>
    </row>
    <row r="24" spans="2:22" s="352" customFormat="1">
      <c r="B24" s="351" t="s">
        <v>80</v>
      </c>
      <c r="C24" s="53">
        <f>SUM(D24:S24)</f>
        <v>16767.532089975593</v>
      </c>
      <c r="D24" s="57">
        <f t="shared" ref="D24:T24" si="7">D15+D23</f>
        <v>0</v>
      </c>
      <c r="E24" s="57">
        <f t="shared" si="7"/>
        <v>0</v>
      </c>
      <c r="F24" s="57">
        <f t="shared" si="7"/>
        <v>0</v>
      </c>
      <c r="G24" s="57">
        <f t="shared" si="7"/>
        <v>104.28255885244975</v>
      </c>
      <c r="H24" s="57">
        <f t="shared" si="7"/>
        <v>1438.7460708654371</v>
      </c>
      <c r="I24" s="57">
        <f t="shared" si="7"/>
        <v>2414.1394902444199</v>
      </c>
      <c r="J24" s="57">
        <f t="shared" si="7"/>
        <v>2288.5779303890331</v>
      </c>
      <c r="K24" s="57">
        <f t="shared" si="7"/>
        <v>973.79170408877667</v>
      </c>
      <c r="L24" s="57">
        <f t="shared" si="7"/>
        <v>1066.3731032532103</v>
      </c>
      <c r="M24" s="57">
        <f t="shared" si="7"/>
        <v>1099.5616264175642</v>
      </c>
      <c r="N24" s="57">
        <f t="shared" si="7"/>
        <v>1147.9482165158893</v>
      </c>
      <c r="O24" s="57">
        <f t="shared" si="7"/>
        <v>1191.6351815641249</v>
      </c>
      <c r="P24" s="57">
        <f t="shared" si="7"/>
        <v>1240.4215728171225</v>
      </c>
      <c r="Q24" s="57">
        <f t="shared" si="7"/>
        <v>1252.5182118540502</v>
      </c>
      <c r="R24" s="57">
        <f t="shared" si="7"/>
        <v>1246.7268060205631</v>
      </c>
      <c r="S24" s="57">
        <f t="shared" si="7"/>
        <v>1302.8096170929514</v>
      </c>
      <c r="T24" s="57">
        <f t="shared" si="7"/>
        <v>1364.6871096835259</v>
      </c>
    </row>
    <row r="25" spans="2:22">
      <c r="B25" s="275" t="s">
        <v>81</v>
      </c>
      <c r="C25" s="53">
        <f>SUM(D25:S25)</f>
        <v>-2338.6573810546288</v>
      </c>
      <c r="D25" s="55">
        <f>-D184</f>
        <v>0</v>
      </c>
      <c r="E25" s="55">
        <f>-E184</f>
        <v>-4.0000000151681663</v>
      </c>
      <c r="F25" s="55">
        <f t="shared" ref="F25:T25" si="8">-F184</f>
        <v>-89.844143107982916</v>
      </c>
      <c r="G25" s="55">
        <f t="shared" si="8"/>
        <v>-208.16635490210152</v>
      </c>
      <c r="H25" s="55">
        <f t="shared" si="8"/>
        <v>-296.39888312430315</v>
      </c>
      <c r="I25" s="55">
        <f t="shared" si="8"/>
        <v>-261.66799999050733</v>
      </c>
      <c r="J25" s="55">
        <f t="shared" si="8"/>
        <v>-253.44399999050731</v>
      </c>
      <c r="K25" s="55">
        <f t="shared" si="8"/>
        <v>-239.58799999050731</v>
      </c>
      <c r="L25" s="55">
        <f t="shared" si="8"/>
        <v>-220.58399999050729</v>
      </c>
      <c r="M25" s="55">
        <f t="shared" si="8"/>
        <v>-197.89599999050731</v>
      </c>
      <c r="N25" s="55">
        <f t="shared" si="8"/>
        <v>-172.7159999905073</v>
      </c>
      <c r="O25" s="55">
        <f t="shared" si="8"/>
        <v>-144.77199999050731</v>
      </c>
      <c r="P25" s="55">
        <f t="shared" si="8"/>
        <v>-114.5639999905073</v>
      </c>
      <c r="Q25" s="55">
        <f t="shared" si="8"/>
        <v>-83.303999990507293</v>
      </c>
      <c r="R25" s="55">
        <f t="shared" si="8"/>
        <v>-51.711999990507294</v>
      </c>
      <c r="S25" s="55">
        <f t="shared" si="8"/>
        <v>0</v>
      </c>
      <c r="T25" s="55">
        <f t="shared" si="8"/>
        <v>0</v>
      </c>
      <c r="U25" s="352"/>
      <c r="V25" s="352"/>
    </row>
    <row r="26" spans="2:22">
      <c r="B26" s="52" t="s">
        <v>82</v>
      </c>
      <c r="C26" s="53">
        <f>SUM(D26:S26)</f>
        <v>-2775.6724478301271</v>
      </c>
      <c r="D26" s="55">
        <f>-LOOKUP(D$5,Амортизация!$252:$252,Амортизация!$255:$255)/$C$3</f>
        <v>0</v>
      </c>
      <c r="E26" s="55">
        <f>-LOOKUP(E$5,Амортизация!$252:$252,Амортизация!$255:$255)/$C$3</f>
        <v>0</v>
      </c>
      <c r="F26" s="55">
        <f>-LOOKUP(F$5,Амортизация!$252:$252,Амортизация!$255:$255)/$C$3</f>
        <v>0</v>
      </c>
      <c r="G26" s="55">
        <f>-LOOKUP(G$5,Амортизация!$252:$252,Амортизация!$255:$255)/$C$3</f>
        <v>-43.883903161762348</v>
      </c>
      <c r="H26" s="55">
        <f>-LOOKUP(H$5,Амортизация!$252:$252,Амортизация!$255:$255)/$C$3</f>
        <v>-160.74932235770154</v>
      </c>
      <c r="I26" s="55">
        <f>-LOOKUP(I$5,Амортизация!$252:$252,Амортизация!$255:$255)/$C$3</f>
        <v>-233.73083839187842</v>
      </c>
      <c r="J26" s="55">
        <f>-LOOKUP(J$5,Амортизация!$252:$252,Амортизация!$255:$255)/$C$3</f>
        <v>-233.73083839187842</v>
      </c>
      <c r="K26" s="55">
        <f>-LOOKUP(K$5,Амортизация!$252:$252,Амортизация!$255:$255)/$C$3</f>
        <v>-233.73083839187842</v>
      </c>
      <c r="L26" s="55">
        <f>-LOOKUP(L$5,Амортизация!$252:$252,Амортизация!$255:$255)/$C$3</f>
        <v>-233.73083839187842</v>
      </c>
      <c r="M26" s="55">
        <f>-LOOKUP(M$5,Амортизация!$252:$252,Амортизация!$255:$255)/$C$3</f>
        <v>-233.73083839187842</v>
      </c>
      <c r="N26" s="55">
        <f>-LOOKUP(N$5,Амортизация!$252:$252,Амортизация!$255:$255)/$C$3</f>
        <v>-233.73083839187842</v>
      </c>
      <c r="O26" s="55">
        <f>-LOOKUP(O$5,Амортизация!$252:$252,Амортизация!$255:$255)/$C$3</f>
        <v>-233.73083839187842</v>
      </c>
      <c r="P26" s="55">
        <f>-LOOKUP(P$5,Амортизация!$252:$252,Амортизация!$255:$255)/$C$3</f>
        <v>-233.73083839187842</v>
      </c>
      <c r="Q26" s="55">
        <f>-LOOKUP(Q$5,Амортизация!$252:$252,Амортизация!$255:$255)/$C$3</f>
        <v>-233.73083839187842</v>
      </c>
      <c r="R26" s="55">
        <f>-LOOKUP(R$5,Амортизация!$252:$252,Амортизация!$255:$255)/$C$3</f>
        <v>-233.73083839187842</v>
      </c>
      <c r="S26" s="55">
        <f>-LOOKUP(S$5,Амортизация!$252:$252,Амортизация!$255:$255)/$C$3</f>
        <v>-233.73083839187842</v>
      </c>
      <c r="T26" s="55">
        <f>-LOOKUP(T$5,Амортизация!$252:$252,Амортизация!$255:$255)/$C$3</f>
        <v>-233.73083839187842</v>
      </c>
      <c r="U26" s="352"/>
      <c r="V26" s="352"/>
    </row>
    <row r="27" spans="2:22">
      <c r="B27" s="52" t="s">
        <v>923</v>
      </c>
      <c r="C27" s="53">
        <f>SUM(D27:S27)</f>
        <v>-1625.3038369683727</v>
      </c>
      <c r="D27" s="55">
        <f>SUMIF(ПРОДАЖА_lease_back!8:8,D5,ПРОДАЖА_lease_back!33:33)/$C$3</f>
        <v>0</v>
      </c>
      <c r="E27" s="55">
        <f>SUMIF(ПРОДАЖА_lease_back!8:8,E5,ПРОДАЖА_lease_back!33:33)/$C$3</f>
        <v>0</v>
      </c>
      <c r="F27" s="55">
        <f>SUMIF(ПРОДАЖА_lease_back!8:8,F5,ПРОДАЖА_lease_back!33:33)/$C$3</f>
        <v>0</v>
      </c>
      <c r="G27" s="55">
        <f>SUMIF(ПРОДАЖА_lease_back!8:8,G5,ПРОДАЖА_lease_back!33:33)/$C$3</f>
        <v>0</v>
      </c>
      <c r="H27" s="55">
        <f>SUMIF(ПРОДАЖА_lease_back!8:8,H5,ПРОДАЖА_lease_back!33:33)/$C$3</f>
        <v>-406.32595924209306</v>
      </c>
      <c r="I27" s="55">
        <f>SUMIF(ПРОДАЖА_lease_back!8:8,I5,ПРОДАЖА_lease_back!33:33)/$C$3</f>
        <v>-650.12153478734899</v>
      </c>
      <c r="J27" s="55">
        <f>SUMIF(ПРОДАЖА_lease_back!8:8,J5,ПРОДАЖА_lease_back!33:33)/$C$3</f>
        <v>-568.85634293893042</v>
      </c>
      <c r="K27" s="55">
        <f>SUMIF(ПРОДАЖА_lease_back!8:8,K5,ПРОДАЖА_lease_back!33:33)/$C$3</f>
        <v>0</v>
      </c>
      <c r="L27" s="55">
        <f>SUMIF(ПРОДАЖА_lease_back!8:8,L5,ПРОДАЖА_lease_back!33:33)/$C$3</f>
        <v>0</v>
      </c>
      <c r="M27" s="55">
        <f>SUMIF(ПРОДАЖА_lease_back!8:8,M5,ПРОДАЖА_lease_back!33:33)/$C$3</f>
        <v>0</v>
      </c>
      <c r="N27" s="55">
        <f>SUMIF(ПРОДАЖА_lease_back!8:8,N5,ПРОДАЖА_lease_back!33:33)/$C$3</f>
        <v>0</v>
      </c>
      <c r="O27" s="55">
        <f>SUMIF(ПРОДАЖА_lease_back!8:8,O5,ПРОДАЖА_lease_back!33:33)/$C$3</f>
        <v>0</v>
      </c>
      <c r="P27" s="55">
        <f>SUMIF(ПРОДАЖА_lease_back!8:8,P5,ПРОДАЖА_lease_back!33:33)/$C$3</f>
        <v>0</v>
      </c>
      <c r="Q27" s="55">
        <f>SUMIF(ПРОДАЖА_lease_back!8:8,Q5,ПРОДАЖА_lease_back!33:33)/$C$3</f>
        <v>0</v>
      </c>
      <c r="R27" s="55">
        <f>SUMIF(ПРОДАЖА_lease_back!8:8,R5,ПРОДАЖА_lease_back!33:33)/$C$3</f>
        <v>0</v>
      </c>
      <c r="S27" s="55">
        <f>SUMIF(ПРОДАЖА_lease_back!8:8,S5,ПРОДАЖА_lease_back!33:33)/$C$3</f>
        <v>0</v>
      </c>
      <c r="T27" s="55">
        <f>SUMIF(ПРОДАЖА_lease_back!8:8,T5,ПРОДАЖА_lease_back!33:33)/$C$3</f>
        <v>0</v>
      </c>
      <c r="U27" s="352"/>
      <c r="V27" s="352"/>
    </row>
    <row r="28" spans="2:22">
      <c r="B28" s="52" t="s">
        <v>83</v>
      </c>
      <c r="C28" s="353"/>
      <c r="D28" s="55">
        <f>SUM(D24:D27)</f>
        <v>0</v>
      </c>
      <c r="E28" s="55">
        <f>SUM(E24:E27)</f>
        <v>-4.0000000151681663</v>
      </c>
      <c r="F28" s="55">
        <f>SUM(F24:F27)</f>
        <v>-89.844143107982916</v>
      </c>
      <c r="G28" s="55">
        <f t="shared" ref="G28:T28" si="9">SUM(G24:G27)</f>
        <v>-147.76769921141411</v>
      </c>
      <c r="H28" s="55">
        <f t="shared" si="9"/>
        <v>575.27190614133929</v>
      </c>
      <c r="I28" s="55">
        <f t="shared" si="9"/>
        <v>1268.6191170746852</v>
      </c>
      <c r="J28" s="55">
        <f t="shared" si="9"/>
        <v>1232.546749067717</v>
      </c>
      <c r="K28" s="55">
        <f t="shared" si="9"/>
        <v>500.47286570639091</v>
      </c>
      <c r="L28" s="55">
        <f t="shared" si="9"/>
        <v>612.05826487082459</v>
      </c>
      <c r="M28" s="55">
        <f t="shared" si="9"/>
        <v>667.93478803517837</v>
      </c>
      <c r="N28" s="55">
        <f t="shared" si="9"/>
        <v>741.50137813350352</v>
      </c>
      <c r="O28" s="55">
        <f t="shared" si="9"/>
        <v>813.13234318173909</v>
      </c>
      <c r="P28" s="55">
        <f t="shared" si="9"/>
        <v>892.12673443473682</v>
      </c>
      <c r="Q28" s="55">
        <f t="shared" si="9"/>
        <v>935.48337347166444</v>
      </c>
      <c r="R28" s="55">
        <f t="shared" si="9"/>
        <v>961.28396763817727</v>
      </c>
      <c r="S28" s="55">
        <f t="shared" si="9"/>
        <v>1069.0787787010729</v>
      </c>
      <c r="T28" s="55">
        <f t="shared" si="9"/>
        <v>1130.9562712916475</v>
      </c>
      <c r="U28" s="352"/>
      <c r="V28" s="352"/>
    </row>
    <row r="29" spans="2:22">
      <c r="B29" s="52" t="s">
        <v>84</v>
      </c>
      <c r="C29" s="353"/>
      <c r="D29" s="55">
        <f>D28</f>
        <v>0</v>
      </c>
      <c r="E29" s="55">
        <f>IF(E28&lt;0,E28,0)+D31</f>
        <v>-4.0000000151681663</v>
      </c>
      <c r="F29" s="55">
        <f>IF(F28&lt;0,F28,0)+E31</f>
        <v>-93.844143123151085</v>
      </c>
      <c r="G29" s="55">
        <f t="shared" ref="G29:T29" si="10">IF(G28&lt;0,G28,0)+F31</f>
        <v>-241.61184233456521</v>
      </c>
      <c r="H29" s="55">
        <f t="shared" si="10"/>
        <v>-241.61184233456521</v>
      </c>
      <c r="I29" s="55">
        <f t="shared" si="10"/>
        <v>0</v>
      </c>
      <c r="J29" s="55">
        <f t="shared" si="10"/>
        <v>0</v>
      </c>
      <c r="K29" s="55">
        <f t="shared" si="10"/>
        <v>0</v>
      </c>
      <c r="L29" s="55">
        <f t="shared" si="10"/>
        <v>0</v>
      </c>
      <c r="M29" s="55">
        <f t="shared" si="10"/>
        <v>0</v>
      </c>
      <c r="N29" s="55">
        <f t="shared" si="10"/>
        <v>0</v>
      </c>
      <c r="O29" s="55">
        <f t="shared" si="10"/>
        <v>0</v>
      </c>
      <c r="P29" s="55">
        <f t="shared" si="10"/>
        <v>0</v>
      </c>
      <c r="Q29" s="55">
        <f t="shared" si="10"/>
        <v>0</v>
      </c>
      <c r="R29" s="55">
        <f t="shared" si="10"/>
        <v>0</v>
      </c>
      <c r="S29" s="55">
        <f t="shared" si="10"/>
        <v>0</v>
      </c>
      <c r="T29" s="55">
        <f t="shared" si="10"/>
        <v>0</v>
      </c>
      <c r="U29" s="352"/>
      <c r="V29" s="352"/>
    </row>
    <row r="30" spans="2:22">
      <c r="B30" s="52" t="s">
        <v>85</v>
      </c>
      <c r="C30" s="353"/>
      <c r="D30" s="55"/>
      <c r="E30" s="55">
        <f t="shared" ref="E30:T30" si="11">IF(E29&lt;0,(IF(E28&gt;0,MIN(-E29,E28),0)),0)</f>
        <v>0</v>
      </c>
      <c r="F30" s="55">
        <f t="shared" si="11"/>
        <v>0</v>
      </c>
      <c r="G30" s="55">
        <f t="shared" si="11"/>
        <v>0</v>
      </c>
      <c r="H30" s="55">
        <f t="shared" si="11"/>
        <v>241.61184233456521</v>
      </c>
      <c r="I30" s="55">
        <f t="shared" si="11"/>
        <v>0</v>
      </c>
      <c r="J30" s="55">
        <f t="shared" si="11"/>
        <v>0</v>
      </c>
      <c r="K30" s="55">
        <f t="shared" si="11"/>
        <v>0</v>
      </c>
      <c r="L30" s="55">
        <f t="shared" si="11"/>
        <v>0</v>
      </c>
      <c r="M30" s="55">
        <f t="shared" si="11"/>
        <v>0</v>
      </c>
      <c r="N30" s="55">
        <f t="shared" si="11"/>
        <v>0</v>
      </c>
      <c r="O30" s="55">
        <f t="shared" si="11"/>
        <v>0</v>
      </c>
      <c r="P30" s="55">
        <f t="shared" si="11"/>
        <v>0</v>
      </c>
      <c r="Q30" s="55">
        <f t="shared" si="11"/>
        <v>0</v>
      </c>
      <c r="R30" s="55">
        <f t="shared" si="11"/>
        <v>0</v>
      </c>
      <c r="S30" s="55">
        <f t="shared" si="11"/>
        <v>0</v>
      </c>
      <c r="T30" s="55">
        <f t="shared" si="11"/>
        <v>0</v>
      </c>
    </row>
    <row r="31" spans="2:22">
      <c r="B31" s="52" t="s">
        <v>926</v>
      </c>
      <c r="C31" s="353"/>
      <c r="D31" s="55"/>
      <c r="E31" s="55">
        <f t="shared" ref="E31:T31" si="12">IF((E29+E30)&lt;0,(E29+E30),0)</f>
        <v>-4.0000000151681663</v>
      </c>
      <c r="F31" s="55">
        <f t="shared" si="12"/>
        <v>-93.844143123151085</v>
      </c>
      <c r="G31" s="55">
        <f t="shared" si="12"/>
        <v>-241.61184233456521</v>
      </c>
      <c r="H31" s="55">
        <f t="shared" si="12"/>
        <v>0</v>
      </c>
      <c r="I31" s="55">
        <f t="shared" si="12"/>
        <v>0</v>
      </c>
      <c r="J31" s="55">
        <f t="shared" si="12"/>
        <v>0</v>
      </c>
      <c r="K31" s="55">
        <f t="shared" si="12"/>
        <v>0</v>
      </c>
      <c r="L31" s="55">
        <f t="shared" si="12"/>
        <v>0</v>
      </c>
      <c r="M31" s="55">
        <f t="shared" si="12"/>
        <v>0</v>
      </c>
      <c r="N31" s="55">
        <f t="shared" si="12"/>
        <v>0</v>
      </c>
      <c r="O31" s="55">
        <f t="shared" si="12"/>
        <v>0</v>
      </c>
      <c r="P31" s="55">
        <f t="shared" si="12"/>
        <v>0</v>
      </c>
      <c r="Q31" s="55">
        <f t="shared" si="12"/>
        <v>0</v>
      </c>
      <c r="R31" s="55">
        <f t="shared" si="12"/>
        <v>0</v>
      </c>
      <c r="S31" s="55">
        <f t="shared" si="12"/>
        <v>0</v>
      </c>
      <c r="T31" s="55">
        <f t="shared" si="12"/>
        <v>0</v>
      </c>
    </row>
    <row r="32" spans="2:22">
      <c r="B32" s="52" t="s">
        <v>86</v>
      </c>
      <c r="C32" s="353"/>
      <c r="D32" s="55"/>
      <c r="E32" s="55">
        <f t="shared" ref="E32:T32" si="13">IF((E28-E30)&lt;0,0,(E28-E30))</f>
        <v>0</v>
      </c>
      <c r="F32" s="55">
        <f t="shared" si="13"/>
        <v>0</v>
      </c>
      <c r="G32" s="55">
        <f t="shared" si="13"/>
        <v>0</v>
      </c>
      <c r="H32" s="55">
        <f t="shared" si="13"/>
        <v>333.66006380677408</v>
      </c>
      <c r="I32" s="55">
        <f t="shared" si="13"/>
        <v>1268.6191170746852</v>
      </c>
      <c r="J32" s="55">
        <f t="shared" si="13"/>
        <v>1232.546749067717</v>
      </c>
      <c r="K32" s="55">
        <f t="shared" si="13"/>
        <v>500.47286570639091</v>
      </c>
      <c r="L32" s="55">
        <f t="shared" si="13"/>
        <v>612.05826487082459</v>
      </c>
      <c r="M32" s="55">
        <f t="shared" si="13"/>
        <v>667.93478803517837</v>
      </c>
      <c r="N32" s="55">
        <f t="shared" si="13"/>
        <v>741.50137813350352</v>
      </c>
      <c r="O32" s="55">
        <f t="shared" si="13"/>
        <v>813.13234318173909</v>
      </c>
      <c r="P32" s="55">
        <f t="shared" si="13"/>
        <v>892.12673443473682</v>
      </c>
      <c r="Q32" s="55">
        <f t="shared" si="13"/>
        <v>935.48337347166444</v>
      </c>
      <c r="R32" s="55">
        <f t="shared" si="13"/>
        <v>961.28396763817727</v>
      </c>
      <c r="S32" s="55">
        <f t="shared" si="13"/>
        <v>1069.0787787010729</v>
      </c>
      <c r="T32" s="55">
        <f t="shared" si="13"/>
        <v>1130.9562712916475</v>
      </c>
    </row>
    <row r="33" spans="1:20">
      <c r="B33" s="52" t="s">
        <v>87</v>
      </c>
      <c r="C33" s="353"/>
      <c r="D33" s="1454">
        <f>CF_15!D33</f>
        <v>0.13500000000000001</v>
      </c>
      <c r="E33" s="1454">
        <f>CF_15!E33</f>
        <v>0.13500000000000001</v>
      </c>
      <c r="F33" s="1454">
        <f>CF_15!F33</f>
        <v>0.13500000000000001</v>
      </c>
      <c r="G33" s="1454">
        <f>CF_15!G33</f>
        <v>0.155</v>
      </c>
      <c r="H33" s="1454">
        <f>CF_15!H33</f>
        <v>0.155</v>
      </c>
      <c r="I33" s="1454">
        <f>CF_15!I33</f>
        <v>0.155</v>
      </c>
      <c r="J33" s="1454">
        <f>CF_15!J33</f>
        <v>0.155</v>
      </c>
      <c r="K33" s="1454">
        <f>CF_15!K33</f>
        <v>0.155</v>
      </c>
      <c r="L33" s="1454">
        <f>CF_15!L33</f>
        <v>0.155</v>
      </c>
      <c r="M33" s="1454">
        <f>CF_15!M33</f>
        <v>0.155</v>
      </c>
      <c r="N33" s="1454">
        <f>CF_15!N33</f>
        <v>0.155</v>
      </c>
      <c r="O33" s="1454">
        <f>CF_15!O33</f>
        <v>0.155</v>
      </c>
      <c r="P33" s="1454">
        <f>CF_15!P33</f>
        <v>0.155</v>
      </c>
      <c r="Q33" s="1454">
        <f>CF_15!Q33</f>
        <v>0.155</v>
      </c>
      <c r="R33" s="1454">
        <f>CF_15!R33</f>
        <v>0.155</v>
      </c>
      <c r="S33" s="1454">
        <f>CF_15!S33</f>
        <v>0.155</v>
      </c>
      <c r="T33" s="1454">
        <f>CF_15!T33</f>
        <v>0.155</v>
      </c>
    </row>
    <row r="34" spans="1:20">
      <c r="B34" s="52" t="s">
        <v>104</v>
      </c>
      <c r="C34" s="53"/>
      <c r="D34" s="55">
        <f>-D33*D32</f>
        <v>0</v>
      </c>
      <c r="E34" s="55">
        <f>-E33*E32</f>
        <v>0</v>
      </c>
      <c r="F34" s="55">
        <f>-F33*F32</f>
        <v>0</v>
      </c>
      <c r="G34" s="55">
        <f>-G33*G32</f>
        <v>0</v>
      </c>
      <c r="H34" s="55">
        <f t="shared" ref="H34:T34" si="14">-H33*H32</f>
        <v>-51.717309890049982</v>
      </c>
      <c r="I34" s="55">
        <f t="shared" si="14"/>
        <v>-196.63596314657619</v>
      </c>
      <c r="J34" s="55">
        <f t="shared" si="14"/>
        <v>-191.04474610549613</v>
      </c>
      <c r="K34" s="55">
        <f t="shared" si="14"/>
        <v>-77.573294184490592</v>
      </c>
      <c r="L34" s="55">
        <f t="shared" si="14"/>
        <v>-94.86903105497781</v>
      </c>
      <c r="M34" s="55">
        <f t="shared" si="14"/>
        <v>-103.52989214545265</v>
      </c>
      <c r="N34" s="55">
        <f t="shared" si="14"/>
        <v>-114.93271361069304</v>
      </c>
      <c r="O34" s="55">
        <f t="shared" si="14"/>
        <v>-126.03551319316956</v>
      </c>
      <c r="P34" s="55">
        <f t="shared" si="14"/>
        <v>-138.27964383738421</v>
      </c>
      <c r="Q34" s="55">
        <f t="shared" si="14"/>
        <v>-144.99992288810799</v>
      </c>
      <c r="R34" s="55">
        <f t="shared" si="14"/>
        <v>-148.99901498391748</v>
      </c>
      <c r="S34" s="55">
        <f t="shared" si="14"/>
        <v>-165.7072106986663</v>
      </c>
      <c r="T34" s="55">
        <f t="shared" si="14"/>
        <v>-175.29822205020537</v>
      </c>
    </row>
    <row r="35" spans="1:20" s="352" customFormat="1">
      <c r="B35" s="117" t="s">
        <v>88</v>
      </c>
      <c r="C35" s="53">
        <f>SUM(D35:S35)</f>
        <v>15213.207834236611</v>
      </c>
      <c r="D35" s="57">
        <f>D24+D34</f>
        <v>0</v>
      </c>
      <c r="E35" s="57">
        <f>E24+E34</f>
        <v>0</v>
      </c>
      <c r="F35" s="57">
        <f>F24+F34</f>
        <v>0</v>
      </c>
      <c r="G35" s="57">
        <f>G24+G34</f>
        <v>104.28255885244975</v>
      </c>
      <c r="H35" s="57">
        <f t="shared" ref="H35:T35" si="15">H24+H34</f>
        <v>1387.0287609753871</v>
      </c>
      <c r="I35" s="57">
        <f t="shared" si="15"/>
        <v>2217.5035270978437</v>
      </c>
      <c r="J35" s="57">
        <f t="shared" si="15"/>
        <v>2097.5331842835371</v>
      </c>
      <c r="K35" s="57">
        <f t="shared" si="15"/>
        <v>896.21840990428609</v>
      </c>
      <c r="L35" s="57">
        <f t="shared" si="15"/>
        <v>971.50407219823251</v>
      </c>
      <c r="M35" s="57">
        <f t="shared" si="15"/>
        <v>996.03173427211152</v>
      </c>
      <c r="N35" s="57">
        <f t="shared" si="15"/>
        <v>1033.0155029051962</v>
      </c>
      <c r="O35" s="57">
        <f t="shared" si="15"/>
        <v>1065.5996683709552</v>
      </c>
      <c r="P35" s="57">
        <f t="shared" si="15"/>
        <v>1102.1419289797384</v>
      </c>
      <c r="Q35" s="57">
        <f t="shared" si="15"/>
        <v>1107.5182889659422</v>
      </c>
      <c r="R35" s="57">
        <f t="shared" si="15"/>
        <v>1097.7277910366456</v>
      </c>
      <c r="S35" s="57">
        <f t="shared" si="15"/>
        <v>1137.102406394285</v>
      </c>
      <c r="T35" s="57">
        <f t="shared" si="15"/>
        <v>1189.3888876333206</v>
      </c>
    </row>
    <row r="36" spans="1:20" s="114" customFormat="1">
      <c r="B36" s="59" t="s">
        <v>89</v>
      </c>
      <c r="C36" s="56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>
      <c r="B37" s="60" t="s">
        <v>90</v>
      </c>
      <c r="C37" s="53">
        <f>SUM(D37:S37)</f>
        <v>-11472.203258232405</v>
      </c>
      <c r="D37" s="55">
        <f>CF_15!D37/$C$3</f>
        <v>-160.31818482743449</v>
      </c>
      <c r="E37" s="55">
        <f>CF_15!E37/$C$3</f>
        <v>-3048.205290457669</v>
      </c>
      <c r="F37" s="55">
        <f>CF_15!F37/$C$3</f>
        <v>-4225.7932783613796</v>
      </c>
      <c r="G37" s="55">
        <f>CF_15!G37/$C$3</f>
        <v>-3151.1617222214882</v>
      </c>
      <c r="H37" s="55">
        <f>CF_15!H37/$C$3</f>
        <v>-886.72478236443374</v>
      </c>
      <c r="I37" s="55">
        <f>CF_15!I37/$C$3</f>
        <v>0</v>
      </c>
      <c r="J37" s="55">
        <f>CF_15!J37/$C$3</f>
        <v>0</v>
      </c>
      <c r="K37" s="55">
        <f>CF_15!K37/$C$3</f>
        <v>0</v>
      </c>
      <c r="L37" s="55">
        <f>CF_15!L37/$C$3</f>
        <v>0</v>
      </c>
      <c r="M37" s="55">
        <f>CF_15!M37/$C$3</f>
        <v>0</v>
      </c>
      <c r="N37" s="55">
        <f>CF_15!N37/$C$3</f>
        <v>0</v>
      </c>
      <c r="O37" s="55">
        <f>CF_15!O37/$C$3</f>
        <v>0</v>
      </c>
      <c r="P37" s="55">
        <f>CF_15!P37/$C$3</f>
        <v>0</v>
      </c>
      <c r="Q37" s="55">
        <f>CF_15!Q37/$C$3</f>
        <v>0</v>
      </c>
      <c r="R37" s="55">
        <f>CF_15!R37/$C$3</f>
        <v>0</v>
      </c>
      <c r="S37" s="55">
        <f>CF_15!S37/$C$3</f>
        <v>0</v>
      </c>
      <c r="T37" s="354"/>
    </row>
    <row r="38" spans="1:20">
      <c r="B38" s="60" t="s">
        <v>444</v>
      </c>
      <c r="C38" s="53">
        <f>SUM(D38:S38)</f>
        <v>-1.3198967425933679</v>
      </c>
      <c r="D38" s="55">
        <f>CF_15!D38/$C$3</f>
        <v>-0.41393944791191073</v>
      </c>
      <c r="E38" s="55">
        <f>CF_15!E38/$C$3</f>
        <v>-0.45235897750852511</v>
      </c>
      <c r="F38" s="55">
        <f>CF_15!F38/$C$3</f>
        <v>-0.45359831717293209</v>
      </c>
      <c r="G38" s="55">
        <f>CF_15!G38/$C$3</f>
        <v>0</v>
      </c>
      <c r="H38" s="55">
        <f>CF_15!H38/$C$3</f>
        <v>0</v>
      </c>
      <c r="I38" s="55">
        <f>CF_15!I38/$C$3</f>
        <v>0</v>
      </c>
      <c r="J38" s="55">
        <f>CF_15!J38/$C$3</f>
        <v>0</v>
      </c>
      <c r="K38" s="55">
        <f>CF_15!K38/$C$3</f>
        <v>0</v>
      </c>
      <c r="L38" s="55">
        <f>CF_15!L38/$C$3</f>
        <v>0</v>
      </c>
      <c r="M38" s="55">
        <f>CF_15!M38/$C$3</f>
        <v>0</v>
      </c>
      <c r="N38" s="55">
        <f>CF_15!N38/$C$3</f>
        <v>0</v>
      </c>
      <c r="O38" s="55">
        <f>CF_15!O38/$C$3</f>
        <v>0</v>
      </c>
      <c r="P38" s="55">
        <f>CF_15!P38/$C$3</f>
        <v>0</v>
      </c>
      <c r="Q38" s="55">
        <f>CF_15!Q38/$C$3</f>
        <v>0</v>
      </c>
      <c r="R38" s="55">
        <f>CF_15!R38/$C$3</f>
        <v>0</v>
      </c>
      <c r="S38" s="55">
        <f>CF_15!S38/$C$3</f>
        <v>0</v>
      </c>
      <c r="T38" s="354"/>
    </row>
    <row r="39" spans="1:20">
      <c r="B39" s="60" t="s">
        <v>91</v>
      </c>
      <c r="C39" s="53">
        <f>SUM(D39:S39)</f>
        <v>1912.0338763720672</v>
      </c>
      <c r="D39" s="55">
        <f>CF_15!D39/$C$3</f>
        <v>0</v>
      </c>
      <c r="E39" s="55">
        <f>CF_15!E39/$C$3</f>
        <v>26.719697471239076</v>
      </c>
      <c r="F39" s="55">
        <f>CF_15!F39/$C$3</f>
        <v>508.03421507627803</v>
      </c>
      <c r="G39" s="55">
        <f>CF_15!G39/$C$3</f>
        <v>704.29887972689642</v>
      </c>
      <c r="H39" s="55">
        <f>CF_15!H39/$C$3</f>
        <v>525.19362037024791</v>
      </c>
      <c r="I39" s="55">
        <f>CF_15!I39/$C$3</f>
        <v>147.78746372740559</v>
      </c>
      <c r="J39" s="55">
        <f>CF_15!J39/$C$3</f>
        <v>0</v>
      </c>
      <c r="K39" s="55">
        <f>CF_15!K39/$C$3</f>
        <v>0</v>
      </c>
      <c r="L39" s="55">
        <f>CF_15!L39/$C$3</f>
        <v>0</v>
      </c>
      <c r="M39" s="55">
        <f>CF_15!M39/$C$3</f>
        <v>0</v>
      </c>
      <c r="N39" s="55">
        <f>CF_15!N39/$C$3</f>
        <v>0</v>
      </c>
      <c r="O39" s="55">
        <f>CF_15!O39/$C$3</f>
        <v>0</v>
      </c>
      <c r="P39" s="55">
        <f>CF_15!P39/$C$3</f>
        <v>0</v>
      </c>
      <c r="Q39" s="55">
        <f>CF_15!Q39/$C$3</f>
        <v>0</v>
      </c>
      <c r="R39" s="55">
        <f>CF_15!R39/$C$3</f>
        <v>0</v>
      </c>
      <c r="S39" s="55">
        <f>CF_15!S39/$C$3</f>
        <v>0</v>
      </c>
      <c r="T39" s="354"/>
    </row>
    <row r="40" spans="1:20" s="352" customFormat="1" collapsed="1">
      <c r="B40" s="61" t="s">
        <v>92</v>
      </c>
      <c r="C40" s="53">
        <f>SUM(D40:S40)</f>
        <v>5651.7185556336781</v>
      </c>
      <c r="D40" s="1321">
        <f>SUM(D35:D39)</f>
        <v>-160.73212427534639</v>
      </c>
      <c r="E40" s="1321">
        <f t="shared" ref="E40:S40" si="16">SUM(E35:E39)</f>
        <v>-3021.9379519639383</v>
      </c>
      <c r="F40" s="1321">
        <f>SUM(F35:F39)</f>
        <v>-3718.2126616022742</v>
      </c>
      <c r="G40" s="1321">
        <f t="shared" si="16"/>
        <v>-2342.5802836421421</v>
      </c>
      <c r="H40" s="1321">
        <f t="shared" si="16"/>
        <v>1025.4975989812012</v>
      </c>
      <c r="I40" s="1321">
        <f t="shared" si="16"/>
        <v>2365.2909908252495</v>
      </c>
      <c r="J40" s="1321">
        <f t="shared" si="16"/>
        <v>2097.5331842835371</v>
      </c>
      <c r="K40" s="1321">
        <f t="shared" si="16"/>
        <v>896.21840990428609</v>
      </c>
      <c r="L40" s="1321">
        <f t="shared" si="16"/>
        <v>971.50407219823251</v>
      </c>
      <c r="M40" s="1321">
        <f t="shared" si="16"/>
        <v>996.03173427211152</v>
      </c>
      <c r="N40" s="1321">
        <f t="shared" si="16"/>
        <v>1033.0155029051962</v>
      </c>
      <c r="O40" s="1321">
        <f t="shared" si="16"/>
        <v>1065.5996683709552</v>
      </c>
      <c r="P40" s="1321">
        <f t="shared" si="16"/>
        <v>1102.1419289797384</v>
      </c>
      <c r="Q40" s="1321">
        <f t="shared" si="16"/>
        <v>1107.5182889659422</v>
      </c>
      <c r="R40" s="1321">
        <f t="shared" si="16"/>
        <v>1097.7277910366456</v>
      </c>
      <c r="S40" s="1321">
        <f t="shared" si="16"/>
        <v>1137.102406394285</v>
      </c>
      <c r="T40" s="356"/>
    </row>
    <row r="41" spans="1:20" s="114" customFormat="1">
      <c r="B41" s="59" t="s">
        <v>93</v>
      </c>
      <c r="C41" s="56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355"/>
    </row>
    <row r="42" spans="1:20" s="114" customFormat="1">
      <c r="A42" s="1438"/>
      <c r="B42" s="60" t="s">
        <v>55</v>
      </c>
      <c r="C42" s="53">
        <f>SUM(D42:S42)</f>
        <v>2274.674803889372</v>
      </c>
      <c r="D42" s="55">
        <f t="shared" ref="D42:S42" si="17">IF(SUM(C48,D40,D44,D45,D43)&lt;0,-SUM(C48,D40,D44,D45,D43),0)</f>
        <v>60.732123896142241</v>
      </c>
      <c r="E42" s="55">
        <f t="shared" si="17"/>
        <v>879.83437465873794</v>
      </c>
      <c r="F42" s="55">
        <f t="shared" si="17"/>
        <v>850.00150985729124</v>
      </c>
      <c r="G42" s="55">
        <f t="shared" si="17"/>
        <v>344.93343298920217</v>
      </c>
      <c r="H42" s="55">
        <f t="shared" si="17"/>
        <v>139.17336248799825</v>
      </c>
      <c r="I42" s="55">
        <f t="shared" si="17"/>
        <v>0</v>
      </c>
      <c r="J42" s="55">
        <f t="shared" si="17"/>
        <v>0</v>
      </c>
      <c r="K42" s="55">
        <f t="shared" si="17"/>
        <v>0</v>
      </c>
      <c r="L42" s="55">
        <f t="shared" si="17"/>
        <v>0</v>
      </c>
      <c r="M42" s="55">
        <f t="shared" si="17"/>
        <v>0</v>
      </c>
      <c r="N42" s="55">
        <f t="shared" si="17"/>
        <v>0</v>
      </c>
      <c r="O42" s="55">
        <f t="shared" si="17"/>
        <v>0</v>
      </c>
      <c r="P42" s="55">
        <f t="shared" si="17"/>
        <v>0</v>
      </c>
      <c r="Q42" s="55">
        <f t="shared" si="17"/>
        <v>0</v>
      </c>
      <c r="R42" s="55">
        <f t="shared" si="17"/>
        <v>0</v>
      </c>
      <c r="S42" s="55">
        <f t="shared" si="17"/>
        <v>0</v>
      </c>
      <c r="T42" s="355"/>
    </row>
    <row r="43" spans="1:20">
      <c r="A43" s="269" t="b">
        <f>C43=C181</f>
        <v>1</v>
      </c>
      <c r="B43" s="60" t="s">
        <v>94</v>
      </c>
      <c r="C43" s="53">
        <f>SUM(D43:S43)</f>
        <v>8027.9999997626828</v>
      </c>
      <c r="D43" s="55">
        <f>D181</f>
        <v>100.00000037920415</v>
      </c>
      <c r="E43" s="55">
        <f t="shared" ref="E43:R43" si="18">E181</f>
        <v>2146.1035773203685</v>
      </c>
      <c r="F43" s="55">
        <f t="shared" si="18"/>
        <v>2958.0552948529657</v>
      </c>
      <c r="G43" s="55">
        <f t="shared" si="18"/>
        <v>2205.8132055550418</v>
      </c>
      <c r="H43" s="55">
        <f t="shared" si="18"/>
        <v>618.02792165510368</v>
      </c>
      <c r="I43" s="55">
        <f t="shared" si="18"/>
        <v>0</v>
      </c>
      <c r="J43" s="55">
        <f t="shared" si="18"/>
        <v>0</v>
      </c>
      <c r="K43" s="55">
        <f t="shared" si="18"/>
        <v>0</v>
      </c>
      <c r="L43" s="55">
        <f t="shared" si="18"/>
        <v>0</v>
      </c>
      <c r="M43" s="55">
        <f t="shared" si="18"/>
        <v>0</v>
      </c>
      <c r="N43" s="55">
        <f t="shared" si="18"/>
        <v>0</v>
      </c>
      <c r="O43" s="55">
        <f t="shared" si="18"/>
        <v>0</v>
      </c>
      <c r="P43" s="55">
        <f t="shared" si="18"/>
        <v>0</v>
      </c>
      <c r="Q43" s="55">
        <f t="shared" si="18"/>
        <v>0</v>
      </c>
      <c r="R43" s="55">
        <f t="shared" si="18"/>
        <v>0</v>
      </c>
      <c r="S43" s="55"/>
      <c r="T43" s="354"/>
    </row>
    <row r="44" spans="1:20">
      <c r="A44" s="269" t="b">
        <f>-C44=C184</f>
        <v>1</v>
      </c>
      <c r="B44" s="60" t="s">
        <v>193</v>
      </c>
      <c r="C44" s="53">
        <f>SUM(D44:S44)</f>
        <v>-2338.6573810546288</v>
      </c>
      <c r="D44" s="55">
        <f>D25</f>
        <v>0</v>
      </c>
      <c r="E44" s="55">
        <f t="shared" ref="E44:S44" si="19">E25</f>
        <v>-4.0000000151681663</v>
      </c>
      <c r="F44" s="55">
        <f t="shared" si="19"/>
        <v>-89.844143107982916</v>
      </c>
      <c r="G44" s="55">
        <f t="shared" si="19"/>
        <v>-208.16635490210152</v>
      </c>
      <c r="H44" s="55">
        <f t="shared" si="19"/>
        <v>-296.39888312430315</v>
      </c>
      <c r="I44" s="55">
        <f t="shared" si="19"/>
        <v>-261.66799999050733</v>
      </c>
      <c r="J44" s="55">
        <f t="shared" si="19"/>
        <v>-253.44399999050731</v>
      </c>
      <c r="K44" s="55">
        <f t="shared" si="19"/>
        <v>-239.58799999050731</v>
      </c>
      <c r="L44" s="55">
        <f t="shared" si="19"/>
        <v>-220.58399999050729</v>
      </c>
      <c r="M44" s="55">
        <f t="shared" si="19"/>
        <v>-197.89599999050731</v>
      </c>
      <c r="N44" s="55">
        <f t="shared" si="19"/>
        <v>-172.7159999905073</v>
      </c>
      <c r="O44" s="55">
        <f t="shared" si="19"/>
        <v>-144.77199999050731</v>
      </c>
      <c r="P44" s="55">
        <f t="shared" si="19"/>
        <v>-114.5639999905073</v>
      </c>
      <c r="Q44" s="55">
        <f t="shared" si="19"/>
        <v>-83.303999990507293</v>
      </c>
      <c r="R44" s="55">
        <f t="shared" si="19"/>
        <v>-51.711999990507294</v>
      </c>
      <c r="S44" s="55">
        <f t="shared" si="19"/>
        <v>0</v>
      </c>
      <c r="T44" s="354"/>
    </row>
    <row r="45" spans="1:20">
      <c r="A45" s="1457" t="b">
        <f>-ROUND(C45,2)=ROUND(C43,2)</f>
        <v>1</v>
      </c>
      <c r="B45" s="60" t="s">
        <v>95</v>
      </c>
      <c r="C45" s="53">
        <f>SUM(D45:S45)</f>
        <v>-8028</v>
      </c>
      <c r="D45" s="55">
        <f>-D185</f>
        <v>0</v>
      </c>
      <c r="E45" s="55">
        <f t="shared" ref="E45:S45" si="20">-E185</f>
        <v>0</v>
      </c>
      <c r="F45" s="55">
        <f t="shared" si="20"/>
        <v>0</v>
      </c>
      <c r="G45" s="55">
        <f t="shared" si="20"/>
        <v>0</v>
      </c>
      <c r="H45" s="55">
        <f t="shared" si="20"/>
        <v>-1486.3</v>
      </c>
      <c r="I45" s="55">
        <f t="shared" si="20"/>
        <v>-205.6</v>
      </c>
      <c r="J45" s="55">
        <f t="shared" si="20"/>
        <v>-346.4</v>
      </c>
      <c r="K45" s="55">
        <f t="shared" si="20"/>
        <v>-475.1</v>
      </c>
      <c r="L45" s="55">
        <f t="shared" si="20"/>
        <v>-567.20000000000005</v>
      </c>
      <c r="M45" s="55">
        <f t="shared" si="20"/>
        <v>-629.5</v>
      </c>
      <c r="N45" s="55">
        <f t="shared" si="20"/>
        <v>-698.6</v>
      </c>
      <c r="O45" s="55">
        <f t="shared" si="20"/>
        <v>-755.2</v>
      </c>
      <c r="P45" s="55">
        <f t="shared" si="20"/>
        <v>-781.5</v>
      </c>
      <c r="Q45" s="55">
        <f t="shared" si="20"/>
        <v>-789.8</v>
      </c>
      <c r="R45" s="55">
        <f t="shared" si="20"/>
        <v>-787.8</v>
      </c>
      <c r="S45" s="55">
        <f t="shared" si="20"/>
        <v>-505</v>
      </c>
      <c r="T45" s="354"/>
    </row>
    <row r="46" spans="1:20" s="352" customFormat="1" collapsed="1">
      <c r="A46" s="1397"/>
      <c r="B46" s="61" t="s">
        <v>96</v>
      </c>
      <c r="C46" s="53">
        <f>SUM(D46:S46)</f>
        <v>3313.0611743417339</v>
      </c>
      <c r="D46" s="57">
        <f t="shared" ref="D46:S46" si="21">SUM(D40:D45)-D42</f>
        <v>-60.732123896142241</v>
      </c>
      <c r="E46" s="57">
        <f t="shared" si="21"/>
        <v>-879.83437465873806</v>
      </c>
      <c r="F46" s="57">
        <f t="shared" si="21"/>
        <v>-850.00150985729147</v>
      </c>
      <c r="G46" s="57">
        <f t="shared" si="21"/>
        <v>-344.93343298920183</v>
      </c>
      <c r="H46" s="57">
        <f t="shared" si="21"/>
        <v>-139.17336248799825</v>
      </c>
      <c r="I46" s="57">
        <f t="shared" si="21"/>
        <v>1898.0229908347424</v>
      </c>
      <c r="J46" s="57">
        <f t="shared" si="21"/>
        <v>1497.6891842930299</v>
      </c>
      <c r="K46" s="57">
        <f t="shared" si="21"/>
        <v>181.53040991377873</v>
      </c>
      <c r="L46" s="57">
        <f t="shared" si="21"/>
        <v>183.72007220772514</v>
      </c>
      <c r="M46" s="57">
        <f t="shared" si="21"/>
        <v>168.63573428160419</v>
      </c>
      <c r="N46" s="57">
        <f t="shared" si="21"/>
        <v>161.69950291468888</v>
      </c>
      <c r="O46" s="57">
        <f t="shared" si="21"/>
        <v>165.62766838044786</v>
      </c>
      <c r="P46" s="57">
        <f t="shared" si="21"/>
        <v>206.07792898923105</v>
      </c>
      <c r="Q46" s="57">
        <f t="shared" si="21"/>
        <v>234.41428897543506</v>
      </c>
      <c r="R46" s="57">
        <f t="shared" si="21"/>
        <v>258.21579104613829</v>
      </c>
      <c r="S46" s="57">
        <f t="shared" si="21"/>
        <v>632.10240639428503</v>
      </c>
      <c r="T46" s="356"/>
    </row>
    <row r="47" spans="1:20">
      <c r="B47" s="60" t="s">
        <v>1011</v>
      </c>
      <c r="C47" s="53"/>
      <c r="D47" s="55">
        <f>SUM(D40:D45)</f>
        <v>0</v>
      </c>
      <c r="E47" s="55">
        <f>SUM(E40:E45)</f>
        <v>-6.8389738316909643E-14</v>
      </c>
      <c r="F47" s="55">
        <f t="shared" ref="F47:S47" si="22">SUM(F40:F45)</f>
        <v>-1.7053025658242404E-13</v>
      </c>
      <c r="G47" s="55">
        <f t="shared" si="22"/>
        <v>3.1263880373444408E-13</v>
      </c>
      <c r="H47" s="55">
        <f t="shared" si="22"/>
        <v>0</v>
      </c>
      <c r="I47" s="55">
        <f t="shared" si="22"/>
        <v>1898.0229908347424</v>
      </c>
      <c r="J47" s="55">
        <f t="shared" si="22"/>
        <v>1497.6891842930299</v>
      </c>
      <c r="K47" s="55">
        <f t="shared" si="22"/>
        <v>181.53040991377873</v>
      </c>
      <c r="L47" s="55">
        <f t="shared" si="22"/>
        <v>183.72007220772514</v>
      </c>
      <c r="M47" s="55">
        <f t="shared" si="22"/>
        <v>168.63573428160419</v>
      </c>
      <c r="N47" s="55">
        <f t="shared" si="22"/>
        <v>161.69950291468888</v>
      </c>
      <c r="O47" s="55">
        <f t="shared" si="22"/>
        <v>165.62766838044786</v>
      </c>
      <c r="P47" s="55">
        <f t="shared" si="22"/>
        <v>206.07792898923105</v>
      </c>
      <c r="Q47" s="55">
        <f t="shared" si="22"/>
        <v>234.41428897543506</v>
      </c>
      <c r="R47" s="55">
        <f t="shared" si="22"/>
        <v>258.21579104613829</v>
      </c>
      <c r="S47" s="55">
        <f t="shared" si="22"/>
        <v>632.10240639428503</v>
      </c>
      <c r="T47" s="354"/>
    </row>
    <row r="48" spans="1:20">
      <c r="B48" s="60" t="s">
        <v>1012</v>
      </c>
      <c r="C48" s="53"/>
      <c r="D48" s="55">
        <f t="shared" ref="D48:S48" si="23">C48+D47</f>
        <v>0</v>
      </c>
      <c r="E48" s="55">
        <f t="shared" si="23"/>
        <v>-6.8389738316909643E-14</v>
      </c>
      <c r="F48" s="55">
        <f t="shared" si="23"/>
        <v>-2.3891999489933369E-13</v>
      </c>
      <c r="G48" s="55">
        <f t="shared" si="23"/>
        <v>7.3718808835110394E-14</v>
      </c>
      <c r="H48" s="55">
        <f t="shared" si="23"/>
        <v>7.3718808835110394E-14</v>
      </c>
      <c r="I48" s="55">
        <f t="shared" si="23"/>
        <v>1898.0229908347424</v>
      </c>
      <c r="J48" s="55">
        <f t="shared" si="23"/>
        <v>3395.7121751277723</v>
      </c>
      <c r="K48" s="55">
        <f t="shared" si="23"/>
        <v>3577.2425850415511</v>
      </c>
      <c r="L48" s="55">
        <f t="shared" si="23"/>
        <v>3760.9626572492762</v>
      </c>
      <c r="M48" s="55">
        <f t="shared" si="23"/>
        <v>3929.5983915308802</v>
      </c>
      <c r="N48" s="55">
        <f t="shared" si="23"/>
        <v>4091.297894445569</v>
      </c>
      <c r="O48" s="55">
        <f t="shared" si="23"/>
        <v>4256.9255628260171</v>
      </c>
      <c r="P48" s="55">
        <f t="shared" si="23"/>
        <v>4463.0034918152478</v>
      </c>
      <c r="Q48" s="55">
        <f t="shared" si="23"/>
        <v>4697.4177807906826</v>
      </c>
      <c r="R48" s="55">
        <f t="shared" si="23"/>
        <v>4955.6335718368209</v>
      </c>
      <c r="S48" s="55">
        <f t="shared" si="23"/>
        <v>5587.7359782311059</v>
      </c>
      <c r="T48" s="354"/>
    </row>
    <row r="49" spans="1:21" s="1433" customFormat="1">
      <c r="A49" s="1397"/>
      <c r="B49" s="1437"/>
      <c r="C49" s="1430"/>
      <c r="D49" s="1431"/>
      <c r="E49" s="1431"/>
      <c r="F49" s="1431"/>
      <c r="G49" s="1431"/>
      <c r="H49" s="1431"/>
      <c r="I49" s="1431"/>
      <c r="J49" s="1431"/>
      <c r="K49" s="1431"/>
      <c r="L49" s="1431"/>
      <c r="M49" s="1431"/>
      <c r="N49" s="1431"/>
      <c r="O49" s="1431"/>
      <c r="P49" s="1431"/>
      <c r="Q49" s="1431"/>
      <c r="R49" s="1431"/>
      <c r="S49" s="1431"/>
      <c r="T49" s="1432"/>
    </row>
    <row r="50" spans="1:21">
      <c r="B50" s="1428" t="s">
        <v>986</v>
      </c>
      <c r="C50" s="341"/>
      <c r="D50" s="341">
        <f t="shared" ref="D50:N50" si="24">D5</f>
        <v>2022</v>
      </c>
      <c r="E50" s="341">
        <f t="shared" si="24"/>
        <v>2023</v>
      </c>
      <c r="F50" s="341">
        <f t="shared" si="24"/>
        <v>2024</v>
      </c>
      <c r="G50" s="341">
        <f t="shared" si="24"/>
        <v>2025</v>
      </c>
      <c r="H50" s="341">
        <f t="shared" si="24"/>
        <v>2026</v>
      </c>
      <c r="I50" s="341">
        <f t="shared" si="24"/>
        <v>2027</v>
      </c>
      <c r="J50" s="341">
        <f t="shared" si="24"/>
        <v>2028</v>
      </c>
      <c r="K50" s="341">
        <f t="shared" si="24"/>
        <v>2029</v>
      </c>
      <c r="L50" s="341">
        <f t="shared" si="24"/>
        <v>2030</v>
      </c>
      <c r="M50" s="341">
        <f t="shared" si="24"/>
        <v>2031</v>
      </c>
      <c r="N50" s="341">
        <f t="shared" si="24"/>
        <v>2032</v>
      </c>
      <c r="O50" s="341"/>
      <c r="P50" s="341"/>
      <c r="Q50" s="341"/>
      <c r="R50" s="341"/>
      <c r="S50" s="341"/>
      <c r="T50" s="341" t="str">
        <f>T4</f>
        <v>Постпрогноз</v>
      </c>
    </row>
    <row r="51" spans="1:21" s="114" customFormat="1">
      <c r="B51" s="59" t="s">
        <v>97</v>
      </c>
      <c r="C51" s="56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1">
      <c r="B52" s="60" t="s">
        <v>98</v>
      </c>
      <c r="C52" s="5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1327">
        <v>0.1</v>
      </c>
    </row>
    <row r="53" spans="1:21">
      <c r="B53" s="60" t="s">
        <v>97</v>
      </c>
      <c r="C53" s="56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5">
        <f>T35/T52</f>
        <v>11893.888876333205</v>
      </c>
    </row>
    <row r="54" spans="1:21">
      <c r="B54" s="60" t="s">
        <v>99</v>
      </c>
      <c r="C54" s="5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62">
        <v>0.01</v>
      </c>
    </row>
    <row r="55" spans="1:21">
      <c r="B55" s="60" t="s">
        <v>100</v>
      </c>
      <c r="C55" s="56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5">
        <f>-T54*T53</f>
        <v>-118.93888876333206</v>
      </c>
    </row>
    <row r="56" spans="1:21">
      <c r="B56" s="60" t="s">
        <v>101</v>
      </c>
      <c r="C56" s="56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5"/>
    </row>
    <row r="57" spans="1:21">
      <c r="B57" s="60" t="s">
        <v>102</v>
      </c>
      <c r="C57" s="56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5">
        <f>T53+T55-T56</f>
        <v>11774.949987569873</v>
      </c>
    </row>
    <row r="58" spans="1:21">
      <c r="B58" s="60" t="s">
        <v>103</v>
      </c>
      <c r="C58" s="56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62"/>
      <c r="U58" s="31" t="s">
        <v>445</v>
      </c>
    </row>
    <row r="59" spans="1:21">
      <c r="B59" s="60" t="s">
        <v>104</v>
      </c>
      <c r="C59" s="56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5">
        <f>-T57*T58</f>
        <v>0</v>
      </c>
    </row>
    <row r="60" spans="1:21">
      <c r="B60" s="60" t="s">
        <v>105</v>
      </c>
      <c r="C60" s="56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5">
        <v>0</v>
      </c>
    </row>
    <row r="61" spans="1:21">
      <c r="B61" s="60" t="s">
        <v>446</v>
      </c>
      <c r="C61" s="56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5">
        <f>T53+T55+T59-T60</f>
        <v>11774.949987569873</v>
      </c>
    </row>
    <row r="62" spans="1:21" s="114" customFormat="1">
      <c r="B62" s="59" t="s">
        <v>106</v>
      </c>
      <c r="C62" s="56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5"/>
    </row>
    <row r="63" spans="1:21">
      <c r="B63" s="60" t="str">
        <f>B46</f>
        <v>FCFE</v>
      </c>
      <c r="C63" s="56"/>
      <c r="D63" s="55">
        <f t="shared" ref="D63:S63" si="25">D46+D61</f>
        <v>-60.732123896142241</v>
      </c>
      <c r="E63" s="55">
        <f t="shared" si="25"/>
        <v>-879.83437465873806</v>
      </c>
      <c r="F63" s="55">
        <f t="shared" si="25"/>
        <v>-850.00150985729147</v>
      </c>
      <c r="G63" s="55">
        <f t="shared" si="25"/>
        <v>-344.93343298920183</v>
      </c>
      <c r="H63" s="55">
        <f t="shared" si="25"/>
        <v>-139.17336248799825</v>
      </c>
      <c r="I63" s="55">
        <f t="shared" si="25"/>
        <v>1898.0229908347424</v>
      </c>
      <c r="J63" s="55">
        <f t="shared" si="25"/>
        <v>1497.6891842930299</v>
      </c>
      <c r="K63" s="55">
        <f t="shared" si="25"/>
        <v>181.53040991377873</v>
      </c>
      <c r="L63" s="55">
        <f t="shared" si="25"/>
        <v>183.72007220772514</v>
      </c>
      <c r="M63" s="55">
        <f t="shared" si="25"/>
        <v>168.63573428160419</v>
      </c>
      <c r="N63" s="55">
        <f t="shared" si="25"/>
        <v>161.69950291468888</v>
      </c>
      <c r="O63" s="55">
        <f t="shared" si="25"/>
        <v>165.62766838044786</v>
      </c>
      <c r="P63" s="55">
        <f t="shared" si="25"/>
        <v>206.07792898923105</v>
      </c>
      <c r="Q63" s="55">
        <f t="shared" si="25"/>
        <v>234.41428897543506</v>
      </c>
      <c r="R63" s="55">
        <f t="shared" si="25"/>
        <v>258.21579104613829</v>
      </c>
      <c r="S63" s="55">
        <f t="shared" si="25"/>
        <v>632.10240639428503</v>
      </c>
      <c r="T63" s="354"/>
    </row>
    <row r="64" spans="1:21">
      <c r="B64" s="60" t="s">
        <v>990</v>
      </c>
      <c r="C64" s="56"/>
      <c r="D64" s="55">
        <f t="shared" ref="D64:S64" si="26">D63+D61</f>
        <v>-60.732123896142241</v>
      </c>
      <c r="E64" s="55">
        <f t="shared" si="26"/>
        <v>-879.83437465873806</v>
      </c>
      <c r="F64" s="55">
        <f t="shared" si="26"/>
        <v>-850.00150985729147</v>
      </c>
      <c r="G64" s="55">
        <f t="shared" si="26"/>
        <v>-344.93343298920183</v>
      </c>
      <c r="H64" s="55">
        <f t="shared" si="26"/>
        <v>-139.17336248799825</v>
      </c>
      <c r="I64" s="55">
        <f t="shared" si="26"/>
        <v>1898.0229908347424</v>
      </c>
      <c r="J64" s="55">
        <f t="shared" si="26"/>
        <v>1497.6891842930299</v>
      </c>
      <c r="K64" s="55">
        <f t="shared" si="26"/>
        <v>181.53040991377873</v>
      </c>
      <c r="L64" s="55">
        <f t="shared" si="26"/>
        <v>183.72007220772514</v>
      </c>
      <c r="M64" s="55">
        <f t="shared" si="26"/>
        <v>168.63573428160419</v>
      </c>
      <c r="N64" s="55">
        <f t="shared" si="26"/>
        <v>161.69950291468888</v>
      </c>
      <c r="O64" s="55">
        <f t="shared" si="26"/>
        <v>165.62766838044786</v>
      </c>
      <c r="P64" s="55">
        <f t="shared" si="26"/>
        <v>206.07792898923105</v>
      </c>
      <c r="Q64" s="55">
        <f t="shared" si="26"/>
        <v>234.41428897543506</v>
      </c>
      <c r="R64" s="55">
        <f t="shared" si="26"/>
        <v>258.21579104613829</v>
      </c>
      <c r="S64" s="55">
        <f t="shared" si="26"/>
        <v>632.10240639428503</v>
      </c>
      <c r="T64" s="358">
        <f>T63+T61</f>
        <v>11774.949987569873</v>
      </c>
    </row>
    <row r="65" spans="2:20">
      <c r="B65" s="60" t="s">
        <v>107</v>
      </c>
      <c r="C65" s="56"/>
      <c r="D65" s="62">
        <f>WACC!D20</f>
        <v>0.17289341739814601</v>
      </c>
      <c r="E65" s="62">
        <f>D65</f>
        <v>0.17289341739814601</v>
      </c>
      <c r="F65" s="62">
        <f t="shared" ref="F65:S65" si="27">E65</f>
        <v>0.17289341739814601</v>
      </c>
      <c r="G65" s="62">
        <f t="shared" si="27"/>
        <v>0.17289341739814601</v>
      </c>
      <c r="H65" s="62">
        <f t="shared" si="27"/>
        <v>0.17289341739814601</v>
      </c>
      <c r="I65" s="62">
        <f t="shared" si="27"/>
        <v>0.17289341739814601</v>
      </c>
      <c r="J65" s="62">
        <f t="shared" si="27"/>
        <v>0.17289341739814601</v>
      </c>
      <c r="K65" s="62">
        <f t="shared" si="27"/>
        <v>0.17289341739814601</v>
      </c>
      <c r="L65" s="62">
        <f t="shared" si="27"/>
        <v>0.17289341739814601</v>
      </c>
      <c r="M65" s="62">
        <f t="shared" si="27"/>
        <v>0.17289341739814601</v>
      </c>
      <c r="N65" s="62">
        <f t="shared" si="27"/>
        <v>0.17289341739814601</v>
      </c>
      <c r="O65" s="62">
        <f t="shared" si="27"/>
        <v>0.17289341739814601</v>
      </c>
      <c r="P65" s="62">
        <f t="shared" si="27"/>
        <v>0.17289341739814601</v>
      </c>
      <c r="Q65" s="62">
        <f t="shared" si="27"/>
        <v>0.17289341739814601</v>
      </c>
      <c r="R65" s="62">
        <f t="shared" si="27"/>
        <v>0.17289341739814601</v>
      </c>
      <c r="S65" s="62">
        <f t="shared" si="27"/>
        <v>0.17289341739814601</v>
      </c>
      <c r="T65" s="62">
        <f>N65</f>
        <v>0.17289341739814601</v>
      </c>
    </row>
    <row r="66" spans="2:20">
      <c r="B66" s="60" t="s">
        <v>447</v>
      </c>
      <c r="C66" s="56"/>
      <c r="D66" s="357">
        <f>D$8/365/2</f>
        <v>0.45753424657534247</v>
      </c>
      <c r="E66" s="357">
        <f>D66*2+0.5</f>
        <v>1.4150684931506849</v>
      </c>
      <c r="F66" s="63">
        <f>E66+1</f>
        <v>2.4150684931506849</v>
      </c>
      <c r="G66" s="63">
        <f t="shared" ref="G66:S66" si="28">F66+1</f>
        <v>3.4150684931506849</v>
      </c>
      <c r="H66" s="63">
        <f t="shared" si="28"/>
        <v>4.4150684931506845</v>
      </c>
      <c r="I66" s="63">
        <f t="shared" si="28"/>
        <v>5.4150684931506845</v>
      </c>
      <c r="J66" s="63">
        <f t="shared" si="28"/>
        <v>6.4150684931506845</v>
      </c>
      <c r="K66" s="63">
        <f t="shared" si="28"/>
        <v>7.4150684931506845</v>
      </c>
      <c r="L66" s="63">
        <f t="shared" si="28"/>
        <v>8.4150684931506845</v>
      </c>
      <c r="M66" s="63">
        <f t="shared" si="28"/>
        <v>9.4150684931506845</v>
      </c>
      <c r="N66" s="63">
        <f t="shared" si="28"/>
        <v>10.415068493150685</v>
      </c>
      <c r="O66" s="63">
        <f t="shared" si="28"/>
        <v>11.415068493150685</v>
      </c>
      <c r="P66" s="63">
        <f t="shared" si="28"/>
        <v>12.415068493150685</v>
      </c>
      <c r="Q66" s="63">
        <f t="shared" si="28"/>
        <v>13.415068493150685</v>
      </c>
      <c r="R66" s="63">
        <f t="shared" si="28"/>
        <v>14.415068493150685</v>
      </c>
      <c r="S66" s="63">
        <f t="shared" si="28"/>
        <v>15.415068493150685</v>
      </c>
      <c r="T66" s="357">
        <f>S66+0.5</f>
        <v>15.915068493150685</v>
      </c>
    </row>
    <row r="67" spans="2:20">
      <c r="B67" s="60" t="s">
        <v>108</v>
      </c>
      <c r="C67" s="56"/>
      <c r="D67" s="64">
        <f>1/(1+D65)^D66</f>
        <v>0.92963366389920821</v>
      </c>
      <c r="E67" s="64">
        <f t="shared" ref="E67:S67" si="29">1/(1+E65)^E66</f>
        <v>0.79798441516667362</v>
      </c>
      <c r="F67" s="64">
        <f t="shared" si="29"/>
        <v>0.68035543837977974</v>
      </c>
      <c r="G67" s="64">
        <f t="shared" si="29"/>
        <v>0.58006586812382877</v>
      </c>
      <c r="H67" s="64">
        <f t="shared" si="29"/>
        <v>0.4945597438943779</v>
      </c>
      <c r="I67" s="64">
        <f t="shared" si="29"/>
        <v>0.42165787322045861</v>
      </c>
      <c r="J67" s="64">
        <f t="shared" si="29"/>
        <v>0.35950229318860966</v>
      </c>
      <c r="K67" s="64">
        <f t="shared" si="29"/>
        <v>0.30650891876100822</v>
      </c>
      <c r="L67" s="64">
        <f t="shared" si="29"/>
        <v>0.26132717109193382</v>
      </c>
      <c r="M67" s="64">
        <f t="shared" si="29"/>
        <v>0.22280555693768098</v>
      </c>
      <c r="N67" s="64">
        <f t="shared" si="29"/>
        <v>0.18996232192344903</v>
      </c>
      <c r="O67" s="64">
        <f t="shared" si="29"/>
        <v>0.1619604297420702</v>
      </c>
      <c r="P67" s="64">
        <f t="shared" si="29"/>
        <v>0.13808622960929429</v>
      </c>
      <c r="Q67" s="64">
        <f t="shared" si="29"/>
        <v>0.11773126829854146</v>
      </c>
      <c r="R67" s="64">
        <f t="shared" si="29"/>
        <v>0.10037678322017285</v>
      </c>
      <c r="S67" s="64">
        <f t="shared" si="29"/>
        <v>8.5580481338910372E-2</v>
      </c>
      <c r="T67" s="64">
        <f>1/(1+T65)^T66</f>
        <v>7.9021532945928979E-2</v>
      </c>
    </row>
    <row r="68" spans="2:20" s="1414" customFormat="1">
      <c r="B68" s="60" t="s">
        <v>999</v>
      </c>
      <c r="C68" s="56"/>
      <c r="D68" s="55">
        <f>D67*D63</f>
        <v>-56.458626853951365</v>
      </c>
      <c r="E68" s="55">
        <f>E67*E63</f>
        <v>-702.09411890558908</v>
      </c>
      <c r="F68" s="55">
        <f t="shared" ref="F68:S68" si="30">F67*F63</f>
        <v>-578.30314986243218</v>
      </c>
      <c r="G68" s="55">
        <f t="shared" si="30"/>
        <v>-200.08411125181388</v>
      </c>
      <c r="H68" s="55">
        <f t="shared" si="30"/>
        <v>-68.829542508983835</v>
      </c>
      <c r="I68" s="55">
        <f t="shared" si="30"/>
        <v>800.31633763891148</v>
      </c>
      <c r="J68" s="55">
        <f t="shared" si="30"/>
        <v>538.42269623712252</v>
      </c>
      <c r="K68" s="55">
        <f t="shared" si="30"/>
        <v>55.640689664914923</v>
      </c>
      <c r="L68" s="55">
        <f t="shared" si="30"/>
        <v>48.011046742850624</v>
      </c>
      <c r="M68" s="55">
        <f t="shared" si="30"/>
        <v>37.572978696207599</v>
      </c>
      <c r="N68" s="55">
        <f t="shared" si="30"/>
        <v>30.716813027541814</v>
      </c>
      <c r="O68" s="55">
        <f t="shared" si="30"/>
        <v>26.825128348074426</v>
      </c>
      <c r="P68" s="55">
        <f t="shared" si="30"/>
        <v>28.456524219814803</v>
      </c>
      <c r="Q68" s="55">
        <f t="shared" si="30"/>
        <v>27.597891548378772</v>
      </c>
      <c r="R68" s="55">
        <f t="shared" si="30"/>
        <v>25.918870481863674</v>
      </c>
      <c r="S68" s="55">
        <f t="shared" si="30"/>
        <v>54.09562819470645</v>
      </c>
      <c r="T68" s="55">
        <f>T67*T63</f>
        <v>0</v>
      </c>
    </row>
    <row r="69" spans="2:20" s="1414" customFormat="1">
      <c r="B69" s="60" t="s">
        <v>1000</v>
      </c>
      <c r="C69" s="56"/>
      <c r="D69" s="55">
        <f t="shared" ref="D69:S69" si="31">D67*D64</f>
        <v>-56.458626853951365</v>
      </c>
      <c r="E69" s="55">
        <f t="shared" si="31"/>
        <v>-702.09411890558908</v>
      </c>
      <c r="F69" s="55">
        <f t="shared" si="31"/>
        <v>-578.30314986243218</v>
      </c>
      <c r="G69" s="55">
        <f t="shared" si="31"/>
        <v>-200.08411125181388</v>
      </c>
      <c r="H69" s="55">
        <f t="shared" si="31"/>
        <v>-68.829542508983835</v>
      </c>
      <c r="I69" s="55">
        <f t="shared" si="31"/>
        <v>800.31633763891148</v>
      </c>
      <c r="J69" s="55">
        <f t="shared" si="31"/>
        <v>538.42269623712252</v>
      </c>
      <c r="K69" s="55">
        <f t="shared" si="31"/>
        <v>55.640689664914923</v>
      </c>
      <c r="L69" s="55">
        <f t="shared" si="31"/>
        <v>48.011046742850624</v>
      </c>
      <c r="M69" s="55">
        <f t="shared" si="31"/>
        <v>37.572978696207599</v>
      </c>
      <c r="N69" s="55">
        <f t="shared" si="31"/>
        <v>30.716813027541814</v>
      </c>
      <c r="O69" s="55">
        <f t="shared" si="31"/>
        <v>26.825128348074426</v>
      </c>
      <c r="P69" s="55">
        <f t="shared" si="31"/>
        <v>28.456524219814803</v>
      </c>
      <c r="Q69" s="55">
        <f t="shared" si="31"/>
        <v>27.597891548378772</v>
      </c>
      <c r="R69" s="55">
        <f t="shared" si="31"/>
        <v>25.918870481863674</v>
      </c>
      <c r="S69" s="55">
        <f t="shared" si="31"/>
        <v>54.09562819470645</v>
      </c>
      <c r="T69" s="55">
        <f>T67*T64</f>
        <v>930.47459837941869</v>
      </c>
    </row>
    <row r="70" spans="2:20" s="352" customFormat="1" collapsed="1">
      <c r="B70" s="351" t="s">
        <v>109</v>
      </c>
      <c r="C70" s="58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2:20" ht="25.5">
      <c r="B71" s="65" t="s">
        <v>998</v>
      </c>
      <c r="C71" s="56"/>
      <c r="D71" s="71">
        <f>SUM(D68:S68)</f>
        <v>67.805055417616614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5"/>
    </row>
    <row r="72" spans="2:20" ht="25.5">
      <c r="B72" s="65" t="s">
        <v>997</v>
      </c>
      <c r="C72" s="56"/>
      <c r="D72" s="71">
        <f>SUM(D69:T69)</f>
        <v>998.27965379703528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5"/>
    </row>
    <row r="73" spans="2:20">
      <c r="B73" s="60" t="s">
        <v>995</v>
      </c>
      <c r="C73" s="56"/>
      <c r="D73" s="68">
        <f>SUM($D$63:D63)</f>
        <v>-60.732123896142241</v>
      </c>
      <c r="E73" s="55">
        <f>SUM($D$63:E63)</f>
        <v>-940.56649855488035</v>
      </c>
      <c r="F73" s="55">
        <f>SUM($D$63:F63)</f>
        <v>-1790.5680084121718</v>
      </c>
      <c r="G73" s="55">
        <f>SUM($D$63:G63)</f>
        <v>-2135.5014414013735</v>
      </c>
      <c r="H73" s="55">
        <f>SUM($D$63:H63)</f>
        <v>-2274.674803889372</v>
      </c>
      <c r="I73" s="55">
        <f>SUM($D$63:I63)</f>
        <v>-376.65181305462966</v>
      </c>
      <c r="J73" s="55">
        <f>SUM($D$63:J63)</f>
        <v>1121.0373712384003</v>
      </c>
      <c r="K73" s="55">
        <f>SUM($D$63:K63)</f>
        <v>1302.5677811521791</v>
      </c>
      <c r="L73" s="55">
        <f>SUM($D$63:L63)</f>
        <v>1486.2878533599041</v>
      </c>
      <c r="M73" s="55">
        <f>SUM($D$63:M63)</f>
        <v>1654.9235876415082</v>
      </c>
      <c r="N73" s="55">
        <f>SUM($D$63:N63)</f>
        <v>1816.623090556197</v>
      </c>
      <c r="O73" s="55">
        <f>SUM($D$63:O63)</f>
        <v>1982.2507589366448</v>
      </c>
      <c r="P73" s="55">
        <f>SUM($D$63:P63)</f>
        <v>2188.3286879258758</v>
      </c>
      <c r="Q73" s="55">
        <f>SUM($D$63:Q63)</f>
        <v>2422.7429769013106</v>
      </c>
      <c r="R73" s="55">
        <f>SUM($D$63:R63)</f>
        <v>2680.9587679474489</v>
      </c>
      <c r="S73" s="358">
        <f>SUM($D$63:T63)</f>
        <v>3313.0611743417339</v>
      </c>
      <c r="T73" s="55"/>
    </row>
    <row r="74" spans="2:20">
      <c r="B74" s="60" t="s">
        <v>996</v>
      </c>
      <c r="C74" s="56"/>
      <c r="D74" s="68">
        <f>SUM($D$64:D64)</f>
        <v>-60.732123896142241</v>
      </c>
      <c r="E74" s="68">
        <f>SUM($D$64:E64)</f>
        <v>-940.56649855488035</v>
      </c>
      <c r="F74" s="68">
        <f>SUM($D$64:F64)</f>
        <v>-1790.5680084121718</v>
      </c>
      <c r="G74" s="68">
        <f>SUM($D$64:G64)</f>
        <v>-2135.5014414013735</v>
      </c>
      <c r="H74" s="68">
        <f>SUM($D$64:H64)</f>
        <v>-2274.674803889372</v>
      </c>
      <c r="I74" s="68">
        <f>SUM($D$64:I64)</f>
        <v>-376.65181305462966</v>
      </c>
      <c r="J74" s="68">
        <f>SUM($D$64:J64)</f>
        <v>1121.0373712384003</v>
      </c>
      <c r="K74" s="68">
        <f>SUM($D$64:K64)</f>
        <v>1302.5677811521791</v>
      </c>
      <c r="L74" s="68">
        <f>SUM($D$64:L64)</f>
        <v>1486.2878533599041</v>
      </c>
      <c r="M74" s="68">
        <f>SUM($D$64:M64)</f>
        <v>1654.9235876415082</v>
      </c>
      <c r="N74" s="68">
        <f>SUM($D$64:N64)</f>
        <v>1816.623090556197</v>
      </c>
      <c r="O74" s="68">
        <f>SUM($D$64:O64)</f>
        <v>1982.2507589366448</v>
      </c>
      <c r="P74" s="68">
        <f>SUM($D$64:P64)</f>
        <v>2188.3286879258758</v>
      </c>
      <c r="Q74" s="68">
        <f>SUM($D$64:Q64)</f>
        <v>2422.7429769013106</v>
      </c>
      <c r="R74" s="68">
        <f>SUM($D$64:R64)</f>
        <v>2680.9587679474489</v>
      </c>
      <c r="S74" s="358">
        <f>SUM($D$64:T64)</f>
        <v>15088.011161911607</v>
      </c>
      <c r="T74" s="55"/>
    </row>
    <row r="75" spans="2:20">
      <c r="B75" s="69" t="s">
        <v>1001</v>
      </c>
      <c r="C75" s="56"/>
      <c r="D75" s="71">
        <f>IF(AND(S73&gt;0,(COUNTIF(D73:S73,"&lt;0"))=COUNT(D73:S73)-1),"окупается с продажи",IF(OR(S73&lt;0,(COUNTIF(D73:S73,"&lt;0"))=COUNT(D73:S73)),"не окупается",(COUNTIF(D73:S73,"&lt;0"))))</f>
        <v>6</v>
      </c>
      <c r="E75" s="359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 spans="2:20">
      <c r="B76" s="69" t="s">
        <v>1002</v>
      </c>
      <c r="C76" s="56"/>
      <c r="D76" s="71">
        <f>IF(AND(S74&gt;0,(COUNTIF(D74:S74,"&lt;0"))=COUNT(D74:S74)-1),"окупается с продажи",IF(OR(S74&lt;0,(COUNTIF(D74:S74,"&lt;0"))=COUNT(D74:S74)),"не окупается",(COUNTIF(D74:S74,"&lt;0"))))</f>
        <v>6</v>
      </c>
      <c r="E76" s="359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 spans="2:20">
      <c r="B77" s="70" t="s">
        <v>1003</v>
      </c>
      <c r="C77" s="56"/>
      <c r="D77" s="68">
        <f>SUM($D$68:D68)</f>
        <v>-56.458626853951365</v>
      </c>
      <c r="E77" s="55">
        <f>SUM($D$68:E68)</f>
        <v>-758.55274575954047</v>
      </c>
      <c r="F77" s="55">
        <f>SUM($D$68:F68)</f>
        <v>-1336.8558956219726</v>
      </c>
      <c r="G77" s="55">
        <f>SUM($D$68:G68)</f>
        <v>-1536.9400068737866</v>
      </c>
      <c r="H77" s="55">
        <f>SUM($D$68:H68)</f>
        <v>-1605.7695493827705</v>
      </c>
      <c r="I77" s="55">
        <f>SUM($D$68:I68)</f>
        <v>-805.45321174385901</v>
      </c>
      <c r="J77" s="55">
        <f>SUM($D$68:J68)</f>
        <v>-267.03051550673649</v>
      </c>
      <c r="K77" s="55">
        <f>SUM($D$68:K68)</f>
        <v>-211.38982584182156</v>
      </c>
      <c r="L77" s="55">
        <f>SUM($D$68:L68)</f>
        <v>-163.37877909897094</v>
      </c>
      <c r="M77" s="55">
        <f>SUM($D$68:M68)</f>
        <v>-125.80580040276334</v>
      </c>
      <c r="N77" s="55">
        <f>SUM($D$68:N68)</f>
        <v>-95.088987375221521</v>
      </c>
      <c r="O77" s="55">
        <f>SUM($D$68:O68)</f>
        <v>-68.263859027147092</v>
      </c>
      <c r="P77" s="55">
        <f>SUM($D$68:P68)</f>
        <v>-39.807334807332289</v>
      </c>
      <c r="Q77" s="55">
        <f>SUM($D$68:Q68)</f>
        <v>-12.209443258953517</v>
      </c>
      <c r="R77" s="55">
        <f>SUM($D$68:R68)</f>
        <v>13.709427222910158</v>
      </c>
      <c r="S77" s="358">
        <f>SUM($D$68:T68)</f>
        <v>67.805055417616614</v>
      </c>
      <c r="T77" s="55"/>
    </row>
    <row r="78" spans="2:20">
      <c r="B78" s="70" t="s">
        <v>1004</v>
      </c>
      <c r="C78" s="56"/>
      <c r="D78" s="55">
        <f>SUM($D$69:D69)</f>
        <v>-56.458626853951365</v>
      </c>
      <c r="E78" s="55">
        <f>SUM($D$69:E69)</f>
        <v>-758.55274575954047</v>
      </c>
      <c r="F78" s="55">
        <f>SUM($D$69:F69)</f>
        <v>-1336.8558956219726</v>
      </c>
      <c r="G78" s="55">
        <f>SUM($D$69:G69)</f>
        <v>-1536.9400068737866</v>
      </c>
      <c r="H78" s="55">
        <f>SUM($D$69:H69)</f>
        <v>-1605.7695493827705</v>
      </c>
      <c r="I78" s="55">
        <f>SUM($D$69:I69)</f>
        <v>-805.45321174385901</v>
      </c>
      <c r="J78" s="55">
        <f>SUM($D$69:J69)</f>
        <v>-267.03051550673649</v>
      </c>
      <c r="K78" s="55">
        <f>SUM($D$69:K69)</f>
        <v>-211.38982584182156</v>
      </c>
      <c r="L78" s="55">
        <f>SUM($D$69:L69)</f>
        <v>-163.37877909897094</v>
      </c>
      <c r="M78" s="55">
        <f>SUM($D$69:M69)</f>
        <v>-125.80580040276334</v>
      </c>
      <c r="N78" s="55">
        <f>SUM($D$69:N69)</f>
        <v>-95.088987375221521</v>
      </c>
      <c r="O78" s="55">
        <f>SUM($D$69:O69)</f>
        <v>-68.263859027147092</v>
      </c>
      <c r="P78" s="55">
        <f>SUM($D$69:P69)</f>
        <v>-39.807334807332289</v>
      </c>
      <c r="Q78" s="55">
        <f>SUM($D$69:Q69)</f>
        <v>-12.209443258953517</v>
      </c>
      <c r="R78" s="55">
        <f>SUM($D$69:R69)</f>
        <v>13.709427222910158</v>
      </c>
      <c r="S78" s="358">
        <f>SUM($D$69:T69)</f>
        <v>998.27965379703528</v>
      </c>
      <c r="T78" s="54"/>
    </row>
    <row r="79" spans="2:20">
      <c r="B79" s="69" t="s">
        <v>1005</v>
      </c>
      <c r="C79" s="56"/>
      <c r="D79" s="71">
        <f>IF(AND(S77&gt;0,(COUNTIF(D77:S77,"&lt;0"))=COUNT(D77:S77)-1),"окупается с продажи",IF(OR(S77&lt;0,(COUNTIF(D77:S77,"&lt;0"))=COUNT(D77:S77)),"не окупается",(COUNTIF(D77:S77,"&lt;0"))))</f>
        <v>14</v>
      </c>
      <c r="E79" s="359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2:20">
      <c r="B80" s="69" t="s">
        <v>1006</v>
      </c>
      <c r="C80" s="360"/>
      <c r="D80" s="71">
        <f>IF(AND(S78&gt;0,(COUNTIF(D78:S78,"&lt;0"))=COUNT(D78:S78)-1),"окупается с продажи",IF(OR(S78&lt;0,(COUNTIF(D78:S78,"&lt;0"))=COUNT(D78:S78)),"не окупается",(COUNTIF(D78:S78,"&lt;0"))))</f>
        <v>14</v>
      </c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</row>
    <row r="81" spans="1:20">
      <c r="B81" s="70" t="str">
        <f>B63</f>
        <v>FCFE</v>
      </c>
      <c r="C81" s="53">
        <f>SUM(D81:S81)</f>
        <v>3313.0611743417339</v>
      </c>
      <c r="D81" s="55">
        <f t="shared" ref="D81:R81" si="32">D63</f>
        <v>-60.732123896142241</v>
      </c>
      <c r="E81" s="55">
        <f t="shared" si="32"/>
        <v>-879.83437465873806</v>
      </c>
      <c r="F81" s="55">
        <f t="shared" si="32"/>
        <v>-850.00150985729147</v>
      </c>
      <c r="G81" s="55">
        <f t="shared" si="32"/>
        <v>-344.93343298920183</v>
      </c>
      <c r="H81" s="55">
        <f t="shared" si="32"/>
        <v>-139.17336248799825</v>
      </c>
      <c r="I81" s="55">
        <f t="shared" si="32"/>
        <v>1898.0229908347424</v>
      </c>
      <c r="J81" s="55">
        <f t="shared" si="32"/>
        <v>1497.6891842930299</v>
      </c>
      <c r="K81" s="55">
        <f t="shared" si="32"/>
        <v>181.53040991377873</v>
      </c>
      <c r="L81" s="55">
        <f t="shared" si="32"/>
        <v>183.72007220772514</v>
      </c>
      <c r="M81" s="55">
        <f t="shared" si="32"/>
        <v>168.63573428160419</v>
      </c>
      <c r="N81" s="55">
        <f t="shared" si="32"/>
        <v>161.69950291468888</v>
      </c>
      <c r="O81" s="55">
        <f t="shared" si="32"/>
        <v>165.62766838044786</v>
      </c>
      <c r="P81" s="55">
        <f t="shared" si="32"/>
        <v>206.07792898923105</v>
      </c>
      <c r="Q81" s="55">
        <f t="shared" si="32"/>
        <v>234.41428897543506</v>
      </c>
      <c r="R81" s="55">
        <f t="shared" si="32"/>
        <v>258.21579104613829</v>
      </c>
      <c r="S81" s="358">
        <f>S63+T63</f>
        <v>632.10240639428503</v>
      </c>
      <c r="T81" s="55"/>
    </row>
    <row r="82" spans="1:20" ht="15">
      <c r="A82" s="1413" t="str">
        <f>IF(AND(D72&lt;0,D85&gt;=D65),"Error","")</f>
        <v/>
      </c>
      <c r="B82" s="60" t="s">
        <v>990</v>
      </c>
      <c r="C82" s="53">
        <f>SUM(D82:S82)</f>
        <v>15088.011161911607</v>
      </c>
      <c r="D82" s="55">
        <f t="shared" ref="D82:Q82" si="33">D64</f>
        <v>-60.732123896142241</v>
      </c>
      <c r="E82" s="55">
        <f t="shared" si="33"/>
        <v>-879.83437465873806</v>
      </c>
      <c r="F82" s="55">
        <f t="shared" si="33"/>
        <v>-850.00150985729147</v>
      </c>
      <c r="G82" s="55">
        <f t="shared" si="33"/>
        <v>-344.93343298920183</v>
      </c>
      <c r="H82" s="55">
        <f t="shared" si="33"/>
        <v>-139.17336248799825</v>
      </c>
      <c r="I82" s="55">
        <f t="shared" si="33"/>
        <v>1898.0229908347424</v>
      </c>
      <c r="J82" s="55">
        <f t="shared" si="33"/>
        <v>1497.6891842930299</v>
      </c>
      <c r="K82" s="55">
        <f t="shared" si="33"/>
        <v>181.53040991377873</v>
      </c>
      <c r="L82" s="55">
        <f t="shared" si="33"/>
        <v>183.72007220772514</v>
      </c>
      <c r="M82" s="55">
        <f t="shared" si="33"/>
        <v>168.63573428160419</v>
      </c>
      <c r="N82" s="55">
        <f t="shared" si="33"/>
        <v>161.69950291468888</v>
      </c>
      <c r="O82" s="55">
        <f t="shared" si="33"/>
        <v>165.62766838044786</v>
      </c>
      <c r="P82" s="55">
        <f t="shared" si="33"/>
        <v>206.07792898923105</v>
      </c>
      <c r="Q82" s="55">
        <f t="shared" si="33"/>
        <v>234.41428897543506</v>
      </c>
      <c r="R82" s="55">
        <f>R64</f>
        <v>258.21579104613829</v>
      </c>
      <c r="S82" s="358">
        <f>S64+T64</f>
        <v>12407.052393964157</v>
      </c>
      <c r="T82" s="55"/>
    </row>
    <row r="83" spans="1:20">
      <c r="A83" s="1324" t="s">
        <v>925</v>
      </c>
      <c r="B83" s="60" t="str">
        <f>B81&amp;" без кассовых разрывов"</f>
        <v>FCFE без кассовых разрывов</v>
      </c>
      <c r="C83" s="53">
        <f>SUM(D83:S83)</f>
        <v>3313.0611743417339</v>
      </c>
      <c r="D83" s="55">
        <f t="shared" ref="D83:E84" si="34">D81</f>
        <v>-60.732123896142241</v>
      </c>
      <c r="E83" s="55">
        <f t="shared" si="34"/>
        <v>-879.83437465873806</v>
      </c>
      <c r="F83" s="1816">
        <f>MIN(F81,-0.001)</f>
        <v>-850.00150985729147</v>
      </c>
      <c r="G83" s="1816">
        <f>MIN(G81,-0.001)</f>
        <v>-344.93343298920183</v>
      </c>
      <c r="H83" s="1816">
        <f t="shared" ref="H83:J83" si="35">MIN(H81,-0.001)</f>
        <v>-139.17336248799825</v>
      </c>
      <c r="I83" s="1702">
        <f t="shared" si="35"/>
        <v>-1E-3</v>
      </c>
      <c r="J83" s="1702">
        <f t="shared" si="35"/>
        <v>-1E-3</v>
      </c>
      <c r="K83" s="1646">
        <f>SUM($D$81:K81)-SUM($D$83:J83)</f>
        <v>3577.2445850415515</v>
      </c>
      <c r="L83" s="1646">
        <f>SUM($D$81:L81)-SUM($D$83:K83)</f>
        <v>183.72007220772502</v>
      </c>
      <c r="M83" s="1646">
        <f>SUM($D$81:M81)-SUM($D$83:L83)</f>
        <v>168.63573428160407</v>
      </c>
      <c r="N83" s="1646">
        <f>SUM($D$81:N81)-SUM($D$83:M83)</f>
        <v>161.69950291468876</v>
      </c>
      <c r="O83" s="1646">
        <f>SUM($D$81:O81)-SUM($D$83:N83)</f>
        <v>165.62766838044786</v>
      </c>
      <c r="P83" s="1646">
        <f>SUM($D$81:P81)-SUM($D$83:O83)</f>
        <v>206.07792898923094</v>
      </c>
      <c r="Q83" s="1646">
        <f>SUM($D$81:Q81)-SUM($D$83:P83)</f>
        <v>234.41428897543483</v>
      </c>
      <c r="R83" s="1646">
        <f>SUM($D$81:R81)-SUM($D$83:Q83)</f>
        <v>258.21579104613829</v>
      </c>
      <c r="S83" s="1646">
        <f>SUM($D$81:S81)-SUM($D$83:R83)</f>
        <v>632.10240639428503</v>
      </c>
      <c r="T83" s="1317"/>
    </row>
    <row r="84" spans="1:20">
      <c r="A84" s="1324" t="s">
        <v>925</v>
      </c>
      <c r="B84" s="60" t="str">
        <f>B82&amp;" без кассовых разрывов"</f>
        <v>FCFE + TV без кассовых разрывов</v>
      </c>
      <c r="C84" s="53">
        <f>SUM(D84:S84)</f>
        <v>15088.011161911607</v>
      </c>
      <c r="D84" s="55">
        <f t="shared" si="34"/>
        <v>-60.732123896142241</v>
      </c>
      <c r="E84" s="55">
        <f t="shared" si="34"/>
        <v>-879.83437465873806</v>
      </c>
      <c r="F84" s="1816">
        <f>MIN(F82,-0.001)</f>
        <v>-850.00150985729147</v>
      </c>
      <c r="G84" s="1816">
        <f t="shared" ref="G84:J84" si="36">MIN(G82,-0.001)</f>
        <v>-344.93343298920183</v>
      </c>
      <c r="H84" s="1816">
        <f t="shared" si="36"/>
        <v>-139.17336248799825</v>
      </c>
      <c r="I84" s="1702">
        <f t="shared" si="36"/>
        <v>-1E-3</v>
      </c>
      <c r="J84" s="1702">
        <f t="shared" si="36"/>
        <v>-1E-3</v>
      </c>
      <c r="K84" s="1646">
        <f>SUM($D$82:K82)-SUM($D$84:J84)</f>
        <v>3577.2445850415515</v>
      </c>
      <c r="L84" s="1646">
        <f>SUM($D$82:L82)-SUM($D$84:K84)</f>
        <v>183.72007220772502</v>
      </c>
      <c r="M84" s="1646">
        <f>SUM($D$82:M82)-SUM($D$84:L84)</f>
        <v>168.63573428160407</v>
      </c>
      <c r="N84" s="1646">
        <f>SUM($D$82:N82)-SUM($D$84:M84)</f>
        <v>161.69950291468876</v>
      </c>
      <c r="O84" s="1646">
        <f>SUM($D$82:O82)-SUM($D$84:N84)</f>
        <v>165.62766838044786</v>
      </c>
      <c r="P84" s="1646">
        <f>SUM($D$82:P82)-SUM($D$84:O84)</f>
        <v>206.07792898923094</v>
      </c>
      <c r="Q84" s="1646">
        <f>SUM($D$82:Q82)-SUM($D$84:P84)</f>
        <v>234.41428897543483</v>
      </c>
      <c r="R84" s="1646">
        <f>SUM($D$82:R82)-SUM($D$84:Q84)</f>
        <v>258.21579104613829</v>
      </c>
      <c r="S84" s="1646">
        <f>SUM($D$82:S82)-SUM($D$84:R84)</f>
        <v>12407.052393964157</v>
      </c>
      <c r="T84" s="1317"/>
    </row>
    <row r="85" spans="1:20" ht="15">
      <c r="A85" s="1420" t="str">
        <f>IF(AND(D71&lt;0,D85&gt;=D65),"Error","")</f>
        <v/>
      </c>
      <c r="B85" s="69" t="s">
        <v>987</v>
      </c>
      <c r="C85" s="380"/>
      <c r="D85" s="1445">
        <f>IF(IRR(D83:S83)&lt;0,"не применимо",IRR(D83:S83))</f>
        <v>0.14418346312725339</v>
      </c>
      <c r="E85" s="1457" t="b">
        <f>IFERROR(ROUND(D85,5),"-")=IFERROR(ROUND(CF_15!D85,5),"-")</f>
        <v>1</v>
      </c>
    </row>
    <row r="86" spans="1:20" ht="15">
      <c r="A86" s="1420" t="str">
        <f>IF(AND(D72&lt;0,D86&gt;=D65),"Error","")</f>
        <v/>
      </c>
      <c r="B86" s="69" t="s">
        <v>1007</v>
      </c>
      <c r="C86" s="56"/>
      <c r="D86" s="1445">
        <f>IF(IRR(D84:S84)&lt;0,"Неприменимо",IRR(D84:S84))</f>
        <v>0.22612660540241714</v>
      </c>
      <c r="E86" s="1457" t="b">
        <f>IFERROR(ROUND(D86,5),"-")=IFERROR(ROUND(CF_15!D86,5),"-")</f>
        <v>1</v>
      </c>
    </row>
    <row r="87" spans="1:20">
      <c r="D87" s="361"/>
    </row>
    <row r="88" spans="1:20">
      <c r="D88" s="361"/>
    </row>
    <row r="89" spans="1:20">
      <c r="B89" s="362" t="s">
        <v>448</v>
      </c>
      <c r="C89" s="362"/>
      <c r="D89" s="362"/>
    </row>
    <row r="90" spans="1:20">
      <c r="B90" s="1419" t="s">
        <v>992</v>
      </c>
      <c r="C90" s="1418"/>
      <c r="D90" s="1418"/>
    </row>
    <row r="91" spans="1:20">
      <c r="B91" s="363" t="s">
        <v>269</v>
      </c>
      <c r="C91" s="364"/>
      <c r="D91" s="1425">
        <f>D71</f>
        <v>67.805055417616614</v>
      </c>
      <c r="F91" s="123"/>
      <c r="G91" s="123"/>
      <c r="H91" s="361"/>
    </row>
    <row r="92" spans="1:20">
      <c r="B92" s="363" t="s">
        <v>270</v>
      </c>
      <c r="C92" s="364"/>
      <c r="D92" s="1443">
        <f>D85</f>
        <v>0.14418346312725339</v>
      </c>
      <c r="H92" s="367"/>
    </row>
    <row r="93" spans="1:20">
      <c r="B93" s="363" t="s">
        <v>159</v>
      </c>
      <c r="C93" s="364"/>
      <c r="D93" s="1425">
        <f>D75</f>
        <v>6</v>
      </c>
    </row>
    <row r="94" spans="1:20">
      <c r="B94" s="363" t="s">
        <v>449</v>
      </c>
      <c r="C94" s="364"/>
      <c r="D94" s="365">
        <f>D79</f>
        <v>14</v>
      </c>
    </row>
    <row r="95" spans="1:20">
      <c r="B95" s="1419" t="s">
        <v>994</v>
      </c>
      <c r="C95" s="1418"/>
      <c r="D95" s="1418"/>
    </row>
    <row r="96" spans="1:20">
      <c r="B96" s="108" t="s">
        <v>269</v>
      </c>
      <c r="C96" s="364"/>
      <c r="D96" s="1425">
        <f>D72</f>
        <v>998.27965379703528</v>
      </c>
    </row>
    <row r="97" spans="2:20">
      <c r="B97" s="101" t="s">
        <v>270</v>
      </c>
      <c r="C97" s="364"/>
      <c r="D97" s="366">
        <f>D86</f>
        <v>0.22612660540241714</v>
      </c>
    </row>
    <row r="98" spans="2:20">
      <c r="B98" s="363" t="s">
        <v>159</v>
      </c>
      <c r="C98" s="364"/>
      <c r="D98" s="365">
        <f>D76</f>
        <v>6</v>
      </c>
    </row>
    <row r="99" spans="2:20">
      <c r="B99" s="363" t="s">
        <v>449</v>
      </c>
      <c r="C99" s="364"/>
      <c r="D99" s="1425">
        <f>D80</f>
        <v>14</v>
      </c>
    </row>
    <row r="102" spans="2:20" outlineLevel="1">
      <c r="B102" s="362" t="s">
        <v>450</v>
      </c>
      <c r="C102" s="362"/>
      <c r="D102" s="362">
        <f t="shared" ref="D102:T102" si="37">D5</f>
        <v>2022</v>
      </c>
      <c r="E102" s="362">
        <f t="shared" si="37"/>
        <v>2023</v>
      </c>
      <c r="F102" s="362">
        <f t="shared" si="37"/>
        <v>2024</v>
      </c>
      <c r="G102" s="362">
        <f t="shared" si="37"/>
        <v>2025</v>
      </c>
      <c r="H102" s="362">
        <f t="shared" si="37"/>
        <v>2026</v>
      </c>
      <c r="I102" s="362">
        <f t="shared" si="37"/>
        <v>2027</v>
      </c>
      <c r="J102" s="362">
        <f t="shared" si="37"/>
        <v>2028</v>
      </c>
      <c r="K102" s="362">
        <f t="shared" si="37"/>
        <v>2029</v>
      </c>
      <c r="L102" s="362">
        <f t="shared" si="37"/>
        <v>2030</v>
      </c>
      <c r="M102" s="362">
        <f t="shared" si="37"/>
        <v>2031</v>
      </c>
      <c r="N102" s="362">
        <f t="shared" si="37"/>
        <v>2032</v>
      </c>
      <c r="O102" s="362">
        <f t="shared" si="37"/>
        <v>2033</v>
      </c>
      <c r="P102" s="362">
        <f t="shared" si="37"/>
        <v>2034</v>
      </c>
      <c r="Q102" s="362">
        <f t="shared" si="37"/>
        <v>2035</v>
      </c>
      <c r="R102" s="362">
        <f t="shared" si="37"/>
        <v>2036</v>
      </c>
      <c r="S102" s="362">
        <f t="shared" si="37"/>
        <v>2037</v>
      </c>
      <c r="T102" s="362">
        <f t="shared" si="37"/>
        <v>2038</v>
      </c>
    </row>
    <row r="103" spans="2:20" s="352" customFormat="1" outlineLevel="1">
      <c r="B103" s="351" t="s">
        <v>80</v>
      </c>
      <c r="C103" s="53"/>
      <c r="D103" s="57">
        <f>D24</f>
        <v>0</v>
      </c>
      <c r="E103" s="57">
        <f t="shared" ref="E103:T103" si="38">E24</f>
        <v>0</v>
      </c>
      <c r="F103" s="57">
        <f t="shared" si="38"/>
        <v>0</v>
      </c>
      <c r="G103" s="57">
        <f t="shared" si="38"/>
        <v>104.28255885244975</v>
      </c>
      <c r="H103" s="57">
        <f t="shared" si="38"/>
        <v>1438.7460708654371</v>
      </c>
      <c r="I103" s="57">
        <f t="shared" si="38"/>
        <v>2414.1394902444199</v>
      </c>
      <c r="J103" s="57">
        <f t="shared" si="38"/>
        <v>2288.5779303890331</v>
      </c>
      <c r="K103" s="57">
        <f t="shared" si="38"/>
        <v>973.79170408877667</v>
      </c>
      <c r="L103" s="57">
        <f t="shared" si="38"/>
        <v>1066.3731032532103</v>
      </c>
      <c r="M103" s="57">
        <f t="shared" si="38"/>
        <v>1099.5616264175642</v>
      </c>
      <c r="N103" s="57">
        <f t="shared" si="38"/>
        <v>1147.9482165158893</v>
      </c>
      <c r="O103" s="57">
        <f t="shared" si="38"/>
        <v>1191.6351815641249</v>
      </c>
      <c r="P103" s="57">
        <f t="shared" si="38"/>
        <v>1240.4215728171225</v>
      </c>
      <c r="Q103" s="57">
        <f t="shared" si="38"/>
        <v>1252.5182118540502</v>
      </c>
      <c r="R103" s="57">
        <f t="shared" si="38"/>
        <v>1246.7268060205631</v>
      </c>
      <c r="S103" s="57">
        <f t="shared" si="38"/>
        <v>1302.8096170929514</v>
      </c>
      <c r="T103" s="57">
        <f t="shared" si="38"/>
        <v>1364.6871096835259</v>
      </c>
    </row>
    <row r="104" spans="2:20" s="114" customFormat="1" outlineLevel="1">
      <c r="B104" s="52" t="s">
        <v>82</v>
      </c>
      <c r="C104" s="56"/>
      <c r="D104" s="55">
        <f t="shared" ref="D104:T105" si="39">D26</f>
        <v>0</v>
      </c>
      <c r="E104" s="55">
        <f t="shared" si="39"/>
        <v>0</v>
      </c>
      <c r="F104" s="55">
        <f t="shared" si="39"/>
        <v>0</v>
      </c>
      <c r="G104" s="55">
        <f t="shared" si="39"/>
        <v>-43.883903161762348</v>
      </c>
      <c r="H104" s="55">
        <f t="shared" si="39"/>
        <v>-160.74932235770154</v>
      </c>
      <c r="I104" s="55">
        <f t="shared" si="39"/>
        <v>-233.73083839187842</v>
      </c>
      <c r="J104" s="55">
        <f t="shared" si="39"/>
        <v>-233.73083839187842</v>
      </c>
      <c r="K104" s="55">
        <f t="shared" si="39"/>
        <v>-233.73083839187842</v>
      </c>
      <c r="L104" s="55">
        <f t="shared" si="39"/>
        <v>-233.73083839187842</v>
      </c>
      <c r="M104" s="55">
        <f t="shared" si="39"/>
        <v>-233.73083839187842</v>
      </c>
      <c r="N104" s="55">
        <f t="shared" si="39"/>
        <v>-233.73083839187842</v>
      </c>
      <c r="O104" s="55">
        <f t="shared" si="39"/>
        <v>-233.73083839187842</v>
      </c>
      <c r="P104" s="55">
        <f t="shared" si="39"/>
        <v>-233.73083839187842</v>
      </c>
      <c r="Q104" s="55">
        <f t="shared" si="39"/>
        <v>-233.73083839187842</v>
      </c>
      <c r="R104" s="55">
        <f t="shared" si="39"/>
        <v>-233.73083839187842</v>
      </c>
      <c r="S104" s="55">
        <f t="shared" si="39"/>
        <v>-233.73083839187842</v>
      </c>
      <c r="T104" s="55">
        <f t="shared" si="39"/>
        <v>-233.73083839187842</v>
      </c>
    </row>
    <row r="105" spans="2:20" s="114" customFormat="1" outlineLevel="1">
      <c r="B105" s="52" t="s">
        <v>923</v>
      </c>
      <c r="C105" s="56"/>
      <c r="D105" s="55">
        <f t="shared" si="39"/>
        <v>0</v>
      </c>
      <c r="E105" s="55">
        <f t="shared" si="39"/>
        <v>0</v>
      </c>
      <c r="F105" s="55">
        <f t="shared" si="39"/>
        <v>0</v>
      </c>
      <c r="G105" s="55">
        <f t="shared" si="39"/>
        <v>0</v>
      </c>
      <c r="H105" s="55">
        <f t="shared" si="39"/>
        <v>-406.32595924209306</v>
      </c>
      <c r="I105" s="55">
        <f t="shared" si="39"/>
        <v>-650.12153478734899</v>
      </c>
      <c r="J105" s="55">
        <f t="shared" si="39"/>
        <v>-568.85634293893042</v>
      </c>
      <c r="K105" s="55">
        <f t="shared" si="39"/>
        <v>0</v>
      </c>
      <c r="L105" s="55">
        <f t="shared" si="39"/>
        <v>0</v>
      </c>
      <c r="M105" s="55">
        <f t="shared" si="39"/>
        <v>0</v>
      </c>
      <c r="N105" s="55">
        <f t="shared" si="39"/>
        <v>0</v>
      </c>
      <c r="O105" s="55">
        <f t="shared" si="39"/>
        <v>0</v>
      </c>
      <c r="P105" s="55">
        <f t="shared" si="39"/>
        <v>0</v>
      </c>
      <c r="Q105" s="55">
        <f t="shared" si="39"/>
        <v>0</v>
      </c>
      <c r="R105" s="55">
        <f t="shared" si="39"/>
        <v>0</v>
      </c>
      <c r="S105" s="55">
        <f t="shared" si="39"/>
        <v>0</v>
      </c>
      <c r="T105" s="55">
        <f t="shared" si="39"/>
        <v>0</v>
      </c>
    </row>
    <row r="106" spans="2:20" s="114" customFormat="1" outlineLevel="1">
      <c r="B106" s="52" t="s">
        <v>83</v>
      </c>
      <c r="C106" s="56"/>
      <c r="D106" s="55">
        <f t="shared" ref="D106:E106" si="40">SUM(D103:D105)</f>
        <v>0</v>
      </c>
      <c r="E106" s="55">
        <f t="shared" si="40"/>
        <v>0</v>
      </c>
      <c r="F106" s="55">
        <f>SUM(F103:F105)</f>
        <v>0</v>
      </c>
      <c r="G106" s="55">
        <f t="shared" ref="G106:T106" si="41">SUM(G103:G105)</f>
        <v>60.398655690687406</v>
      </c>
      <c r="H106" s="55">
        <f t="shared" si="41"/>
        <v>871.67078926564238</v>
      </c>
      <c r="I106" s="55">
        <f t="shared" si="41"/>
        <v>1530.2871170651924</v>
      </c>
      <c r="J106" s="55">
        <f t="shared" si="41"/>
        <v>1485.9907490582241</v>
      </c>
      <c r="K106" s="55">
        <f t="shared" si="41"/>
        <v>740.06086569689819</v>
      </c>
      <c r="L106" s="55">
        <f t="shared" si="41"/>
        <v>832.6422648613318</v>
      </c>
      <c r="M106" s="55">
        <f t="shared" si="41"/>
        <v>865.83078802568571</v>
      </c>
      <c r="N106" s="55">
        <f t="shared" si="41"/>
        <v>914.21737812401079</v>
      </c>
      <c r="O106" s="55">
        <f t="shared" si="41"/>
        <v>957.9043431722464</v>
      </c>
      <c r="P106" s="55">
        <f t="shared" si="41"/>
        <v>1006.690734425244</v>
      </c>
      <c r="Q106" s="55">
        <f t="shared" si="41"/>
        <v>1018.7873734621717</v>
      </c>
      <c r="R106" s="55">
        <f t="shared" si="41"/>
        <v>1012.9959676286846</v>
      </c>
      <c r="S106" s="55">
        <f t="shared" si="41"/>
        <v>1069.0787787010729</v>
      </c>
      <c r="T106" s="55">
        <f t="shared" si="41"/>
        <v>1130.9562712916475</v>
      </c>
    </row>
    <row r="107" spans="2:20" s="114" customFormat="1" outlineLevel="1">
      <c r="B107" s="52" t="s">
        <v>84</v>
      </c>
      <c r="C107" s="56"/>
      <c r="D107" s="55">
        <f>D106</f>
        <v>0</v>
      </c>
      <c r="E107" s="55">
        <f>IF(E106&lt;0,E106,0)+D109</f>
        <v>0</v>
      </c>
      <c r="F107" s="55">
        <f>IF(F106&lt;0,F106,0)+E109</f>
        <v>0</v>
      </c>
      <c r="G107" s="55">
        <f t="shared" ref="G107:T107" si="42">IF(G106&lt;0,G106,0)+F109</f>
        <v>0</v>
      </c>
      <c r="H107" s="55">
        <f t="shared" si="42"/>
        <v>0</v>
      </c>
      <c r="I107" s="55">
        <f t="shared" si="42"/>
        <v>0</v>
      </c>
      <c r="J107" s="55">
        <f t="shared" si="42"/>
        <v>0</v>
      </c>
      <c r="K107" s="55">
        <f t="shared" si="42"/>
        <v>0</v>
      </c>
      <c r="L107" s="55">
        <f t="shared" si="42"/>
        <v>0</v>
      </c>
      <c r="M107" s="55">
        <f t="shared" si="42"/>
        <v>0</v>
      </c>
      <c r="N107" s="55">
        <f t="shared" si="42"/>
        <v>0</v>
      </c>
      <c r="O107" s="55">
        <f t="shared" si="42"/>
        <v>0</v>
      </c>
      <c r="P107" s="55">
        <f t="shared" si="42"/>
        <v>0</v>
      </c>
      <c r="Q107" s="55">
        <f t="shared" si="42"/>
        <v>0</v>
      </c>
      <c r="R107" s="55">
        <f t="shared" si="42"/>
        <v>0</v>
      </c>
      <c r="S107" s="55">
        <f t="shared" si="42"/>
        <v>0</v>
      </c>
      <c r="T107" s="55">
        <f t="shared" si="42"/>
        <v>0</v>
      </c>
    </row>
    <row r="108" spans="2:20" s="114" customFormat="1" outlineLevel="1">
      <c r="B108" s="52" t="s">
        <v>85</v>
      </c>
      <c r="C108" s="56"/>
      <c r="D108" s="55"/>
      <c r="E108" s="55">
        <f t="shared" ref="E108:T108" si="43">IF(E107&lt;0,(IF(E106&gt;0,MIN(-E107,E106),0)),0)</f>
        <v>0</v>
      </c>
      <c r="F108" s="55">
        <f t="shared" si="43"/>
        <v>0</v>
      </c>
      <c r="G108" s="55">
        <f t="shared" si="43"/>
        <v>0</v>
      </c>
      <c r="H108" s="55">
        <f t="shared" si="43"/>
        <v>0</v>
      </c>
      <c r="I108" s="55">
        <f t="shared" si="43"/>
        <v>0</v>
      </c>
      <c r="J108" s="55">
        <f t="shared" si="43"/>
        <v>0</v>
      </c>
      <c r="K108" s="55">
        <f t="shared" si="43"/>
        <v>0</v>
      </c>
      <c r="L108" s="55">
        <f t="shared" si="43"/>
        <v>0</v>
      </c>
      <c r="M108" s="55">
        <f t="shared" si="43"/>
        <v>0</v>
      </c>
      <c r="N108" s="55">
        <f t="shared" si="43"/>
        <v>0</v>
      </c>
      <c r="O108" s="55">
        <f t="shared" si="43"/>
        <v>0</v>
      </c>
      <c r="P108" s="55">
        <f t="shared" si="43"/>
        <v>0</v>
      </c>
      <c r="Q108" s="55">
        <f t="shared" si="43"/>
        <v>0</v>
      </c>
      <c r="R108" s="55">
        <f t="shared" si="43"/>
        <v>0</v>
      </c>
      <c r="S108" s="55">
        <f t="shared" si="43"/>
        <v>0</v>
      </c>
      <c r="T108" s="55">
        <f t="shared" si="43"/>
        <v>0</v>
      </c>
    </row>
    <row r="109" spans="2:20" s="114" customFormat="1" outlineLevel="1">
      <c r="B109" s="52" t="s">
        <v>926</v>
      </c>
      <c r="C109" s="56"/>
      <c r="D109" s="55"/>
      <c r="E109" s="55">
        <f t="shared" ref="E109:T109" si="44">IF((E107+E108)&lt;0,(E107+E108),0)</f>
        <v>0</v>
      </c>
      <c r="F109" s="55">
        <f t="shared" si="44"/>
        <v>0</v>
      </c>
      <c r="G109" s="55">
        <f t="shared" si="44"/>
        <v>0</v>
      </c>
      <c r="H109" s="55">
        <f t="shared" si="44"/>
        <v>0</v>
      </c>
      <c r="I109" s="55">
        <f t="shared" si="44"/>
        <v>0</v>
      </c>
      <c r="J109" s="55">
        <f t="shared" si="44"/>
        <v>0</v>
      </c>
      <c r="K109" s="55">
        <f t="shared" si="44"/>
        <v>0</v>
      </c>
      <c r="L109" s="55">
        <f t="shared" si="44"/>
        <v>0</v>
      </c>
      <c r="M109" s="55">
        <f t="shared" si="44"/>
        <v>0</v>
      </c>
      <c r="N109" s="55">
        <f t="shared" si="44"/>
        <v>0</v>
      </c>
      <c r="O109" s="55">
        <f t="shared" si="44"/>
        <v>0</v>
      </c>
      <c r="P109" s="55">
        <f t="shared" si="44"/>
        <v>0</v>
      </c>
      <c r="Q109" s="55">
        <f t="shared" si="44"/>
        <v>0</v>
      </c>
      <c r="R109" s="55">
        <f t="shared" si="44"/>
        <v>0</v>
      </c>
      <c r="S109" s="55">
        <f t="shared" si="44"/>
        <v>0</v>
      </c>
      <c r="T109" s="55">
        <f t="shared" si="44"/>
        <v>0</v>
      </c>
    </row>
    <row r="110" spans="2:20" s="114" customFormat="1" outlineLevel="1">
      <c r="B110" s="52" t="s">
        <v>86</v>
      </c>
      <c r="C110" s="56"/>
      <c r="D110" s="55"/>
      <c r="E110" s="55">
        <f t="shared" ref="E110:T110" si="45">IF((E106-E108)&lt;0,0,(E106-E108))</f>
        <v>0</v>
      </c>
      <c r="F110" s="55">
        <f t="shared" si="45"/>
        <v>0</v>
      </c>
      <c r="G110" s="55">
        <f t="shared" si="45"/>
        <v>60.398655690687406</v>
      </c>
      <c r="H110" s="55">
        <f t="shared" si="45"/>
        <v>871.67078926564238</v>
      </c>
      <c r="I110" s="55">
        <f t="shared" si="45"/>
        <v>1530.2871170651924</v>
      </c>
      <c r="J110" s="55">
        <f t="shared" si="45"/>
        <v>1485.9907490582241</v>
      </c>
      <c r="K110" s="55">
        <f t="shared" si="45"/>
        <v>740.06086569689819</v>
      </c>
      <c r="L110" s="55">
        <f t="shared" si="45"/>
        <v>832.6422648613318</v>
      </c>
      <c r="M110" s="55">
        <f t="shared" si="45"/>
        <v>865.83078802568571</v>
      </c>
      <c r="N110" s="55">
        <f t="shared" si="45"/>
        <v>914.21737812401079</v>
      </c>
      <c r="O110" s="55">
        <f t="shared" si="45"/>
        <v>957.9043431722464</v>
      </c>
      <c r="P110" s="55">
        <f t="shared" si="45"/>
        <v>1006.690734425244</v>
      </c>
      <c r="Q110" s="55">
        <f t="shared" si="45"/>
        <v>1018.7873734621717</v>
      </c>
      <c r="R110" s="55">
        <f t="shared" si="45"/>
        <v>1012.9959676286846</v>
      </c>
      <c r="S110" s="55">
        <f t="shared" si="45"/>
        <v>1069.0787787010729</v>
      </c>
      <c r="T110" s="55">
        <f t="shared" si="45"/>
        <v>1130.9562712916475</v>
      </c>
    </row>
    <row r="111" spans="2:20" s="114" customFormat="1" outlineLevel="1">
      <c r="B111" s="52" t="s">
        <v>87</v>
      </c>
      <c r="C111" s="56"/>
      <c r="D111" s="1422">
        <f>D33</f>
        <v>0.13500000000000001</v>
      </c>
      <c r="E111" s="1422">
        <f t="shared" ref="E111:T111" si="46">E33</f>
        <v>0.13500000000000001</v>
      </c>
      <c r="F111" s="1422">
        <f t="shared" si="46"/>
        <v>0.13500000000000001</v>
      </c>
      <c r="G111" s="1422">
        <f t="shared" si="46"/>
        <v>0.155</v>
      </c>
      <c r="H111" s="1422">
        <f t="shared" si="46"/>
        <v>0.155</v>
      </c>
      <c r="I111" s="1422">
        <f t="shared" si="46"/>
        <v>0.155</v>
      </c>
      <c r="J111" s="1422">
        <f t="shared" si="46"/>
        <v>0.155</v>
      </c>
      <c r="K111" s="1422">
        <f t="shared" si="46"/>
        <v>0.155</v>
      </c>
      <c r="L111" s="1422">
        <f t="shared" si="46"/>
        <v>0.155</v>
      </c>
      <c r="M111" s="1422">
        <f t="shared" si="46"/>
        <v>0.155</v>
      </c>
      <c r="N111" s="1422">
        <f t="shared" si="46"/>
        <v>0.155</v>
      </c>
      <c r="O111" s="1422">
        <f t="shared" si="46"/>
        <v>0.155</v>
      </c>
      <c r="P111" s="1422">
        <f t="shared" si="46"/>
        <v>0.155</v>
      </c>
      <c r="Q111" s="1422">
        <f t="shared" si="46"/>
        <v>0.155</v>
      </c>
      <c r="R111" s="1422">
        <f t="shared" si="46"/>
        <v>0.155</v>
      </c>
      <c r="S111" s="1422">
        <f t="shared" si="46"/>
        <v>0.155</v>
      </c>
      <c r="T111" s="1422">
        <f t="shared" si="46"/>
        <v>0.155</v>
      </c>
    </row>
    <row r="112" spans="2:20" s="114" customFormat="1" outlineLevel="1">
      <c r="B112" s="52" t="s">
        <v>104</v>
      </c>
      <c r="C112" s="56"/>
      <c r="D112" s="55">
        <f t="shared" ref="D112:F112" si="47">-D111*D110</f>
        <v>0</v>
      </c>
      <c r="E112" s="55">
        <f t="shared" si="47"/>
        <v>0</v>
      </c>
      <c r="F112" s="55">
        <f t="shared" si="47"/>
        <v>0</v>
      </c>
      <c r="G112" s="55">
        <f>-G111*G110</f>
        <v>-9.3617916320565477</v>
      </c>
      <c r="H112" s="55">
        <f t="shared" ref="H112:T112" si="48">-H111*H110</f>
        <v>-135.10897233617456</v>
      </c>
      <c r="I112" s="55">
        <f t="shared" si="48"/>
        <v>-237.19450314510482</v>
      </c>
      <c r="J112" s="55">
        <f t="shared" si="48"/>
        <v>-230.32856610402473</v>
      </c>
      <c r="K112" s="55">
        <f t="shared" si="48"/>
        <v>-114.70943418301921</v>
      </c>
      <c r="L112" s="55">
        <f t="shared" si="48"/>
        <v>-129.05955105350642</v>
      </c>
      <c r="M112" s="55">
        <f t="shared" si="48"/>
        <v>-134.2037721439813</v>
      </c>
      <c r="N112" s="55">
        <f t="shared" si="48"/>
        <v>-141.70369360922166</v>
      </c>
      <c r="O112" s="55">
        <f t="shared" si="48"/>
        <v>-148.47517319169819</v>
      </c>
      <c r="P112" s="55">
        <f t="shared" si="48"/>
        <v>-156.03706383591282</v>
      </c>
      <c r="Q112" s="55">
        <f t="shared" si="48"/>
        <v>-157.91204288663661</v>
      </c>
      <c r="R112" s="55">
        <f t="shared" si="48"/>
        <v>-157.01437498244613</v>
      </c>
      <c r="S112" s="55">
        <f t="shared" si="48"/>
        <v>-165.7072106986663</v>
      </c>
      <c r="T112" s="55">
        <f t="shared" si="48"/>
        <v>-175.29822205020537</v>
      </c>
    </row>
    <row r="113" spans="2:20" s="352" customFormat="1" outlineLevel="1">
      <c r="B113" s="117" t="s">
        <v>88</v>
      </c>
      <c r="C113" s="53"/>
      <c r="D113" s="57">
        <f t="shared" ref="D113:E113" si="49">D103+D112</f>
        <v>0</v>
      </c>
      <c r="E113" s="57">
        <f t="shared" si="49"/>
        <v>0</v>
      </c>
      <c r="F113" s="57">
        <f>F103+F112</f>
        <v>0</v>
      </c>
      <c r="G113" s="57">
        <f t="shared" ref="G113:T113" si="50">G103+G112</f>
        <v>94.920767220393202</v>
      </c>
      <c r="H113" s="57">
        <f t="shared" si="50"/>
        <v>1303.6370985292626</v>
      </c>
      <c r="I113" s="57">
        <f t="shared" si="50"/>
        <v>2176.9449870993149</v>
      </c>
      <c r="J113" s="57">
        <f t="shared" si="50"/>
        <v>2058.2493642850086</v>
      </c>
      <c r="K113" s="57">
        <f t="shared" si="50"/>
        <v>859.08226990575747</v>
      </c>
      <c r="L113" s="57">
        <f t="shared" si="50"/>
        <v>937.31355219970385</v>
      </c>
      <c r="M113" s="57">
        <f t="shared" si="50"/>
        <v>965.35785427358292</v>
      </c>
      <c r="N113" s="57">
        <f t="shared" si="50"/>
        <v>1006.2445229066676</v>
      </c>
      <c r="O113" s="57">
        <f t="shared" si="50"/>
        <v>1043.1600083724268</v>
      </c>
      <c r="P113" s="57">
        <f t="shared" si="50"/>
        <v>1084.3845089812098</v>
      </c>
      <c r="Q113" s="57">
        <f t="shared" si="50"/>
        <v>1094.6061689674136</v>
      </c>
      <c r="R113" s="57">
        <f t="shared" si="50"/>
        <v>1089.7124310381171</v>
      </c>
      <c r="S113" s="57">
        <f t="shared" si="50"/>
        <v>1137.102406394285</v>
      </c>
      <c r="T113" s="57">
        <f t="shared" si="50"/>
        <v>1189.3888876333206</v>
      </c>
    </row>
    <row r="114" spans="2:20" s="114" customFormat="1" outlineLevel="1">
      <c r="B114" s="59" t="s">
        <v>89</v>
      </c>
      <c r="C114" s="56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 spans="2:20" s="114" customFormat="1" outlineLevel="1">
      <c r="B115" s="60" t="s">
        <v>90</v>
      </c>
      <c r="C115" s="53">
        <f>SUM(D115:S115)</f>
        <v>-11472.203258232405</v>
      </c>
      <c r="D115" s="55">
        <f>D37</f>
        <v>-160.31818482743449</v>
      </c>
      <c r="E115" s="55">
        <f t="shared" ref="E115:T117" si="51">E37</f>
        <v>-3048.205290457669</v>
      </c>
      <c r="F115" s="55">
        <f t="shared" si="51"/>
        <v>-4225.7932783613796</v>
      </c>
      <c r="G115" s="55">
        <f t="shared" si="51"/>
        <v>-3151.1617222214882</v>
      </c>
      <c r="H115" s="55">
        <f t="shared" si="51"/>
        <v>-886.72478236443374</v>
      </c>
      <c r="I115" s="55">
        <f t="shared" si="51"/>
        <v>0</v>
      </c>
      <c r="J115" s="55">
        <f t="shared" si="51"/>
        <v>0</v>
      </c>
      <c r="K115" s="55">
        <f t="shared" si="51"/>
        <v>0</v>
      </c>
      <c r="L115" s="55">
        <f t="shared" si="51"/>
        <v>0</v>
      </c>
      <c r="M115" s="55">
        <f t="shared" si="51"/>
        <v>0</v>
      </c>
      <c r="N115" s="55">
        <f t="shared" si="51"/>
        <v>0</v>
      </c>
      <c r="O115" s="55">
        <f t="shared" si="51"/>
        <v>0</v>
      </c>
      <c r="P115" s="55">
        <f t="shared" si="51"/>
        <v>0</v>
      </c>
      <c r="Q115" s="55">
        <f t="shared" si="51"/>
        <v>0</v>
      </c>
      <c r="R115" s="55">
        <f t="shared" si="51"/>
        <v>0</v>
      </c>
      <c r="S115" s="55">
        <f t="shared" si="51"/>
        <v>0</v>
      </c>
      <c r="T115" s="55">
        <f t="shared" si="51"/>
        <v>0</v>
      </c>
    </row>
    <row r="116" spans="2:20" s="114" customFormat="1" outlineLevel="1">
      <c r="B116" s="60" t="s">
        <v>444</v>
      </c>
      <c r="C116" s="53">
        <f>SUM(D116:S116)</f>
        <v>-1.3198967425933679</v>
      </c>
      <c r="D116" s="55">
        <f>D38</f>
        <v>-0.41393944791191073</v>
      </c>
      <c r="E116" s="55">
        <f t="shared" si="51"/>
        <v>-0.45235897750852511</v>
      </c>
      <c r="F116" s="55">
        <f t="shared" si="51"/>
        <v>-0.45359831717293209</v>
      </c>
      <c r="G116" s="55">
        <f t="shared" si="51"/>
        <v>0</v>
      </c>
      <c r="H116" s="55">
        <f t="shared" si="51"/>
        <v>0</v>
      </c>
      <c r="I116" s="55">
        <f t="shared" si="51"/>
        <v>0</v>
      </c>
      <c r="J116" s="55">
        <f t="shared" si="51"/>
        <v>0</v>
      </c>
      <c r="K116" s="55">
        <f t="shared" si="51"/>
        <v>0</v>
      </c>
      <c r="L116" s="55">
        <f t="shared" si="51"/>
        <v>0</v>
      </c>
      <c r="M116" s="55">
        <f t="shared" si="51"/>
        <v>0</v>
      </c>
      <c r="N116" s="55">
        <f t="shared" si="51"/>
        <v>0</v>
      </c>
      <c r="O116" s="55">
        <f t="shared" si="51"/>
        <v>0</v>
      </c>
      <c r="P116" s="55">
        <f t="shared" si="51"/>
        <v>0</v>
      </c>
      <c r="Q116" s="55">
        <f t="shared" si="51"/>
        <v>0</v>
      </c>
      <c r="R116" s="55">
        <f t="shared" si="51"/>
        <v>0</v>
      </c>
      <c r="S116" s="55">
        <f t="shared" si="51"/>
        <v>0</v>
      </c>
      <c r="T116" s="55">
        <f t="shared" si="51"/>
        <v>0</v>
      </c>
    </row>
    <row r="117" spans="2:20" s="114" customFormat="1" outlineLevel="1">
      <c r="B117" s="60" t="s">
        <v>91</v>
      </c>
      <c r="C117" s="53">
        <f>SUM(D117:S117)</f>
        <v>1912.0338763720672</v>
      </c>
      <c r="D117" s="55">
        <f>D39</f>
        <v>0</v>
      </c>
      <c r="E117" s="55">
        <f t="shared" si="51"/>
        <v>26.719697471239076</v>
      </c>
      <c r="F117" s="55">
        <f t="shared" si="51"/>
        <v>508.03421507627803</v>
      </c>
      <c r="G117" s="55">
        <f t="shared" si="51"/>
        <v>704.29887972689642</v>
      </c>
      <c r="H117" s="55">
        <f t="shared" si="51"/>
        <v>525.19362037024791</v>
      </c>
      <c r="I117" s="55">
        <f t="shared" si="51"/>
        <v>147.78746372740559</v>
      </c>
      <c r="J117" s="55">
        <f t="shared" si="51"/>
        <v>0</v>
      </c>
      <c r="K117" s="55">
        <f t="shared" si="51"/>
        <v>0</v>
      </c>
      <c r="L117" s="55">
        <f t="shared" si="51"/>
        <v>0</v>
      </c>
      <c r="M117" s="55">
        <f t="shared" si="51"/>
        <v>0</v>
      </c>
      <c r="N117" s="55">
        <f t="shared" si="51"/>
        <v>0</v>
      </c>
      <c r="O117" s="55">
        <f t="shared" si="51"/>
        <v>0</v>
      </c>
      <c r="P117" s="55">
        <f t="shared" si="51"/>
        <v>0</v>
      </c>
      <c r="Q117" s="55">
        <f t="shared" si="51"/>
        <v>0</v>
      </c>
      <c r="R117" s="55">
        <f t="shared" si="51"/>
        <v>0</v>
      </c>
      <c r="S117" s="55">
        <f t="shared" si="51"/>
        <v>0</v>
      </c>
      <c r="T117" s="55">
        <f t="shared" si="51"/>
        <v>0</v>
      </c>
    </row>
    <row r="118" spans="2:20" s="114" customFormat="1" outlineLevel="1">
      <c r="B118" s="59" t="str">
        <f>B62</f>
        <v>Движение средств по Проекту</v>
      </c>
      <c r="C118" s="56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5"/>
    </row>
    <row r="119" spans="2:20" s="114" customFormat="1" outlineLevel="1">
      <c r="B119" s="60" t="s">
        <v>1008</v>
      </c>
      <c r="C119" s="56"/>
      <c r="D119" s="55">
        <f t="shared" ref="D119:S119" si="52">SUM(D113:D117)</f>
        <v>-160.73212427534639</v>
      </c>
      <c r="E119" s="55">
        <f t="shared" si="52"/>
        <v>-3021.9379519639383</v>
      </c>
      <c r="F119" s="55">
        <f t="shared" si="52"/>
        <v>-3718.2126616022742</v>
      </c>
      <c r="G119" s="55">
        <f t="shared" si="52"/>
        <v>-2351.9420752741985</v>
      </c>
      <c r="H119" s="55">
        <f t="shared" si="52"/>
        <v>942.10593653507681</v>
      </c>
      <c r="I119" s="55">
        <f t="shared" si="52"/>
        <v>2324.7324508267207</v>
      </c>
      <c r="J119" s="55">
        <f t="shared" si="52"/>
        <v>2058.2493642850086</v>
      </c>
      <c r="K119" s="55">
        <f t="shared" si="52"/>
        <v>859.08226990575747</v>
      </c>
      <c r="L119" s="55">
        <f t="shared" si="52"/>
        <v>937.31355219970385</v>
      </c>
      <c r="M119" s="55">
        <f t="shared" si="52"/>
        <v>965.35785427358292</v>
      </c>
      <c r="N119" s="55">
        <f t="shared" si="52"/>
        <v>1006.2445229066676</v>
      </c>
      <c r="O119" s="55">
        <f t="shared" si="52"/>
        <v>1043.1600083724268</v>
      </c>
      <c r="P119" s="55">
        <f t="shared" si="52"/>
        <v>1084.3845089812098</v>
      </c>
      <c r="Q119" s="55">
        <f t="shared" si="52"/>
        <v>1094.6061689674136</v>
      </c>
      <c r="R119" s="55">
        <f t="shared" si="52"/>
        <v>1089.7124310381171</v>
      </c>
      <c r="S119" s="55">
        <f t="shared" si="52"/>
        <v>1137.102406394285</v>
      </c>
      <c r="T119" s="354"/>
    </row>
    <row r="120" spans="2:20" outlineLevel="1">
      <c r="B120" s="60" t="s">
        <v>1009</v>
      </c>
      <c r="C120" s="56"/>
      <c r="D120" s="55">
        <f>D119+D61</f>
        <v>-160.73212427534639</v>
      </c>
      <c r="E120" s="55">
        <f t="shared" ref="E120:T120" si="53">E119+E61</f>
        <v>-3021.9379519639383</v>
      </c>
      <c r="F120" s="55">
        <f t="shared" si="53"/>
        <v>-3718.2126616022742</v>
      </c>
      <c r="G120" s="55">
        <f t="shared" si="53"/>
        <v>-2351.9420752741985</v>
      </c>
      <c r="H120" s="55">
        <f t="shared" si="53"/>
        <v>942.10593653507681</v>
      </c>
      <c r="I120" s="55">
        <f t="shared" si="53"/>
        <v>2324.7324508267207</v>
      </c>
      <c r="J120" s="55">
        <f t="shared" si="53"/>
        <v>2058.2493642850086</v>
      </c>
      <c r="K120" s="55">
        <f t="shared" si="53"/>
        <v>859.08226990575747</v>
      </c>
      <c r="L120" s="55">
        <f t="shared" si="53"/>
        <v>937.31355219970385</v>
      </c>
      <c r="M120" s="55">
        <f t="shared" si="53"/>
        <v>965.35785427358292</v>
      </c>
      <c r="N120" s="55">
        <f t="shared" si="53"/>
        <v>1006.2445229066676</v>
      </c>
      <c r="O120" s="55">
        <f t="shared" si="53"/>
        <v>1043.1600083724268</v>
      </c>
      <c r="P120" s="55">
        <f t="shared" si="53"/>
        <v>1084.3845089812098</v>
      </c>
      <c r="Q120" s="55">
        <f t="shared" si="53"/>
        <v>1094.6061689674136</v>
      </c>
      <c r="R120" s="55">
        <f t="shared" si="53"/>
        <v>1089.7124310381171</v>
      </c>
      <c r="S120" s="55">
        <f t="shared" si="53"/>
        <v>1137.102406394285</v>
      </c>
      <c r="T120" s="358">
        <f t="shared" si="53"/>
        <v>11774.949987569873</v>
      </c>
    </row>
    <row r="121" spans="2:20" outlineLevel="1">
      <c r="B121" s="60" t="str">
        <f t="shared" ref="B121:B136" si="54">B65</f>
        <v>Ставка дисконтирования</v>
      </c>
      <c r="C121" s="56"/>
      <c r="D121" s="1412">
        <f>WACC!D23</f>
        <v>0.12229314111647401</v>
      </c>
      <c r="E121" s="62">
        <f>D121</f>
        <v>0.12229314111647401</v>
      </c>
      <c r="F121" s="62">
        <f t="shared" ref="F121:S121" si="55">E121</f>
        <v>0.12229314111647401</v>
      </c>
      <c r="G121" s="62">
        <f t="shared" si="55"/>
        <v>0.12229314111647401</v>
      </c>
      <c r="H121" s="62">
        <f t="shared" si="55"/>
        <v>0.12229314111647401</v>
      </c>
      <c r="I121" s="62">
        <f t="shared" si="55"/>
        <v>0.12229314111647401</v>
      </c>
      <c r="J121" s="62">
        <f t="shared" si="55"/>
        <v>0.12229314111647401</v>
      </c>
      <c r="K121" s="62">
        <f t="shared" si="55"/>
        <v>0.12229314111647401</v>
      </c>
      <c r="L121" s="62">
        <f t="shared" si="55"/>
        <v>0.12229314111647401</v>
      </c>
      <c r="M121" s="62">
        <f t="shared" si="55"/>
        <v>0.12229314111647401</v>
      </c>
      <c r="N121" s="62">
        <f t="shared" si="55"/>
        <v>0.12229314111647401</v>
      </c>
      <c r="O121" s="62">
        <f t="shared" si="55"/>
        <v>0.12229314111647401</v>
      </c>
      <c r="P121" s="62">
        <f t="shared" si="55"/>
        <v>0.12229314111647401</v>
      </c>
      <c r="Q121" s="62">
        <f t="shared" si="55"/>
        <v>0.12229314111647401</v>
      </c>
      <c r="R121" s="62">
        <f t="shared" si="55"/>
        <v>0.12229314111647401</v>
      </c>
      <c r="S121" s="62">
        <f t="shared" si="55"/>
        <v>0.12229314111647401</v>
      </c>
      <c r="T121" s="62">
        <f>N121</f>
        <v>0.12229314111647401</v>
      </c>
    </row>
    <row r="122" spans="2:20" outlineLevel="1">
      <c r="B122" s="60" t="str">
        <f t="shared" si="54"/>
        <v>Период дисконтирования</v>
      </c>
      <c r="C122" s="56"/>
      <c r="D122" s="357">
        <f>D$8/365/2</f>
        <v>0.45753424657534247</v>
      </c>
      <c r="E122" s="357">
        <f>D122*2+0.5</f>
        <v>1.4150684931506849</v>
      </c>
      <c r="F122" s="63">
        <f>E122+1</f>
        <v>2.4150684931506849</v>
      </c>
      <c r="G122" s="63">
        <f t="shared" ref="G122:S122" si="56">F122+1</f>
        <v>3.4150684931506849</v>
      </c>
      <c r="H122" s="63">
        <f t="shared" si="56"/>
        <v>4.4150684931506845</v>
      </c>
      <c r="I122" s="63">
        <f t="shared" si="56"/>
        <v>5.4150684931506845</v>
      </c>
      <c r="J122" s="63">
        <f t="shared" si="56"/>
        <v>6.4150684931506845</v>
      </c>
      <c r="K122" s="63">
        <f t="shared" si="56"/>
        <v>7.4150684931506845</v>
      </c>
      <c r="L122" s="63">
        <f t="shared" si="56"/>
        <v>8.4150684931506845</v>
      </c>
      <c r="M122" s="63">
        <f t="shared" si="56"/>
        <v>9.4150684931506845</v>
      </c>
      <c r="N122" s="63">
        <f t="shared" si="56"/>
        <v>10.415068493150685</v>
      </c>
      <c r="O122" s="63">
        <f t="shared" si="56"/>
        <v>11.415068493150685</v>
      </c>
      <c r="P122" s="63">
        <f t="shared" si="56"/>
        <v>12.415068493150685</v>
      </c>
      <c r="Q122" s="63">
        <f t="shared" si="56"/>
        <v>13.415068493150685</v>
      </c>
      <c r="R122" s="63">
        <f t="shared" si="56"/>
        <v>14.415068493150685</v>
      </c>
      <c r="S122" s="63">
        <f t="shared" si="56"/>
        <v>15.415068493150685</v>
      </c>
      <c r="T122" s="357">
        <f>S122+0.5</f>
        <v>15.915068493150685</v>
      </c>
    </row>
    <row r="123" spans="2:20" outlineLevel="1">
      <c r="B123" s="60" t="str">
        <f t="shared" si="54"/>
        <v>Фактор дисконтирования (с середины года)</v>
      </c>
      <c r="C123" s="56"/>
      <c r="D123" s="64">
        <f>1/(1+D121)^D122</f>
        <v>0.94858149419952253</v>
      </c>
      <c r="E123" s="64">
        <f t="shared" ref="E123:S123" si="57">1/(1+E121)^E122</f>
        <v>0.84936848171379875</v>
      </c>
      <c r="F123" s="64">
        <f t="shared" si="57"/>
        <v>0.75681517653118158</v>
      </c>
      <c r="G123" s="64">
        <f t="shared" si="57"/>
        <v>0.67434714586092048</v>
      </c>
      <c r="H123" s="64">
        <f t="shared" si="57"/>
        <v>0.60086542557862377</v>
      </c>
      <c r="I123" s="64">
        <f t="shared" si="57"/>
        <v>0.53539080260338556</v>
      </c>
      <c r="J123" s="64">
        <f t="shared" si="57"/>
        <v>0.47705076596188656</v>
      </c>
      <c r="K123" s="64">
        <f t="shared" si="57"/>
        <v>0.42506787975849986</v>
      </c>
      <c r="L123" s="64">
        <f t="shared" si="57"/>
        <v>0.37874942311029003</v>
      </c>
      <c r="M123" s="64">
        <f t="shared" si="57"/>
        <v>0.33747815898928551</v>
      </c>
      <c r="N123" s="64">
        <f t="shared" si="57"/>
        <v>0.30070410895816146</v>
      </c>
      <c r="O123" s="64">
        <f t="shared" si="57"/>
        <v>0.26793722418994431</v>
      </c>
      <c r="P123" s="64">
        <f t="shared" si="57"/>
        <v>0.2387408551061769</v>
      </c>
      <c r="Q123" s="64">
        <f t="shared" si="57"/>
        <v>0.21272593261032846</v>
      </c>
      <c r="R123" s="64">
        <f t="shared" si="57"/>
        <v>0.18954578337590616</v>
      </c>
      <c r="S123" s="64">
        <f t="shared" si="57"/>
        <v>0.1688915100981043</v>
      </c>
      <c r="T123" s="64">
        <f>1/(1+T121)^T122</f>
        <v>0.15942435348762313</v>
      </c>
    </row>
    <row r="124" spans="2:20" outlineLevel="1">
      <c r="B124" s="60" t="str">
        <f t="shared" si="54"/>
        <v>Дисконтированный денежный поток - без TV</v>
      </c>
      <c r="C124" s="56"/>
      <c r="D124" s="55">
        <f t="shared" ref="D124:T124" si="58">D123*D119</f>
        <v>-152.46751861097144</v>
      </c>
      <c r="E124" s="55">
        <f t="shared" si="58"/>
        <v>-2566.7388500929169</v>
      </c>
      <c r="F124" s="55">
        <f t="shared" si="58"/>
        <v>-2813.9997718709997</v>
      </c>
      <c r="G124" s="55">
        <f t="shared" si="58"/>
        <v>-1586.0254256913659</v>
      </c>
      <c r="H124" s="55">
        <f t="shared" si="58"/>
        <v>566.07888449629684</v>
      </c>
      <c r="I124" s="55">
        <f t="shared" si="58"/>
        <v>1244.6403726862536</v>
      </c>
      <c r="J124" s="55">
        <f t="shared" si="58"/>
        <v>981.88943577272937</v>
      </c>
      <c r="K124" s="55">
        <f t="shared" si="58"/>
        <v>365.16827900695961</v>
      </c>
      <c r="L124" s="55">
        <f t="shared" si="58"/>
        <v>355.00696716909454</v>
      </c>
      <c r="M124" s="55">
        <f t="shared" si="58"/>
        <v>325.78719142609572</v>
      </c>
      <c r="N124" s="55">
        <f t="shared" si="58"/>
        <v>302.58186265467975</v>
      </c>
      <c r="O124" s="55">
        <f t="shared" si="58"/>
        <v>279.50139702926708</v>
      </c>
      <c r="P124" s="55">
        <f t="shared" si="58"/>
        <v>258.8868849380658</v>
      </c>
      <c r="Q124" s="55">
        <f t="shared" si="58"/>
        <v>232.85111813461185</v>
      </c>
      <c r="R124" s="55">
        <f t="shared" si="58"/>
        <v>206.55039639558302</v>
      </c>
      <c r="S124" s="55">
        <f t="shared" si="58"/>
        <v>192.04694255211908</v>
      </c>
      <c r="T124" s="55">
        <f t="shared" si="58"/>
        <v>0</v>
      </c>
    </row>
    <row r="125" spans="2:20" outlineLevel="1">
      <c r="B125" s="60" t="str">
        <f t="shared" si="54"/>
        <v>Дисконтированный денежный поток - с TV</v>
      </c>
      <c r="C125" s="56"/>
      <c r="D125" s="55">
        <f>D123*D120</f>
        <v>-152.46751861097144</v>
      </c>
      <c r="E125" s="55">
        <f t="shared" ref="E125:T125" si="59">E123*E120</f>
        <v>-2566.7388500929169</v>
      </c>
      <c r="F125" s="55">
        <f t="shared" si="59"/>
        <v>-2813.9997718709997</v>
      </c>
      <c r="G125" s="55">
        <f t="shared" si="59"/>
        <v>-1586.0254256913659</v>
      </c>
      <c r="H125" s="55">
        <f t="shared" si="59"/>
        <v>566.07888449629684</v>
      </c>
      <c r="I125" s="55">
        <f t="shared" si="59"/>
        <v>1244.6403726862536</v>
      </c>
      <c r="J125" s="55">
        <f t="shared" si="59"/>
        <v>981.88943577272937</v>
      </c>
      <c r="K125" s="55">
        <f t="shared" si="59"/>
        <v>365.16827900695961</v>
      </c>
      <c r="L125" s="55">
        <f t="shared" si="59"/>
        <v>355.00696716909454</v>
      </c>
      <c r="M125" s="55">
        <f t="shared" si="59"/>
        <v>325.78719142609572</v>
      </c>
      <c r="N125" s="55">
        <f t="shared" si="59"/>
        <v>302.58186265467975</v>
      </c>
      <c r="O125" s="55">
        <f t="shared" si="59"/>
        <v>279.50139702926708</v>
      </c>
      <c r="P125" s="55">
        <f t="shared" si="59"/>
        <v>258.8868849380658</v>
      </c>
      <c r="Q125" s="55">
        <f t="shared" si="59"/>
        <v>232.85111813461185</v>
      </c>
      <c r="R125" s="55">
        <f t="shared" si="59"/>
        <v>206.55039639558302</v>
      </c>
      <c r="S125" s="55">
        <f t="shared" si="59"/>
        <v>192.04694255211908</v>
      </c>
      <c r="T125" s="55">
        <f t="shared" si="59"/>
        <v>1877.2137891174229</v>
      </c>
    </row>
    <row r="126" spans="2:20" s="352" customFormat="1" outlineLevel="1" collapsed="1">
      <c r="B126" s="351" t="str">
        <f t="shared" si="54"/>
        <v>Чистая текущая ст-ть проекта на дату анализа</v>
      </c>
      <c r="C126" s="58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</row>
    <row r="127" spans="2:20" ht="25.5" outlineLevel="1">
      <c r="B127" s="65" t="str">
        <f t="shared" si="54"/>
        <v>Чистая текущая ст-ть проекта на дату анализа - без TV</v>
      </c>
      <c r="C127" s="56"/>
      <c r="D127" s="67">
        <f>SUM(D124:S124)</f>
        <v>-1808.2418340044969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5"/>
    </row>
    <row r="128" spans="2:20" ht="25.5" outlineLevel="1">
      <c r="B128" s="65" t="str">
        <f t="shared" si="54"/>
        <v>Чистая текущая ст-ть проекта на дату анализа - с TV</v>
      </c>
      <c r="C128" s="56"/>
      <c r="D128" s="67">
        <f>SUM(D125:T125)</f>
        <v>68.971955112926025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5"/>
    </row>
    <row r="129" spans="1:20" outlineLevel="1">
      <c r="B129" s="60" t="str">
        <f t="shared" si="54"/>
        <v>Денежный поток накопленным итогом - без TV</v>
      </c>
      <c r="C129" s="56"/>
      <c r="D129" s="68">
        <f>SUM($D$119:D119)</f>
        <v>-160.73212427534639</v>
      </c>
      <c r="E129" s="68">
        <f>SUM($D$119:E119)</f>
        <v>-3182.6700762392848</v>
      </c>
      <c r="F129" s="68">
        <f>SUM($D$119:F119)</f>
        <v>-6900.882737841559</v>
      </c>
      <c r="G129" s="68">
        <f>SUM($D$119:G119)</f>
        <v>-9252.8248131157579</v>
      </c>
      <c r="H129" s="68">
        <f>SUM($D$119:H119)</f>
        <v>-8310.7188765806804</v>
      </c>
      <c r="I129" s="68">
        <f>SUM($D$119:I119)</f>
        <v>-5985.9864257539593</v>
      </c>
      <c r="J129" s="68">
        <f>SUM($D$119:J119)</f>
        <v>-3927.7370614689507</v>
      </c>
      <c r="K129" s="68">
        <f>SUM($D$119:K119)</f>
        <v>-3068.6547915631932</v>
      </c>
      <c r="L129" s="68">
        <f>SUM($D$119:L119)</f>
        <v>-2131.3412393634894</v>
      </c>
      <c r="M129" s="68">
        <f>SUM($D$119:M119)</f>
        <v>-1165.9833850899065</v>
      </c>
      <c r="N129" s="68">
        <f>SUM($D$119:N119)</f>
        <v>-159.73886218323889</v>
      </c>
      <c r="O129" s="68">
        <f>SUM($D$119:O119)</f>
        <v>883.42114618918788</v>
      </c>
      <c r="P129" s="68">
        <f>SUM($D$119:P119)</f>
        <v>1967.8056551703976</v>
      </c>
      <c r="Q129" s="68">
        <f>SUM($D$119:Q119)</f>
        <v>3062.411824137811</v>
      </c>
      <c r="R129" s="68">
        <f>SUM($D$119:R119)</f>
        <v>4152.1242551759278</v>
      </c>
      <c r="S129" s="358">
        <f>SUM($D$119:T119)</f>
        <v>5289.2266615702129</v>
      </c>
      <c r="T129" s="68"/>
    </row>
    <row r="130" spans="1:20" outlineLevel="1">
      <c r="B130" s="60" t="str">
        <f t="shared" si="54"/>
        <v>Денежный поток накопленным итогом - c TV</v>
      </c>
      <c r="C130" s="56"/>
      <c r="D130" s="68">
        <f>SUM($D$120:D120)</f>
        <v>-160.73212427534639</v>
      </c>
      <c r="E130" s="68">
        <f>SUM($D$120:E120)</f>
        <v>-3182.6700762392848</v>
      </c>
      <c r="F130" s="68">
        <f>SUM($D$120:F120)</f>
        <v>-6900.882737841559</v>
      </c>
      <c r="G130" s="68">
        <f>SUM($D$120:G120)</f>
        <v>-9252.8248131157579</v>
      </c>
      <c r="H130" s="68">
        <f>SUM($D$120:H120)</f>
        <v>-8310.7188765806804</v>
      </c>
      <c r="I130" s="68">
        <f>SUM($D$120:I120)</f>
        <v>-5985.9864257539593</v>
      </c>
      <c r="J130" s="68">
        <f>SUM($D$120:J120)</f>
        <v>-3927.7370614689507</v>
      </c>
      <c r="K130" s="68">
        <f>SUM($D$120:K120)</f>
        <v>-3068.6547915631932</v>
      </c>
      <c r="L130" s="68">
        <f>SUM($D$120:L120)</f>
        <v>-2131.3412393634894</v>
      </c>
      <c r="M130" s="68">
        <f>SUM($D$120:M120)</f>
        <v>-1165.9833850899065</v>
      </c>
      <c r="N130" s="68">
        <f>SUM($D$120:N120)</f>
        <v>-159.73886218323889</v>
      </c>
      <c r="O130" s="68">
        <f>SUM($D$120:O120)</f>
        <v>883.42114618918788</v>
      </c>
      <c r="P130" s="68">
        <f>SUM($D$120:P120)</f>
        <v>1967.8056551703976</v>
      </c>
      <c r="Q130" s="68">
        <f>SUM($D$120:Q120)</f>
        <v>3062.411824137811</v>
      </c>
      <c r="R130" s="68">
        <f>SUM($D$120:R120)</f>
        <v>4152.1242551759278</v>
      </c>
      <c r="S130" s="358">
        <f>SUM($D$120:T120)</f>
        <v>17064.176649140085</v>
      </c>
      <c r="T130" s="68"/>
    </row>
    <row r="131" spans="1:20" outlineLevel="1">
      <c r="B131" s="69" t="str">
        <f t="shared" si="54"/>
        <v>PBP (срок окупаемости) - без TV</v>
      </c>
      <c r="C131" s="56"/>
      <c r="D131" s="71">
        <f>IF(AND(S129&gt;0,(COUNTIF(D129:S129,"&lt;0"))=COUNT(D129:S129)-1),"окупается с продажи",IF(OR(S129&lt;0,(COUNTIF(D129:S129,"&lt;0"))=COUNT(D129:S129)),"не окупается",(COUNTIF(D129:S129,"&lt;0"))))</f>
        <v>11</v>
      </c>
      <c r="E131" s="359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 spans="1:20" outlineLevel="1">
      <c r="B132" s="69" t="str">
        <f t="shared" si="54"/>
        <v>PBP (срок окупаемости) - c TV</v>
      </c>
      <c r="C132" s="56"/>
      <c r="D132" s="71">
        <f>IF(AND(S130&gt;0,(COUNTIF(D130:S130,"&lt;0"))=COUNT(D130:S130)-1),"окупается с продажи",IF(OR(S130&lt;0,(COUNTIF(D130:S130,"&lt;0"))=COUNT(D130:S130)),"не окупается",(COUNTIF(D130:S130,"&lt;0"))))</f>
        <v>11</v>
      </c>
      <c r="E132" s="359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 spans="1:20" outlineLevel="1">
      <c r="B133" s="70" t="str">
        <f t="shared" si="54"/>
        <v>Дисконтированный денежный поток накопленным итогом - без TV</v>
      </c>
      <c r="C133" s="56"/>
      <c r="D133" s="68">
        <f>SUM($D$124:D124)</f>
        <v>-152.46751861097144</v>
      </c>
      <c r="E133" s="68">
        <f>SUM($D$124:E124)</f>
        <v>-2719.2063687038885</v>
      </c>
      <c r="F133" s="68">
        <f>SUM($D$124:F124)</f>
        <v>-5533.2061405748882</v>
      </c>
      <c r="G133" s="68">
        <f>SUM($D$124:G124)</f>
        <v>-7119.231566266254</v>
      </c>
      <c r="H133" s="68">
        <f>SUM($D$124:H124)</f>
        <v>-6553.1526817699569</v>
      </c>
      <c r="I133" s="68">
        <f>SUM($D$124:I124)</f>
        <v>-5308.5123090837033</v>
      </c>
      <c r="J133" s="68">
        <f>SUM($D$124:J124)</f>
        <v>-4326.6228733109738</v>
      </c>
      <c r="K133" s="68">
        <f>SUM($D$124:K124)</f>
        <v>-3961.4545943040143</v>
      </c>
      <c r="L133" s="68">
        <f>SUM($D$124:L124)</f>
        <v>-3606.4476271349199</v>
      </c>
      <c r="M133" s="68">
        <f>SUM($D$124:M124)</f>
        <v>-3280.660435708824</v>
      </c>
      <c r="N133" s="68">
        <f>SUM($D$124:N124)</f>
        <v>-2978.0785730541443</v>
      </c>
      <c r="O133" s="68">
        <f>SUM($D$124:O124)</f>
        <v>-2698.5771760248772</v>
      </c>
      <c r="P133" s="68">
        <f>SUM($D$124:P124)</f>
        <v>-2439.6902910868112</v>
      </c>
      <c r="Q133" s="68">
        <f>SUM($D$124:Q124)</f>
        <v>-2206.8391729521991</v>
      </c>
      <c r="R133" s="68">
        <f>SUM($D$124:R124)</f>
        <v>-2000.2887765566161</v>
      </c>
      <c r="S133" s="358">
        <f>SUM($D$124:T124)</f>
        <v>-1808.2418340044969</v>
      </c>
      <c r="T133" s="68"/>
    </row>
    <row r="134" spans="1:20" outlineLevel="1">
      <c r="B134" s="70" t="str">
        <f t="shared" si="54"/>
        <v>Дисконтированный денежный поток накопленным итогом - c TV</v>
      </c>
      <c r="C134" s="56"/>
      <c r="D134" s="68">
        <f>SUM($D$125:D125)</f>
        <v>-152.46751861097144</v>
      </c>
      <c r="E134" s="68">
        <f>SUM($D$125:E125)</f>
        <v>-2719.2063687038885</v>
      </c>
      <c r="F134" s="68">
        <f>SUM($D$125:F125)</f>
        <v>-5533.2061405748882</v>
      </c>
      <c r="G134" s="68">
        <f>SUM($D$125:G125)</f>
        <v>-7119.231566266254</v>
      </c>
      <c r="H134" s="68">
        <f>SUM($D$125:H125)</f>
        <v>-6553.1526817699569</v>
      </c>
      <c r="I134" s="68">
        <f>SUM($D$125:I125)</f>
        <v>-5308.5123090837033</v>
      </c>
      <c r="J134" s="68">
        <f>SUM($D$125:J125)</f>
        <v>-4326.6228733109738</v>
      </c>
      <c r="K134" s="68">
        <f>SUM($D$125:K125)</f>
        <v>-3961.4545943040143</v>
      </c>
      <c r="L134" s="68">
        <f>SUM($D$125:L125)</f>
        <v>-3606.4476271349199</v>
      </c>
      <c r="M134" s="68">
        <f>SUM($D$125:M125)</f>
        <v>-3280.660435708824</v>
      </c>
      <c r="N134" s="68">
        <f>SUM($D$125:N125)</f>
        <v>-2978.0785730541443</v>
      </c>
      <c r="O134" s="68">
        <f>SUM($D$125:O125)</f>
        <v>-2698.5771760248772</v>
      </c>
      <c r="P134" s="68">
        <f>SUM($D$125:P125)</f>
        <v>-2439.6902910868112</v>
      </c>
      <c r="Q134" s="68">
        <f>SUM($D$125:Q125)</f>
        <v>-2206.8391729521991</v>
      </c>
      <c r="R134" s="68">
        <f>SUM($D$125:R125)</f>
        <v>-2000.2887765566161</v>
      </c>
      <c r="S134" s="358">
        <f>SUM($D$125:T125)</f>
        <v>68.971955112926025</v>
      </c>
      <c r="T134" s="68"/>
    </row>
    <row r="135" spans="1:20" outlineLevel="1">
      <c r="B135" s="69" t="str">
        <f t="shared" si="54"/>
        <v>DPBP (дисконтированный срок окупаемости) - без TV</v>
      </c>
      <c r="C135" s="56"/>
      <c r="D135" s="71" t="str">
        <f>IF(AND(S133&gt;0,(COUNTIF(D133:S133,"&lt;0"))=COUNT(D133:S133)-1),"окупается с продажи",IF(OR(S133&lt;0,(COUNTIF(D133:S133,"&lt;0"))=COUNT(D133:S133)),"не окупается",(COUNTIF(D133:S133,"&lt;0"))))</f>
        <v>не окупается</v>
      </c>
      <c r="E135" s="359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 spans="1:20" outlineLevel="1">
      <c r="B136" s="69" t="str">
        <f t="shared" si="54"/>
        <v>DPBP (дисконтированный срок окупаемости) - c TV</v>
      </c>
      <c r="C136" s="56"/>
      <c r="D136" s="71" t="str">
        <f>IF(AND(S134&gt;0,(COUNTIF(D134:S134,"&lt;0"))=COUNT(D134:S134)-1),"окупается с продажи",IF(OR(S134&lt;0,(COUNTIF(D134:S134,"&lt;0"))=COUNT(D134:S134)),"не окупается",(COUNTIF(D134:S134,"&lt;0"))))</f>
        <v>окупается с продажи</v>
      </c>
      <c r="E136" s="359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 spans="1:20" outlineLevel="1">
      <c r="B137" s="70" t="str">
        <f>B119</f>
        <v>FCFF</v>
      </c>
      <c r="C137" s="360"/>
      <c r="D137" s="68">
        <f>D119</f>
        <v>-160.73212427534639</v>
      </c>
      <c r="E137" s="68">
        <f t="shared" ref="E137:R138" si="60">E119</f>
        <v>-3021.9379519639383</v>
      </c>
      <c r="F137" s="68">
        <f t="shared" si="60"/>
        <v>-3718.2126616022742</v>
      </c>
      <c r="G137" s="68">
        <f t="shared" si="60"/>
        <v>-2351.9420752741985</v>
      </c>
      <c r="H137" s="68">
        <f t="shared" si="60"/>
        <v>942.10593653507681</v>
      </c>
      <c r="I137" s="68">
        <f t="shared" si="60"/>
        <v>2324.7324508267207</v>
      </c>
      <c r="J137" s="68">
        <f t="shared" si="60"/>
        <v>2058.2493642850086</v>
      </c>
      <c r="K137" s="68">
        <f t="shared" si="60"/>
        <v>859.08226990575747</v>
      </c>
      <c r="L137" s="68">
        <f t="shared" si="60"/>
        <v>937.31355219970385</v>
      </c>
      <c r="M137" s="68">
        <f t="shared" si="60"/>
        <v>965.35785427358292</v>
      </c>
      <c r="N137" s="68">
        <f t="shared" si="60"/>
        <v>1006.2445229066676</v>
      </c>
      <c r="O137" s="68">
        <f t="shared" si="60"/>
        <v>1043.1600083724268</v>
      </c>
      <c r="P137" s="68">
        <f t="shared" si="60"/>
        <v>1084.3845089812098</v>
      </c>
      <c r="Q137" s="68">
        <f t="shared" si="60"/>
        <v>1094.6061689674136</v>
      </c>
      <c r="R137" s="68">
        <f t="shared" si="60"/>
        <v>1089.7124310381171</v>
      </c>
      <c r="S137" s="358">
        <f>S119+T119</f>
        <v>1137.102406394285</v>
      </c>
      <c r="T137" s="54"/>
    </row>
    <row r="138" spans="1:20" outlineLevel="1">
      <c r="B138" s="70" t="str">
        <f>B120</f>
        <v>FCFF + TV</v>
      </c>
      <c r="C138" s="360"/>
      <c r="D138" s="68">
        <f>D120</f>
        <v>-160.73212427534639</v>
      </c>
      <c r="E138" s="68">
        <f t="shared" si="60"/>
        <v>-3021.9379519639383</v>
      </c>
      <c r="F138" s="68">
        <f t="shared" si="60"/>
        <v>-3718.2126616022742</v>
      </c>
      <c r="G138" s="68">
        <f t="shared" si="60"/>
        <v>-2351.9420752741985</v>
      </c>
      <c r="H138" s="68">
        <f t="shared" si="60"/>
        <v>942.10593653507681</v>
      </c>
      <c r="I138" s="68">
        <f t="shared" si="60"/>
        <v>2324.7324508267207</v>
      </c>
      <c r="J138" s="68">
        <f t="shared" si="60"/>
        <v>2058.2493642850086</v>
      </c>
      <c r="K138" s="68">
        <f t="shared" si="60"/>
        <v>859.08226990575747</v>
      </c>
      <c r="L138" s="68">
        <f t="shared" si="60"/>
        <v>937.31355219970385</v>
      </c>
      <c r="M138" s="68">
        <f t="shared" si="60"/>
        <v>965.35785427358292</v>
      </c>
      <c r="N138" s="68">
        <f t="shared" si="60"/>
        <v>1006.2445229066676</v>
      </c>
      <c r="O138" s="68">
        <f t="shared" si="60"/>
        <v>1043.1600083724268</v>
      </c>
      <c r="P138" s="68">
        <f t="shared" si="60"/>
        <v>1084.3845089812098</v>
      </c>
      <c r="Q138" s="68">
        <f t="shared" si="60"/>
        <v>1094.6061689674136</v>
      </c>
      <c r="R138" s="68">
        <f t="shared" si="60"/>
        <v>1089.7124310381171</v>
      </c>
      <c r="S138" s="358">
        <f>S120+T120</f>
        <v>12912.052393964157</v>
      </c>
      <c r="T138" s="55"/>
    </row>
    <row r="139" spans="1:20" ht="15" outlineLevel="1">
      <c r="A139" s="1413" t="str">
        <f>IF(AND(D127&lt;0,D139&gt;=D121),"Error","")</f>
        <v/>
      </c>
      <c r="B139" s="69" t="str">
        <f>B85</f>
        <v>IRR - без TV</v>
      </c>
      <c r="C139" s="360"/>
      <c r="D139" s="1445">
        <f>IF(IRR(D137:S137)&lt;0,"не применимо",IRR(D137:S137))</f>
        <v>6.9552783334161816E-2</v>
      </c>
      <c r="E139" s="269" t="b">
        <f>ROUND(D139,5)=ROUND(CF_15!D139,5)</f>
        <v>1</v>
      </c>
    </row>
    <row r="140" spans="1:20" ht="15" outlineLevel="1">
      <c r="A140" s="1413" t="str">
        <f>IF(AND(D128&lt;0,D140&gt;=D121),"Error","")</f>
        <v/>
      </c>
      <c r="B140" s="69" t="str">
        <f>B86</f>
        <v>IRR - c TV</v>
      </c>
      <c r="C140" s="56"/>
      <c r="D140" s="1445">
        <f>IF(IRR(D138:S138)&lt;0,"не применимо",IRR(D138:S138))</f>
        <v>0.12587749107539392</v>
      </c>
      <c r="E140" s="269" t="b">
        <f>ROUND(D140,5)=ROUND(CF_15!D140,5)</f>
        <v>1</v>
      </c>
    </row>
    <row r="142" spans="1:20">
      <c r="B142" s="362" t="s">
        <v>450</v>
      </c>
      <c r="C142" s="362"/>
      <c r="D142" s="362"/>
    </row>
    <row r="143" spans="1:20">
      <c r="B143" s="1419" t="s">
        <v>992</v>
      </c>
      <c r="C143" s="1418"/>
      <c r="D143" s="1418"/>
    </row>
    <row r="144" spans="1:20">
      <c r="B144" s="363" t="s">
        <v>269</v>
      </c>
      <c r="C144" s="364"/>
      <c r="D144" s="1425">
        <f>D127</f>
        <v>-1808.2418340044969</v>
      </c>
    </row>
    <row r="145" spans="1:113">
      <c r="B145" s="363" t="s">
        <v>270</v>
      </c>
      <c r="C145" s="364"/>
      <c r="D145" s="1443">
        <f>D139</f>
        <v>6.9552783334161816E-2</v>
      </c>
    </row>
    <row r="146" spans="1:113">
      <c r="B146" s="363" t="s">
        <v>159</v>
      </c>
      <c r="C146" s="364"/>
      <c r="D146" s="1425">
        <f>D131</f>
        <v>11</v>
      </c>
      <c r="F146" s="368"/>
    </row>
    <row r="147" spans="1:113">
      <c r="B147" s="363" t="s">
        <v>449</v>
      </c>
      <c r="C147" s="364"/>
      <c r="D147" s="365" t="str">
        <f>D135</f>
        <v>не окупается</v>
      </c>
    </row>
    <row r="148" spans="1:113">
      <c r="B148" s="1419" t="s">
        <v>994</v>
      </c>
      <c r="C148" s="1418"/>
      <c r="D148" s="1418"/>
    </row>
    <row r="149" spans="1:113">
      <c r="B149" s="108" t="s">
        <v>269</v>
      </c>
      <c r="C149" s="364"/>
      <c r="D149" s="1425">
        <f>D128</f>
        <v>68.971955112926025</v>
      </c>
    </row>
    <row r="150" spans="1:113">
      <c r="B150" s="101" t="s">
        <v>270</v>
      </c>
      <c r="C150" s="364"/>
      <c r="D150" s="366">
        <f>D140</f>
        <v>0.12587749107539392</v>
      </c>
    </row>
    <row r="151" spans="1:113">
      <c r="B151" s="363" t="s">
        <v>159</v>
      </c>
      <c r="C151" s="364"/>
      <c r="D151" s="365">
        <f>D132</f>
        <v>11</v>
      </c>
    </row>
    <row r="152" spans="1:113">
      <c r="B152" s="363" t="s">
        <v>449</v>
      </c>
      <c r="C152" s="364"/>
      <c r="D152" s="365" t="str">
        <f>D136</f>
        <v>окупается с продажи</v>
      </c>
    </row>
    <row r="156" spans="1:113" s="30" customFormat="1">
      <c r="A156" s="140"/>
      <c r="B156" s="98" t="s">
        <v>451</v>
      </c>
      <c r="C156" s="40"/>
      <c r="D156" s="140"/>
      <c r="E156" s="140"/>
      <c r="F156" s="140"/>
      <c r="G156" s="140"/>
    </row>
    <row r="157" spans="1:113" ht="25.5">
      <c r="B157" s="369" t="s">
        <v>142</v>
      </c>
      <c r="C157" s="370"/>
      <c r="D157" s="370" t="s">
        <v>143</v>
      </c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</row>
    <row r="158" spans="1:113">
      <c r="B158" s="371" t="s">
        <v>452</v>
      </c>
      <c r="C158" s="56"/>
      <c r="D158" s="373">
        <f>CF_15!D157</f>
        <v>1</v>
      </c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</row>
    <row r="159" spans="1:113">
      <c r="B159" s="371" t="s">
        <v>144</v>
      </c>
      <c r="C159" s="374"/>
      <c r="D159" s="375">
        <f>CF_15!D158</f>
        <v>0.04</v>
      </c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</row>
    <row r="160" spans="1:113">
      <c r="B160" s="371" t="s">
        <v>145</v>
      </c>
      <c r="C160" s="56"/>
      <c r="D160" s="97">
        <f>CF_15!D159</f>
        <v>46204</v>
      </c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</row>
    <row r="161" spans="2:121">
      <c r="B161" s="371" t="s">
        <v>146</v>
      </c>
      <c r="C161" s="56"/>
      <c r="D161" s="376">
        <f>CF_15!D160</f>
        <v>3444203258.4697208</v>
      </c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</row>
    <row r="162" spans="2:121">
      <c r="B162" s="371" t="s">
        <v>147</v>
      </c>
      <c r="C162" s="56"/>
      <c r="D162" s="376">
        <f>CF_15!D161</f>
        <v>8027999999.7626839</v>
      </c>
      <c r="E162" s="40"/>
      <c r="F162" s="99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</row>
    <row r="163" spans="2:121">
      <c r="B163" s="371" t="s">
        <v>148</v>
      </c>
      <c r="C163" s="56"/>
      <c r="D163" s="376">
        <f>CF_15!D162</f>
        <v>802799999.97626841</v>
      </c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</row>
    <row r="164" spans="2:121">
      <c r="B164" s="371" t="s">
        <v>454</v>
      </c>
      <c r="C164" s="56"/>
      <c r="D164" s="377">
        <f>CF_15!D163</f>
        <v>15</v>
      </c>
      <c r="E164" s="378"/>
      <c r="F164" s="378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</row>
    <row r="165" spans="2:121">
      <c r="B165" s="371" t="s">
        <v>1014</v>
      </c>
      <c r="C165" s="56"/>
      <c r="D165" s="377">
        <f>CF_15!D164</f>
        <v>5</v>
      </c>
      <c r="E165" s="378"/>
      <c r="F165" s="378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</row>
    <row r="166" spans="2:121">
      <c r="B166" s="371" t="s">
        <v>149</v>
      </c>
      <c r="C166" s="56"/>
      <c r="D166" s="379">
        <f>CF_15!D165</f>
        <v>10</v>
      </c>
      <c r="E166" s="378" t="s">
        <v>150</v>
      </c>
      <c r="F166" s="378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</row>
    <row r="167" spans="2:121">
      <c r="B167" s="371" t="s">
        <v>151</v>
      </c>
      <c r="C167" s="56"/>
      <c r="D167" s="97">
        <f>CF_15!D166</f>
        <v>46204</v>
      </c>
      <c r="E167" s="1323">
        <f>D165+1</f>
        <v>6</v>
      </c>
      <c r="F167" s="378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</row>
    <row r="168" spans="2:121">
      <c r="B168" s="371" t="s">
        <v>152</v>
      </c>
      <c r="C168" s="380"/>
      <c r="D168" s="97">
        <f>CF_15!D167</f>
        <v>50040</v>
      </c>
      <c r="E168" s="1323">
        <f>D164</f>
        <v>15</v>
      </c>
      <c r="F168" s="378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</row>
    <row r="169" spans="2:121" ht="14.25" customHeight="1">
      <c r="E169" s="1323"/>
      <c r="F169" s="378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</row>
    <row r="170" spans="2:121">
      <c r="B170" s="98" t="s">
        <v>153</v>
      </c>
      <c r="D170" s="39"/>
      <c r="E170" s="39"/>
      <c r="F170" s="39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</row>
    <row r="171" spans="2:121">
      <c r="B171" s="381"/>
      <c r="C171" s="370"/>
      <c r="D171" s="382">
        <f t="shared" ref="D171:T171" si="61">D5</f>
        <v>2022</v>
      </c>
      <c r="E171" s="382">
        <f t="shared" si="61"/>
        <v>2023</v>
      </c>
      <c r="F171" s="382">
        <f t="shared" si="61"/>
        <v>2024</v>
      </c>
      <c r="G171" s="382">
        <f t="shared" si="61"/>
        <v>2025</v>
      </c>
      <c r="H171" s="382">
        <f t="shared" si="61"/>
        <v>2026</v>
      </c>
      <c r="I171" s="382">
        <f t="shared" si="61"/>
        <v>2027</v>
      </c>
      <c r="J171" s="382">
        <f t="shared" si="61"/>
        <v>2028</v>
      </c>
      <c r="K171" s="382">
        <f t="shared" si="61"/>
        <v>2029</v>
      </c>
      <c r="L171" s="382">
        <f t="shared" si="61"/>
        <v>2030</v>
      </c>
      <c r="M171" s="382">
        <f t="shared" si="61"/>
        <v>2031</v>
      </c>
      <c r="N171" s="382">
        <f t="shared" si="61"/>
        <v>2032</v>
      </c>
      <c r="O171" s="382">
        <f t="shared" si="61"/>
        <v>2033</v>
      </c>
      <c r="P171" s="382">
        <f t="shared" si="61"/>
        <v>2034</v>
      </c>
      <c r="Q171" s="382">
        <f t="shared" si="61"/>
        <v>2035</v>
      </c>
      <c r="R171" s="382">
        <f t="shared" si="61"/>
        <v>2036</v>
      </c>
      <c r="S171" s="382">
        <f t="shared" si="61"/>
        <v>2037</v>
      </c>
      <c r="T171" s="382">
        <f t="shared" si="61"/>
        <v>2038</v>
      </c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</row>
    <row r="172" spans="2:121">
      <c r="B172" s="371" t="s">
        <v>67</v>
      </c>
      <c r="C172" s="56"/>
      <c r="D172" s="383">
        <v>1</v>
      </c>
      <c r="E172" s="383">
        <f>D172+1</f>
        <v>2</v>
      </c>
      <c r="F172" s="383">
        <f t="shared" ref="F172:T172" si="62">E172+1</f>
        <v>3</v>
      </c>
      <c r="G172" s="383">
        <f t="shared" si="62"/>
        <v>4</v>
      </c>
      <c r="H172" s="383">
        <f t="shared" si="62"/>
        <v>5</v>
      </c>
      <c r="I172" s="383">
        <f t="shared" si="62"/>
        <v>6</v>
      </c>
      <c r="J172" s="383">
        <f t="shared" si="62"/>
        <v>7</v>
      </c>
      <c r="K172" s="383">
        <f t="shared" si="62"/>
        <v>8</v>
      </c>
      <c r="L172" s="383">
        <f t="shared" si="62"/>
        <v>9</v>
      </c>
      <c r="M172" s="383">
        <f t="shared" si="62"/>
        <v>10</v>
      </c>
      <c r="N172" s="383">
        <f t="shared" si="62"/>
        <v>11</v>
      </c>
      <c r="O172" s="383">
        <f t="shared" si="62"/>
        <v>12</v>
      </c>
      <c r="P172" s="383">
        <f t="shared" si="62"/>
        <v>13</v>
      </c>
      <c r="Q172" s="383">
        <f t="shared" si="62"/>
        <v>14</v>
      </c>
      <c r="R172" s="383">
        <f t="shared" si="62"/>
        <v>15</v>
      </c>
      <c r="S172" s="383">
        <f t="shared" si="62"/>
        <v>16</v>
      </c>
      <c r="T172" s="383">
        <f t="shared" si="62"/>
        <v>17</v>
      </c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</row>
    <row r="173" spans="2:121" hidden="1" outlineLevel="1">
      <c r="B173" s="371" t="s">
        <v>1</v>
      </c>
      <c r="C173" s="56"/>
      <c r="D173" s="97">
        <f t="shared" ref="D173:T173" si="63">D6</f>
        <v>44593</v>
      </c>
      <c r="E173" s="97">
        <f t="shared" si="63"/>
        <v>44927</v>
      </c>
      <c r="F173" s="97">
        <f t="shared" si="63"/>
        <v>45292</v>
      </c>
      <c r="G173" s="97">
        <f t="shared" si="63"/>
        <v>45658</v>
      </c>
      <c r="H173" s="97">
        <f t="shared" si="63"/>
        <v>46023</v>
      </c>
      <c r="I173" s="97">
        <f t="shared" si="63"/>
        <v>46388</v>
      </c>
      <c r="J173" s="97">
        <f t="shared" si="63"/>
        <v>46753</v>
      </c>
      <c r="K173" s="97">
        <f t="shared" si="63"/>
        <v>47119</v>
      </c>
      <c r="L173" s="97">
        <f t="shared" si="63"/>
        <v>47484</v>
      </c>
      <c r="M173" s="97">
        <f t="shared" si="63"/>
        <v>47849</v>
      </c>
      <c r="N173" s="97">
        <f t="shared" si="63"/>
        <v>48214</v>
      </c>
      <c r="O173" s="97">
        <f t="shared" si="63"/>
        <v>48580</v>
      </c>
      <c r="P173" s="97">
        <f t="shared" si="63"/>
        <v>48945</v>
      </c>
      <c r="Q173" s="97">
        <f t="shared" si="63"/>
        <v>49310</v>
      </c>
      <c r="R173" s="97">
        <f t="shared" si="63"/>
        <v>49675</v>
      </c>
      <c r="S173" s="97">
        <f t="shared" si="63"/>
        <v>50041</v>
      </c>
      <c r="T173" s="97">
        <f t="shared" si="63"/>
        <v>50406</v>
      </c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</row>
    <row r="174" spans="2:121" hidden="1" outlineLevel="1">
      <c r="B174" s="371" t="s">
        <v>2</v>
      </c>
      <c r="C174" s="56"/>
      <c r="D174" s="97">
        <f t="shared" ref="D174:T174" si="64">D7</f>
        <v>44926</v>
      </c>
      <c r="E174" s="97">
        <f t="shared" si="64"/>
        <v>45291</v>
      </c>
      <c r="F174" s="97">
        <f t="shared" si="64"/>
        <v>45657</v>
      </c>
      <c r="G174" s="97">
        <f t="shared" si="64"/>
        <v>46022</v>
      </c>
      <c r="H174" s="97">
        <f t="shared" si="64"/>
        <v>46387</v>
      </c>
      <c r="I174" s="97">
        <f t="shared" si="64"/>
        <v>46752</v>
      </c>
      <c r="J174" s="97">
        <f t="shared" si="64"/>
        <v>47118</v>
      </c>
      <c r="K174" s="97">
        <f t="shared" si="64"/>
        <v>47483</v>
      </c>
      <c r="L174" s="97">
        <f t="shared" si="64"/>
        <v>47848</v>
      </c>
      <c r="M174" s="97">
        <f t="shared" si="64"/>
        <v>48213</v>
      </c>
      <c r="N174" s="97">
        <f t="shared" si="64"/>
        <v>48579</v>
      </c>
      <c r="O174" s="97">
        <f t="shared" si="64"/>
        <v>48944</v>
      </c>
      <c r="P174" s="97">
        <f t="shared" si="64"/>
        <v>49309</v>
      </c>
      <c r="Q174" s="97">
        <f t="shared" si="64"/>
        <v>49674</v>
      </c>
      <c r="R174" s="97">
        <f t="shared" si="64"/>
        <v>50040</v>
      </c>
      <c r="S174" s="97">
        <f t="shared" si="64"/>
        <v>50405</v>
      </c>
      <c r="T174" s="97">
        <f t="shared" si="64"/>
        <v>50770</v>
      </c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</row>
    <row r="175" spans="2:121" collapsed="1">
      <c r="B175" s="371" t="s">
        <v>68</v>
      </c>
      <c r="C175" s="56"/>
      <c r="D175" s="383">
        <f t="shared" ref="D175:T175" si="65">D8</f>
        <v>334</v>
      </c>
      <c r="E175" s="383">
        <f t="shared" si="65"/>
        <v>365</v>
      </c>
      <c r="F175" s="383">
        <f t="shared" si="65"/>
        <v>366</v>
      </c>
      <c r="G175" s="383">
        <f t="shared" si="65"/>
        <v>365</v>
      </c>
      <c r="H175" s="383">
        <f t="shared" si="65"/>
        <v>365</v>
      </c>
      <c r="I175" s="383">
        <f t="shared" si="65"/>
        <v>365</v>
      </c>
      <c r="J175" s="383">
        <f t="shared" si="65"/>
        <v>366</v>
      </c>
      <c r="K175" s="383">
        <f t="shared" si="65"/>
        <v>365</v>
      </c>
      <c r="L175" s="383">
        <f t="shared" si="65"/>
        <v>365</v>
      </c>
      <c r="M175" s="383">
        <f t="shared" si="65"/>
        <v>365</v>
      </c>
      <c r="N175" s="383">
        <f t="shared" si="65"/>
        <v>366</v>
      </c>
      <c r="O175" s="383">
        <f t="shared" si="65"/>
        <v>365</v>
      </c>
      <c r="P175" s="383">
        <f t="shared" si="65"/>
        <v>365</v>
      </c>
      <c r="Q175" s="383">
        <f t="shared" si="65"/>
        <v>365</v>
      </c>
      <c r="R175" s="383">
        <f t="shared" si="65"/>
        <v>366</v>
      </c>
      <c r="S175" s="383">
        <f t="shared" si="65"/>
        <v>365</v>
      </c>
      <c r="T175" s="383">
        <f t="shared" si="65"/>
        <v>365</v>
      </c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</row>
    <row r="176" spans="2:121">
      <c r="B176" s="371" t="str">
        <f>CF_15!B175</f>
        <v>ИТОГО, затраты на строительство в период</v>
      </c>
      <c r="C176" s="1439"/>
      <c r="D176" s="383">
        <f>Строительство!G53/$C$3</f>
        <v>160.31818482743449</v>
      </c>
      <c r="E176" s="383">
        <f>Строительство!H53/$C$3</f>
        <v>3048.205290457669</v>
      </c>
      <c r="F176" s="383">
        <f>Строительство!I53/$C$3</f>
        <v>4225.7932783613796</v>
      </c>
      <c r="G176" s="383">
        <f>Строительство!J53/$C$3</f>
        <v>3151.1617222214882</v>
      </c>
      <c r="H176" s="383">
        <f>Строительство!K53/$C$3</f>
        <v>886.72478236443374</v>
      </c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</row>
    <row r="177" spans="1:121">
      <c r="B177" s="371" t="str">
        <f>CF_15!B176</f>
        <v>ИТОГО, НДС к возмещению со сдвигом на 2 квартала</v>
      </c>
      <c r="C177" s="1439"/>
      <c r="D177" s="383">
        <f>Строительство!G54/$C$3</f>
        <v>0</v>
      </c>
      <c r="E177" s="383">
        <f>Строительство!H54/$C$3*0</f>
        <v>0</v>
      </c>
      <c r="F177" s="383">
        <f>Строительство!I54/$C$3*0</f>
        <v>0</v>
      </c>
      <c r="G177" s="383">
        <f>Строительство!J54/$C$3*0</f>
        <v>0</v>
      </c>
      <c r="H177" s="383">
        <f>Строительство!K54/$C$3*0</f>
        <v>0</v>
      </c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</row>
    <row r="178" spans="1:121">
      <c r="B178" s="115" t="s">
        <v>174</v>
      </c>
      <c r="C178" s="384">
        <f>SUM(D178:DH178)</f>
        <v>-11472.203258232405</v>
      </c>
      <c r="D178" s="54">
        <f>-(D176-D177)</f>
        <v>-160.31818482743449</v>
      </c>
      <c r="E178" s="54">
        <f>-(E176-E177)</f>
        <v>-3048.205290457669</v>
      </c>
      <c r="F178" s="54">
        <f>-(F176-F177)</f>
        <v>-4225.7932783613796</v>
      </c>
      <c r="G178" s="54">
        <f>-(G176-G177)</f>
        <v>-3151.1617222214882</v>
      </c>
      <c r="H178" s="54">
        <f>-(H176-H177)</f>
        <v>-886.72478236443374</v>
      </c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</row>
    <row r="179" spans="1:121">
      <c r="B179" s="386" t="s">
        <v>55</v>
      </c>
      <c r="C179" s="387">
        <v>0.3</v>
      </c>
      <c r="D179" s="55">
        <f>(IF(($C$179*D178)&gt;0,0,-$C$179*D176))*0+CF_15!D178/1000000</f>
        <v>-60.31818444823034</v>
      </c>
      <c r="E179" s="55">
        <f>(IF(($C$179*E178)&gt;0,0,-$C$179*E176))*0+CF_15!E178/1000000</f>
        <v>-902.10171313730064</v>
      </c>
      <c r="F179" s="55">
        <f>(IF(($C$179*F178)&gt;0,0,-$C$179*F176))*0+CF_15!F178/1000000</f>
        <v>-1267.7379835084139</v>
      </c>
      <c r="G179" s="55">
        <f>(IF(($C$179*G178)&gt;0,0,-$C$179*G176))*0+CF_15!G178/1000000</f>
        <v>-945.34851666644636</v>
      </c>
      <c r="H179" s="55">
        <f>(IF(($C$179*H178)&gt;0,0,-$C$179*H176))*0+CF_15!H178/1000000</f>
        <v>-268.69686070933011</v>
      </c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</row>
    <row r="180" spans="1:121">
      <c r="B180" s="386" t="s">
        <v>455</v>
      </c>
      <c r="C180" s="388">
        <f>1-C179</f>
        <v>0.7</v>
      </c>
      <c r="D180" s="55">
        <f>D178-D179</f>
        <v>-100.00000037920415</v>
      </c>
      <c r="E180" s="55">
        <f>E178-E179</f>
        <v>-2146.1035773203685</v>
      </c>
      <c r="F180" s="55">
        <f>F178-F179</f>
        <v>-2958.0552948529657</v>
      </c>
      <c r="G180" s="55">
        <f>G178-G179</f>
        <v>-2205.8132055550418</v>
      </c>
      <c r="H180" s="55">
        <f>H178-H179</f>
        <v>-618.02792165510368</v>
      </c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</row>
    <row r="181" spans="1:121">
      <c r="B181" s="371" t="s">
        <v>154</v>
      </c>
      <c r="C181" s="389">
        <f>SUM(D181:DH181)</f>
        <v>8027.9999997626828</v>
      </c>
      <c r="D181" s="376">
        <f>MAX(-D180,0)</f>
        <v>100.00000037920415</v>
      </c>
      <c r="E181" s="376">
        <f t="shared" ref="E181:N181" si="66">MAX(-E180,0)</f>
        <v>2146.1035773203685</v>
      </c>
      <c r="F181" s="376">
        <f t="shared" si="66"/>
        <v>2958.0552948529657</v>
      </c>
      <c r="G181" s="376">
        <f t="shared" si="66"/>
        <v>2205.8132055550418</v>
      </c>
      <c r="H181" s="376">
        <f t="shared" si="66"/>
        <v>618.02792165510368</v>
      </c>
      <c r="I181" s="376">
        <f t="shared" si="66"/>
        <v>0</v>
      </c>
      <c r="J181" s="376">
        <f t="shared" si="66"/>
        <v>0</v>
      </c>
      <c r="K181" s="376">
        <f t="shared" si="66"/>
        <v>0</v>
      </c>
      <c r="L181" s="376">
        <f t="shared" si="66"/>
        <v>0</v>
      </c>
      <c r="M181" s="376">
        <f t="shared" si="66"/>
        <v>0</v>
      </c>
      <c r="N181" s="376">
        <f t="shared" si="66"/>
        <v>0</v>
      </c>
      <c r="O181" s="376"/>
      <c r="P181" s="376"/>
      <c r="Q181" s="376"/>
      <c r="R181" s="376"/>
      <c r="S181" s="376"/>
      <c r="T181" s="376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</row>
    <row r="182" spans="1:121">
      <c r="B182" s="371" t="s">
        <v>456</v>
      </c>
      <c r="C182" s="66"/>
      <c r="D182" s="383"/>
      <c r="E182" s="376">
        <f>IF(E172&gt;$E$168,0,D188)</f>
        <v>100.00000037920415</v>
      </c>
      <c r="F182" s="376">
        <f t="shared" ref="F182:T182" si="67">IF(F172&gt;$E$168,0,E188)</f>
        <v>2246.1035776995727</v>
      </c>
      <c r="G182" s="376">
        <f t="shared" si="67"/>
        <v>5204.158872552538</v>
      </c>
      <c r="H182" s="376">
        <f t="shared" si="67"/>
        <v>7409.9720781075794</v>
      </c>
      <c r="I182" s="376">
        <f t="shared" si="67"/>
        <v>6541.6999997626826</v>
      </c>
      <c r="J182" s="376">
        <f t="shared" si="67"/>
        <v>6336.0999997626823</v>
      </c>
      <c r="K182" s="376">
        <f t="shared" si="67"/>
        <v>5989.6999997626826</v>
      </c>
      <c r="L182" s="376">
        <f t="shared" si="67"/>
        <v>5514.5999997626823</v>
      </c>
      <c r="M182" s="376">
        <f t="shared" si="67"/>
        <v>4947.3999997626825</v>
      </c>
      <c r="N182" s="376">
        <f t="shared" si="67"/>
        <v>4317.8999997626825</v>
      </c>
      <c r="O182" s="376">
        <f t="shared" si="67"/>
        <v>3619.2999997626825</v>
      </c>
      <c r="P182" s="376">
        <f t="shared" si="67"/>
        <v>2864.0999997626823</v>
      </c>
      <c r="Q182" s="376">
        <f t="shared" si="67"/>
        <v>2082.5999997626823</v>
      </c>
      <c r="R182" s="376">
        <f t="shared" si="67"/>
        <v>1292.7999997626823</v>
      </c>
      <c r="S182" s="376">
        <f t="shared" si="67"/>
        <v>0</v>
      </c>
      <c r="T182" s="376">
        <f t="shared" si="67"/>
        <v>0</v>
      </c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</row>
    <row r="183" spans="1:121">
      <c r="B183" s="371" t="s">
        <v>155</v>
      </c>
      <c r="C183" s="66"/>
      <c r="D183" s="390">
        <f>D159</f>
        <v>0.04</v>
      </c>
      <c r="E183" s="391">
        <f>D183</f>
        <v>0.04</v>
      </c>
      <c r="F183" s="390">
        <f t="shared" ref="F183:T183" si="68">E183</f>
        <v>0.04</v>
      </c>
      <c r="G183" s="390">
        <f t="shared" si="68"/>
        <v>0.04</v>
      </c>
      <c r="H183" s="390">
        <f t="shared" si="68"/>
        <v>0.04</v>
      </c>
      <c r="I183" s="390">
        <f t="shared" si="68"/>
        <v>0.04</v>
      </c>
      <c r="J183" s="390">
        <f t="shared" si="68"/>
        <v>0.04</v>
      </c>
      <c r="K183" s="390">
        <f t="shared" si="68"/>
        <v>0.04</v>
      </c>
      <c r="L183" s="390">
        <f t="shared" si="68"/>
        <v>0.04</v>
      </c>
      <c r="M183" s="390">
        <f t="shared" si="68"/>
        <v>0.04</v>
      </c>
      <c r="N183" s="390">
        <f t="shared" si="68"/>
        <v>0.04</v>
      </c>
      <c r="O183" s="390">
        <f t="shared" si="68"/>
        <v>0.04</v>
      </c>
      <c r="P183" s="390">
        <f t="shared" si="68"/>
        <v>0.04</v>
      </c>
      <c r="Q183" s="390">
        <f t="shared" si="68"/>
        <v>0.04</v>
      </c>
      <c r="R183" s="390">
        <f t="shared" si="68"/>
        <v>0.04</v>
      </c>
      <c r="S183" s="390">
        <f t="shared" si="68"/>
        <v>0.04</v>
      </c>
      <c r="T183" s="390">
        <f t="shared" si="68"/>
        <v>0.04</v>
      </c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</row>
    <row r="184" spans="1:121">
      <c r="B184" s="371" t="s">
        <v>156</v>
      </c>
      <c r="C184" s="66">
        <f>SUM(D184:DH184)</f>
        <v>2338.6573810546288</v>
      </c>
      <c r="D184" s="376">
        <f t="shared" ref="D184:T184" si="69">D183*D182</f>
        <v>0</v>
      </c>
      <c r="E184" s="376">
        <f t="shared" si="69"/>
        <v>4.0000000151681663</v>
      </c>
      <c r="F184" s="376">
        <f t="shared" si="69"/>
        <v>89.844143107982916</v>
      </c>
      <c r="G184" s="376">
        <f t="shared" si="69"/>
        <v>208.16635490210152</v>
      </c>
      <c r="H184" s="376">
        <f t="shared" si="69"/>
        <v>296.39888312430315</v>
      </c>
      <c r="I184" s="383">
        <f t="shared" si="69"/>
        <v>261.66799999050733</v>
      </c>
      <c r="J184" s="383">
        <f t="shared" si="69"/>
        <v>253.44399999050731</v>
      </c>
      <c r="K184" s="376">
        <f t="shared" si="69"/>
        <v>239.58799999050731</v>
      </c>
      <c r="L184" s="383">
        <f t="shared" si="69"/>
        <v>220.58399999050729</v>
      </c>
      <c r="M184" s="383">
        <f t="shared" si="69"/>
        <v>197.89599999050731</v>
      </c>
      <c r="N184" s="376">
        <f t="shared" si="69"/>
        <v>172.7159999905073</v>
      </c>
      <c r="O184" s="383">
        <f t="shared" si="69"/>
        <v>144.77199999050731</v>
      </c>
      <c r="P184" s="383">
        <f t="shared" si="69"/>
        <v>114.5639999905073</v>
      </c>
      <c r="Q184" s="383">
        <f t="shared" si="69"/>
        <v>83.303999990507293</v>
      </c>
      <c r="R184" s="383">
        <f t="shared" si="69"/>
        <v>51.711999990507294</v>
      </c>
      <c r="S184" s="383">
        <f t="shared" si="69"/>
        <v>0</v>
      </c>
      <c r="T184" s="383">
        <f t="shared" si="69"/>
        <v>0</v>
      </c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</row>
    <row r="185" spans="1:121">
      <c r="B185" s="371" t="s">
        <v>157</v>
      </c>
      <c r="C185" s="66">
        <f>SUM(D185:DH185)</f>
        <v>8028</v>
      </c>
      <c r="D185" s="385"/>
      <c r="E185" s="385"/>
      <c r="F185" s="385"/>
      <c r="G185" s="392">
        <f>(IF(AND(OR(G172&gt;$E$167,G172=$E$167),G172&lt;=$E$168),G182/($E$168-G172+1),0)+G187)*0+CF_15!G184/1000000</f>
        <v>0</v>
      </c>
      <c r="H185" s="392">
        <f>(IF(AND(OR(H172&gt;$E$167,H172=$E$167),H172&lt;=$E$168),H182/($E$168-H172+1),0)+H187)*0+CF_15!H184/1000000</f>
        <v>1486.3</v>
      </c>
      <c r="I185" s="392">
        <f>(IF(AND(OR(I172&gt;$E$167,I172=$E$167),I172&lt;=$E$168),I182/($E$168-I172+1),0)+I187)*0+CF_15!I184/1000000</f>
        <v>205.6</v>
      </c>
      <c r="J185" s="392">
        <f>(IF(AND(OR(J172&gt;$E$167,J172=$E$167),J172&lt;=$E$168),J182/($E$168-J172+1),0)+J187)*0+CF_15!J184/1000000</f>
        <v>346.4</v>
      </c>
      <c r="K185" s="392">
        <f>(IF(AND(OR(K172&gt;$E$167,K172=$E$167),K172&lt;=$E$168),K182/($E$168-K172+1),0)+K187)*0+CF_15!K184/1000000</f>
        <v>475.1</v>
      </c>
      <c r="L185" s="392">
        <f>(IF(AND(OR(L172&gt;$E$167,L172=$E$167),L172&lt;=$E$168),L182/($E$168-L172+1),0)+L187)*0+CF_15!L184/1000000</f>
        <v>567.20000000000005</v>
      </c>
      <c r="M185" s="392">
        <f>(IF(AND(OR(M172&gt;$E$167,M172=$E$167),M172&lt;=$E$168),M182/($E$168-M172+1),0)+M187)*0+CF_15!M184/1000000</f>
        <v>629.5</v>
      </c>
      <c r="N185" s="392">
        <f>(IF(AND(OR(N172&gt;$E$167,N172=$E$167),N172&lt;=$E$168),N182/($E$168-N172+1),0)+N187)*0+CF_15!N184/1000000</f>
        <v>698.6</v>
      </c>
      <c r="O185" s="392">
        <f>(IF(AND(OR(O172&gt;$E$167,O172=$E$167),O172&lt;=$E$168),O182/($E$168-O172+1),0)+O187)*0+CF_15!O184/1000000</f>
        <v>755.2</v>
      </c>
      <c r="P185" s="392">
        <f>(IF(AND(OR(P172&gt;$E$167,P172=$E$167),P172&lt;=$E$168),P182/($E$168-P172+1),0)+P187)*0+CF_15!P184/1000000</f>
        <v>781.5</v>
      </c>
      <c r="Q185" s="392">
        <f>(IF(AND(OR(Q172&gt;$E$167,Q172=$E$167),Q172&lt;=$E$168),Q182/($E$168-Q172+1),0)+Q187)*0+CF_15!Q184/1000000</f>
        <v>789.8</v>
      </c>
      <c r="R185" s="392">
        <f>(IF(AND(OR(R172&gt;$E$167,R172=$E$167),R172&lt;=$E$168),R182/($E$168-R172+1),0)+R187)*0+CF_15!R184/1000000</f>
        <v>787.8</v>
      </c>
      <c r="S185" s="392">
        <f>(IF(AND(OR(S172&gt;$E$167,S172=$E$167),S172&lt;=$E$168),S182/($E$168-S172+1),0)+S187)*0+CF_15!S184/1000000</f>
        <v>505</v>
      </c>
      <c r="T185" s="392">
        <f>(IF(AND(OR(T172&gt;$E$167,T172=$E$167),T172&lt;=$E$168),T182/($E$168-T172+1),0)+T187)*0+CF_15!T184/1000000</f>
        <v>0</v>
      </c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</row>
    <row r="186" spans="1:121">
      <c r="B186" s="371" t="s">
        <v>457</v>
      </c>
      <c r="C186" s="66">
        <f>SUM(D186:DH186)</f>
        <v>10366.657381054629</v>
      </c>
      <c r="D186" s="383">
        <f t="shared" ref="D186:T186" si="70">D184+D185</f>
        <v>0</v>
      </c>
      <c r="E186" s="383">
        <f t="shared" si="70"/>
        <v>4.0000000151681663</v>
      </c>
      <c r="F186" s="383">
        <f t="shared" si="70"/>
        <v>89.844143107982916</v>
      </c>
      <c r="G186" s="383">
        <f t="shared" si="70"/>
        <v>208.16635490210152</v>
      </c>
      <c r="H186" s="383">
        <f t="shared" si="70"/>
        <v>1782.6988831243032</v>
      </c>
      <c r="I186" s="383">
        <f t="shared" si="70"/>
        <v>467.26799999050729</v>
      </c>
      <c r="J186" s="383">
        <f t="shared" si="70"/>
        <v>599.84399999050731</v>
      </c>
      <c r="K186" s="383">
        <f t="shared" si="70"/>
        <v>714.68799999050736</v>
      </c>
      <c r="L186" s="383">
        <f t="shared" si="70"/>
        <v>787.78399999050737</v>
      </c>
      <c r="M186" s="383">
        <f t="shared" si="70"/>
        <v>827.39599999050733</v>
      </c>
      <c r="N186" s="383">
        <f t="shared" si="70"/>
        <v>871.31599999050729</v>
      </c>
      <c r="O186" s="383">
        <f t="shared" si="70"/>
        <v>899.97199999050736</v>
      </c>
      <c r="P186" s="383">
        <f t="shared" si="70"/>
        <v>896.06399999050734</v>
      </c>
      <c r="Q186" s="383">
        <f t="shared" si="70"/>
        <v>873.10399999050719</v>
      </c>
      <c r="R186" s="383">
        <f t="shared" si="70"/>
        <v>839.51199999050721</v>
      </c>
      <c r="S186" s="383">
        <f t="shared" si="70"/>
        <v>505</v>
      </c>
      <c r="T186" s="383">
        <f t="shared" si="70"/>
        <v>0</v>
      </c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</row>
    <row r="187" spans="1:121">
      <c r="B187" s="371" t="s">
        <v>924</v>
      </c>
      <c r="C187" s="66">
        <f>SUM(D187:DH187)</f>
        <v>0</v>
      </c>
      <c r="D187" s="385"/>
      <c r="E187" s="385"/>
      <c r="F187" s="385"/>
      <c r="G187" s="1325">
        <f>CF_15!G186/$C$3</f>
        <v>0</v>
      </c>
      <c r="H187" s="1325">
        <f>CF_15!H186/$C$3</f>
        <v>0</v>
      </c>
      <c r="I187" s="1325">
        <f>CF_15!I186/$C$3</f>
        <v>0</v>
      </c>
      <c r="J187" s="1325">
        <f>CF_15!J186/$C$3</f>
        <v>0</v>
      </c>
      <c r="K187" s="1325">
        <f>CF_15!K186/$C$3</f>
        <v>0</v>
      </c>
      <c r="L187" s="1325">
        <f>CF_15!L186/$C$3</f>
        <v>0</v>
      </c>
      <c r="M187" s="1325">
        <f>CF_15!M186/$C$3</f>
        <v>0</v>
      </c>
      <c r="N187" s="1325">
        <f>CF_15!N186/$C$3</f>
        <v>0</v>
      </c>
      <c r="O187" s="1325">
        <f>CF_15!O186/$C$3</f>
        <v>0</v>
      </c>
      <c r="P187" s="1325">
        <f>CF_15!P186/$C$3</f>
        <v>0</v>
      </c>
      <c r="Q187" s="1325">
        <f>CF_15!Q186/$C$3</f>
        <v>0</v>
      </c>
      <c r="R187" s="1325">
        <f>CF_15!R186/$C$3</f>
        <v>0</v>
      </c>
      <c r="S187" s="1325">
        <f>CF_15!S186/$C$3</f>
        <v>0</v>
      </c>
      <c r="T187" s="1325">
        <f>CF_15!T186/$C$3</f>
        <v>0</v>
      </c>
      <c r="U187" s="1444"/>
      <c r="V187" s="1444"/>
      <c r="W187" s="1444"/>
      <c r="X187" s="1444"/>
      <c r="Y187" s="1444"/>
      <c r="Z187" s="1444"/>
      <c r="AA187" s="1444"/>
      <c r="AB187" s="1444"/>
      <c r="AC187" s="1444"/>
      <c r="AD187" s="1444"/>
      <c r="AE187" s="1444"/>
      <c r="AF187" s="1444"/>
      <c r="AG187" s="1444"/>
      <c r="AH187" s="1444"/>
      <c r="AI187" s="1444"/>
      <c r="AJ187" s="1444"/>
      <c r="AK187" s="1444"/>
      <c r="AL187" s="1444"/>
      <c r="AM187" s="1444"/>
      <c r="AN187" s="1444"/>
      <c r="AO187" s="1444"/>
      <c r="AP187" s="1444"/>
      <c r="AQ187" s="1444"/>
      <c r="AR187" s="1444"/>
      <c r="AS187" s="1444"/>
      <c r="AT187" s="1444"/>
      <c r="AU187" s="1444"/>
      <c r="AV187" s="1444"/>
      <c r="AW187" s="1444"/>
      <c r="AX187" s="1444"/>
      <c r="AY187" s="1444"/>
      <c r="AZ187" s="1444"/>
      <c r="BA187" s="1444"/>
      <c r="BB187" s="1444"/>
      <c r="BC187" s="1444"/>
      <c r="BD187" s="1444"/>
      <c r="BE187" s="1444"/>
      <c r="BF187" s="1444"/>
      <c r="BG187" s="1444"/>
      <c r="BH187" s="1444"/>
      <c r="BI187" s="1444"/>
      <c r="BJ187" s="1444"/>
      <c r="BK187" s="1444"/>
      <c r="BL187" s="1444"/>
      <c r="BM187" s="1444"/>
      <c r="BN187" s="1444"/>
      <c r="BO187" s="1444"/>
      <c r="BP187" s="1444"/>
      <c r="BQ187" s="1444"/>
      <c r="BR187" s="1444"/>
      <c r="BS187" s="1444"/>
      <c r="BT187" s="1444"/>
      <c r="BU187" s="1444"/>
      <c r="BV187" s="1444"/>
      <c r="BW187" s="1444"/>
      <c r="BX187" s="1444"/>
      <c r="BY187" s="1444"/>
      <c r="BZ187" s="1444"/>
      <c r="CA187" s="1444"/>
      <c r="CB187" s="1444"/>
      <c r="CC187" s="1444"/>
      <c r="CD187" s="1444"/>
      <c r="CE187" s="1444"/>
      <c r="CF187" s="1444"/>
      <c r="CG187" s="1444"/>
      <c r="CH187" s="1444"/>
      <c r="CI187" s="1444"/>
      <c r="CJ187" s="1444"/>
      <c r="CK187" s="1444"/>
      <c r="CL187" s="1444"/>
      <c r="CM187" s="1444"/>
      <c r="CN187" s="1444"/>
      <c r="CO187" s="1444"/>
      <c r="CP187" s="1444"/>
      <c r="CQ187" s="1444"/>
      <c r="CR187" s="1444"/>
      <c r="CS187" s="1444"/>
      <c r="CT187" s="1444"/>
      <c r="CU187" s="1444"/>
      <c r="CV187" s="1444"/>
      <c r="CW187" s="1444"/>
      <c r="CX187" s="1444"/>
      <c r="CY187" s="1444"/>
      <c r="CZ187" s="1444"/>
      <c r="DA187" s="1444"/>
      <c r="DB187" s="1444"/>
      <c r="DC187" s="1444"/>
      <c r="DD187" s="1444"/>
      <c r="DE187" s="1444"/>
      <c r="DF187" s="1444"/>
      <c r="DG187" s="1444"/>
      <c r="DH187" s="1444"/>
      <c r="DI187" s="30"/>
      <c r="DJ187" s="30"/>
      <c r="DK187" s="30"/>
      <c r="DL187" s="30"/>
      <c r="DM187" s="30"/>
      <c r="DN187" s="30"/>
      <c r="DO187" s="30"/>
      <c r="DP187" s="30"/>
      <c r="DQ187" s="30"/>
    </row>
    <row r="188" spans="1:121">
      <c r="B188" s="371" t="s">
        <v>458</v>
      </c>
      <c r="C188" s="56"/>
      <c r="D188" s="376">
        <f t="shared" ref="D188:P188" si="71">IF(D174&lt;=$D$168,C188+D181-D185,0)</f>
        <v>100.00000037920415</v>
      </c>
      <c r="E188" s="376">
        <f t="shared" si="71"/>
        <v>2246.1035776995727</v>
      </c>
      <c r="F188" s="376">
        <f t="shared" si="71"/>
        <v>5204.158872552538</v>
      </c>
      <c r="G188" s="376">
        <f t="shared" si="71"/>
        <v>7409.9720781075794</v>
      </c>
      <c r="H188" s="376">
        <f t="shared" si="71"/>
        <v>6541.6999997626826</v>
      </c>
      <c r="I188" s="376">
        <f t="shared" si="71"/>
        <v>6336.0999997626823</v>
      </c>
      <c r="J188" s="376">
        <f t="shared" si="71"/>
        <v>5989.6999997626826</v>
      </c>
      <c r="K188" s="376">
        <f t="shared" si="71"/>
        <v>5514.5999997626823</v>
      </c>
      <c r="L188" s="376">
        <f t="shared" si="71"/>
        <v>4947.3999997626825</v>
      </c>
      <c r="M188" s="376">
        <f t="shared" si="71"/>
        <v>4317.8999997626825</v>
      </c>
      <c r="N188" s="376">
        <f t="shared" si="71"/>
        <v>3619.2999997626825</v>
      </c>
      <c r="O188" s="376">
        <f t="shared" si="71"/>
        <v>2864.0999997626823</v>
      </c>
      <c r="P188" s="376">
        <f t="shared" si="71"/>
        <v>2082.5999997626823</v>
      </c>
      <c r="Q188" s="376">
        <f>IF(Q174&lt;=$D$168,P188+Q181-Q185,0)</f>
        <v>1292.7999997626823</v>
      </c>
      <c r="R188" s="376">
        <f>IF(R174&lt;=$D$168,Q188+R181-R185,0)</f>
        <v>504.99999976268236</v>
      </c>
      <c r="S188" s="376">
        <f>IF(S174&lt;=$D$168,R188+S181-S185,0)</f>
        <v>0</v>
      </c>
      <c r="T188" s="376">
        <f>IF(T174&lt;=$D$168,S188+T181-T185,0)</f>
        <v>0</v>
      </c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</row>
    <row r="189" spans="1:121">
      <c r="C189" s="1457" t="b">
        <f>ROUND(C181,0)=ROUND(C185,0)</f>
        <v>1</v>
      </c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</row>
    <row r="190" spans="1:121">
      <c r="C190" s="269"/>
    </row>
    <row r="191" spans="1:121" s="352" customFormat="1" collapsed="1">
      <c r="A191" s="1326"/>
      <c r="B191" s="61" t="str">
        <f>B46</f>
        <v>FCFE</v>
      </c>
      <c r="C191" s="1427" t="s">
        <v>1010</v>
      </c>
      <c r="D191" s="57"/>
      <c r="E191" s="57"/>
      <c r="F191" s="57"/>
      <c r="G191" s="57">
        <f t="shared" ref="G191:T191" si="72">G46</f>
        <v>-344.93343298920183</v>
      </c>
      <c r="H191" s="57">
        <f t="shared" si="72"/>
        <v>-139.17336248799825</v>
      </c>
      <c r="I191" s="57">
        <f t="shared" si="72"/>
        <v>1898.0229908347424</v>
      </c>
      <c r="J191" s="57">
        <f t="shared" si="72"/>
        <v>1497.6891842930299</v>
      </c>
      <c r="K191" s="57">
        <f t="shared" si="72"/>
        <v>181.53040991377873</v>
      </c>
      <c r="L191" s="57">
        <f t="shared" si="72"/>
        <v>183.72007220772514</v>
      </c>
      <c r="M191" s="57">
        <f t="shared" si="72"/>
        <v>168.63573428160419</v>
      </c>
      <c r="N191" s="57">
        <f t="shared" si="72"/>
        <v>161.69950291468888</v>
      </c>
      <c r="O191" s="57">
        <f t="shared" si="72"/>
        <v>165.62766838044786</v>
      </c>
      <c r="P191" s="57">
        <f t="shared" si="72"/>
        <v>206.07792898923105</v>
      </c>
      <c r="Q191" s="57">
        <f t="shared" si="72"/>
        <v>234.41428897543506</v>
      </c>
      <c r="R191" s="57">
        <f t="shared" si="72"/>
        <v>258.21579104613829</v>
      </c>
      <c r="S191" s="57">
        <f t="shared" si="72"/>
        <v>632.10240639428503</v>
      </c>
      <c r="T191" s="57">
        <f t="shared" si="72"/>
        <v>0</v>
      </c>
    </row>
    <row r="193" spans="2:20">
      <c r="B193" s="98" t="s">
        <v>459</v>
      </c>
    </row>
    <row r="194" spans="2:20">
      <c r="B194" s="393"/>
      <c r="C194" s="393"/>
      <c r="D194" s="394">
        <f t="shared" ref="D194:T194" si="73">D5</f>
        <v>2022</v>
      </c>
      <c r="E194" s="394">
        <f t="shared" si="73"/>
        <v>2023</v>
      </c>
      <c r="F194" s="394">
        <f t="shared" si="73"/>
        <v>2024</v>
      </c>
      <c r="G194" s="394">
        <f t="shared" si="73"/>
        <v>2025</v>
      </c>
      <c r="H194" s="394">
        <f t="shared" si="73"/>
        <v>2026</v>
      </c>
      <c r="I194" s="394">
        <f t="shared" si="73"/>
        <v>2027</v>
      </c>
      <c r="J194" s="394">
        <f t="shared" si="73"/>
        <v>2028</v>
      </c>
      <c r="K194" s="394">
        <f t="shared" si="73"/>
        <v>2029</v>
      </c>
      <c r="L194" s="394">
        <f t="shared" si="73"/>
        <v>2030</v>
      </c>
      <c r="M194" s="394">
        <f t="shared" si="73"/>
        <v>2031</v>
      </c>
      <c r="N194" s="394">
        <f t="shared" si="73"/>
        <v>2032</v>
      </c>
      <c r="O194" s="394">
        <f t="shared" si="73"/>
        <v>2033</v>
      </c>
      <c r="P194" s="394">
        <f t="shared" si="73"/>
        <v>2034</v>
      </c>
      <c r="Q194" s="394">
        <f t="shared" si="73"/>
        <v>2035</v>
      </c>
      <c r="R194" s="394">
        <f t="shared" si="73"/>
        <v>2036</v>
      </c>
      <c r="S194" s="394">
        <f t="shared" si="73"/>
        <v>2037</v>
      </c>
      <c r="T194" s="394">
        <f t="shared" si="73"/>
        <v>2038</v>
      </c>
    </row>
    <row r="195" spans="2:20">
      <c r="B195" s="395" t="s">
        <v>460</v>
      </c>
      <c r="C195" s="396"/>
      <c r="D195" s="1322">
        <f t="shared" ref="D195:T195" si="74">D35</f>
        <v>0</v>
      </c>
      <c r="E195" s="1322">
        <f t="shared" si="74"/>
        <v>0</v>
      </c>
      <c r="F195" s="1322">
        <f t="shared" si="74"/>
        <v>0</v>
      </c>
      <c r="G195" s="1322">
        <f t="shared" si="74"/>
        <v>104.28255885244975</v>
      </c>
      <c r="H195" s="1322">
        <f t="shared" si="74"/>
        <v>1387.0287609753871</v>
      </c>
      <c r="I195" s="1322">
        <f t="shared" si="74"/>
        <v>2217.5035270978437</v>
      </c>
      <c r="J195" s="1322">
        <f t="shared" si="74"/>
        <v>2097.5331842835371</v>
      </c>
      <c r="K195" s="1322">
        <f t="shared" si="74"/>
        <v>896.21840990428609</v>
      </c>
      <c r="L195" s="1322">
        <f t="shared" si="74"/>
        <v>971.50407219823251</v>
      </c>
      <c r="M195" s="1322">
        <f t="shared" si="74"/>
        <v>996.03173427211152</v>
      </c>
      <c r="N195" s="1322">
        <f t="shared" si="74"/>
        <v>1033.0155029051962</v>
      </c>
      <c r="O195" s="1322">
        <f t="shared" si="74"/>
        <v>1065.5996683709552</v>
      </c>
      <c r="P195" s="1322">
        <f t="shared" si="74"/>
        <v>1102.1419289797384</v>
      </c>
      <c r="Q195" s="1322">
        <f t="shared" si="74"/>
        <v>1107.5182889659422</v>
      </c>
      <c r="R195" s="1322">
        <f t="shared" si="74"/>
        <v>1097.7277910366456</v>
      </c>
      <c r="S195" s="1322">
        <f t="shared" si="74"/>
        <v>1137.102406394285</v>
      </c>
      <c r="T195" s="1322">
        <f t="shared" si="74"/>
        <v>1189.3888876333206</v>
      </c>
    </row>
    <row r="196" spans="2:20">
      <c r="B196" s="395" t="s">
        <v>461</v>
      </c>
      <c r="C196" s="396"/>
      <c r="D196" s="397">
        <f t="shared" ref="D196:T196" si="75">-D45</f>
        <v>0</v>
      </c>
      <c r="E196" s="397">
        <f t="shared" si="75"/>
        <v>0</v>
      </c>
      <c r="F196" s="397">
        <f t="shared" si="75"/>
        <v>0</v>
      </c>
      <c r="G196" s="397">
        <f t="shared" si="75"/>
        <v>0</v>
      </c>
      <c r="H196" s="1322">
        <f t="shared" si="75"/>
        <v>1486.3</v>
      </c>
      <c r="I196" s="397">
        <f t="shared" si="75"/>
        <v>205.6</v>
      </c>
      <c r="J196" s="397">
        <f t="shared" si="75"/>
        <v>346.4</v>
      </c>
      <c r="K196" s="397">
        <f t="shared" si="75"/>
        <v>475.1</v>
      </c>
      <c r="L196" s="397">
        <f t="shared" si="75"/>
        <v>567.20000000000005</v>
      </c>
      <c r="M196" s="397">
        <f t="shared" si="75"/>
        <v>629.5</v>
      </c>
      <c r="N196" s="397">
        <f t="shared" si="75"/>
        <v>698.6</v>
      </c>
      <c r="O196" s="397">
        <f t="shared" si="75"/>
        <v>755.2</v>
      </c>
      <c r="P196" s="397">
        <f t="shared" si="75"/>
        <v>781.5</v>
      </c>
      <c r="Q196" s="397">
        <f t="shared" si="75"/>
        <v>789.8</v>
      </c>
      <c r="R196" s="397">
        <f t="shared" si="75"/>
        <v>787.8</v>
      </c>
      <c r="S196" s="397">
        <f t="shared" si="75"/>
        <v>505</v>
      </c>
      <c r="T196" s="397">
        <f t="shared" si="75"/>
        <v>0</v>
      </c>
    </row>
    <row r="197" spans="2:20">
      <c r="B197" s="395" t="s">
        <v>462</v>
      </c>
      <c r="C197" s="396"/>
      <c r="D197" s="397">
        <f t="shared" ref="D197:T197" si="76">-D44</f>
        <v>0</v>
      </c>
      <c r="E197" s="397">
        <f t="shared" si="76"/>
        <v>4.0000000151681663</v>
      </c>
      <c r="F197" s="397">
        <f t="shared" si="76"/>
        <v>89.844143107982916</v>
      </c>
      <c r="G197" s="397">
        <f t="shared" si="76"/>
        <v>208.16635490210152</v>
      </c>
      <c r="H197" s="1322">
        <f t="shared" si="76"/>
        <v>296.39888312430315</v>
      </c>
      <c r="I197" s="397">
        <f t="shared" si="76"/>
        <v>261.66799999050733</v>
      </c>
      <c r="J197" s="397">
        <f t="shared" si="76"/>
        <v>253.44399999050731</v>
      </c>
      <c r="K197" s="397">
        <f t="shared" si="76"/>
        <v>239.58799999050731</v>
      </c>
      <c r="L197" s="397">
        <f t="shared" si="76"/>
        <v>220.58399999050729</v>
      </c>
      <c r="M197" s="397">
        <f t="shared" si="76"/>
        <v>197.89599999050731</v>
      </c>
      <c r="N197" s="397">
        <f t="shared" si="76"/>
        <v>172.7159999905073</v>
      </c>
      <c r="O197" s="397">
        <f t="shared" si="76"/>
        <v>144.77199999050731</v>
      </c>
      <c r="P197" s="397">
        <f t="shared" si="76"/>
        <v>114.5639999905073</v>
      </c>
      <c r="Q197" s="397">
        <f t="shared" si="76"/>
        <v>83.303999990507293</v>
      </c>
      <c r="R197" s="397">
        <f t="shared" si="76"/>
        <v>51.711999990507294</v>
      </c>
      <c r="S197" s="397">
        <f t="shared" si="76"/>
        <v>0</v>
      </c>
      <c r="T197" s="397">
        <f t="shared" si="76"/>
        <v>0</v>
      </c>
    </row>
    <row r="198" spans="2:20" s="401" customFormat="1">
      <c r="B198" s="398" t="s">
        <v>463</v>
      </c>
      <c r="C198" s="399">
        <f>AVERAGEIF(D197:T197,"&gt;0",D198:T198)</f>
        <v>1.3848693002841845</v>
      </c>
      <c r="D198" s="400">
        <f>IFERROR(D195/(D196+D197),0)</f>
        <v>0</v>
      </c>
      <c r="E198" s="400">
        <f t="shared" ref="E198:T198" si="77">IFERROR(E195/(E196+E197),0)</f>
        <v>0</v>
      </c>
      <c r="F198" s="400">
        <f t="shared" si="77"/>
        <v>0</v>
      </c>
      <c r="G198" s="400">
        <f t="shared" si="77"/>
        <v>0.50095779839875065</v>
      </c>
      <c r="H198" s="400">
        <f t="shared" si="77"/>
        <v>0.77804994107839631</v>
      </c>
      <c r="I198" s="400">
        <f t="shared" si="77"/>
        <v>4.745678127205144</v>
      </c>
      <c r="J198" s="400">
        <f t="shared" si="77"/>
        <v>3.4967978079579543</v>
      </c>
      <c r="K198" s="400">
        <f t="shared" si="77"/>
        <v>1.2539995213522401</v>
      </c>
      <c r="L198" s="400">
        <f t="shared" si="77"/>
        <v>1.2332112256785348</v>
      </c>
      <c r="M198" s="400">
        <f t="shared" si="77"/>
        <v>1.2038150224119273</v>
      </c>
      <c r="N198" s="400">
        <f t="shared" si="77"/>
        <v>1.1855807800114431</v>
      </c>
      <c r="O198" s="400">
        <f t="shared" si="77"/>
        <v>1.1840364682258946</v>
      </c>
      <c r="P198" s="400">
        <f t="shared" si="77"/>
        <v>1.2299812613735337</v>
      </c>
      <c r="Q198" s="400">
        <f t="shared" si="77"/>
        <v>1.2684838106090268</v>
      </c>
      <c r="R198" s="400">
        <f t="shared" si="77"/>
        <v>1.3075784396757379</v>
      </c>
      <c r="S198" s="400">
        <f t="shared" si="77"/>
        <v>2.2516879334540296</v>
      </c>
      <c r="T198" s="400">
        <f t="shared" si="77"/>
        <v>0</v>
      </c>
    </row>
  </sheetData>
  <conditionalFormatting sqref="T51 G62:S62 D51:S61 E71:S72 G41:S41 G37:T37 E75:R76 T75:T76 T78:T79 D25:S25 D45:F45 T45 G36:S36 T39 D15:T16 D34:S34 D32:D33 G38:S39 D26:T28 E79:R79 G43:S45 E33:T33">
    <cfRule type="cellIs" dxfId="2023" priority="653" operator="lessThan">
      <formula>0</formula>
    </cfRule>
  </conditionalFormatting>
  <conditionalFormatting sqref="C75:C76 T51 C78:C79 E71:S72 D70:T70 C17 C118:C121 C19:C22 C36:C37 C28:C34 C16:T16 F66:S66 C51:S63 E75:R76 D24:T24 C39 D41:T41 D34:S36 D32:D33 D10:T15 D37:T37 T39 D38:S39 D25:S25 D26:T28 C65 C67:T69 D73:R74 C92:C94 D77:R78 S73:T79 D81:T82 C145:C147 D49:T49 D43:T45 T42 T46 T83:T84 E33:T33 E79:R79">
    <cfRule type="cellIs" dxfId="2022" priority="652" operator="equal">
      <formula>0</formula>
    </cfRule>
  </conditionalFormatting>
  <conditionalFormatting sqref="B4:C4 B3">
    <cfRule type="cellIs" dxfId="2021" priority="651" operator="notEqual">
      <formula>1</formula>
    </cfRule>
  </conditionalFormatting>
  <conditionalFormatting sqref="C73:C74">
    <cfRule type="cellIs" dxfId="2020" priority="629" operator="equal">
      <formula>0</formula>
    </cfRule>
  </conditionalFormatting>
  <conditionalFormatting sqref="F66:S66 D51:T62 E75:R76 D24:T24 T39 D41:T41 D34:S36 D32:D33 D10:T16 D37:T37 D38:S39 D25:S25 D26:T28 E71:T72 D63:S63 D67:T70 D73:R74 D77:R78 S73:T79 D81:T82 D49:T49 D43:T45 T42 T46 T83:T84 E33:T33 E79:R79">
    <cfRule type="cellIs" dxfId="2019" priority="650" operator="equal">
      <formula>0</formula>
    </cfRule>
  </conditionalFormatting>
  <conditionalFormatting sqref="C41">
    <cfRule type="cellIs" dxfId="2018" priority="649" operator="equal">
      <formula>0</formula>
    </cfRule>
  </conditionalFormatting>
  <conditionalFormatting sqref="T52">
    <cfRule type="expression" dxfId="2017" priority="646">
      <formula>$A$1=1</formula>
    </cfRule>
  </conditionalFormatting>
  <conditionalFormatting sqref="T54">
    <cfRule type="expression" dxfId="2016" priority="645">
      <formula>$A$1=1</formula>
    </cfRule>
  </conditionalFormatting>
  <conditionalFormatting sqref="T53">
    <cfRule type="cellIs" dxfId="2015" priority="644" operator="lessThan">
      <formula>0</formula>
    </cfRule>
  </conditionalFormatting>
  <conditionalFormatting sqref="T53">
    <cfRule type="cellIs" dxfId="2014" priority="643" operator="equal">
      <formula>0</formula>
    </cfRule>
  </conditionalFormatting>
  <conditionalFormatting sqref="T53">
    <cfRule type="cellIs" dxfId="2013" priority="642" operator="equal">
      <formula>0</formula>
    </cfRule>
  </conditionalFormatting>
  <conditionalFormatting sqref="T55">
    <cfRule type="cellIs" dxfId="2012" priority="641" operator="lessThan">
      <formula>0</formula>
    </cfRule>
  </conditionalFormatting>
  <conditionalFormatting sqref="T55">
    <cfRule type="cellIs" dxfId="2011" priority="640" operator="equal">
      <formula>0</formula>
    </cfRule>
  </conditionalFormatting>
  <conditionalFormatting sqref="T55">
    <cfRule type="cellIs" dxfId="2010" priority="639" operator="equal">
      <formula>0</formula>
    </cfRule>
  </conditionalFormatting>
  <conditionalFormatting sqref="T56:T57 T59:T62">
    <cfRule type="cellIs" dxfId="2009" priority="638" operator="lessThan">
      <formula>0</formula>
    </cfRule>
  </conditionalFormatting>
  <conditionalFormatting sqref="T56:T57 T59:T62">
    <cfRule type="cellIs" dxfId="2008" priority="637" operator="equal">
      <formula>0</formula>
    </cfRule>
  </conditionalFormatting>
  <conditionalFormatting sqref="T56:T57 T59:T62">
    <cfRule type="cellIs" dxfId="2007" priority="636" operator="equal">
      <formula>0</formula>
    </cfRule>
  </conditionalFormatting>
  <conditionalFormatting sqref="T58">
    <cfRule type="expression" dxfId="2006" priority="635">
      <formula>$A$1=1</formula>
    </cfRule>
  </conditionalFormatting>
  <conditionalFormatting sqref="C70">
    <cfRule type="cellIs" dxfId="2005" priority="634" operator="equal">
      <formula>0</formula>
    </cfRule>
  </conditionalFormatting>
  <conditionalFormatting sqref="C71:C72">
    <cfRule type="cellIs" dxfId="2004" priority="633" operator="equal">
      <formula>0</formula>
    </cfRule>
  </conditionalFormatting>
  <conditionalFormatting sqref="T71:T72">
    <cfRule type="cellIs" dxfId="2003" priority="632" operator="lessThan">
      <formula>0</formula>
    </cfRule>
  </conditionalFormatting>
  <conditionalFormatting sqref="T71:T72">
    <cfRule type="cellIs" dxfId="2002" priority="631" operator="equal">
      <formula>0</formula>
    </cfRule>
  </conditionalFormatting>
  <conditionalFormatting sqref="T71:T72">
    <cfRule type="cellIs" dxfId="2001" priority="630" operator="equal">
      <formula>0</formula>
    </cfRule>
  </conditionalFormatting>
  <conditionalFormatting sqref="C77">
    <cfRule type="cellIs" dxfId="2000" priority="628" operator="equal">
      <formula>0</formula>
    </cfRule>
  </conditionalFormatting>
  <conditionalFormatting sqref="D65">
    <cfRule type="expression" dxfId="1999" priority="627">
      <formula>$A$1=1</formula>
    </cfRule>
  </conditionalFormatting>
  <conditionalFormatting sqref="D65">
    <cfRule type="cellIs" dxfId="1998" priority="626" operator="equal">
      <formula>0</formula>
    </cfRule>
  </conditionalFormatting>
  <conditionalFormatting sqref="C66">
    <cfRule type="cellIs" dxfId="1997" priority="625" operator="equal">
      <formula>0</formula>
    </cfRule>
  </conditionalFormatting>
  <conditionalFormatting sqref="D66">
    <cfRule type="expression" dxfId="1996" priority="624">
      <formula>$A$1=1</formula>
    </cfRule>
  </conditionalFormatting>
  <conditionalFormatting sqref="E66">
    <cfRule type="expression" dxfId="1995" priority="623">
      <formula>$A$1=1</formula>
    </cfRule>
  </conditionalFormatting>
  <conditionalFormatting sqref="T66">
    <cfRule type="expression" dxfId="1994" priority="622">
      <formula>$A$1=1</formula>
    </cfRule>
  </conditionalFormatting>
  <conditionalFormatting sqref="C80">
    <cfRule type="cellIs" dxfId="1993" priority="621" operator="equal">
      <formula>0</formula>
    </cfRule>
  </conditionalFormatting>
  <conditionalFormatting sqref="C85">
    <cfRule type="cellIs" dxfId="1992" priority="620" operator="equal">
      <formula>0</formula>
    </cfRule>
  </conditionalFormatting>
  <conditionalFormatting sqref="T41:T44">
    <cfRule type="cellIs" dxfId="1991" priority="619" operator="lessThan">
      <formula>0</formula>
    </cfRule>
  </conditionalFormatting>
  <conditionalFormatting sqref="T41:T44">
    <cfRule type="cellIs" dxfId="1990" priority="618" operator="equal">
      <formula>0</formula>
    </cfRule>
  </conditionalFormatting>
  <conditionalFormatting sqref="C91:C92">
    <cfRule type="cellIs" dxfId="1989" priority="616" operator="equal">
      <formula>0</formula>
    </cfRule>
  </conditionalFormatting>
  <conditionalFormatting sqref="D9:T9">
    <cfRule type="cellIs" dxfId="1988" priority="602" operator="lessThan">
      <formula>0</formula>
    </cfRule>
  </conditionalFormatting>
  <conditionalFormatting sqref="C9:T9">
    <cfRule type="cellIs" dxfId="1987" priority="601" operator="equal">
      <formula>0</formula>
    </cfRule>
  </conditionalFormatting>
  <conditionalFormatting sqref="D9:T9">
    <cfRule type="cellIs" dxfId="1986" priority="600" operator="equal">
      <formula>0</formula>
    </cfRule>
  </conditionalFormatting>
  <conditionalFormatting sqref="C122">
    <cfRule type="cellIs" dxfId="1985" priority="584" operator="equal">
      <formula>0</formula>
    </cfRule>
  </conditionalFormatting>
  <conditionalFormatting sqref="C18">
    <cfRule type="cellIs" dxfId="1984" priority="599" operator="equal">
      <formula>0</formula>
    </cfRule>
  </conditionalFormatting>
  <conditionalFormatting sqref="C131:C132 C135:C136 C123:C125">
    <cfRule type="cellIs" dxfId="1983" priority="597" operator="equal">
      <formula>0</formula>
    </cfRule>
  </conditionalFormatting>
  <conditionalFormatting sqref="C133:C134">
    <cfRule type="cellIs" dxfId="1982" priority="587" operator="equal">
      <formula>0</formula>
    </cfRule>
  </conditionalFormatting>
  <conditionalFormatting sqref="C126">
    <cfRule type="cellIs" dxfId="1981" priority="593" operator="equal">
      <formula>0</formula>
    </cfRule>
  </conditionalFormatting>
  <conditionalFormatting sqref="C127:C128">
    <cfRule type="cellIs" dxfId="1980" priority="592" operator="equal">
      <formula>0</formula>
    </cfRule>
  </conditionalFormatting>
  <conditionalFormatting sqref="S79 S75:S76">
    <cfRule type="cellIs" dxfId="1979" priority="518" operator="lessThan">
      <formula>0</formula>
    </cfRule>
  </conditionalFormatting>
  <conditionalFormatting sqref="C129:C130">
    <cfRule type="cellIs" dxfId="1978" priority="588" operator="equal">
      <formula>0</formula>
    </cfRule>
  </conditionalFormatting>
  <conditionalFormatting sqref="C140">
    <cfRule type="cellIs" dxfId="1977" priority="581" operator="equal">
      <formula>0</formula>
    </cfRule>
  </conditionalFormatting>
  <conditionalFormatting sqref="C137:C139">
    <cfRule type="cellIs" dxfId="1976" priority="582" operator="equal">
      <formula>0</formula>
    </cfRule>
  </conditionalFormatting>
  <conditionalFormatting sqref="T25 T34 T36 T28">
    <cfRule type="cellIs" dxfId="1975" priority="507" operator="lessThan">
      <formula>0</formula>
    </cfRule>
  </conditionalFormatting>
  <conditionalFormatting sqref="T34:T36 T25 T28">
    <cfRule type="cellIs" dxfId="1974" priority="506" operator="equal">
      <formula>0</formula>
    </cfRule>
  </conditionalFormatting>
  <conditionalFormatting sqref="T34:T36 T25 T28">
    <cfRule type="cellIs" dxfId="1973" priority="505" operator="equal">
      <formula>0</formula>
    </cfRule>
  </conditionalFormatting>
  <conditionalFormatting sqref="T40">
    <cfRule type="cellIs" dxfId="1972" priority="488" operator="equal">
      <formula>0</formula>
    </cfRule>
  </conditionalFormatting>
  <conditionalFormatting sqref="T40">
    <cfRule type="cellIs" dxfId="1971" priority="487" operator="equal">
      <formula>0</formula>
    </cfRule>
  </conditionalFormatting>
  <conditionalFormatting sqref="D40:S40">
    <cfRule type="cellIs" dxfId="1970" priority="486" operator="equal">
      <formula>0</formula>
    </cfRule>
  </conditionalFormatting>
  <conditionalFormatting sqref="D40:S40">
    <cfRule type="cellIs" dxfId="1969" priority="485" operator="equal">
      <formula>0</formula>
    </cfRule>
  </conditionalFormatting>
  <conditionalFormatting sqref="C187">
    <cfRule type="cellIs" dxfId="1968" priority="482" operator="equal">
      <formula>0</formula>
    </cfRule>
  </conditionalFormatting>
  <conditionalFormatting sqref="C144:C145">
    <cfRule type="cellIs" dxfId="1967" priority="550" operator="equal">
      <formula>0</formula>
    </cfRule>
  </conditionalFormatting>
  <conditionalFormatting sqref="C25">
    <cfRule type="cellIs" dxfId="1966" priority="529" operator="equal">
      <formula>0</formula>
    </cfRule>
  </conditionalFormatting>
  <conditionalFormatting sqref="D23:T23">
    <cfRule type="cellIs" dxfId="1965" priority="547" operator="lessThan">
      <formula>0</formula>
    </cfRule>
  </conditionalFormatting>
  <conditionalFormatting sqref="D23:T23">
    <cfRule type="cellIs" dxfId="1964" priority="546" operator="equal">
      <formula>0</formula>
    </cfRule>
  </conditionalFormatting>
  <conditionalFormatting sqref="D23:T23">
    <cfRule type="cellIs" dxfId="1963" priority="545" operator="equal">
      <formula>0</formula>
    </cfRule>
  </conditionalFormatting>
  <conditionalFormatting sqref="E183:F183 D172:T172 D181:F182 O181:T186 G181:N183 D188:T188 D175:T175 J176:T180 D176:H177 G185:T185">
    <cfRule type="cellIs" dxfId="1962" priority="544" operator="lessThan">
      <formula>0</formula>
    </cfRule>
  </conditionalFormatting>
  <conditionalFormatting sqref="C159:C168 J179:T180">
    <cfRule type="cellIs" dxfId="1961" priority="543" operator="equal">
      <formula>0</formula>
    </cfRule>
  </conditionalFormatting>
  <conditionalFormatting sqref="J179:T180">
    <cfRule type="cellIs" dxfId="1960" priority="542" operator="equal">
      <formula>0</formula>
    </cfRule>
  </conditionalFormatting>
  <conditionalFormatting sqref="D183:N184 D186:N186 D188:T188 G185:T185">
    <cfRule type="cellIs" dxfId="1959" priority="541" operator="lessThan">
      <formula>0</formula>
    </cfRule>
  </conditionalFormatting>
  <conditionalFormatting sqref="C181 C183:C186 C173:C178 C188">
    <cfRule type="cellIs" dxfId="1958" priority="540" operator="equal">
      <formula>0</formula>
    </cfRule>
  </conditionalFormatting>
  <conditionalFormatting sqref="C182">
    <cfRule type="cellIs" dxfId="1957" priority="538" operator="equal">
      <formula>0</formula>
    </cfRule>
  </conditionalFormatting>
  <conditionalFormatting sqref="C172">
    <cfRule type="cellIs" dxfId="1956" priority="536" operator="equal">
      <formula>0</formula>
    </cfRule>
  </conditionalFormatting>
  <conditionalFormatting sqref="O183:T183">
    <cfRule type="cellIs" dxfId="1955" priority="534" operator="lessThan">
      <formula>0</formula>
    </cfRule>
  </conditionalFormatting>
  <conditionalFormatting sqref="D29:D31">
    <cfRule type="cellIs" dxfId="1954" priority="532" operator="equal">
      <formula>0</formula>
    </cfRule>
  </conditionalFormatting>
  <conditionalFormatting sqref="D29:D31">
    <cfRule type="cellIs" dxfId="1953" priority="531" operator="equal">
      <formula>0</formula>
    </cfRule>
  </conditionalFormatting>
  <conditionalFormatting sqref="C26">
    <cfRule type="cellIs" dxfId="1952" priority="530" operator="equal">
      <formula>0</formula>
    </cfRule>
  </conditionalFormatting>
  <conditionalFormatting sqref="C24">
    <cfRule type="cellIs" dxfId="1951" priority="528" operator="equal">
      <formula>0</formula>
    </cfRule>
  </conditionalFormatting>
  <conditionalFormatting sqref="C23">
    <cfRule type="cellIs" dxfId="1950" priority="527" operator="equal">
      <formula>0</formula>
    </cfRule>
  </conditionalFormatting>
  <conditionalFormatting sqref="C14:C15">
    <cfRule type="cellIs" dxfId="1949" priority="526" operator="equal">
      <formula>0</formula>
    </cfRule>
  </conditionalFormatting>
  <conditionalFormatting sqref="C42:C43">
    <cfRule type="cellIs" dxfId="1948" priority="525" operator="equal">
      <formula>0</formula>
    </cfRule>
  </conditionalFormatting>
  <conditionalFormatting sqref="C44">
    <cfRule type="cellIs" dxfId="1947" priority="524" operator="equal">
      <formula>0</formula>
    </cfRule>
  </conditionalFormatting>
  <conditionalFormatting sqref="C45">
    <cfRule type="cellIs" dxfId="1946" priority="523" operator="equal">
      <formula>0</formula>
    </cfRule>
  </conditionalFormatting>
  <conditionalFormatting sqref="C189:C190">
    <cfRule type="cellIs" dxfId="1945" priority="513" operator="equal">
      <formula>FALSE</formula>
    </cfRule>
  </conditionalFormatting>
  <conditionalFormatting sqref="A43:A45">
    <cfRule type="cellIs" dxfId="1944" priority="510" operator="equal">
      <formula>FALSE</formula>
    </cfRule>
  </conditionalFormatting>
  <conditionalFormatting sqref="C35">
    <cfRule type="cellIs" dxfId="1943" priority="467" operator="equal">
      <formula>0</formula>
    </cfRule>
  </conditionalFormatting>
  <conditionalFormatting sqref="T38">
    <cfRule type="cellIs" dxfId="1942" priority="491" operator="lessThan">
      <formula>0</formula>
    </cfRule>
  </conditionalFormatting>
  <conditionalFormatting sqref="C38 T38">
    <cfRule type="cellIs" dxfId="1941" priority="490" operator="equal">
      <formula>0</formula>
    </cfRule>
  </conditionalFormatting>
  <conditionalFormatting sqref="T38">
    <cfRule type="cellIs" dxfId="1940" priority="489" operator="equal">
      <formula>0</formula>
    </cfRule>
  </conditionalFormatting>
  <conditionalFormatting sqref="D187:F187">
    <cfRule type="cellIs" dxfId="1939" priority="479" operator="lessThan">
      <formula>0</formula>
    </cfRule>
  </conditionalFormatting>
  <conditionalFormatting sqref="E29:T29">
    <cfRule type="cellIs" dxfId="1938" priority="476" operator="equal">
      <formula>0</formula>
    </cfRule>
  </conditionalFormatting>
  <conditionalFormatting sqref="C27">
    <cfRule type="cellIs" dxfId="1937" priority="484" operator="equal">
      <formula>0</formula>
    </cfRule>
  </conditionalFormatting>
  <conditionalFormatting sqref="D185:F185">
    <cfRule type="cellIs" dxfId="1936" priority="477" operator="lessThan">
      <formula>0</formula>
    </cfRule>
  </conditionalFormatting>
  <conditionalFormatting sqref="E29:T29">
    <cfRule type="cellIs" dxfId="1935" priority="475" operator="equal">
      <formula>0</formula>
    </cfRule>
  </conditionalFormatting>
  <conditionalFormatting sqref="E30:T30">
    <cfRule type="cellIs" dxfId="1934" priority="474" operator="lessThan">
      <formula>0</formula>
    </cfRule>
  </conditionalFormatting>
  <conditionalFormatting sqref="E30:T30">
    <cfRule type="cellIs" dxfId="1933" priority="473" operator="equal">
      <formula>0</formula>
    </cfRule>
  </conditionalFormatting>
  <conditionalFormatting sqref="E30:T30">
    <cfRule type="cellIs" dxfId="1932" priority="472" operator="equal">
      <formula>0</formula>
    </cfRule>
  </conditionalFormatting>
  <conditionalFormatting sqref="E31:T31">
    <cfRule type="cellIs" dxfId="1931" priority="471" operator="equal">
      <formula>0</formula>
    </cfRule>
  </conditionalFormatting>
  <conditionalFormatting sqref="E31:T31">
    <cfRule type="cellIs" dxfId="1930" priority="470" operator="equal">
      <formula>0</formula>
    </cfRule>
  </conditionalFormatting>
  <conditionalFormatting sqref="E32:T32">
    <cfRule type="cellIs" dxfId="1929" priority="469" operator="equal">
      <formula>0</formula>
    </cfRule>
  </conditionalFormatting>
  <conditionalFormatting sqref="E32:T32">
    <cfRule type="cellIs" dxfId="1928" priority="468" operator="equal">
      <formula>0</formula>
    </cfRule>
  </conditionalFormatting>
  <conditionalFormatting sqref="C10:C12">
    <cfRule type="cellIs" dxfId="1927" priority="464" operator="equal">
      <formula>0</formula>
    </cfRule>
  </conditionalFormatting>
  <conditionalFormatting sqref="C40">
    <cfRule type="cellIs" dxfId="1926" priority="466" operator="equal">
      <formula>0</formula>
    </cfRule>
  </conditionalFormatting>
  <conditionalFormatting sqref="C46 C49">
    <cfRule type="cellIs" dxfId="1925" priority="465" operator="equal">
      <formula>0</formula>
    </cfRule>
  </conditionalFormatting>
  <conditionalFormatting sqref="C13">
    <cfRule type="cellIs" dxfId="1924" priority="460" operator="equal">
      <formula>0</formula>
    </cfRule>
  </conditionalFormatting>
  <conditionalFormatting sqref="D191:T191">
    <cfRule type="cellIs" dxfId="1923" priority="459" operator="equal">
      <formula>0</formula>
    </cfRule>
  </conditionalFormatting>
  <conditionalFormatting sqref="D191:T191">
    <cfRule type="cellIs" dxfId="1922" priority="458" operator="equal">
      <formula>0</formula>
    </cfRule>
  </conditionalFormatting>
  <conditionalFormatting sqref="C3">
    <cfRule type="expression" dxfId="1921" priority="455">
      <formula>$A$1=1</formula>
    </cfRule>
  </conditionalFormatting>
  <conditionalFormatting sqref="D17:T22">
    <cfRule type="cellIs" dxfId="1920" priority="454" operator="equal">
      <formula>0</formula>
    </cfRule>
  </conditionalFormatting>
  <conditionalFormatting sqref="D17:T22">
    <cfRule type="cellIs" dxfId="1919" priority="453" operator="equal">
      <formula>0</formula>
    </cfRule>
  </conditionalFormatting>
  <conditionalFormatting sqref="C158">
    <cfRule type="cellIs" dxfId="1918" priority="452" operator="equal">
      <formula>0</formula>
    </cfRule>
  </conditionalFormatting>
  <conditionalFormatting sqref="D163:D164">
    <cfRule type="cellIs" dxfId="1917" priority="451" operator="lessThan">
      <formula>0</formula>
    </cfRule>
  </conditionalFormatting>
  <conditionalFormatting sqref="D159">
    <cfRule type="expression" dxfId="1916" priority="450">
      <formula>$A$1=1</formula>
    </cfRule>
  </conditionalFormatting>
  <conditionalFormatting sqref="D162">
    <cfRule type="cellIs" dxfId="1915" priority="449" operator="lessThan">
      <formula>0</formula>
    </cfRule>
  </conditionalFormatting>
  <conditionalFormatting sqref="D161">
    <cfRule type="cellIs" dxfId="1914" priority="448" operator="lessThan">
      <formula>0</formula>
    </cfRule>
  </conditionalFormatting>
  <conditionalFormatting sqref="D164">
    <cfRule type="expression" dxfId="1913" priority="447">
      <formula>$A$1=1</formula>
    </cfRule>
  </conditionalFormatting>
  <conditionalFormatting sqref="D166">
    <cfRule type="cellIs" dxfId="1912" priority="446" operator="lessThan">
      <formula>0</formula>
    </cfRule>
  </conditionalFormatting>
  <conditionalFormatting sqref="D165">
    <cfRule type="cellIs" dxfId="1911" priority="445" operator="lessThan">
      <formula>0</formula>
    </cfRule>
  </conditionalFormatting>
  <conditionalFormatting sqref="D165">
    <cfRule type="expression" dxfId="1910" priority="444">
      <formula>$A$1=1</formula>
    </cfRule>
  </conditionalFormatting>
  <conditionalFormatting sqref="D75:D76">
    <cfRule type="cellIs" dxfId="1909" priority="436" operator="lessThan">
      <formula>0</formula>
    </cfRule>
  </conditionalFormatting>
  <conditionalFormatting sqref="D75:D76">
    <cfRule type="cellIs" dxfId="1908" priority="433" operator="lessThan">
      <formula>0</formula>
    </cfRule>
  </conditionalFormatting>
  <conditionalFormatting sqref="D75:D76">
    <cfRule type="cellIs" dxfId="1907" priority="443" operator="equal">
      <formula>0</formula>
    </cfRule>
  </conditionalFormatting>
  <conditionalFormatting sqref="D75:D76">
    <cfRule type="cellIs" dxfId="1906" priority="442" operator="lessThan">
      <formula>0</formula>
    </cfRule>
  </conditionalFormatting>
  <conditionalFormatting sqref="D75:D76">
    <cfRule type="cellIs" dxfId="1905" priority="441" operator="equal">
      <formula>0</formula>
    </cfRule>
  </conditionalFormatting>
  <conditionalFormatting sqref="D75:D76">
    <cfRule type="cellIs" dxfId="1904" priority="440" operator="equal">
      <formula>0</formula>
    </cfRule>
  </conditionalFormatting>
  <conditionalFormatting sqref="D75:D76">
    <cfRule type="cellIs" dxfId="1903" priority="439" operator="lessThan">
      <formula>0</formula>
    </cfRule>
  </conditionalFormatting>
  <conditionalFormatting sqref="D75:D76">
    <cfRule type="cellIs" dxfId="1902" priority="438" operator="equal">
      <formula>0</formula>
    </cfRule>
  </conditionalFormatting>
  <conditionalFormatting sqref="D75:D76">
    <cfRule type="cellIs" dxfId="1901" priority="437" operator="equal">
      <formula>0</formula>
    </cfRule>
  </conditionalFormatting>
  <conditionalFormatting sqref="D75:D76">
    <cfRule type="cellIs" dxfId="1900" priority="435" operator="equal">
      <formula>0</formula>
    </cfRule>
  </conditionalFormatting>
  <conditionalFormatting sqref="D75:D76">
    <cfRule type="cellIs" dxfId="1899" priority="434" operator="equal">
      <formula>0</formula>
    </cfRule>
  </conditionalFormatting>
  <conditionalFormatting sqref="D75:D76">
    <cfRule type="cellIs" dxfId="1898" priority="432" operator="equal">
      <formula>0</formula>
    </cfRule>
  </conditionalFormatting>
  <conditionalFormatting sqref="D75:D76">
    <cfRule type="cellIs" dxfId="1897" priority="431" operator="equal">
      <formula>0</formula>
    </cfRule>
  </conditionalFormatting>
  <conditionalFormatting sqref="D71:D72">
    <cfRule type="cellIs" dxfId="1896" priority="423" operator="lessThan">
      <formula>0</formula>
    </cfRule>
  </conditionalFormatting>
  <conditionalFormatting sqref="D71:D72">
    <cfRule type="cellIs" dxfId="1895" priority="420" operator="lessThan">
      <formula>0</formula>
    </cfRule>
  </conditionalFormatting>
  <conditionalFormatting sqref="D71:D72">
    <cfRule type="cellIs" dxfId="1894" priority="430" operator="equal">
      <formula>0</formula>
    </cfRule>
  </conditionalFormatting>
  <conditionalFormatting sqref="D71:D72">
    <cfRule type="cellIs" dxfId="1893" priority="429" operator="lessThan">
      <formula>0</formula>
    </cfRule>
  </conditionalFormatting>
  <conditionalFormatting sqref="D71:D72">
    <cfRule type="cellIs" dxfId="1892" priority="428" operator="equal">
      <formula>0</formula>
    </cfRule>
  </conditionalFormatting>
  <conditionalFormatting sqref="D71:D72">
    <cfRule type="cellIs" dxfId="1891" priority="427" operator="equal">
      <formula>0</formula>
    </cfRule>
  </conditionalFormatting>
  <conditionalFormatting sqref="D71:D72">
    <cfRule type="cellIs" dxfId="1890" priority="426" operator="lessThan">
      <formula>0</formula>
    </cfRule>
  </conditionalFormatting>
  <conditionalFormatting sqref="D71:D72">
    <cfRule type="cellIs" dxfId="1889" priority="425" operator="equal">
      <formula>0</formula>
    </cfRule>
  </conditionalFormatting>
  <conditionalFormatting sqref="D71:D72">
    <cfRule type="cellIs" dxfId="1888" priority="424" operator="equal">
      <formula>0</formula>
    </cfRule>
  </conditionalFormatting>
  <conditionalFormatting sqref="D71:D72">
    <cfRule type="cellIs" dxfId="1887" priority="422" operator="equal">
      <formula>0</formula>
    </cfRule>
  </conditionalFormatting>
  <conditionalFormatting sqref="D71:D72">
    <cfRule type="cellIs" dxfId="1886" priority="421" operator="equal">
      <formula>0</formula>
    </cfRule>
  </conditionalFormatting>
  <conditionalFormatting sqref="D71:D72">
    <cfRule type="cellIs" dxfId="1885" priority="419" operator="equal">
      <formula>0</formula>
    </cfRule>
  </conditionalFormatting>
  <conditionalFormatting sqref="D71:D72">
    <cfRule type="cellIs" dxfId="1884" priority="418" operator="equal">
      <formula>0</formula>
    </cfRule>
  </conditionalFormatting>
  <conditionalFormatting sqref="D47:S48">
    <cfRule type="cellIs" dxfId="1883" priority="229" operator="equal">
      <formula>0</formula>
    </cfRule>
  </conditionalFormatting>
  <conditionalFormatting sqref="D47:S48">
    <cfRule type="cellIs" dxfId="1882" priority="228" operator="equal">
      <formula>0</formula>
    </cfRule>
  </conditionalFormatting>
  <conditionalFormatting sqref="C64">
    <cfRule type="cellIs" dxfId="1881" priority="404" operator="equal">
      <formula>0</formula>
    </cfRule>
  </conditionalFormatting>
  <conditionalFormatting sqref="D64:S64">
    <cfRule type="cellIs" dxfId="1880" priority="403" operator="equal">
      <formula>0</formula>
    </cfRule>
  </conditionalFormatting>
  <conditionalFormatting sqref="D64:S64">
    <cfRule type="cellIs" dxfId="1879" priority="402" operator="equal">
      <formula>0</formula>
    </cfRule>
  </conditionalFormatting>
  <conditionalFormatting sqref="T64">
    <cfRule type="cellIs" dxfId="1878" priority="401" operator="equal">
      <formula>0</formula>
    </cfRule>
  </conditionalFormatting>
  <conditionalFormatting sqref="T64">
    <cfRule type="cellIs" dxfId="1877" priority="400" operator="equal">
      <formula>0</formula>
    </cfRule>
  </conditionalFormatting>
  <conditionalFormatting sqref="T63">
    <cfRule type="cellIs" dxfId="1876" priority="399" operator="equal">
      <formula>0</formula>
    </cfRule>
  </conditionalFormatting>
  <conditionalFormatting sqref="T63">
    <cfRule type="cellIs" dxfId="1875" priority="398" operator="equal">
      <formula>0</formula>
    </cfRule>
  </conditionalFormatting>
  <conditionalFormatting sqref="T63">
    <cfRule type="cellIs" dxfId="1874" priority="397" operator="lessThan">
      <formula>0</formula>
    </cfRule>
  </conditionalFormatting>
  <conditionalFormatting sqref="C97:C99">
    <cfRule type="cellIs" dxfId="1873" priority="396" operator="equal">
      <formula>0</formula>
    </cfRule>
  </conditionalFormatting>
  <conditionalFormatting sqref="C96:C97">
    <cfRule type="cellIs" dxfId="1872" priority="395" operator="equal">
      <formula>0</formula>
    </cfRule>
  </conditionalFormatting>
  <conditionalFormatting sqref="C86">
    <cfRule type="cellIs" dxfId="1871" priority="394" operator="equal">
      <formula>0</formula>
    </cfRule>
  </conditionalFormatting>
  <conditionalFormatting sqref="C104:C112">
    <cfRule type="cellIs" dxfId="1870" priority="392" operator="equal">
      <formula>0</formula>
    </cfRule>
  </conditionalFormatting>
  <conditionalFormatting sqref="C113">
    <cfRule type="cellIs" dxfId="1869" priority="360" operator="equal">
      <formula>0</formula>
    </cfRule>
  </conditionalFormatting>
  <conditionalFormatting sqref="C103">
    <cfRule type="cellIs" dxfId="1868" priority="388" operator="equal">
      <formula>0</formula>
    </cfRule>
  </conditionalFormatting>
  <conditionalFormatting sqref="C114">
    <cfRule type="cellIs" dxfId="1867" priority="362" operator="equal">
      <formula>0</formula>
    </cfRule>
  </conditionalFormatting>
  <conditionalFormatting sqref="C191">
    <cfRule type="cellIs" dxfId="1866" priority="254" operator="equal">
      <formula>0</formula>
    </cfRule>
  </conditionalFormatting>
  <conditionalFormatting sqref="D83:E83">
    <cfRule type="cellIs" dxfId="1865" priority="219" operator="equal">
      <formula>0</formula>
    </cfRule>
  </conditionalFormatting>
  <conditionalFormatting sqref="D83:E83">
    <cfRule type="cellIs" dxfId="1864" priority="218" operator="equal">
      <formula>0</formula>
    </cfRule>
  </conditionalFormatting>
  <conditionalFormatting sqref="D47:S47">
    <cfRule type="cellIs" dxfId="1863" priority="231" operator="equal">
      <formula>0</formula>
    </cfRule>
  </conditionalFormatting>
  <conditionalFormatting sqref="D47:S47">
    <cfRule type="cellIs" dxfId="1862" priority="230" operator="equal">
      <formula>0</formula>
    </cfRule>
  </conditionalFormatting>
  <conditionalFormatting sqref="C150:C152">
    <cfRule type="cellIs" dxfId="1861" priority="329" operator="equal">
      <formula>0</formula>
    </cfRule>
  </conditionalFormatting>
  <conditionalFormatting sqref="C149:C150">
    <cfRule type="cellIs" dxfId="1860" priority="328" operator="equal">
      <formula>0</formula>
    </cfRule>
  </conditionalFormatting>
  <conditionalFormatting sqref="D83:E83">
    <cfRule type="cellIs" dxfId="1859" priority="214" operator="equal">
      <formula>0</formula>
    </cfRule>
  </conditionalFormatting>
  <conditionalFormatting sqref="D83:E83">
    <cfRule type="cellIs" dxfId="1858" priority="213" operator="equal">
      <formula>0</formula>
    </cfRule>
  </conditionalFormatting>
  <conditionalFormatting sqref="D84:E84">
    <cfRule type="cellIs" dxfId="1857" priority="198" operator="equal">
      <formula>0</formula>
    </cfRule>
  </conditionalFormatting>
  <conditionalFormatting sqref="D84:E84">
    <cfRule type="cellIs" dxfId="1856" priority="197" operator="equal">
      <formula>0</formula>
    </cfRule>
  </conditionalFormatting>
  <conditionalFormatting sqref="I176:I180">
    <cfRule type="cellIs" dxfId="1855" priority="186" operator="lessThan">
      <formula>0</formula>
    </cfRule>
  </conditionalFormatting>
  <conditionalFormatting sqref="I179:I180">
    <cfRule type="cellIs" dxfId="1854" priority="185" operator="equal">
      <formula>0</formula>
    </cfRule>
  </conditionalFormatting>
  <conditionalFormatting sqref="I179:I180">
    <cfRule type="cellIs" dxfId="1853" priority="184" operator="equal">
      <formula>0</formula>
    </cfRule>
  </conditionalFormatting>
  <conditionalFormatting sqref="C116">
    <cfRule type="cellIs" dxfId="1852" priority="161" operator="equal">
      <formula>0</formula>
    </cfRule>
  </conditionalFormatting>
  <conditionalFormatting sqref="D84:E84">
    <cfRule type="cellIs" dxfId="1851" priority="202" operator="equal">
      <formula>0</formula>
    </cfRule>
  </conditionalFormatting>
  <conditionalFormatting sqref="D84:E84">
    <cfRule type="cellIs" dxfId="1850" priority="201" operator="equal">
      <formula>0</formula>
    </cfRule>
  </conditionalFormatting>
  <conditionalFormatting sqref="C47">
    <cfRule type="cellIs" dxfId="1849" priority="247" operator="equal">
      <formula>0</formula>
    </cfRule>
  </conditionalFormatting>
  <conditionalFormatting sqref="C48">
    <cfRule type="cellIs" dxfId="1848" priority="246" operator="equal">
      <formula>0</formula>
    </cfRule>
  </conditionalFormatting>
  <conditionalFormatting sqref="D42:S42">
    <cfRule type="cellIs" dxfId="1847" priority="239" operator="equal">
      <formula>0</formula>
    </cfRule>
  </conditionalFormatting>
  <conditionalFormatting sqref="D42:S42">
    <cfRule type="cellIs" dxfId="1846" priority="238" operator="equal">
      <formula>0</formula>
    </cfRule>
  </conditionalFormatting>
  <conditionalFormatting sqref="D46:S46">
    <cfRule type="cellIs" dxfId="1845" priority="237" operator="equal">
      <formula>0</formula>
    </cfRule>
  </conditionalFormatting>
  <conditionalFormatting sqref="D46:S46">
    <cfRule type="cellIs" dxfId="1844" priority="236" operator="equal">
      <formula>0</formula>
    </cfRule>
  </conditionalFormatting>
  <conditionalFormatting sqref="T47:T48">
    <cfRule type="cellIs" dxfId="1843" priority="235" operator="equal">
      <formula>0</formula>
    </cfRule>
  </conditionalFormatting>
  <conditionalFormatting sqref="T47:T48">
    <cfRule type="cellIs" dxfId="1842" priority="234" operator="equal">
      <formula>0</formula>
    </cfRule>
  </conditionalFormatting>
  <conditionalFormatting sqref="T47:T48">
    <cfRule type="cellIs" dxfId="1841" priority="232" operator="equal">
      <formula>0</formula>
    </cfRule>
  </conditionalFormatting>
  <conditionalFormatting sqref="T47:T48">
    <cfRule type="cellIs" dxfId="1840" priority="233" operator="lessThan">
      <formula>0</formula>
    </cfRule>
  </conditionalFormatting>
  <conditionalFormatting sqref="D47">
    <cfRule type="cellIs" dxfId="1839" priority="227" operator="equal">
      <formula>0</formula>
    </cfRule>
  </conditionalFormatting>
  <conditionalFormatting sqref="D47">
    <cfRule type="cellIs" dxfId="1838" priority="226" operator="equal">
      <formula>0</formula>
    </cfRule>
  </conditionalFormatting>
  <conditionalFormatting sqref="D180:H180">
    <cfRule type="cellIs" dxfId="1837" priority="225" operator="equal">
      <formula>0</formula>
    </cfRule>
  </conditionalFormatting>
  <conditionalFormatting sqref="D180:H180">
    <cfRule type="cellIs" dxfId="1836" priority="224" operator="equal">
      <formula>0</formula>
    </cfRule>
  </conditionalFormatting>
  <conditionalFormatting sqref="D178:H178">
    <cfRule type="cellIs" dxfId="1835" priority="223" operator="equal">
      <formula>0</formula>
    </cfRule>
  </conditionalFormatting>
  <conditionalFormatting sqref="D178:H178">
    <cfRule type="cellIs" dxfId="1834" priority="222" operator="equal">
      <formula>0</formula>
    </cfRule>
  </conditionalFormatting>
  <conditionalFormatting sqref="D179:H179">
    <cfRule type="cellIs" dxfId="1833" priority="221" operator="equal">
      <formula>0</formula>
    </cfRule>
  </conditionalFormatting>
  <conditionalFormatting sqref="D179:H179">
    <cfRule type="cellIs" dxfId="1832" priority="220" operator="equal">
      <formula>0</formula>
    </cfRule>
  </conditionalFormatting>
  <conditionalFormatting sqref="E85:E86">
    <cfRule type="cellIs" dxfId="1831" priority="182" operator="equal">
      <formula>FALSE</formula>
    </cfRule>
  </conditionalFormatting>
  <conditionalFormatting sqref="C115">
    <cfRule type="cellIs" dxfId="1830" priority="162" operator="equal">
      <formula>0</formula>
    </cfRule>
  </conditionalFormatting>
  <conditionalFormatting sqref="C117">
    <cfRule type="cellIs" dxfId="1829" priority="160" operator="equal">
      <formula>0</formula>
    </cfRule>
  </conditionalFormatting>
  <conditionalFormatting sqref="K83:S84">
    <cfRule type="cellIs" dxfId="1828" priority="155" operator="equal">
      <formula>0</formula>
    </cfRule>
  </conditionalFormatting>
  <conditionalFormatting sqref="K83:S84">
    <cfRule type="cellIs" dxfId="1827" priority="154" operator="equal">
      <formula>0</formula>
    </cfRule>
  </conditionalFormatting>
  <conditionalFormatting sqref="K83:S84">
    <cfRule type="cellIs" dxfId="1826" priority="151" operator="equal">
      <formula>0</formula>
    </cfRule>
  </conditionalFormatting>
  <conditionalFormatting sqref="K83:S84">
    <cfRule type="cellIs" dxfId="1825" priority="150" operator="equal">
      <formula>0</formula>
    </cfRule>
  </conditionalFormatting>
  <conditionalFormatting sqref="K83:S84">
    <cfRule type="cellIs" dxfId="1824" priority="153" operator="equal">
      <formula>0</formula>
    </cfRule>
  </conditionalFormatting>
  <conditionalFormatting sqref="K83:S84">
    <cfRule type="cellIs" dxfId="1823" priority="152" operator="equal">
      <formula>0</formula>
    </cfRule>
  </conditionalFormatting>
  <conditionalFormatting sqref="F83:J83">
    <cfRule type="cellIs" dxfId="1822" priority="141" operator="equal">
      <formula>0</formula>
    </cfRule>
  </conditionalFormatting>
  <conditionalFormatting sqref="F83:J83">
    <cfRule type="cellIs" dxfId="1821" priority="140" operator="equal">
      <formula>0</formula>
    </cfRule>
  </conditionalFormatting>
  <conditionalFormatting sqref="F83:J83">
    <cfRule type="cellIs" dxfId="1820" priority="139" operator="equal">
      <formula>0</formula>
    </cfRule>
  </conditionalFormatting>
  <conditionalFormatting sqref="F83:J83">
    <cfRule type="cellIs" dxfId="1819" priority="138" operator="equal">
      <formula>0</formula>
    </cfRule>
  </conditionalFormatting>
  <conditionalFormatting sqref="T118">
    <cfRule type="cellIs" dxfId="1818" priority="133" operator="lessThan">
      <formula>0</formula>
    </cfRule>
  </conditionalFormatting>
  <conditionalFormatting sqref="D118:T118">
    <cfRule type="cellIs" dxfId="1817" priority="132" operator="equal">
      <formula>0</formula>
    </cfRule>
  </conditionalFormatting>
  <conditionalFormatting sqref="D118:T118">
    <cfRule type="cellIs" dxfId="1816" priority="131" operator="equal">
      <formula>0</formula>
    </cfRule>
  </conditionalFormatting>
  <conditionalFormatting sqref="G118:S118">
    <cfRule type="cellIs" dxfId="1815" priority="130" operator="lessThan">
      <formula>0</formula>
    </cfRule>
  </conditionalFormatting>
  <conditionalFormatting sqref="F122:S122 D123:T123 D126:T126">
    <cfRule type="cellIs" dxfId="1814" priority="129" operator="equal">
      <formula>0</formula>
    </cfRule>
  </conditionalFormatting>
  <conditionalFormatting sqref="F122:S122 D123:T123 D126:T126">
    <cfRule type="cellIs" dxfId="1813" priority="128" operator="equal">
      <formula>0</formula>
    </cfRule>
  </conditionalFormatting>
  <conditionalFormatting sqref="D121">
    <cfRule type="cellIs" dxfId="1812" priority="126" operator="equal">
      <formula>0</formula>
    </cfRule>
  </conditionalFormatting>
  <conditionalFormatting sqref="D121">
    <cfRule type="expression" dxfId="1811" priority="127">
      <formula>$A$1=1</formula>
    </cfRule>
  </conditionalFormatting>
  <conditionalFormatting sqref="T122">
    <cfRule type="expression" dxfId="1810" priority="125">
      <formula>$A$1=1</formula>
    </cfRule>
  </conditionalFormatting>
  <conditionalFormatting sqref="D122">
    <cfRule type="expression" dxfId="1809" priority="124">
      <formula>$A$1=1</formula>
    </cfRule>
  </conditionalFormatting>
  <conditionalFormatting sqref="E122">
    <cfRule type="expression" dxfId="1808" priority="123">
      <formula>$A$1=1</formula>
    </cfRule>
  </conditionalFormatting>
  <conditionalFormatting sqref="E107:T107">
    <cfRule type="cellIs" dxfId="1807" priority="106" operator="equal">
      <formula>0</formula>
    </cfRule>
  </conditionalFormatting>
  <conditionalFormatting sqref="E107:T107">
    <cfRule type="cellIs" dxfId="1806" priority="105" operator="equal">
      <formula>0</formula>
    </cfRule>
  </conditionalFormatting>
  <conditionalFormatting sqref="E108:T108">
    <cfRule type="cellIs" dxfId="1805" priority="104" operator="lessThan">
      <formula>0</formula>
    </cfRule>
  </conditionalFormatting>
  <conditionalFormatting sqref="E108:T108">
    <cfRule type="cellIs" dxfId="1804" priority="103" operator="equal">
      <formula>0</formula>
    </cfRule>
  </conditionalFormatting>
  <conditionalFormatting sqref="E108:T108">
    <cfRule type="cellIs" dxfId="1803" priority="102" operator="equal">
      <formula>0</formula>
    </cfRule>
  </conditionalFormatting>
  <conditionalFormatting sqref="E109:T109">
    <cfRule type="cellIs" dxfId="1802" priority="101" operator="equal">
      <formula>0</formula>
    </cfRule>
  </conditionalFormatting>
  <conditionalFormatting sqref="E109:T109">
    <cfRule type="cellIs" dxfId="1801" priority="100" operator="equal">
      <formula>0</formula>
    </cfRule>
  </conditionalFormatting>
  <conditionalFormatting sqref="D114:T114">
    <cfRule type="cellIs" dxfId="1800" priority="121" operator="equal">
      <formula>0</formula>
    </cfRule>
  </conditionalFormatting>
  <conditionalFormatting sqref="D105:T105 G104:T104 G106:T106">
    <cfRule type="cellIs" dxfId="1799" priority="120" operator="lessThan">
      <formula>0</formula>
    </cfRule>
  </conditionalFormatting>
  <conditionalFormatting sqref="D104:T106">
    <cfRule type="cellIs" dxfId="1798" priority="119" operator="equal">
      <formula>0</formula>
    </cfRule>
  </conditionalFormatting>
  <conditionalFormatting sqref="D104:T106">
    <cfRule type="cellIs" dxfId="1797" priority="118" operator="equal">
      <formula>0</formula>
    </cfRule>
  </conditionalFormatting>
  <conditionalFormatting sqref="D103:T103">
    <cfRule type="cellIs" dxfId="1796" priority="117" operator="equal">
      <formula>0</formula>
    </cfRule>
  </conditionalFormatting>
  <conditionalFormatting sqref="D103:T103">
    <cfRule type="cellIs" dxfId="1795" priority="116" operator="equal">
      <formula>0</formula>
    </cfRule>
  </conditionalFormatting>
  <conditionalFormatting sqref="D106:T106">
    <cfRule type="cellIs" dxfId="1794" priority="115" operator="lessThan">
      <formula>0</formula>
    </cfRule>
  </conditionalFormatting>
  <conditionalFormatting sqref="D114:T114">
    <cfRule type="cellIs" dxfId="1793" priority="122" operator="equal">
      <formula>0</formula>
    </cfRule>
  </conditionalFormatting>
  <conditionalFormatting sqref="D113:T113">
    <cfRule type="cellIs" dxfId="1792" priority="97" operator="equal">
      <formula>0</formula>
    </cfRule>
  </conditionalFormatting>
  <conditionalFormatting sqref="D113:T113">
    <cfRule type="cellIs" dxfId="1791" priority="96" operator="equal">
      <formula>0</formula>
    </cfRule>
  </conditionalFormatting>
  <conditionalFormatting sqref="D112:S112 D110:D111 E111:T111">
    <cfRule type="cellIs" dxfId="1790" priority="114" operator="lessThan">
      <formula>0</formula>
    </cfRule>
  </conditionalFormatting>
  <conditionalFormatting sqref="D112:S112 D110:D111 E111:T111">
    <cfRule type="cellIs" dxfId="1789" priority="113" operator="equal">
      <formula>0</formula>
    </cfRule>
  </conditionalFormatting>
  <conditionalFormatting sqref="D112:S112 D110:D111 E111:T111">
    <cfRule type="cellIs" dxfId="1788" priority="112" operator="equal">
      <formula>0</formula>
    </cfRule>
  </conditionalFormatting>
  <conditionalFormatting sqref="D107:D109">
    <cfRule type="cellIs" dxfId="1787" priority="111" operator="equal">
      <formula>0</formula>
    </cfRule>
  </conditionalFormatting>
  <conditionalFormatting sqref="D107:D109">
    <cfRule type="cellIs" dxfId="1786" priority="110" operator="equal">
      <formula>0</formula>
    </cfRule>
  </conditionalFormatting>
  <conditionalFormatting sqref="T112">
    <cfRule type="cellIs" dxfId="1785" priority="109" operator="lessThan">
      <formula>0</formula>
    </cfRule>
  </conditionalFormatting>
  <conditionalFormatting sqref="T112">
    <cfRule type="cellIs" dxfId="1784" priority="108" operator="equal">
      <formula>0</formula>
    </cfRule>
  </conditionalFormatting>
  <conditionalFormatting sqref="T112">
    <cfRule type="cellIs" dxfId="1783" priority="107" operator="equal">
      <formula>0</formula>
    </cfRule>
  </conditionalFormatting>
  <conditionalFormatting sqref="E110:T110">
    <cfRule type="cellIs" dxfId="1782" priority="99" operator="equal">
      <formula>0</formula>
    </cfRule>
  </conditionalFormatting>
  <conditionalFormatting sqref="E110:T110">
    <cfRule type="cellIs" dxfId="1781" priority="98" operator="equal">
      <formula>0</formula>
    </cfRule>
  </conditionalFormatting>
  <conditionalFormatting sqref="E127:S128 E135:T136 E131:T132 T137">
    <cfRule type="cellIs" dxfId="1780" priority="95" operator="lessThan">
      <formula>0</formula>
    </cfRule>
  </conditionalFormatting>
  <conditionalFormatting sqref="T129:T138 E131:S132 E127:S128 D129:S130 D133:R134 E135:S136 D137:R138">
    <cfRule type="cellIs" dxfId="1779" priority="94" operator="equal">
      <formula>0</formula>
    </cfRule>
  </conditionalFormatting>
  <conditionalFormatting sqref="E131:S132 E127:S128 T127:T138 D129:S130 D133:R134 E135:S136 D137:R138">
    <cfRule type="cellIs" dxfId="1778" priority="93" operator="equal">
      <formula>0</formula>
    </cfRule>
  </conditionalFormatting>
  <conditionalFormatting sqref="T127:T128">
    <cfRule type="cellIs" dxfId="1777" priority="92" operator="lessThan">
      <formula>0</formula>
    </cfRule>
  </conditionalFormatting>
  <conditionalFormatting sqref="T127:T128">
    <cfRule type="cellIs" dxfId="1776" priority="91" operator="equal">
      <formula>0</formula>
    </cfRule>
  </conditionalFormatting>
  <conditionalFormatting sqref="T127:T128">
    <cfRule type="cellIs" dxfId="1775" priority="90" operator="equal">
      <formula>0</formula>
    </cfRule>
  </conditionalFormatting>
  <conditionalFormatting sqref="D135:D136">
    <cfRule type="cellIs" dxfId="1774" priority="82" operator="lessThan">
      <formula>0</formula>
    </cfRule>
  </conditionalFormatting>
  <conditionalFormatting sqref="D135:D136">
    <cfRule type="cellIs" dxfId="1773" priority="79" operator="lessThan">
      <formula>0</formula>
    </cfRule>
  </conditionalFormatting>
  <conditionalFormatting sqref="D135:D136">
    <cfRule type="cellIs" dxfId="1772" priority="89" operator="equal">
      <formula>0</formula>
    </cfRule>
  </conditionalFormatting>
  <conditionalFormatting sqref="D135:D136">
    <cfRule type="cellIs" dxfId="1771" priority="88" operator="lessThan">
      <formula>0</formula>
    </cfRule>
  </conditionalFormatting>
  <conditionalFormatting sqref="D135:D136">
    <cfRule type="cellIs" dxfId="1770" priority="87" operator="equal">
      <formula>0</formula>
    </cfRule>
  </conditionalFormatting>
  <conditionalFormatting sqref="D135:D136">
    <cfRule type="cellIs" dxfId="1769" priority="86" operator="equal">
      <formula>0</formula>
    </cfRule>
  </conditionalFormatting>
  <conditionalFormatting sqref="D135:D136">
    <cfRule type="cellIs" dxfId="1768" priority="85" operator="lessThan">
      <formula>0</formula>
    </cfRule>
  </conditionalFormatting>
  <conditionalFormatting sqref="D135:D136">
    <cfRule type="cellIs" dxfId="1767" priority="84" operator="equal">
      <formula>0</formula>
    </cfRule>
  </conditionalFormatting>
  <conditionalFormatting sqref="D135:D136">
    <cfRule type="cellIs" dxfId="1766" priority="83" operator="equal">
      <formula>0</formula>
    </cfRule>
  </conditionalFormatting>
  <conditionalFormatting sqref="D135:D136">
    <cfRule type="cellIs" dxfId="1765" priority="81" operator="equal">
      <formula>0</formula>
    </cfRule>
  </conditionalFormatting>
  <conditionalFormatting sqref="D135:D136">
    <cfRule type="cellIs" dxfId="1764" priority="80" operator="equal">
      <formula>0</formula>
    </cfRule>
  </conditionalFormatting>
  <conditionalFormatting sqref="D135:D136">
    <cfRule type="cellIs" dxfId="1763" priority="78" operator="equal">
      <formula>0</formula>
    </cfRule>
  </conditionalFormatting>
  <conditionalFormatting sqref="D135:D136">
    <cfRule type="cellIs" dxfId="1762" priority="77" operator="equal">
      <formula>0</formula>
    </cfRule>
  </conditionalFormatting>
  <conditionalFormatting sqref="D127:D128">
    <cfRule type="cellIs" dxfId="1761" priority="76" operator="lessThan">
      <formula>0</formula>
    </cfRule>
  </conditionalFormatting>
  <conditionalFormatting sqref="D127:D128">
    <cfRule type="cellIs" dxfId="1760" priority="75" operator="equal">
      <formula>0</formula>
    </cfRule>
  </conditionalFormatting>
  <conditionalFormatting sqref="D127:D128">
    <cfRule type="cellIs" dxfId="1759" priority="74" operator="equal">
      <formula>0</formula>
    </cfRule>
  </conditionalFormatting>
  <conditionalFormatting sqref="D132">
    <cfRule type="cellIs" dxfId="1758" priority="49" operator="equal">
      <formula>0</formula>
    </cfRule>
  </conditionalFormatting>
  <conditionalFormatting sqref="D132">
    <cfRule type="cellIs" dxfId="1757" priority="48" operator="equal">
      <formula>0</formula>
    </cfRule>
  </conditionalFormatting>
  <conditionalFormatting sqref="D132">
    <cfRule type="cellIs" dxfId="1756" priority="52" operator="equal">
      <formula>0</formula>
    </cfRule>
  </conditionalFormatting>
  <conditionalFormatting sqref="D132">
    <cfRule type="cellIs" dxfId="1755" priority="51" operator="equal">
      <formula>0</formula>
    </cfRule>
  </conditionalFormatting>
  <conditionalFormatting sqref="D131">
    <cfRule type="cellIs" dxfId="1754" priority="71" operator="equal">
      <formula>0</formula>
    </cfRule>
  </conditionalFormatting>
  <conditionalFormatting sqref="D131">
    <cfRule type="cellIs" dxfId="1753" priority="66" operator="lessThan">
      <formula>0</formula>
    </cfRule>
  </conditionalFormatting>
  <conditionalFormatting sqref="D131">
    <cfRule type="cellIs" dxfId="1752" priority="63" operator="lessThan">
      <formula>0</formula>
    </cfRule>
  </conditionalFormatting>
  <conditionalFormatting sqref="D131">
    <cfRule type="cellIs" dxfId="1751" priority="73" operator="equal">
      <formula>0</formula>
    </cfRule>
  </conditionalFormatting>
  <conditionalFormatting sqref="D131">
    <cfRule type="cellIs" dxfId="1750" priority="72" operator="lessThan">
      <formula>0</formula>
    </cfRule>
  </conditionalFormatting>
  <conditionalFormatting sqref="D131">
    <cfRule type="cellIs" dxfId="1749" priority="70" operator="equal">
      <formula>0</formula>
    </cfRule>
  </conditionalFormatting>
  <conditionalFormatting sqref="D131">
    <cfRule type="cellIs" dxfId="1748" priority="69" operator="lessThan">
      <formula>0</formula>
    </cfRule>
  </conditionalFormatting>
  <conditionalFormatting sqref="D131">
    <cfRule type="cellIs" dxfId="1747" priority="68" operator="equal">
      <formula>0</formula>
    </cfRule>
  </conditionalFormatting>
  <conditionalFormatting sqref="D131">
    <cfRule type="cellIs" dxfId="1746" priority="67" operator="equal">
      <formula>0</formula>
    </cfRule>
  </conditionalFormatting>
  <conditionalFormatting sqref="D131">
    <cfRule type="cellIs" dxfId="1745" priority="65" operator="equal">
      <formula>0</formula>
    </cfRule>
  </conditionalFormatting>
  <conditionalFormatting sqref="D131">
    <cfRule type="cellIs" dxfId="1744" priority="64" operator="equal">
      <formula>0</formula>
    </cfRule>
  </conditionalFormatting>
  <conditionalFormatting sqref="D131">
    <cfRule type="cellIs" dxfId="1743" priority="62" operator="equal">
      <formula>0</formula>
    </cfRule>
  </conditionalFormatting>
  <conditionalFormatting sqref="D131">
    <cfRule type="cellIs" dxfId="1742" priority="61" operator="equal">
      <formula>0</formula>
    </cfRule>
  </conditionalFormatting>
  <conditionalFormatting sqref="D132">
    <cfRule type="cellIs" dxfId="1741" priority="58" operator="equal">
      <formula>0</formula>
    </cfRule>
  </conditionalFormatting>
  <conditionalFormatting sqref="D132">
    <cfRule type="cellIs" dxfId="1740" priority="53" operator="lessThan">
      <formula>0</formula>
    </cfRule>
  </conditionalFormatting>
  <conditionalFormatting sqref="D132">
    <cfRule type="cellIs" dxfId="1739" priority="50" operator="lessThan">
      <formula>0</formula>
    </cfRule>
  </conditionalFormatting>
  <conditionalFormatting sqref="D132">
    <cfRule type="cellIs" dxfId="1738" priority="60" operator="equal">
      <formula>0</formula>
    </cfRule>
  </conditionalFormatting>
  <conditionalFormatting sqref="D132">
    <cfRule type="cellIs" dxfId="1737" priority="59" operator="lessThan">
      <formula>0</formula>
    </cfRule>
  </conditionalFormatting>
  <conditionalFormatting sqref="D132">
    <cfRule type="cellIs" dxfId="1736" priority="57" operator="equal">
      <formula>0</formula>
    </cfRule>
  </conditionalFormatting>
  <conditionalFormatting sqref="D132">
    <cfRule type="cellIs" dxfId="1735" priority="56" operator="lessThan">
      <formula>0</formula>
    </cfRule>
  </conditionalFormatting>
  <conditionalFormatting sqref="D132">
    <cfRule type="cellIs" dxfId="1734" priority="55" operator="equal">
      <formula>0</formula>
    </cfRule>
  </conditionalFormatting>
  <conditionalFormatting sqref="D132">
    <cfRule type="cellIs" dxfId="1733" priority="54" operator="equal">
      <formula>0</formula>
    </cfRule>
  </conditionalFormatting>
  <conditionalFormatting sqref="S137:S138">
    <cfRule type="cellIs" dxfId="1732" priority="43" operator="equal">
      <formula>0</formula>
    </cfRule>
  </conditionalFormatting>
  <conditionalFormatting sqref="S137:S138">
    <cfRule type="cellIs" dxfId="1731" priority="42" operator="equal">
      <formula>0</formula>
    </cfRule>
  </conditionalFormatting>
  <conditionalFormatting sqref="S133">
    <cfRule type="cellIs" dxfId="1730" priority="47" operator="equal">
      <formula>0</formula>
    </cfRule>
  </conditionalFormatting>
  <conditionalFormatting sqref="S133">
    <cfRule type="cellIs" dxfId="1729" priority="46" operator="equal">
      <formula>0</formula>
    </cfRule>
  </conditionalFormatting>
  <conditionalFormatting sqref="S134">
    <cfRule type="cellIs" dxfId="1728" priority="45" operator="equal">
      <formula>0</formula>
    </cfRule>
  </conditionalFormatting>
  <conditionalFormatting sqref="S134">
    <cfRule type="cellIs" dxfId="1727" priority="44" operator="equal">
      <formula>0</formula>
    </cfRule>
  </conditionalFormatting>
  <conditionalFormatting sqref="T119">
    <cfRule type="cellIs" dxfId="1726" priority="41" operator="equal">
      <formula>0</formula>
    </cfRule>
  </conditionalFormatting>
  <conditionalFormatting sqref="T119">
    <cfRule type="cellIs" dxfId="1725" priority="40" operator="equal">
      <formula>0</formula>
    </cfRule>
  </conditionalFormatting>
  <conditionalFormatting sqref="T119">
    <cfRule type="cellIs" dxfId="1724" priority="39" operator="lessThan">
      <formula>0</formula>
    </cfRule>
  </conditionalFormatting>
  <conditionalFormatting sqref="D119:R119">
    <cfRule type="cellIs" dxfId="1723" priority="38" operator="equal">
      <formula>0</formula>
    </cfRule>
  </conditionalFormatting>
  <conditionalFormatting sqref="D119:R119">
    <cfRule type="cellIs" dxfId="1722" priority="37" operator="equal">
      <formula>0</formula>
    </cfRule>
  </conditionalFormatting>
  <conditionalFormatting sqref="D120:R120">
    <cfRule type="cellIs" dxfId="1721" priority="36" operator="equal">
      <formula>0</formula>
    </cfRule>
  </conditionalFormatting>
  <conditionalFormatting sqref="D120:R120">
    <cfRule type="cellIs" dxfId="1720" priority="35" operator="equal">
      <formula>0</formula>
    </cfRule>
  </conditionalFormatting>
  <conditionalFormatting sqref="S120">
    <cfRule type="cellIs" dxfId="1719" priority="32" operator="equal">
      <formula>0</formula>
    </cfRule>
  </conditionalFormatting>
  <conditionalFormatting sqref="S120">
    <cfRule type="cellIs" dxfId="1718" priority="31" operator="equal">
      <formula>0</formula>
    </cfRule>
  </conditionalFormatting>
  <conditionalFormatting sqref="S119">
    <cfRule type="cellIs" dxfId="1717" priority="34" operator="equal">
      <formula>0</formula>
    </cfRule>
  </conditionalFormatting>
  <conditionalFormatting sqref="S119">
    <cfRule type="cellIs" dxfId="1716" priority="33" operator="equal">
      <formula>0</formula>
    </cfRule>
  </conditionalFormatting>
  <conditionalFormatting sqref="T120">
    <cfRule type="cellIs" dxfId="1715" priority="30" operator="equal">
      <formula>0</formula>
    </cfRule>
  </conditionalFormatting>
  <conditionalFormatting sqref="T120">
    <cfRule type="cellIs" dxfId="1714" priority="29" operator="equal">
      <formula>0</formula>
    </cfRule>
  </conditionalFormatting>
  <conditionalFormatting sqref="D124:T125">
    <cfRule type="cellIs" dxfId="1713" priority="28" operator="equal">
      <formula>0</formula>
    </cfRule>
  </conditionalFormatting>
  <conditionalFormatting sqref="D124:T125">
    <cfRule type="cellIs" dxfId="1712" priority="27" operator="equal">
      <formula>0</formula>
    </cfRule>
  </conditionalFormatting>
  <conditionalFormatting sqref="D117:T117 D115:T115">
    <cfRule type="cellIs" dxfId="1711" priority="26" operator="equal">
      <formula>0</formula>
    </cfRule>
  </conditionalFormatting>
  <conditionalFormatting sqref="D117:T117 D115:T115">
    <cfRule type="cellIs" dxfId="1710" priority="25" operator="equal">
      <formula>0</formula>
    </cfRule>
  </conditionalFormatting>
  <conditionalFormatting sqref="D116:T116">
    <cfRule type="cellIs" dxfId="1709" priority="24" operator="equal">
      <formula>0</formula>
    </cfRule>
  </conditionalFormatting>
  <conditionalFormatting sqref="D116:T116">
    <cfRule type="cellIs" dxfId="1708" priority="23" operator="equal">
      <formula>0</formula>
    </cfRule>
  </conditionalFormatting>
  <conditionalFormatting sqref="E139:E140">
    <cfRule type="cellIs" dxfId="1707" priority="22" operator="equal">
      <formula>FALSE</formula>
    </cfRule>
  </conditionalFormatting>
  <conditionalFormatting sqref="C83">
    <cfRule type="cellIs" dxfId="1706" priority="21" operator="equal">
      <formula>0</formula>
    </cfRule>
  </conditionalFormatting>
  <conditionalFormatting sqref="C84">
    <cfRule type="cellIs" dxfId="1705" priority="20" operator="equal">
      <formula>0</formula>
    </cfRule>
  </conditionalFormatting>
  <conditionalFormatting sqref="C81">
    <cfRule type="cellIs" dxfId="1704" priority="19" operator="equal">
      <formula>0</formula>
    </cfRule>
  </conditionalFormatting>
  <conditionalFormatting sqref="C82">
    <cfRule type="cellIs" dxfId="1703" priority="18" operator="equal">
      <formula>0</formula>
    </cfRule>
  </conditionalFormatting>
  <conditionalFormatting sqref="F84:J84">
    <cfRule type="cellIs" dxfId="1702" priority="17" operator="equal">
      <formula>0</formula>
    </cfRule>
  </conditionalFormatting>
  <conditionalFormatting sqref="F84:J84">
    <cfRule type="cellIs" dxfId="1701" priority="16" operator="equal">
      <formula>0</formula>
    </cfRule>
  </conditionalFormatting>
  <conditionalFormatting sqref="F84:J84">
    <cfRule type="cellIs" dxfId="1700" priority="15" operator="equal">
      <formula>0</formula>
    </cfRule>
  </conditionalFormatting>
  <conditionalFormatting sqref="F84:J84">
    <cfRule type="cellIs" dxfId="1699" priority="14" operator="equal">
      <formula>0</formula>
    </cfRule>
  </conditionalFormatting>
  <conditionalFormatting sqref="D79:D80">
    <cfRule type="cellIs" dxfId="1698" priority="6" operator="lessThan">
      <formula>0</formula>
    </cfRule>
  </conditionalFormatting>
  <conditionalFormatting sqref="D79:D80">
    <cfRule type="cellIs" dxfId="1697" priority="3" operator="lessThan">
      <formula>0</formula>
    </cfRule>
  </conditionalFormatting>
  <conditionalFormatting sqref="D79:D80">
    <cfRule type="cellIs" dxfId="1696" priority="13" operator="equal">
      <formula>0</formula>
    </cfRule>
  </conditionalFormatting>
  <conditionalFormatting sqref="D79:D80">
    <cfRule type="cellIs" dxfId="1695" priority="12" operator="lessThan">
      <formula>0</formula>
    </cfRule>
  </conditionalFormatting>
  <conditionalFormatting sqref="D79:D80">
    <cfRule type="cellIs" dxfId="1694" priority="11" operator="equal">
      <formula>0</formula>
    </cfRule>
  </conditionalFormatting>
  <conditionalFormatting sqref="D79:D80">
    <cfRule type="cellIs" dxfId="1693" priority="10" operator="equal">
      <formula>0</formula>
    </cfRule>
  </conditionalFormatting>
  <conditionalFormatting sqref="D79:D80">
    <cfRule type="cellIs" dxfId="1692" priority="9" operator="lessThan">
      <formula>0</formula>
    </cfRule>
  </conditionalFormatting>
  <conditionalFormatting sqref="D79:D80">
    <cfRule type="cellIs" dxfId="1691" priority="8" operator="equal">
      <formula>0</formula>
    </cfRule>
  </conditionalFormatting>
  <conditionalFormatting sqref="D79:D80">
    <cfRule type="cellIs" dxfId="1690" priority="7" operator="equal">
      <formula>0</formula>
    </cfRule>
  </conditionalFormatting>
  <conditionalFormatting sqref="D79:D80">
    <cfRule type="cellIs" dxfId="1689" priority="5" operator="equal">
      <formula>0</formula>
    </cfRule>
  </conditionalFormatting>
  <conditionalFormatting sqref="D79:D80">
    <cfRule type="cellIs" dxfId="1688" priority="4" operator="equal">
      <formula>0</formula>
    </cfRule>
  </conditionalFormatting>
  <conditionalFormatting sqref="D79:D80">
    <cfRule type="cellIs" dxfId="1687" priority="2" operator="equal">
      <formula>0</formula>
    </cfRule>
  </conditionalFormatting>
  <conditionalFormatting sqref="D79:D80">
    <cfRule type="cellIs" dxfId="1686" priority="1" operator="equal">
      <formula>0</formula>
    </cfRule>
  </conditionalFormatting>
  <dataValidations disablePrompts="1" count="1">
    <dataValidation type="list" allowBlank="1" showInputMessage="1" showErrorMessage="1" sqref="A160 D158">
      <formula1>"0,1"</formula1>
    </dataValidation>
  </dataValidations>
  <pageMargins left="0.7" right="0.7" top="0.75" bottom="0.75" header="0.3" footer="0.3"/>
  <pageSetup paperSize="9" scale="41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EH211"/>
  <sheetViews>
    <sheetView showGridLines="0" tabSelected="1" zoomScale="70" zoomScaleNormal="70" zoomScaleSheetLayoutView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14" sqref="H14:J14"/>
    </sheetView>
  </sheetViews>
  <sheetFormatPr defaultColWidth="9.140625" defaultRowHeight="12.75" outlineLevelRow="1" outlineLevelCol="1"/>
  <cols>
    <col min="1" max="1" width="14.5703125" style="40" customWidth="1"/>
    <col min="2" max="2" width="62.42578125" style="40" customWidth="1"/>
    <col min="3" max="3" width="18.5703125" style="40" customWidth="1" outlineLevel="1"/>
    <col min="4" max="4" width="22.28515625" style="30" customWidth="1"/>
    <col min="5" max="7" width="14.85546875" style="30" bestFit="1" customWidth="1"/>
    <col min="8" max="8" width="15.42578125" style="30" customWidth="1"/>
    <col min="9" max="13" width="14.85546875" style="30" bestFit="1" customWidth="1"/>
    <col min="14" max="17" width="14.28515625" style="30" customWidth="1"/>
    <col min="18" max="18" width="15.140625" style="30" customWidth="1"/>
    <col min="19" max="19" width="14.140625" style="30" customWidth="1"/>
    <col min="20" max="20" width="15.85546875" style="30" customWidth="1"/>
    <col min="21" max="21" width="8.85546875" style="40" customWidth="1"/>
    <col min="22" max="22" width="17.7109375" style="40" customWidth="1"/>
    <col min="23" max="16384" width="9.140625" style="40"/>
  </cols>
  <sheetData>
    <row r="1" spans="1:22" ht="13.5" thickBot="1">
      <c r="A1" s="189">
        <v>1</v>
      </c>
      <c r="B1" s="337"/>
      <c r="C1" s="337"/>
      <c r="D1" s="46"/>
      <c r="E1" s="46"/>
      <c r="F1" s="46"/>
      <c r="G1" s="46"/>
      <c r="H1" s="46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9"/>
    </row>
    <row r="2" spans="1:22">
      <c r="A2" s="340"/>
      <c r="B2" s="337"/>
      <c r="C2" s="337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339"/>
    </row>
    <row r="3" spans="1:22">
      <c r="B3" s="2" t="s">
        <v>75</v>
      </c>
      <c r="C3" s="2"/>
      <c r="D3" s="46"/>
      <c r="E3" s="47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0"/>
    </row>
    <row r="4" spans="1:22">
      <c r="B4" s="2"/>
      <c r="C4" s="2"/>
      <c r="D4" s="46"/>
      <c r="E4" s="46"/>
      <c r="F4" s="46"/>
      <c r="G4" s="49"/>
      <c r="H4" s="46"/>
      <c r="I4" s="48"/>
      <c r="J4" s="48"/>
      <c r="K4" s="46"/>
      <c r="L4" s="48"/>
      <c r="M4" s="48"/>
      <c r="N4" s="46"/>
      <c r="O4" s="46"/>
      <c r="P4" s="46"/>
      <c r="Q4" s="46"/>
      <c r="R4" s="46"/>
      <c r="S4" s="46"/>
      <c r="T4" s="341" t="s">
        <v>76</v>
      </c>
    </row>
    <row r="5" spans="1:22">
      <c r="B5" s="341"/>
      <c r="C5" s="341"/>
      <c r="D5" s="341">
        <f>YEAR(D6)</f>
        <v>2022</v>
      </c>
      <c r="E5" s="341">
        <f>D5+1</f>
        <v>2023</v>
      </c>
      <c r="F5" s="341">
        <f t="shared" ref="F5:T5" si="0">E5+1</f>
        <v>2024</v>
      </c>
      <c r="G5" s="341">
        <f t="shared" si="0"/>
        <v>2025</v>
      </c>
      <c r="H5" s="341">
        <f t="shared" si="0"/>
        <v>2026</v>
      </c>
      <c r="I5" s="341">
        <f t="shared" si="0"/>
        <v>2027</v>
      </c>
      <c r="J5" s="341">
        <f t="shared" si="0"/>
        <v>2028</v>
      </c>
      <c r="K5" s="341">
        <f t="shared" si="0"/>
        <v>2029</v>
      </c>
      <c r="L5" s="341">
        <f t="shared" si="0"/>
        <v>2030</v>
      </c>
      <c r="M5" s="341">
        <f t="shared" si="0"/>
        <v>2031</v>
      </c>
      <c r="N5" s="341">
        <f t="shared" si="0"/>
        <v>2032</v>
      </c>
      <c r="O5" s="341">
        <f t="shared" si="0"/>
        <v>2033</v>
      </c>
      <c r="P5" s="341">
        <f t="shared" si="0"/>
        <v>2034</v>
      </c>
      <c r="Q5" s="341">
        <f t="shared" si="0"/>
        <v>2035</v>
      </c>
      <c r="R5" s="341">
        <f t="shared" si="0"/>
        <v>2036</v>
      </c>
      <c r="S5" s="341">
        <f t="shared" si="0"/>
        <v>2037</v>
      </c>
      <c r="T5" s="341">
        <f t="shared" si="0"/>
        <v>2038</v>
      </c>
    </row>
    <row r="6" spans="1:22" ht="15" customHeight="1">
      <c r="B6" s="50" t="s">
        <v>77</v>
      </c>
      <c r="C6" s="1333" t="s">
        <v>929</v>
      </c>
      <c r="D6" s="51">
        <f>Вводные!D4</f>
        <v>44593</v>
      </c>
      <c r="E6" s="51">
        <f>DATE(E5,1,1)</f>
        <v>44927</v>
      </c>
      <c r="F6" s="51">
        <f t="shared" ref="F6:T6" si="1">DATE(F5,1,1)</f>
        <v>45292</v>
      </c>
      <c r="G6" s="51">
        <f t="shared" si="1"/>
        <v>45658</v>
      </c>
      <c r="H6" s="51">
        <f t="shared" si="1"/>
        <v>46023</v>
      </c>
      <c r="I6" s="51">
        <f t="shared" si="1"/>
        <v>46388</v>
      </c>
      <c r="J6" s="51">
        <f t="shared" si="1"/>
        <v>46753</v>
      </c>
      <c r="K6" s="51">
        <f t="shared" si="1"/>
        <v>47119</v>
      </c>
      <c r="L6" s="51">
        <f t="shared" si="1"/>
        <v>47484</v>
      </c>
      <c r="M6" s="51">
        <f t="shared" si="1"/>
        <v>47849</v>
      </c>
      <c r="N6" s="51">
        <f t="shared" si="1"/>
        <v>48214</v>
      </c>
      <c r="O6" s="51">
        <f t="shared" si="1"/>
        <v>48580</v>
      </c>
      <c r="P6" s="51">
        <f t="shared" si="1"/>
        <v>48945</v>
      </c>
      <c r="Q6" s="51">
        <f t="shared" si="1"/>
        <v>49310</v>
      </c>
      <c r="R6" s="51">
        <f t="shared" si="1"/>
        <v>49675</v>
      </c>
      <c r="S6" s="51">
        <f t="shared" si="1"/>
        <v>50041</v>
      </c>
      <c r="T6" s="51">
        <f t="shared" si="1"/>
        <v>50406</v>
      </c>
    </row>
    <row r="7" spans="1:22" ht="15" customHeight="1">
      <c r="B7" s="50" t="s">
        <v>78</v>
      </c>
      <c r="C7" s="1333" t="s">
        <v>960</v>
      </c>
      <c r="D7" s="51">
        <f>DATE(D5,12,31)</f>
        <v>44926</v>
      </c>
      <c r="E7" s="51">
        <f>DATE(E5,12,31)</f>
        <v>45291</v>
      </c>
      <c r="F7" s="51">
        <f t="shared" ref="F7:T7" si="2">DATE(F5,12,31)</f>
        <v>45657</v>
      </c>
      <c r="G7" s="51">
        <f t="shared" si="2"/>
        <v>46022</v>
      </c>
      <c r="H7" s="51">
        <f t="shared" si="2"/>
        <v>46387</v>
      </c>
      <c r="I7" s="51">
        <f t="shared" si="2"/>
        <v>46752</v>
      </c>
      <c r="J7" s="51">
        <f t="shared" si="2"/>
        <v>47118</v>
      </c>
      <c r="K7" s="51">
        <f t="shared" si="2"/>
        <v>47483</v>
      </c>
      <c r="L7" s="51">
        <f t="shared" si="2"/>
        <v>47848</v>
      </c>
      <c r="M7" s="51">
        <f t="shared" si="2"/>
        <v>48213</v>
      </c>
      <c r="N7" s="51">
        <f t="shared" si="2"/>
        <v>48579</v>
      </c>
      <c r="O7" s="51">
        <f t="shared" si="2"/>
        <v>48944</v>
      </c>
      <c r="P7" s="51">
        <f t="shared" si="2"/>
        <v>49309</v>
      </c>
      <c r="Q7" s="51">
        <f t="shared" si="2"/>
        <v>49674</v>
      </c>
      <c r="R7" s="51">
        <f t="shared" si="2"/>
        <v>50040</v>
      </c>
      <c r="S7" s="51">
        <f t="shared" si="2"/>
        <v>50405</v>
      </c>
      <c r="T7" s="51">
        <f t="shared" si="2"/>
        <v>50770</v>
      </c>
    </row>
    <row r="8" spans="1:22" ht="15" customHeight="1">
      <c r="A8" s="1640" t="s">
        <v>621</v>
      </c>
      <c r="B8" s="50" t="s">
        <v>79</v>
      </c>
      <c r="C8" s="1333" t="s">
        <v>928</v>
      </c>
      <c r="D8" s="342">
        <f>D7-D6+1</f>
        <v>334</v>
      </c>
      <c r="E8" s="342">
        <f t="shared" ref="E8:T8" si="3">E7-E6+1</f>
        <v>365</v>
      </c>
      <c r="F8" s="342">
        <f t="shared" si="3"/>
        <v>366</v>
      </c>
      <c r="G8" s="342">
        <f t="shared" si="3"/>
        <v>365</v>
      </c>
      <c r="H8" s="342">
        <f t="shared" si="3"/>
        <v>365</v>
      </c>
      <c r="I8" s="342">
        <f t="shared" si="3"/>
        <v>365</v>
      </c>
      <c r="J8" s="342">
        <f t="shared" si="3"/>
        <v>366</v>
      </c>
      <c r="K8" s="342">
        <f t="shared" si="3"/>
        <v>365</v>
      </c>
      <c r="L8" s="342">
        <f t="shared" si="3"/>
        <v>365</v>
      </c>
      <c r="M8" s="342">
        <f t="shared" si="3"/>
        <v>365</v>
      </c>
      <c r="N8" s="342">
        <f t="shared" si="3"/>
        <v>366</v>
      </c>
      <c r="O8" s="342">
        <f t="shared" si="3"/>
        <v>365</v>
      </c>
      <c r="P8" s="342">
        <f t="shared" si="3"/>
        <v>365</v>
      </c>
      <c r="Q8" s="342">
        <f t="shared" si="3"/>
        <v>365</v>
      </c>
      <c r="R8" s="342">
        <f t="shared" si="3"/>
        <v>366</v>
      </c>
      <c r="S8" s="342">
        <f t="shared" si="3"/>
        <v>365</v>
      </c>
      <c r="T8" s="342">
        <f t="shared" si="3"/>
        <v>365</v>
      </c>
    </row>
    <row r="9" spans="1:22" s="114" customFormat="1">
      <c r="B9" s="343" t="s">
        <v>916</v>
      </c>
      <c r="C9" s="53"/>
      <c r="D9" s="344"/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V9" s="341" t="s">
        <v>1313</v>
      </c>
    </row>
    <row r="10" spans="1:22">
      <c r="A10" s="1639">
        <f>C10/Объекты!F11</f>
        <v>23959266.667913161</v>
      </c>
      <c r="B10" s="346" t="s">
        <v>799</v>
      </c>
      <c r="C10" s="53">
        <f t="shared" ref="C10:C15" si="4">SUM(D10:S10)</f>
        <v>13393230067.363457</v>
      </c>
      <c r="D10" s="55">
        <f>IFERROR(LOOKUP(D5,СВОД_PL!$D$3:$T$3,СВОД_PL!$D$71:$T$71),0)</f>
        <v>0</v>
      </c>
      <c r="E10" s="55">
        <f>IFERROR(LOOKUP(E5,СВОД_PL!$D$3:$T$3,СВОД_PL!$D$71:$T$71),0)</f>
        <v>0</v>
      </c>
      <c r="F10" s="55">
        <f>IFERROR(LOOKUP(F5,СВОД_PL!$D$3:$T$3,СВОД_PL!$D$71:$T$71),0)</f>
        <v>0</v>
      </c>
      <c r="G10" s="55">
        <f>IFERROR(LOOKUP(G5,СВОД_PL!$D$3:$T$3,СВОД_PL!$D$71:$T$71),0)</f>
        <v>158210529.79225972</v>
      </c>
      <c r="H10" s="55">
        <f>IFERROR(LOOKUP(H5,СВОД_PL!$D$3:$T$3,СВОД_PL!$D$71:$T$71),0)</f>
        <v>552557015.26813841</v>
      </c>
      <c r="I10" s="55">
        <f>IFERROR(LOOKUP(I5,СВОД_PL!$D$3:$T$3,СВОД_PL!$D$71:$T$71),0)</f>
        <v>870884090.18437552</v>
      </c>
      <c r="J10" s="55">
        <f>IFERROR(LOOKUP(J5,СВОД_PL!$D$3:$T$3,СВОД_PL!$D$71:$T$71),0)</f>
        <v>883589846.7302649</v>
      </c>
      <c r="K10" s="55">
        <f>IFERROR(LOOKUP(K5,СВОД_PL!$D$3:$T$3,СВОД_PL!$D$71:$T$71),0)</f>
        <v>1007699363.6855656</v>
      </c>
      <c r="L10" s="55">
        <f>IFERROR(LOOKUP(L5,СВОД_PL!$D$3:$T$3,СВОД_PL!$D$71:$T$71),0)</f>
        <v>1103079430.1800222</v>
      </c>
      <c r="M10" s="55">
        <f>IFERROR(LOOKUP(M5,СВОД_PL!$D$3:$T$3,СВОД_PL!$D$71:$T$71),0)</f>
        <v>1137584760.5151567</v>
      </c>
      <c r="N10" s="55">
        <f>IFERROR(LOOKUP(N5,СВОД_PL!$D$3:$T$3,СВОД_PL!$D$71:$T$71),0)</f>
        <v>1187374799.0061629</v>
      </c>
      <c r="O10" s="55">
        <f>IFERROR(LOOKUP(O5,СВОД_PL!$D$3:$T$3,СВОД_PL!$D$71:$T$71),0)</f>
        <v>1232461354.6755526</v>
      </c>
      <c r="P10" s="55">
        <f>IFERROR(LOOKUP(P5,СВОД_PL!$D$3:$T$3,СВОД_PL!$D$71:$T$71),0)</f>
        <v>1282738525.4864912</v>
      </c>
      <c r="Q10" s="55">
        <f>IFERROR(LOOKUP(Q5,СВОД_PL!$D$3:$T$3,СВОД_PL!$D$71:$T$71),0)</f>
        <v>1309850493.1139464</v>
      </c>
      <c r="R10" s="55">
        <f>IFERROR(LOOKUP(R5,СВОД_PL!$D$3:$T$3,СВОД_PL!$D$71:$T$71),0)</f>
        <v>1305040822.5922141</v>
      </c>
      <c r="S10" s="55">
        <f>IFERROR(LOOKUP(S5,СВОД_PL!$D$3:$T$3,СВОД_PL!$D$71:$T$71),0)</f>
        <v>1362159036.1333063</v>
      </c>
      <c r="T10" s="55">
        <f>IFERROR(LOOKUP(T5,СВОД_PL!$D$3:$T$3,СВОД_PL!$D$71:$T$71),0)</f>
        <v>1425358939.4606533</v>
      </c>
      <c r="V10" s="1440"/>
    </row>
    <row r="11" spans="1:22">
      <c r="A11" s="345"/>
      <c r="B11" s="346" t="s">
        <v>290</v>
      </c>
      <c r="C11" s="53">
        <f t="shared" si="4"/>
        <v>450633020.07185292</v>
      </c>
      <c r="D11" s="55">
        <f>IFERROR(LOOKUP(D5,Ресторан!5:5,Ресторан!76:76),0)</f>
        <v>0</v>
      </c>
      <c r="E11" s="55">
        <f>IFERROR(LOOKUP(E5,Ресторан!5:5,Ресторан!76:76),0)</f>
        <v>0</v>
      </c>
      <c r="F11" s="55">
        <f>IFERROR(LOOKUP(F5,Ресторан!5:5,Ресторан!76:76),0)</f>
        <v>0</v>
      </c>
      <c r="G11" s="55">
        <f>IFERROR(LOOKUP(G5,Ресторан!5:5,Ресторан!76:76),0)</f>
        <v>3245815.8633571696</v>
      </c>
      <c r="H11" s="55">
        <f>IFERROR(LOOKUP(H5,Ресторан!5:5,Ресторан!76:76),0)</f>
        <v>23501214.894560173</v>
      </c>
      <c r="I11" s="55">
        <f>IFERROR(LOOKUP(I5,Ресторан!5:5,Ресторан!76:76),0)</f>
        <v>28570794.914055735</v>
      </c>
      <c r="J11" s="55">
        <f>IFERROR(LOOKUP(J5,Ресторан!5:5,Ресторан!76:76),0)</f>
        <v>31519834.034922481</v>
      </c>
      <c r="K11" s="55">
        <f>IFERROR(LOOKUP(K5,Ресторан!5:5,Ресторан!76:76),0)</f>
        <v>33982989.043950051</v>
      </c>
      <c r="L11" s="55">
        <f>IFERROR(LOOKUP(L5,Ресторан!5:5,Ресторан!76:76),0)</f>
        <v>35750599.01274842</v>
      </c>
      <c r="M11" s="55">
        <f>IFERROR(LOOKUP(M5,Ресторан!5:5,Ресторан!76:76),0)</f>
        <v>37180622.973258346</v>
      </c>
      <c r="N11" s="55">
        <f>IFERROR(LOOKUP(N5,Ресторан!5:5,Ресторан!76:76),0)</f>
        <v>38851391.229823291</v>
      </c>
      <c r="O11" s="55">
        <f>IFERROR(LOOKUP(O5,Ресторан!5:5,Ресторан!76:76),0)</f>
        <v>40214561.807876229</v>
      </c>
      <c r="P11" s="55">
        <f>IFERROR(LOOKUP(P5,Ресторан!5:5,Ресторан!76:76),0)</f>
        <v>41823144.280191272</v>
      </c>
      <c r="Q11" s="55">
        <f>IFERROR(LOOKUP(Q5,Ресторан!5:5,Ресторан!76:76),0)</f>
        <v>43496070.051398933</v>
      </c>
      <c r="R11" s="55">
        <f>IFERROR(LOOKUP(R5,Ресторан!5:5,Ресторан!76:76),0)</f>
        <v>45450632.598117739</v>
      </c>
      <c r="S11" s="55">
        <f>IFERROR(LOOKUP(S5,Ресторан!5:5,Ресторан!76:76),0)</f>
        <v>47045349.36759308</v>
      </c>
      <c r="T11" s="55">
        <f>IFERROR(LOOKUP(T5,Ресторан!5:5,Ресторан!76:76),0)</f>
        <v>48927163.342296809</v>
      </c>
    </row>
    <row r="12" spans="1:22">
      <c r="A12" s="345"/>
      <c r="B12" s="346" t="s">
        <v>984</v>
      </c>
      <c r="C12" s="53">
        <f t="shared" si="4"/>
        <v>681553135.47731745</v>
      </c>
      <c r="D12" s="55">
        <f>IFERROR(LOOKUP(D5,Retail!21:21,Retail!49:49),0)</f>
        <v>0</v>
      </c>
      <c r="E12" s="55">
        <f>IFERROR(LOOKUP(E5,Retail!21:21,Retail!49:49),0)</f>
        <v>0</v>
      </c>
      <c r="F12" s="55">
        <f>IFERROR(LOOKUP(F5,Retail!21:21,Retail!49:49),0)</f>
        <v>0</v>
      </c>
      <c r="G12" s="55">
        <f>IFERROR(LOOKUP(G5,Retail!21:21,Retail!49:49),0)</f>
        <v>12893463.107724277</v>
      </c>
      <c r="H12" s="55">
        <f>IFERROR(LOOKUP(H5,Retail!21:21,Retail!49:49),0)</f>
        <v>34263065.707600251</v>
      </c>
      <c r="I12" s="55">
        <f>IFERROR(LOOKUP(I5,Retail!21:21,Retail!49:49),0)</f>
        <v>40583044.874927692</v>
      </c>
      <c r="J12" s="55">
        <f>IFERROR(LOOKUP(J5,Retail!21:21,Retail!49:49),0)</f>
        <v>49459292.317286514</v>
      </c>
      <c r="K12" s="55">
        <f>IFERROR(LOOKUP(K5,Retail!21:21,Retail!49:49),0)</f>
        <v>51437664.009977981</v>
      </c>
      <c r="L12" s="55">
        <f>IFERROR(LOOKUP(L5,Retail!21:21,Retail!49:49),0)</f>
        <v>53495170.570377104</v>
      </c>
      <c r="M12" s="55">
        <f>IFERROR(LOOKUP(M5,Retail!21:21,Retail!49:49),0)</f>
        <v>55634977.393192194</v>
      </c>
      <c r="N12" s="55">
        <f>IFERROR(LOOKUP(N5,Retail!21:21,Retail!49:49),0)</f>
        <v>57860376.488919884</v>
      </c>
      <c r="O12" s="55">
        <f>IFERROR(LOOKUP(O5,Retail!21:21,Retail!49:49),0)</f>
        <v>60174791.548476681</v>
      </c>
      <c r="P12" s="55">
        <f>IFERROR(LOOKUP(P5,Retail!21:21,Retail!49:49),0)</f>
        <v>62581783.210415743</v>
      </c>
      <c r="Q12" s="55">
        <f>IFERROR(LOOKUP(Q5,Retail!21:21,Retail!49:49),0)</f>
        <v>65085054.538832374</v>
      </c>
      <c r="R12" s="55">
        <f>IFERROR(LOOKUP(R5,Retail!21:21,Retail!49:49),0)</f>
        <v>67688456.720385671</v>
      </c>
      <c r="S12" s="55">
        <f>IFERROR(LOOKUP(S5,Retail!21:21,Retail!49:49),0)</f>
        <v>70395994.989201099</v>
      </c>
      <c r="T12" s="55">
        <f>IFERROR(LOOKUP(T5,Retail!21:21,Retail!49:49),0)</f>
        <v>73211834.788769156</v>
      </c>
    </row>
    <row r="13" spans="1:22">
      <c r="A13" s="345"/>
      <c r="B13" s="346" t="s">
        <v>955</v>
      </c>
      <c r="C13" s="53">
        <f t="shared" si="4"/>
        <v>54351311.166024879</v>
      </c>
      <c r="D13" s="55">
        <f>IFERROR(LOOKUP(D5,Паркинг_PL!$34:$34,Паркинг_PL!42:42),0)</f>
        <v>0</v>
      </c>
      <c r="E13" s="55">
        <f>IFERROR(LOOKUP(E5,Паркинг_PL!$34:$34,Паркинг_PL!42:42),0)</f>
        <v>0</v>
      </c>
      <c r="F13" s="55">
        <f>IFERROR(LOOKUP(F5,Паркинг_PL!$34:$34,Паркинг_PL!42:42),0)</f>
        <v>0</v>
      </c>
      <c r="G13" s="55">
        <f>IFERROR(LOOKUP(G5,Паркинг_PL!$34:$34,Паркинг_PL!42:42),0)</f>
        <v>61355.329862453858</v>
      </c>
      <c r="H13" s="55">
        <f>IFERROR(LOOKUP(H5,Паркинг_PL!$34:$34,Паркинг_PL!42:42),0)</f>
        <v>1817120.2938100826</v>
      </c>
      <c r="I13" s="55">
        <f>IFERROR(LOOKUP(I5,Паркинг_PL!$34:$34,Паркинг_PL!42:42),0)</f>
        <v>2744823.9431981985</v>
      </c>
      <c r="J13" s="55">
        <f>IFERROR(LOOKUP(J5,Паркинг_PL!$34:$34,Паркинг_PL!42:42),0)</f>
        <v>3711644.8529751915</v>
      </c>
      <c r="K13" s="55">
        <f>IFERROR(LOOKUP(K5,Паркинг_PL!$34:$34,Паркинг_PL!42:42),0)</f>
        <v>4293855.2693837173</v>
      </c>
      <c r="L13" s="55">
        <f>IFERROR(LOOKUP(L5,Паркинг_PL!$34:$34,Паркинг_PL!42:42),0)</f>
        <v>4531205.9019108368</v>
      </c>
      <c r="M13" s="55">
        <f>IFERROR(LOOKUP(M5,Паркинг_PL!$34:$34,Паркинг_PL!42:42),0)</f>
        <v>4712454.1379872691</v>
      </c>
      <c r="N13" s="55">
        <f>IFERROR(LOOKUP(N5,Паркинг_PL!$34:$34,Паркинг_PL!42:42),0)</f>
        <v>4914379.5700917104</v>
      </c>
      <c r="O13" s="55">
        <f>IFERROR(LOOKUP(O5,Паркинг_PL!$34:$34,Паркинг_PL!42:42),0)</f>
        <v>5096990.3956470285</v>
      </c>
      <c r="P13" s="55">
        <f>IFERROR(LOOKUP(P5,Паркинг_PL!$34:$34,Паркинг_PL!42:42),0)</f>
        <v>5300870.0114729097</v>
      </c>
      <c r="Q13" s="55">
        <f>IFERROR(LOOKUP(Q5,Паркинг_PL!$34:$34,Паркинг_PL!42:42),0)</f>
        <v>5512904.8119318262</v>
      </c>
      <c r="R13" s="55">
        <f>IFERROR(LOOKUP(R5,Паркинг_PL!$34:$34,Паркинг_PL!42:42),0)</f>
        <v>5749129.0071609039</v>
      </c>
      <c r="S13" s="55">
        <f>IFERROR(LOOKUP(S5,Паркинг_PL!$34:$34,Паркинг_PL!42:42),0)</f>
        <v>5904577.6405927502</v>
      </c>
      <c r="T13" s="55">
        <f>IFERROR(LOOKUP(T5,Паркинг_PL!$34:$34,Паркинг_PL!42:42),0)</f>
        <v>5904577.6405927502</v>
      </c>
      <c r="V13" s="1654">
        <f>SUMPRODUCT(G12:S12,G67:S67)+SUMPRODUCT(G11:S11,G67:S67)+SUMPRODUCT(G13:S13,G67:S67)+SUMPRODUCT(G10:S10,G67:S67)</f>
        <v>3165404115.8929806</v>
      </c>
    </row>
    <row r="14" spans="1:22">
      <c r="A14" s="1639">
        <f>C14/Объекты!F13</f>
        <v>10248038.026158901</v>
      </c>
      <c r="B14" s="346" t="s">
        <v>917</v>
      </c>
      <c r="C14" s="53">
        <f t="shared" si="4"/>
        <v>3945494640.0711765</v>
      </c>
      <c r="D14" s="55">
        <f>IFERROR(SUMIF(ПРОДАЖА_lease_back!$8:$8,D5,ПРОДАЖА_lease_back!$41:$41),0)</f>
        <v>0</v>
      </c>
      <c r="E14" s="55">
        <f>IFERROR(SUMIF(ПРОДАЖА_lease_back!$8:$8,E5,ПРОДАЖА_lease_back!$41:$41),0)</f>
        <v>0</v>
      </c>
      <c r="F14" s="55">
        <f>IFERROR(SUMIF(ПРОДАЖА_lease_back!$8:$8,F5,ПРОДАЖА_lease_back!$41:$41),0)</f>
        <v>0</v>
      </c>
      <c r="G14" s="55">
        <f>IFERROR(SUMIF(ПРОДАЖА_lease_back!$8:$8,G5,ПРОДАЖА_lease_back!$41:$41),0)</f>
        <v>0</v>
      </c>
      <c r="H14" s="55">
        <f>IFERROR(SUMIF(ПРОДАЖА_lease_back!$8:$8,H5,ПРОДАЖА_lease_back!$41:$41),0)</f>
        <v>923235527.00585496</v>
      </c>
      <c r="I14" s="55">
        <f>IFERROR(SUMIF(ПРОДАЖА_lease_back!$8:$8,I5,ПРОДАЖА_lease_back!$41:$41),0)</f>
        <v>1585786864.0079327</v>
      </c>
      <c r="J14" s="55">
        <f>IFERROR(SUMIF(ПРОДАЖА_lease_back!$8:$8,J5,ПРОДАЖА_lease_back!$41:$41),0)</f>
        <v>1436472249.057389</v>
      </c>
      <c r="K14" s="55">
        <f>IFERROR(SUMIF(ПРОДАЖА_lease_back!$8:$8,K5,ПРОДАЖА_lease_back!$41:$41),0)</f>
        <v>0</v>
      </c>
      <c r="L14" s="55">
        <f>IFERROR(SUMIF(ПРОДАЖА_lease_back!$8:$8,L5,ПРОДАЖА_lease_back!$41:$41),0)</f>
        <v>0</v>
      </c>
      <c r="M14" s="55">
        <f>IFERROR(SUMIF(ПРОДАЖА_lease_back!$8:$8,M5,ПРОДАЖА_lease_back!$41:$41),0)</f>
        <v>0</v>
      </c>
      <c r="N14" s="55">
        <f>IFERROR(SUMIF(ПРОДАЖА_lease_back!$8:$8,N5,ПРОДАЖА_lease_back!$41:$41),0)</f>
        <v>0</v>
      </c>
      <c r="O14" s="55">
        <f>IFERROR(SUMIF(ПРОДАЖА_lease_back!$8:$8,O5,ПРОДАЖА_lease_back!$41:$41),0)</f>
        <v>0</v>
      </c>
      <c r="P14" s="55">
        <f>IFERROR(SUMIF(ПРОДАЖА_lease_back!$8:$8,P5,ПРОДАЖА_lease_back!$41:$41),0)</f>
        <v>0</v>
      </c>
      <c r="Q14" s="55">
        <f>IFERROR(SUMIF(ПРОДАЖА_lease_back!$8:$8,Q5,ПРОДАЖА_lease_back!$41:$41),0)</f>
        <v>0</v>
      </c>
      <c r="R14" s="55">
        <f>IFERROR(SUMIF(ПРОДАЖА_lease_back!$8:$8,R5,ПРОДАЖА_lease_back!$41:$41),0)</f>
        <v>0</v>
      </c>
      <c r="S14" s="55">
        <f>IFERROR(SUMIF(ПРОДАЖА_lease_back!$8:$8,S5,ПРОДАЖА_lease_back!$41:$41),0)</f>
        <v>0</v>
      </c>
      <c r="T14" s="55">
        <f>IFERROR(SUMIF(ПРОДАЖА_lease_back!$8:$8,T5,ПРОДАЖА_lease_back!$41:$41),0)</f>
        <v>0</v>
      </c>
      <c r="V14" s="1654">
        <f>SUMPRODUCT(D14:S14,$D$67:$S$67)</f>
        <v>1641669709.886663</v>
      </c>
    </row>
    <row r="15" spans="1:22" s="146" customFormat="1">
      <c r="A15" s="40"/>
      <c r="B15" s="347" t="s">
        <v>441</v>
      </c>
      <c r="C15" s="53">
        <f t="shared" si="4"/>
        <v>18525262174.14983</v>
      </c>
      <c r="D15" s="348">
        <f>SUM(D10:D14)</f>
        <v>0</v>
      </c>
      <c r="E15" s="348">
        <f>SUM(E10:E14)</f>
        <v>0</v>
      </c>
      <c r="F15" s="348">
        <f>SUM(F10:F14)</f>
        <v>0</v>
      </c>
      <c r="G15" s="348">
        <f>SUM(G10:G14)</f>
        <v>174411164.0932036</v>
      </c>
      <c r="H15" s="348">
        <f>SUM(H10:H14)</f>
        <v>1535373943.1699638</v>
      </c>
      <c r="I15" s="348">
        <f t="shared" ref="I15:T15" si="5">SUM(I10:I14)</f>
        <v>2528569617.92449</v>
      </c>
      <c r="J15" s="348">
        <f t="shared" si="5"/>
        <v>2404752866.9928379</v>
      </c>
      <c r="K15" s="348">
        <f t="shared" si="5"/>
        <v>1097413872.0088773</v>
      </c>
      <c r="L15" s="348">
        <f t="shared" si="5"/>
        <v>1196856405.6650586</v>
      </c>
      <c r="M15" s="348">
        <f t="shared" si="5"/>
        <v>1235112815.0195947</v>
      </c>
      <c r="N15" s="348">
        <f t="shared" si="5"/>
        <v>1289000946.2949979</v>
      </c>
      <c r="O15" s="348">
        <f t="shared" si="5"/>
        <v>1337947698.4275527</v>
      </c>
      <c r="P15" s="348">
        <f t="shared" si="5"/>
        <v>1392444322.9885712</v>
      </c>
      <c r="Q15" s="348">
        <f t="shared" si="5"/>
        <v>1423944522.5161097</v>
      </c>
      <c r="R15" s="348">
        <f t="shared" si="5"/>
        <v>1423929040.9178784</v>
      </c>
      <c r="S15" s="348">
        <f t="shared" si="5"/>
        <v>1485504958.1306932</v>
      </c>
      <c r="T15" s="348">
        <f t="shared" si="5"/>
        <v>1553402515.2323122</v>
      </c>
    </row>
    <row r="16" spans="1:22">
      <c r="B16" s="349" t="s">
        <v>442</v>
      </c>
      <c r="C16" s="53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</row>
    <row r="17" spans="1:22">
      <c r="B17" s="60" t="s">
        <v>630</v>
      </c>
      <c r="C17" s="53"/>
      <c r="D17" s="350">
        <f>-LOOKUP(D$5,'Курорт-расходы'!$10:$10,'Курорт-расходы'!21:21)</f>
        <v>0</v>
      </c>
      <c r="E17" s="350">
        <f>-LOOKUP(E$5,'Курорт-расходы'!$10:$10,'Курорт-расходы'!21:21)</f>
        <v>0</v>
      </c>
      <c r="F17" s="350">
        <f>-LOOKUP(F$5,'Курорт-расходы'!$10:$10,'Курорт-расходы'!21:21)</f>
        <v>0</v>
      </c>
      <c r="G17" s="350">
        <f>-LOOKUP(G$5,'Курорт-расходы'!$10:$10,'Курорт-расходы'!21:21)</f>
        <v>-29183266.110846408</v>
      </c>
      <c r="H17" s="350">
        <f>-LOOKUP(H$5,'Курорт-расходы'!$10:$10,'Курорт-расходы'!21:21)</f>
        <v>-35884076.502210066</v>
      </c>
      <c r="I17" s="350">
        <f>-LOOKUP(I$5,'Курорт-расходы'!$10:$10,'Курорт-расходы'!21:21)</f>
        <v>-39746300.479172073</v>
      </c>
      <c r="J17" s="350">
        <f>-LOOKUP(J$5,'Курорт-расходы'!$10:$10,'Курорт-расходы'!21:21)</f>
        <v>-40076614.166847669</v>
      </c>
      <c r="K17" s="350">
        <f>-LOOKUP(K$5,'Курорт-расходы'!$10:$10,'Курорт-расходы'!21:21)</f>
        <v>-42181946.451720923</v>
      </c>
      <c r="L17" s="350">
        <f>-LOOKUP(L$5,'Курорт-расходы'!$10:$10,'Курорт-расходы'!21:21)</f>
        <v>-44220861.644703731</v>
      </c>
      <c r="M17" s="350">
        <f>-LOOKUP(M$5,'Курорт-расходы'!$10:$10,'Курорт-расходы'!21:21)</f>
        <v>-45989696.110491887</v>
      </c>
      <c r="N17" s="350">
        <f>-LOOKUP(N$5,'Курорт-расходы'!$10:$10,'Курорт-расходы'!21:21)</f>
        <v>-47867980.56310527</v>
      </c>
      <c r="O17" s="350">
        <f>-LOOKUP(O$5,'Курорт-расходы'!$10:$10,'Курорт-расходы'!21:21)</f>
        <v>-49742455.31310802</v>
      </c>
      <c r="P17" s="350">
        <f>-LOOKUP(P$5,'Курорт-расходы'!$10:$10,'Курорт-расходы'!21:21)</f>
        <v>-51732153.525632352</v>
      </c>
      <c r="Q17" s="350">
        <f>-LOOKUP(Q$5,'Курорт-расходы'!$10:$10,'Курорт-расходы'!21:21)</f>
        <v>-53801439.666657649</v>
      </c>
      <c r="R17" s="350">
        <f>-LOOKUP(R$5,'Курорт-расходы'!$10:$10,'Курорт-расходы'!21:21)</f>
        <v>-55998766.811662316</v>
      </c>
      <c r="S17" s="350">
        <f>-LOOKUP(S$5,'Курорт-расходы'!$10:$10,'Курорт-расходы'!21:21)</f>
        <v>-58191637.143456906</v>
      </c>
      <c r="T17" s="350">
        <f>-LOOKUP(T$5,'Курорт-расходы'!$10:$10,'Курорт-расходы'!21:21)</f>
        <v>-60519302.629195191</v>
      </c>
    </row>
    <row r="18" spans="1:22">
      <c r="B18" s="60" t="s">
        <v>631</v>
      </c>
      <c r="C18" s="53"/>
      <c r="D18" s="350">
        <f>-LOOKUP(D$5,'Курорт-расходы'!$10:$10,'Курорт-расходы'!22:22)</f>
        <v>0</v>
      </c>
      <c r="E18" s="350">
        <f>-LOOKUP(E$5,'Курорт-расходы'!$10:$10,'Курорт-расходы'!22:22)</f>
        <v>0</v>
      </c>
      <c r="F18" s="350">
        <f>-LOOKUP(F$5,'Курорт-расходы'!$10:$10,'Курорт-расходы'!22:22)</f>
        <v>0</v>
      </c>
      <c r="G18" s="350">
        <f>-LOOKUP(G$5,'Курорт-расходы'!$10:$10,'Курорт-расходы'!28:28)</f>
        <v>-16414221.638076011</v>
      </c>
      <c r="H18" s="350">
        <f>-LOOKUP(H$5,'Курорт-расходы'!$10:$10,'Курорт-расходы'!28:28)</f>
        <v>-23176155.324398424</v>
      </c>
      <c r="I18" s="350">
        <f>-LOOKUP(I$5,'Курорт-расходы'!$10:$10,'Курорт-расходы'!28:28)</f>
        <v>-32341120.393599927</v>
      </c>
      <c r="J18" s="350">
        <f>-LOOKUP(J$5,'Курорт-расходы'!$10:$10,'Курорт-расходы'!28:28)</f>
        <v>-33547510.881104767</v>
      </c>
      <c r="K18" s="350">
        <f>-LOOKUP(K$5,'Курорт-расходы'!$10:$10,'Курорт-расходы'!28:28)</f>
        <v>-36005561.801236406</v>
      </c>
      <c r="L18" s="350">
        <f>-LOOKUP(L$5,'Курорт-расходы'!$10:$10,'Курорт-расходы'!28:28)</f>
        <v>-38227200.573094688</v>
      </c>
      <c r="M18" s="350">
        <f>-LOOKUP(M$5,'Курорт-расходы'!$10:$10,'Курорт-расходы'!28:28)</f>
        <v>-39756288.596018478</v>
      </c>
      <c r="N18" s="350">
        <f>-LOOKUP(N$5,'Курорт-расходы'!$10:$10,'Курорт-расходы'!28:28)</f>
        <v>-41432532.602511898</v>
      </c>
      <c r="O18" s="350">
        <f>-LOOKUP(O$5,'Курорт-расходы'!$10:$10,'Курорт-расходы'!28:28)</f>
        <v>-43000401.745453589</v>
      </c>
      <c r="P18" s="350">
        <f>-LOOKUP(P$5,'Курорт-расходы'!$10:$10,'Курорт-расходы'!28:28)</f>
        <v>-44720417.815271735</v>
      </c>
      <c r="Q18" s="350">
        <f>-LOOKUP(Q$5,'Курорт-расходы'!$10:$10,'Курорт-расходы'!28:28)</f>
        <v>-46509234.527882606</v>
      </c>
      <c r="R18" s="350">
        <f>-LOOKUP(R$5,'Курорт-расходы'!$10:$10,'Курорт-расходы'!28:28)</f>
        <v>-48470202.927527621</v>
      </c>
      <c r="S18" s="350">
        <f>-LOOKUP(S$5,'Курорт-расходы'!$10:$10,'Курорт-расходы'!28:28)</f>
        <v>-50304388.065357827</v>
      </c>
      <c r="T18" s="350">
        <f>-LOOKUP(T$5,'Курорт-расходы'!$10:$10,'Курорт-расходы'!28:28)</f>
        <v>-52316563.587972142</v>
      </c>
    </row>
    <row r="19" spans="1:22">
      <c r="B19" s="60" t="s">
        <v>537</v>
      </c>
      <c r="C19" s="53"/>
      <c r="D19" s="350">
        <f>-LOOKUP(D$5,'Курорт-расходы'!$10:$10,'Курорт-расходы'!23:23)</f>
        <v>0</v>
      </c>
      <c r="E19" s="350">
        <f>-LOOKUP(E$5,'Курорт-расходы'!$10:$10,'Курорт-расходы'!23:23)</f>
        <v>0</v>
      </c>
      <c r="F19" s="350">
        <f>-LOOKUP(F$5,'Курорт-расходы'!$10:$10,'Курорт-расходы'!23:23)</f>
        <v>0</v>
      </c>
      <c r="G19" s="350">
        <f>-LOOKUP(G$5,'Курорт-расходы'!$10:$10,'Курорт-расходы'!35:35)</f>
        <v>-20222371.806874014</v>
      </c>
      <c r="H19" s="350">
        <f>-LOOKUP(H$5,'Курорт-расходы'!$10:$10,'Курорт-расходы'!35:35)</f>
        <v>-27252648.284957722</v>
      </c>
      <c r="I19" s="350">
        <f>-LOOKUP(I$5,'Курорт-расходы'!$10:$10,'Курорт-расходы'!35:35)</f>
        <v>-28505888.7134507</v>
      </c>
      <c r="J19" s="350">
        <f>-LOOKUP(J$5,'Курорт-расходы'!$10:$10,'Курорт-расходы'!35:35)</f>
        <v>-28364772.348437648</v>
      </c>
      <c r="K19" s="350">
        <f>-LOOKUP(K$5,'Курорт-расходы'!$10:$10,'Курорт-расходы'!35:35)</f>
        <v>-30280668.58179637</v>
      </c>
      <c r="L19" s="350">
        <f>-LOOKUP(L$5,'Курорт-расходы'!$10:$10,'Курорт-расходы'!35:35)</f>
        <v>-32038886.734934404</v>
      </c>
      <c r="M19" s="350">
        <f>-LOOKUP(M$5,'Курорт-расходы'!$10:$10,'Курорт-расходы'!35:35)</f>
        <v>-33320442.204331782</v>
      </c>
      <c r="N19" s="350">
        <f>-LOOKUP(N$5,'Курорт-расходы'!$10:$10,'Курорт-расходы'!35:35)</f>
        <v>-34713454.616361931</v>
      </c>
      <c r="O19" s="350">
        <f>-LOOKUP(O$5,'Курорт-расходы'!$10:$10,'Курорт-расходы'!35:35)</f>
        <v>-36039390.288205259</v>
      </c>
      <c r="P19" s="350">
        <f>-LOOKUP(P$5,'Курорт-расходы'!$10:$10,'Курорт-расходы'!35:35)</f>
        <v>-37480965.899733469</v>
      </c>
      <c r="Q19" s="350">
        <f>-LOOKUP(Q$5,'Курорт-расходы'!$10:$10,'Курорт-расходы'!35:35)</f>
        <v>-38980204.535722807</v>
      </c>
      <c r="R19" s="350">
        <f>-LOOKUP(R$5,'Курорт-расходы'!$10:$10,'Курорт-расходы'!35:35)</f>
        <v>-40609832.030122519</v>
      </c>
      <c r="S19" s="350">
        <f>-LOOKUP(S$5,'Курорт-расходы'!$10:$10,'Курорт-расходы'!35:35)</f>
        <v>-42160989.225837797</v>
      </c>
      <c r="T19" s="350">
        <f>-LOOKUP(T$5,'Курорт-расходы'!$10:$10,'Курорт-расходы'!35:35)</f>
        <v>-43847428.7948713</v>
      </c>
      <c r="U19" s="352"/>
      <c r="V19" s="352"/>
    </row>
    <row r="20" spans="1:22">
      <c r="B20" s="60" t="s">
        <v>900</v>
      </c>
      <c r="C20" s="53"/>
      <c r="D20" s="350">
        <f>-LOOKUP(D$5,'Курорт-расходы'!$10:$10,'Курорт-расходы'!24:24)</f>
        <v>0</v>
      </c>
      <c r="E20" s="350">
        <f>-LOOKUP(E$5,'Курорт-расходы'!$10:$10,'Курорт-расходы'!24:24)</f>
        <v>0</v>
      </c>
      <c r="F20" s="350">
        <f>-LOOKUP(F$5,'Курорт-расходы'!$10:$10,'Курорт-расходы'!24:24)</f>
        <v>0</v>
      </c>
      <c r="G20" s="350">
        <f>-LOOKUP(G$5,'Курорт-расходы'!$10:$10,'Курорт-расходы'!42:42)</f>
        <v>-2052354.6568790022</v>
      </c>
      <c r="H20" s="350">
        <f>-LOOKUP(H$5,'Курорт-расходы'!$10:$10,'Курорт-расходы'!42:42)</f>
        <v>-8135088.9963422352</v>
      </c>
      <c r="I20" s="350">
        <f>-LOOKUP(I$5,'Курорт-расходы'!$10:$10,'Курорт-расходы'!42:42)</f>
        <v>-11733402.728689115</v>
      </c>
      <c r="J20" s="350">
        <f>-LOOKUP(J$5,'Курорт-расходы'!$10:$10,'Курорт-расходы'!42:42)</f>
        <v>-12159111.6737171</v>
      </c>
      <c r="K20" s="350">
        <f>-LOOKUP(K$5,'Курорт-расходы'!$10:$10,'Курорт-расходы'!42:42)</f>
        <v>-13203551.38310951</v>
      </c>
      <c r="L20" s="350">
        <f>-LOOKUP(L$5,'Курорт-расходы'!$10:$10,'Курорт-расходы'!42:42)</f>
        <v>-14122401.588338301</v>
      </c>
      <c r="M20" s="350">
        <f>-LOOKUP(M$5,'Курорт-расходы'!$10:$10,'Курорт-расходы'!42:42)</f>
        <v>-14687297.651871834</v>
      </c>
      <c r="N20" s="350">
        <f>-LOOKUP(N$5,'Курорт-расходы'!$10:$10,'Курорт-расходы'!42:42)</f>
        <v>-15317785.789273046</v>
      </c>
      <c r="O20" s="350">
        <f>-LOOKUP(O$5,'Курорт-расходы'!$10:$10,'Курорт-расходы'!42:42)</f>
        <v>-15885781.140264576</v>
      </c>
      <c r="P20" s="350">
        <f>-LOOKUP(P$5,'Курорт-расходы'!$10:$10,'Курорт-расходы'!42:42)</f>
        <v>-16521212.385875162</v>
      </c>
      <c r="Q20" s="350">
        <f>-LOOKUP(Q$5,'Курорт-расходы'!$10:$10,'Курорт-расходы'!42:42)</f>
        <v>-17182060.881310169</v>
      </c>
      <c r="R20" s="350">
        <f>-LOOKUP(R$5,'Курорт-расходы'!$10:$10,'Курорт-расходы'!42:42)</f>
        <v>-17919642.825827431</v>
      </c>
      <c r="S20" s="350">
        <f>-LOOKUP(S$5,'Курорт-расходы'!$10:$10,'Курорт-расходы'!42:42)</f>
        <v>-18584117.049225077</v>
      </c>
      <c r="T20" s="350">
        <f>-LOOKUP(T$5,'Курорт-расходы'!$10:$10,'Курорт-расходы'!42:42)</f>
        <v>-19327481.731194083</v>
      </c>
      <c r="U20" s="352"/>
      <c r="V20" s="352"/>
    </row>
    <row r="21" spans="1:22">
      <c r="B21" s="60" t="s">
        <v>887</v>
      </c>
      <c r="C21" s="53"/>
      <c r="D21" s="350">
        <f>-IFERROR(LOOKUP(D$5,Амортизация!$295:$295,Амортизация!314:314),0)</f>
        <v>0</v>
      </c>
      <c r="E21" s="350">
        <f>-IFERROR(LOOKUP(E$5,Амортизация!$295:$295,Амортизация!314:314),0)</f>
        <v>0</v>
      </c>
      <c r="F21" s="350">
        <f>-IFERROR(LOOKUP(F$5,Амортизация!$295:$295,Амортизация!314:314),0)</f>
        <v>0</v>
      </c>
      <c r="G21" s="350">
        <f>-IFERROR(LOOKUP(G$5,Амортизация!$295:$295,Амортизация!314:314),0)</f>
        <v>0</v>
      </c>
      <c r="H21" s="350">
        <f>-IFERROR(LOOKUP(H$5,Амортизация!$295:$295,Амортизация!314:314),0)</f>
        <v>0</v>
      </c>
      <c r="I21" s="350">
        <f>-IFERROR(LOOKUP(I5,Амортизация!295:295,Амортизация!314:314),0)</f>
        <v>0</v>
      </c>
      <c r="J21" s="350">
        <f>-IFERROR(LOOKUP(J5,Амортизация!295:295,Амортизация!314:314),0)</f>
        <v>0</v>
      </c>
      <c r="K21" s="350">
        <f>-IFERROR(LOOKUP(K5,Амортизация!295:295,Амортизация!314:314),0)</f>
        <v>0</v>
      </c>
      <c r="L21" s="350">
        <f>-IFERROR(LOOKUP(L5,Амортизация!295:295,Амортизация!314:314),0)</f>
        <v>0</v>
      </c>
      <c r="M21" s="350">
        <f>-IFERROR(LOOKUP(M5,Амортизация!295:295,Амортизация!314:314),0)</f>
        <v>0</v>
      </c>
      <c r="N21" s="350">
        <f>-IFERROR(LOOKUP(N5,Амортизация!295:295,Амортизация!314:314),0)</f>
        <v>0</v>
      </c>
      <c r="O21" s="350">
        <f>-IFERROR(LOOKUP(O5,Амортизация!295:295,Амортизация!314:314),0)</f>
        <v>0</v>
      </c>
      <c r="P21" s="350">
        <f>-IFERROR(LOOKUP(P5,Амортизация!295:295,Амортизация!314:314),0)</f>
        <v>0</v>
      </c>
      <c r="Q21" s="350">
        <f>-IFERROR(LOOKUP(Q5,Амортизация!295:295,Амортизация!314:314),0)</f>
        <v>-13461858.337010458</v>
      </c>
      <c r="R21" s="350">
        <f>-IFERROR(LOOKUP(R5,Амортизация!295:295,Амортизация!314:314),0)</f>
        <v>-12788765.420159936</v>
      </c>
      <c r="S21" s="350">
        <f>-IFERROR(LOOKUP(S5,Амортизация!295:295,Амортизация!314:314),0)</f>
        <v>-12115672.503309414</v>
      </c>
      <c r="T21" s="350">
        <f>-IFERROR(LOOKUP(T5,Амортизация!295:295,Амортизация!314:314),0)</f>
        <v>-11442579.58645889</v>
      </c>
      <c r="U21" s="352"/>
      <c r="V21" s="352"/>
    </row>
    <row r="22" spans="1:22">
      <c r="B22" s="60" t="s">
        <v>922</v>
      </c>
      <c r="C22" s="53"/>
      <c r="D22" s="350">
        <f>-IFERROR(LOOKUP(D$5,Амортизация!$295:$295,Амортизация!336:336),0)</f>
        <v>0</v>
      </c>
      <c r="E22" s="350">
        <f>-IFERROR(LOOKUP(E$5,Амортизация!$295:$295,Амортизация!336:336),0)</f>
        <v>0</v>
      </c>
      <c r="F22" s="350">
        <f>-IFERROR(LOOKUP(F$5,Амортизация!$295:$295,Амортизация!336:336),0)</f>
        <v>0</v>
      </c>
      <c r="G22" s="350">
        <f>-IFERROR(LOOKUP(G$5,Амортизация!$295:$295,Амортизация!336:336),0)</f>
        <v>-2256391.0280784564</v>
      </c>
      <c r="H22" s="350">
        <f>-IFERROR(LOOKUP(H$5,Амортизация!$295:$295,Амортизация!336:336),0)</f>
        <v>-2179903.19661817</v>
      </c>
      <c r="I22" s="350">
        <f>-IFERROR(LOOKUP(I$5,Амортизация!$295:$295,Амортизация!336:336),0)</f>
        <v>-2103415.3651578836</v>
      </c>
      <c r="J22" s="350">
        <f>-IFERROR(LOOKUP(J$5,Амортизация!$295:$295,Амортизация!336:336),0)</f>
        <v>-2026927.5336975968</v>
      </c>
      <c r="K22" s="350">
        <f>-IFERROR(LOOKUP(K$5,Амортизация!$295:$295,Амортизация!336:336),0)</f>
        <v>-1950439.7022373106</v>
      </c>
      <c r="L22" s="350">
        <f>-IFERROR(LOOKUP(L$5,Амортизация!$295:$295,Амортизация!336:336),0)</f>
        <v>-1873951.870777024</v>
      </c>
      <c r="M22" s="350">
        <f>-IFERROR(LOOKUP(M$5,Амортизация!$295:$295,Амортизация!336:336),0)</f>
        <v>-1797464.0393167373</v>
      </c>
      <c r="N22" s="350">
        <f>-IFERROR(LOOKUP(N$5,Амортизация!$295:$295,Амортизация!336:336),0)</f>
        <v>-1720976.2078564507</v>
      </c>
      <c r="O22" s="350">
        <f>-IFERROR(LOOKUP(O$5,Амортизация!$295:$295,Амортизация!336:336),0)</f>
        <v>-1644488.3763961641</v>
      </c>
      <c r="P22" s="350">
        <f>-IFERROR(LOOKUP(P$5,Амортизация!$295:$295,Амортизация!336:336),0)</f>
        <v>-1568000.5449358774</v>
      </c>
      <c r="Q22" s="350">
        <f>-IFERROR(LOOKUP(Q$5,Амортизация!$295:$295,Амортизация!336:336),0)</f>
        <v>-1491512.7134755906</v>
      </c>
      <c r="R22" s="350">
        <f>-IFERROR(LOOKUP(R$5,Амортизация!$295:$295,Амортизация!336:336),0)</f>
        <v>-1415024.8820153039</v>
      </c>
      <c r="S22" s="350">
        <f>-IFERROR(LOOKUP(S$5,Амортизация!$295:$295,Амортизация!336:336),0)</f>
        <v>-1338537.0505550173</v>
      </c>
      <c r="T22" s="350">
        <f>-IFERROR(LOOKUP(T$5,Амортизация!$295:$295,Амортизация!336:336),0)</f>
        <v>-1262049.2190947307</v>
      </c>
      <c r="U22" s="352"/>
      <c r="V22" s="352"/>
    </row>
    <row r="23" spans="1:22">
      <c r="A23" s="1639">
        <f>C23/Объекты!$F$14</f>
        <v>-1862002.2078116904</v>
      </c>
      <c r="B23" s="347" t="s">
        <v>443</v>
      </c>
      <c r="C23" s="53">
        <f>SUM(D23:S23)</f>
        <v>-1757730084.1742358</v>
      </c>
      <c r="D23" s="348">
        <f>SUM(D17:D22)</f>
        <v>0</v>
      </c>
      <c r="E23" s="348">
        <f>SUM(E17:E22)</f>
        <v>0</v>
      </c>
      <c r="F23" s="348">
        <f>SUM(F17:F22)</f>
        <v>0</v>
      </c>
      <c r="G23" s="348">
        <f>SUM(G17:G22)</f>
        <v>-70128605.240753889</v>
      </c>
      <c r="H23" s="348">
        <f>SUM(H17:H22)</f>
        <v>-96627872.304526627</v>
      </c>
      <c r="I23" s="348">
        <f t="shared" ref="I23:T23" si="6">SUM(I17:I22)</f>
        <v>-114430127.68006971</v>
      </c>
      <c r="J23" s="348">
        <f t="shared" si="6"/>
        <v>-116174936.60380478</v>
      </c>
      <c r="K23" s="348">
        <f t="shared" si="6"/>
        <v>-123622167.92010051</v>
      </c>
      <c r="L23" s="348">
        <f t="shared" si="6"/>
        <v>-130483302.41184814</v>
      </c>
      <c r="M23" s="348">
        <f t="shared" si="6"/>
        <v>-135551188.60203072</v>
      </c>
      <c r="N23" s="348">
        <f t="shared" si="6"/>
        <v>-141052729.77910858</v>
      </c>
      <c r="O23" s="348">
        <f t="shared" si="6"/>
        <v>-146312516.86342758</v>
      </c>
      <c r="P23" s="348">
        <f t="shared" si="6"/>
        <v>-152022750.17144859</v>
      </c>
      <c r="Q23" s="348">
        <f t="shared" si="6"/>
        <v>-171426310.66205925</v>
      </c>
      <c r="R23" s="348">
        <f t="shared" si="6"/>
        <v>-177202234.89731511</v>
      </c>
      <c r="S23" s="348">
        <f t="shared" si="6"/>
        <v>-182695341.03774205</v>
      </c>
      <c r="T23" s="348">
        <f t="shared" si="6"/>
        <v>-188715405.54878634</v>
      </c>
      <c r="U23" s="352"/>
      <c r="V23" s="1654">
        <f>SUMPRODUCT(D23:S23,$D$67:$S$67)</f>
        <v>-405762846.91057712</v>
      </c>
    </row>
    <row r="24" spans="1:22" s="352" customFormat="1">
      <c r="A24" s="1639">
        <f>C24/Объекты!$F$14</f>
        <v>17762216.197008044</v>
      </c>
      <c r="B24" s="351" t="s">
        <v>80</v>
      </c>
      <c r="C24" s="53">
        <f>SUM(D24:S24)</f>
        <v>16767532089.975594</v>
      </c>
      <c r="D24" s="57">
        <f t="shared" ref="D24:T24" si="7">D15+D23</f>
        <v>0</v>
      </c>
      <c r="E24" s="57">
        <f t="shared" si="7"/>
        <v>0</v>
      </c>
      <c r="F24" s="57">
        <f t="shared" si="7"/>
        <v>0</v>
      </c>
      <c r="G24" s="57">
        <f t="shared" si="7"/>
        <v>104282558.85244972</v>
      </c>
      <c r="H24" s="57">
        <f t="shared" si="7"/>
        <v>1438746070.8654373</v>
      </c>
      <c r="I24" s="57">
        <f t="shared" si="7"/>
        <v>2414139490.2444201</v>
      </c>
      <c r="J24" s="57">
        <f t="shared" si="7"/>
        <v>2288577930.3890333</v>
      </c>
      <c r="K24" s="57">
        <f t="shared" si="7"/>
        <v>973791704.08877683</v>
      </c>
      <c r="L24" s="57">
        <f t="shared" si="7"/>
        <v>1066373103.2532104</v>
      </c>
      <c r="M24" s="57">
        <f t="shared" si="7"/>
        <v>1099561626.4175639</v>
      </c>
      <c r="N24" s="57">
        <f t="shared" si="7"/>
        <v>1147948216.5158894</v>
      </c>
      <c r="O24" s="57">
        <f t="shared" si="7"/>
        <v>1191635181.5641251</v>
      </c>
      <c r="P24" s="57">
        <f t="shared" si="7"/>
        <v>1240421572.8171225</v>
      </c>
      <c r="Q24" s="57">
        <f t="shared" si="7"/>
        <v>1252518211.8540504</v>
      </c>
      <c r="R24" s="57">
        <f t="shared" si="7"/>
        <v>1246726806.0205634</v>
      </c>
      <c r="S24" s="57">
        <f t="shared" si="7"/>
        <v>1302809617.0929511</v>
      </c>
      <c r="T24" s="57">
        <f t="shared" si="7"/>
        <v>1364687109.6835258</v>
      </c>
      <c r="V24" s="1654">
        <f>SUMPRODUCT(D24:S24,$D$67:$S$67)</f>
        <v>4401310978.8690672</v>
      </c>
    </row>
    <row r="25" spans="1:22">
      <c r="B25" s="275" t="s">
        <v>81</v>
      </c>
      <c r="C25" s="53">
        <f>SUM(D25:S25)</f>
        <v>-2338657381.0546288</v>
      </c>
      <c r="D25" s="55">
        <f>-D183</f>
        <v>0</v>
      </c>
      <c r="E25" s="55">
        <f>-E183</f>
        <v>-4000000.0151681658</v>
      </c>
      <c r="F25" s="55">
        <f t="shared" ref="F25:T25" si="8">-F183</f>
        <v>-89844143.107982904</v>
      </c>
      <c r="G25" s="55">
        <f t="shared" si="8"/>
        <v>-208166354.90210152</v>
      </c>
      <c r="H25" s="55">
        <f t="shared" si="8"/>
        <v>-296398883.12430322</v>
      </c>
      <c r="I25" s="55">
        <f t="shared" si="8"/>
        <v>-261667999.99050736</v>
      </c>
      <c r="J25" s="55">
        <f t="shared" si="8"/>
        <v>-253443999.99050736</v>
      </c>
      <c r="K25" s="55">
        <f t="shared" si="8"/>
        <v>-239587999.99050736</v>
      </c>
      <c r="L25" s="55">
        <f t="shared" si="8"/>
        <v>-220583999.99050736</v>
      </c>
      <c r="M25" s="55">
        <f t="shared" si="8"/>
        <v>-197895999.99050736</v>
      </c>
      <c r="N25" s="55">
        <f t="shared" si="8"/>
        <v>-172715999.99050736</v>
      </c>
      <c r="O25" s="55">
        <f t="shared" si="8"/>
        <v>-144771999.99050736</v>
      </c>
      <c r="P25" s="55">
        <f t="shared" si="8"/>
        <v>-114563999.99050736</v>
      </c>
      <c r="Q25" s="55">
        <f t="shared" si="8"/>
        <v>-83303999.990507349</v>
      </c>
      <c r="R25" s="55">
        <f t="shared" si="8"/>
        <v>-51711999.990507357</v>
      </c>
      <c r="S25" s="55">
        <f t="shared" si="8"/>
        <v>0</v>
      </c>
      <c r="T25" s="55">
        <f t="shared" si="8"/>
        <v>0</v>
      </c>
      <c r="U25" s="352"/>
      <c r="V25" s="352"/>
    </row>
    <row r="26" spans="1:22">
      <c r="B26" s="52" t="s">
        <v>82</v>
      </c>
      <c r="C26" s="53">
        <f>SUM(D26:S26)</f>
        <v>-2775672447.8301268</v>
      </c>
      <c r="D26" s="55">
        <f>-LOOKUP(D$5,Амортизация!$252:$252,Амортизация!$255:$255)</f>
        <v>0</v>
      </c>
      <c r="E26" s="55">
        <f>-LOOKUP(E$5,Амортизация!$252:$252,Амортизация!$255:$255)</f>
        <v>0</v>
      </c>
      <c r="F26" s="55">
        <f>-LOOKUP(F$5,Амортизация!$252:$252,Амортизация!$255:$255)</f>
        <v>0</v>
      </c>
      <c r="G26" s="55">
        <f>-LOOKUP(G$5,Амортизация!$252:$252,Амортизация!$255:$255)</f>
        <v>-43883903.161762349</v>
      </c>
      <c r="H26" s="55">
        <f>-LOOKUP(H$5,Амортизация!$252:$252,Амортизация!$255:$255)</f>
        <v>-160749322.35770154</v>
      </c>
      <c r="I26" s="55">
        <f>-LOOKUP(I$5,Амортизация!$252:$252,Амортизация!$255:$255)</f>
        <v>-233730838.39187843</v>
      </c>
      <c r="J26" s="55">
        <f>-LOOKUP(J$5,Амортизация!$252:$252,Амортизация!$255:$255)</f>
        <v>-233730838.39187843</v>
      </c>
      <c r="K26" s="55">
        <f>-LOOKUP(K$5,Амортизация!$252:$252,Амортизация!$255:$255)</f>
        <v>-233730838.39187843</v>
      </c>
      <c r="L26" s="55">
        <f>-LOOKUP(L$5,Амортизация!$252:$252,Амортизация!$255:$255)</f>
        <v>-233730838.39187843</v>
      </c>
      <c r="M26" s="55">
        <f>-LOOKUP(M$5,Амортизация!$252:$252,Амортизация!$255:$255)</f>
        <v>-233730838.39187843</v>
      </c>
      <c r="N26" s="55">
        <f>-LOOKUP(N$5,Амортизация!$252:$252,Амортизация!$255:$255)</f>
        <v>-233730838.39187843</v>
      </c>
      <c r="O26" s="55">
        <f>-LOOKUP(O$5,Амортизация!$252:$252,Амортизация!$255:$255)</f>
        <v>-233730838.39187843</v>
      </c>
      <c r="P26" s="55">
        <f>-LOOKUP(P$5,Амортизация!$252:$252,Амортизация!$255:$255)</f>
        <v>-233730838.39187843</v>
      </c>
      <c r="Q26" s="55">
        <f>-LOOKUP(Q$5,Амортизация!$252:$252,Амортизация!$255:$255)</f>
        <v>-233730838.39187843</v>
      </c>
      <c r="R26" s="55">
        <f>-LOOKUP(R$5,Амортизация!$252:$252,Амортизация!$255:$255)</f>
        <v>-233730838.39187843</v>
      </c>
      <c r="S26" s="55">
        <f>-LOOKUP(S$5,Амортизация!$252:$252,Амортизация!$255:$255)</f>
        <v>-233730838.39187843</v>
      </c>
      <c r="T26" s="55">
        <f>-LOOKUP(T$5,Амортизация!$252:$252,Амортизация!$255:$255)</f>
        <v>-233730838.39187843</v>
      </c>
      <c r="U26" s="352"/>
      <c r="V26" s="352"/>
    </row>
    <row r="27" spans="1:22">
      <c r="B27" s="52" t="s">
        <v>923</v>
      </c>
      <c r="C27" s="53">
        <f>SUM(D27:S27)</f>
        <v>-1625303836.9683723</v>
      </c>
      <c r="D27" s="55">
        <f>SUMIF(ПРОДАЖА_lease_back!8:8,D5,ПРОДАЖА_lease_back!33:33)</f>
        <v>0</v>
      </c>
      <c r="E27" s="55">
        <f>SUMIF(ПРОДАЖА_lease_back!8:8,E5,ПРОДАЖА_lease_back!33:33)</f>
        <v>0</v>
      </c>
      <c r="F27" s="55">
        <f>SUMIF(ПРОДАЖА_lease_back!8:8,F5,ПРОДАЖА_lease_back!33:33)</f>
        <v>0</v>
      </c>
      <c r="G27" s="55">
        <f>SUMIF(ПРОДАЖА_lease_back!8:8,G5,ПРОДАЖА_lease_back!33:33)</f>
        <v>0</v>
      </c>
      <c r="H27" s="55">
        <f>SUMIF(ПРОДАЖА_lease_back!8:8,H5,ПРОДАЖА_lease_back!33:33)</f>
        <v>-406325959.24209309</v>
      </c>
      <c r="I27" s="55">
        <f>SUMIF(ПРОДАЖА_lease_back!8:8,I5,ПРОДАЖА_lease_back!33:33)</f>
        <v>-650121534.78734899</v>
      </c>
      <c r="J27" s="55">
        <f>SUMIF(ПРОДАЖА_lease_back!8:8,J5,ПРОДАЖА_lease_back!33:33)</f>
        <v>-568856342.93893039</v>
      </c>
      <c r="K27" s="55">
        <f>SUMIF(ПРОДАЖА_lease_back!8:8,K5,ПРОДАЖА_lease_back!33:33)</f>
        <v>0</v>
      </c>
      <c r="L27" s="55">
        <f>SUMIF(ПРОДАЖА_lease_back!8:8,L5,ПРОДАЖА_lease_back!33:33)</f>
        <v>0</v>
      </c>
      <c r="M27" s="55">
        <f>SUMIF(ПРОДАЖА_lease_back!8:8,M5,ПРОДАЖА_lease_back!33:33)</f>
        <v>0</v>
      </c>
      <c r="N27" s="55">
        <f>SUMIF(ПРОДАЖА_lease_back!8:8,N5,ПРОДАЖА_lease_back!33:33)</f>
        <v>0</v>
      </c>
      <c r="O27" s="55">
        <f>SUMIF(ПРОДАЖА_lease_back!8:8,O5,ПРОДАЖА_lease_back!33:33)</f>
        <v>0</v>
      </c>
      <c r="P27" s="55">
        <f>SUMIF(ПРОДАЖА_lease_back!8:8,P5,ПРОДАЖА_lease_back!33:33)</f>
        <v>0</v>
      </c>
      <c r="Q27" s="55">
        <f>SUMIF(ПРОДАЖА_lease_back!8:8,Q5,ПРОДАЖА_lease_back!33:33)</f>
        <v>0</v>
      </c>
      <c r="R27" s="55">
        <f>SUMIF(ПРОДАЖА_lease_back!8:8,R5,ПРОДАЖА_lease_back!33:33)</f>
        <v>0</v>
      </c>
      <c r="S27" s="55">
        <f>SUMIF(ПРОДАЖА_lease_back!8:8,S5,ПРОДАЖА_lease_back!33:33)</f>
        <v>0</v>
      </c>
      <c r="T27" s="55">
        <f>SUMIF(ПРОДАЖА_lease_back!8:8,T5,ПРОДАЖА_lease_back!33:33)</f>
        <v>0</v>
      </c>
      <c r="U27" s="352"/>
      <c r="V27" s="352"/>
    </row>
    <row r="28" spans="1:22">
      <c r="B28" s="52" t="s">
        <v>83</v>
      </c>
      <c r="C28" s="353"/>
      <c r="D28" s="55">
        <f>SUM(D24:D27)</f>
        <v>0</v>
      </c>
      <c r="E28" s="55">
        <f>SUM(E24:E27)</f>
        <v>-4000000.0151681658</v>
      </c>
      <c r="F28" s="55">
        <f>SUM(F24:F27)</f>
        <v>-89844143.107982904</v>
      </c>
      <c r="G28" s="55">
        <f t="shared" ref="G28:T28" si="9">SUM(G24:G27)</f>
        <v>-147767699.21141416</v>
      </c>
      <c r="H28" s="55">
        <f t="shared" si="9"/>
        <v>575271906.14133954</v>
      </c>
      <c r="I28" s="55">
        <f t="shared" si="9"/>
        <v>1268619117.0746856</v>
      </c>
      <c r="J28" s="55">
        <f t="shared" si="9"/>
        <v>1232546749.0677171</v>
      </c>
      <c r="K28" s="55">
        <f t="shared" si="9"/>
        <v>500472865.70639104</v>
      </c>
      <c r="L28" s="55">
        <f t="shared" si="9"/>
        <v>612058264.87082458</v>
      </c>
      <c r="M28" s="55">
        <f t="shared" si="9"/>
        <v>667934788.03517818</v>
      </c>
      <c r="N28" s="55">
        <f t="shared" si="9"/>
        <v>741501378.13350368</v>
      </c>
      <c r="O28" s="55">
        <f t="shared" si="9"/>
        <v>813132343.18173933</v>
      </c>
      <c r="P28" s="55">
        <f t="shared" si="9"/>
        <v>892126734.43473673</v>
      </c>
      <c r="Q28" s="55">
        <f t="shared" si="9"/>
        <v>935483373.47166467</v>
      </c>
      <c r="R28" s="55">
        <f t="shared" si="9"/>
        <v>961283967.63817763</v>
      </c>
      <c r="S28" s="55">
        <f t="shared" si="9"/>
        <v>1069078778.7010727</v>
      </c>
      <c r="T28" s="55">
        <f t="shared" si="9"/>
        <v>1130956271.2916474</v>
      </c>
      <c r="U28" s="352"/>
      <c r="V28" s="352"/>
    </row>
    <row r="29" spans="1:22">
      <c r="B29" s="52" t="s">
        <v>84</v>
      </c>
      <c r="C29" s="353"/>
      <c r="D29" s="55">
        <f>D28</f>
        <v>0</v>
      </c>
      <c r="E29" s="55">
        <f>IF(E28&lt;0,E28,0)+D31</f>
        <v>-4000000.0151681658</v>
      </c>
      <c r="F29" s="55">
        <f>IF(F28&lt;0,F28,0)+E31</f>
        <v>-93844143.123151064</v>
      </c>
      <c r="G29" s="55">
        <f t="shared" ref="G29:T29" si="10">IF(G28&lt;0,G28,0)+F31</f>
        <v>-241611842.33456522</v>
      </c>
      <c r="H29" s="55">
        <f t="shared" si="10"/>
        <v>-241611842.33456522</v>
      </c>
      <c r="I29" s="55">
        <f t="shared" si="10"/>
        <v>0</v>
      </c>
      <c r="J29" s="55">
        <f t="shared" si="10"/>
        <v>0</v>
      </c>
      <c r="K29" s="55">
        <f t="shared" si="10"/>
        <v>0</v>
      </c>
      <c r="L29" s="55">
        <f t="shared" si="10"/>
        <v>0</v>
      </c>
      <c r="M29" s="55">
        <f t="shared" si="10"/>
        <v>0</v>
      </c>
      <c r="N29" s="55">
        <f t="shared" si="10"/>
        <v>0</v>
      </c>
      <c r="O29" s="55">
        <f t="shared" si="10"/>
        <v>0</v>
      </c>
      <c r="P29" s="55">
        <f t="shared" si="10"/>
        <v>0</v>
      </c>
      <c r="Q29" s="55">
        <f t="shared" si="10"/>
        <v>0</v>
      </c>
      <c r="R29" s="55">
        <f t="shared" si="10"/>
        <v>0</v>
      </c>
      <c r="S29" s="55">
        <f t="shared" si="10"/>
        <v>0</v>
      </c>
      <c r="T29" s="55">
        <f t="shared" si="10"/>
        <v>0</v>
      </c>
      <c r="U29" s="352"/>
      <c r="V29" s="352"/>
    </row>
    <row r="30" spans="1:22">
      <c r="B30" s="52" t="s">
        <v>85</v>
      </c>
      <c r="C30" s="353"/>
      <c r="D30" s="55"/>
      <c r="E30" s="55">
        <f>IF(E29&lt;0,(IF(E28&gt;0,MIN(-E29,E28),0)),0)</f>
        <v>0</v>
      </c>
      <c r="F30" s="55">
        <f>IF(F29&lt;0,(IF(F28&gt;0,MIN(-F29,F28),0)),0)</f>
        <v>0</v>
      </c>
      <c r="G30" s="55">
        <f t="shared" ref="G30:T30" si="11">IF(G29&lt;0,(IF(G28&gt;0,MIN(-G29,G28),0)),0)</f>
        <v>0</v>
      </c>
      <c r="H30" s="55">
        <f t="shared" si="11"/>
        <v>241611842.33456522</v>
      </c>
      <c r="I30" s="55">
        <f t="shared" si="11"/>
        <v>0</v>
      </c>
      <c r="J30" s="55">
        <f t="shared" si="11"/>
        <v>0</v>
      </c>
      <c r="K30" s="55">
        <f t="shared" si="11"/>
        <v>0</v>
      </c>
      <c r="L30" s="55">
        <f t="shared" si="11"/>
        <v>0</v>
      </c>
      <c r="M30" s="55">
        <f t="shared" si="11"/>
        <v>0</v>
      </c>
      <c r="N30" s="55">
        <f t="shared" si="11"/>
        <v>0</v>
      </c>
      <c r="O30" s="55">
        <f t="shared" si="11"/>
        <v>0</v>
      </c>
      <c r="P30" s="55">
        <f t="shared" si="11"/>
        <v>0</v>
      </c>
      <c r="Q30" s="55">
        <f t="shared" si="11"/>
        <v>0</v>
      </c>
      <c r="R30" s="55">
        <f t="shared" si="11"/>
        <v>0</v>
      </c>
      <c r="S30" s="55">
        <f t="shared" si="11"/>
        <v>0</v>
      </c>
      <c r="T30" s="55">
        <f t="shared" si="11"/>
        <v>0</v>
      </c>
    </row>
    <row r="31" spans="1:22">
      <c r="B31" s="52" t="s">
        <v>926</v>
      </c>
      <c r="C31" s="353"/>
      <c r="D31" s="55"/>
      <c r="E31" s="55">
        <f>IF((E29+E30)&lt;0,(E29+E30),0)</f>
        <v>-4000000.0151681658</v>
      </c>
      <c r="F31" s="55">
        <f>IF((F29+F30)&lt;0,(F29+F30),0)</f>
        <v>-93844143.123151064</v>
      </c>
      <c r="G31" s="55">
        <f t="shared" ref="G31:T31" si="12">IF((G29+G30)&lt;0,(G29+G30),0)</f>
        <v>-241611842.33456522</v>
      </c>
      <c r="H31" s="55">
        <f t="shared" si="12"/>
        <v>0</v>
      </c>
      <c r="I31" s="55">
        <f t="shared" si="12"/>
        <v>0</v>
      </c>
      <c r="J31" s="55">
        <f t="shared" si="12"/>
        <v>0</v>
      </c>
      <c r="K31" s="55">
        <f t="shared" si="12"/>
        <v>0</v>
      </c>
      <c r="L31" s="55">
        <f t="shared" si="12"/>
        <v>0</v>
      </c>
      <c r="M31" s="55">
        <f t="shared" si="12"/>
        <v>0</v>
      </c>
      <c r="N31" s="55">
        <f t="shared" si="12"/>
        <v>0</v>
      </c>
      <c r="O31" s="55">
        <f t="shared" si="12"/>
        <v>0</v>
      </c>
      <c r="P31" s="55">
        <f t="shared" si="12"/>
        <v>0</v>
      </c>
      <c r="Q31" s="55">
        <f t="shared" si="12"/>
        <v>0</v>
      </c>
      <c r="R31" s="55">
        <f t="shared" si="12"/>
        <v>0</v>
      </c>
      <c r="S31" s="55">
        <f t="shared" si="12"/>
        <v>0</v>
      </c>
      <c r="T31" s="55">
        <f t="shared" si="12"/>
        <v>0</v>
      </c>
    </row>
    <row r="32" spans="1:22">
      <c r="B32" s="52" t="s">
        <v>86</v>
      </c>
      <c r="C32" s="353"/>
      <c r="D32" s="55"/>
      <c r="E32" s="55">
        <f>IF((E28-E30)&lt;0,0,(E28-E30))</f>
        <v>0</v>
      </c>
      <c r="F32" s="55">
        <f>IF((F28-F30)&lt;0,0,(F28-F30))</f>
        <v>0</v>
      </c>
      <c r="G32" s="55">
        <f t="shared" ref="G32:T32" si="13">IF((G28-G30)&lt;0,0,(G28-G30))</f>
        <v>0</v>
      </c>
      <c r="H32" s="55">
        <f t="shared" si="13"/>
        <v>333660063.80677432</v>
      </c>
      <c r="I32" s="55">
        <f t="shared" si="13"/>
        <v>1268619117.0746856</v>
      </c>
      <c r="J32" s="55">
        <f t="shared" si="13"/>
        <v>1232546749.0677171</v>
      </c>
      <c r="K32" s="55">
        <f t="shared" si="13"/>
        <v>500472865.70639104</v>
      </c>
      <c r="L32" s="55">
        <f t="shared" si="13"/>
        <v>612058264.87082458</v>
      </c>
      <c r="M32" s="55">
        <f t="shared" si="13"/>
        <v>667934788.03517818</v>
      </c>
      <c r="N32" s="55">
        <f t="shared" si="13"/>
        <v>741501378.13350368</v>
      </c>
      <c r="O32" s="55">
        <f t="shared" si="13"/>
        <v>813132343.18173933</v>
      </c>
      <c r="P32" s="55">
        <f t="shared" si="13"/>
        <v>892126734.43473673</v>
      </c>
      <c r="Q32" s="55">
        <f t="shared" si="13"/>
        <v>935483373.47166467</v>
      </c>
      <c r="R32" s="55">
        <f t="shared" si="13"/>
        <v>961283967.63817763</v>
      </c>
      <c r="S32" s="55">
        <f t="shared" si="13"/>
        <v>1069078778.7010727</v>
      </c>
      <c r="T32" s="55">
        <f t="shared" si="13"/>
        <v>1130956271.2916474</v>
      </c>
    </row>
    <row r="33" spans="1:138">
      <c r="B33" s="52" t="s">
        <v>87</v>
      </c>
      <c r="C33" s="353"/>
      <c r="D33" s="375">
        <f>IF(D5&lt;=2024,Вводные!$H$27,Вводные!$I$27)</f>
        <v>0.13500000000000001</v>
      </c>
      <c r="E33" s="375">
        <f>IF(E5&lt;=2024,Вводные!$H$27,Вводные!$I$27)</f>
        <v>0.13500000000000001</v>
      </c>
      <c r="F33" s="375">
        <f>IF(F5&lt;=2024,Вводные!$H$27,Вводные!$I$27)</f>
        <v>0.13500000000000001</v>
      </c>
      <c r="G33" s="375">
        <f>IF(G5&lt;=2024,Вводные!$H$27,Вводные!$I$27)</f>
        <v>0.155</v>
      </c>
      <c r="H33" s="375">
        <f>IF(H5&lt;=2024,Вводные!$H$27,Вводные!$I$27)</f>
        <v>0.155</v>
      </c>
      <c r="I33" s="375">
        <f>IF(I5&lt;=2024,Вводные!$H$27,Вводные!$I$27)</f>
        <v>0.155</v>
      </c>
      <c r="J33" s="375">
        <f>IF(J5&lt;=2024,Вводные!$H$27,Вводные!$I$27)</f>
        <v>0.155</v>
      </c>
      <c r="K33" s="375">
        <f>IF(K5&lt;=2024,Вводные!$H$27,Вводные!$I$27)</f>
        <v>0.155</v>
      </c>
      <c r="L33" s="375">
        <f>IF(L5&lt;=2024,Вводные!$H$27,Вводные!$I$27)</f>
        <v>0.155</v>
      </c>
      <c r="M33" s="375">
        <f>IF(M5&lt;=2024,Вводные!$H$27,Вводные!$I$27)</f>
        <v>0.155</v>
      </c>
      <c r="N33" s="375">
        <f>IF(N5&lt;=2024,Вводные!$H$27,Вводные!$I$27)</f>
        <v>0.155</v>
      </c>
      <c r="O33" s="375">
        <f>IF(O5&lt;=2024,Вводные!$H$27,Вводные!$I$27)</f>
        <v>0.155</v>
      </c>
      <c r="P33" s="375">
        <f>IF(P5&lt;=2024,Вводные!$H$27,Вводные!$I$27)</f>
        <v>0.155</v>
      </c>
      <c r="Q33" s="375">
        <f>IF(Q5&lt;=2024,Вводные!$H$27,Вводные!$I$27)</f>
        <v>0.155</v>
      </c>
      <c r="R33" s="375">
        <f>IF(R5&lt;=2024,Вводные!$H$27,Вводные!$I$27)</f>
        <v>0.155</v>
      </c>
      <c r="S33" s="375">
        <f>IF(S5&lt;=2024,Вводные!$H$27,Вводные!$I$27)</f>
        <v>0.155</v>
      </c>
      <c r="T33" s="375">
        <f>IF(T5&lt;=2024,Вводные!$H$27,Вводные!$I$27)</f>
        <v>0.155</v>
      </c>
    </row>
    <row r="34" spans="1:138">
      <c r="B34" s="52" t="s">
        <v>104</v>
      </c>
      <c r="C34" s="53">
        <f>SUM(D34:S34)</f>
        <v>-1554324255.7389822</v>
      </c>
      <c r="D34" s="55">
        <f>-D33*D32</f>
        <v>0</v>
      </c>
      <c r="E34" s="55">
        <f>-E33*E32</f>
        <v>0</v>
      </c>
      <c r="F34" s="55">
        <f>-F33*F32</f>
        <v>0</v>
      </c>
      <c r="G34" s="55">
        <f>-G33*G32</f>
        <v>0</v>
      </c>
      <c r="H34" s="55">
        <f t="shared" ref="H34:T34" si="14">-H33*H32</f>
        <v>-51717309.890050016</v>
      </c>
      <c r="I34" s="55">
        <f t="shared" si="14"/>
        <v>-196635963.14657626</v>
      </c>
      <c r="J34" s="55">
        <f t="shared" si="14"/>
        <v>-191044746.10549614</v>
      </c>
      <c r="K34" s="55">
        <f t="shared" si="14"/>
        <v>-77573294.184490606</v>
      </c>
      <c r="L34" s="55">
        <f t="shared" si="14"/>
        <v>-94869031.054977804</v>
      </c>
      <c r="M34" s="55">
        <f t="shared" si="14"/>
        <v>-103529892.14545262</v>
      </c>
      <c r="N34" s="55">
        <f t="shared" si="14"/>
        <v>-114932713.61069307</v>
      </c>
      <c r="O34" s="55">
        <f t="shared" si="14"/>
        <v>-126035513.19316959</v>
      </c>
      <c r="P34" s="55">
        <f t="shared" si="14"/>
        <v>-138279643.83738419</v>
      </c>
      <c r="Q34" s="55">
        <f t="shared" si="14"/>
        <v>-144999922.88810802</v>
      </c>
      <c r="R34" s="55">
        <f t="shared" si="14"/>
        <v>-148999014.98391753</v>
      </c>
      <c r="S34" s="55">
        <f t="shared" si="14"/>
        <v>-165707210.69866627</v>
      </c>
      <c r="T34" s="55">
        <f t="shared" si="14"/>
        <v>-175298222.05020535</v>
      </c>
      <c r="V34" s="1654">
        <f>SUMPRODUCT(D34:S34,$D$67:$S$67)</f>
        <v>-356355758.36993271</v>
      </c>
    </row>
    <row r="35" spans="1:138" s="352" customFormat="1">
      <c r="A35" s="1639">
        <f>C35/Объекты!$F$14</f>
        <v>16115686.265081158</v>
      </c>
      <c r="B35" s="117" t="s">
        <v>88</v>
      </c>
      <c r="C35" s="53">
        <f>SUM(D35:S35)</f>
        <v>15213207834.236612</v>
      </c>
      <c r="D35" s="57">
        <f>D24+D34</f>
        <v>0</v>
      </c>
      <c r="E35" s="57">
        <f>E24+E34</f>
        <v>0</v>
      </c>
      <c r="F35" s="57">
        <f>F24+F34</f>
        <v>0</v>
      </c>
      <c r="G35" s="57">
        <f>G24+G34</f>
        <v>104282558.85244972</v>
      </c>
      <c r="H35" s="57">
        <f t="shared" ref="H35:T35" si="15">H24+H34</f>
        <v>1387028760.9753873</v>
      </c>
      <c r="I35" s="57">
        <f t="shared" si="15"/>
        <v>2217503527.0978436</v>
      </c>
      <c r="J35" s="57">
        <f t="shared" si="15"/>
        <v>2097533184.2835371</v>
      </c>
      <c r="K35" s="57">
        <f t="shared" si="15"/>
        <v>896218409.90428627</v>
      </c>
      <c r="L35" s="57">
        <f t="shared" si="15"/>
        <v>971504072.19823265</v>
      </c>
      <c r="M35" s="57">
        <f t="shared" si="15"/>
        <v>996031734.2721113</v>
      </c>
      <c r="N35" s="57">
        <f t="shared" si="15"/>
        <v>1033015502.9051963</v>
      </c>
      <c r="O35" s="57">
        <f t="shared" si="15"/>
        <v>1065599668.3709555</v>
      </c>
      <c r="P35" s="57">
        <f t="shared" si="15"/>
        <v>1102141928.9797382</v>
      </c>
      <c r="Q35" s="57">
        <f t="shared" si="15"/>
        <v>1107518288.9659424</v>
      </c>
      <c r="R35" s="57">
        <f t="shared" si="15"/>
        <v>1097727791.0366459</v>
      </c>
      <c r="S35" s="57">
        <f t="shared" si="15"/>
        <v>1137102406.3942847</v>
      </c>
      <c r="T35" s="57">
        <f t="shared" si="15"/>
        <v>1189388887.6333203</v>
      </c>
      <c r="V35" s="1654">
        <f>SUMPRODUCT(D35:S35,$D$67:$S$67)</f>
        <v>4044955220.4991345</v>
      </c>
    </row>
    <row r="36" spans="1:138" s="114" customFormat="1">
      <c r="B36" s="59" t="s">
        <v>89</v>
      </c>
      <c r="C36" s="56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138">
      <c r="B37" s="60" t="s">
        <v>90</v>
      </c>
      <c r="C37" s="53">
        <f>SUM(D37:S37)</f>
        <v>-11472203258.232403</v>
      </c>
      <c r="D37" s="55">
        <f>-Строительство!G53</f>
        <v>-160318184.82743448</v>
      </c>
      <c r="E37" s="55">
        <f>-Строительство!H53</f>
        <v>-3048205290.4576688</v>
      </c>
      <c r="F37" s="55">
        <f>-Строительство!I53</f>
        <v>-4225793278.3613796</v>
      </c>
      <c r="G37" s="55">
        <f>-Строительство!J53</f>
        <v>-3151161722.221488</v>
      </c>
      <c r="H37" s="55">
        <f>-Строительство!K53</f>
        <v>-886724782.36443377</v>
      </c>
      <c r="I37" s="55">
        <f>-Строительство!L53</f>
        <v>0</v>
      </c>
      <c r="J37" s="55">
        <f>-Строительство!M53</f>
        <v>0</v>
      </c>
      <c r="K37" s="55">
        <f>-Строительство!N53</f>
        <v>0</v>
      </c>
      <c r="L37" s="55">
        <f>-Строительство!O53</f>
        <v>0</v>
      </c>
      <c r="M37" s="55">
        <f>-Строительство!P53</f>
        <v>0</v>
      </c>
      <c r="N37" s="55">
        <f>-Строительство!Q53</f>
        <v>0</v>
      </c>
      <c r="O37" s="55">
        <f>-Строительство!R53</f>
        <v>0</v>
      </c>
      <c r="P37" s="55">
        <f>-Строительство!S53</f>
        <v>0</v>
      </c>
      <c r="Q37" s="55">
        <f>-Строительство!T53</f>
        <v>0</v>
      </c>
      <c r="R37" s="55">
        <f>-Строительство!U53</f>
        <v>0</v>
      </c>
      <c r="S37" s="55">
        <f>-Строительство!V53</f>
        <v>0</v>
      </c>
      <c r="T37" s="354"/>
      <c r="V37" s="1654">
        <f>SUMPRODUCT(D37:S37,$D$67:$S$67)</f>
        <v>-7722918677.2364445</v>
      </c>
    </row>
    <row r="38" spans="1:138">
      <c r="B38" s="60" t="s">
        <v>444</v>
      </c>
      <c r="C38" s="53">
        <f>SUM(D38:S38)</f>
        <v>-1319896.742593368</v>
      </c>
      <c r="D38" s="55">
        <f>-LOOKUP(D5,Земля!31:31,Земля!32:32)</f>
        <v>-413939.44791191071</v>
      </c>
      <c r="E38" s="55">
        <f>-LOOKUP(E5,Земля!31:31,Земля!32:32)</f>
        <v>-452358.97750852513</v>
      </c>
      <c r="F38" s="55">
        <f>-LOOKUP(F5,Земля!31:31,Земля!32:32)</f>
        <v>-453598.31717293209</v>
      </c>
      <c r="G38" s="55">
        <f>-LOOKUP(G5,Земля!31:31,Земля!32:32)</f>
        <v>0</v>
      </c>
      <c r="H38" s="55">
        <f>-LOOKUP(H5,Земля!31:31,Земля!32:32)</f>
        <v>0</v>
      </c>
      <c r="I38" s="55">
        <f>-LOOKUP(I5,Земля!31:31,Земля!32:32)</f>
        <v>0</v>
      </c>
      <c r="J38" s="55">
        <f>-LOOKUP(J5,Земля!31:31,Земля!32:32)</f>
        <v>0</v>
      </c>
      <c r="K38" s="55">
        <f>-LOOKUP(K5,Земля!31:31,Земля!32:32)</f>
        <v>0</v>
      </c>
      <c r="L38" s="55">
        <f>-LOOKUP(L5,Земля!31:31,Земля!32:32)</f>
        <v>0</v>
      </c>
      <c r="M38" s="55">
        <f>-LOOKUP(M5,Земля!31:31,Земля!32:32)</f>
        <v>0</v>
      </c>
      <c r="N38" s="55">
        <f>-LOOKUP(N5,Земля!31:31,Земля!32:32)</f>
        <v>0</v>
      </c>
      <c r="O38" s="55">
        <f>-LOOKUP(O5,Земля!31:31,Земля!32:32)</f>
        <v>0</v>
      </c>
      <c r="P38" s="55">
        <f>-LOOKUP(P5,Земля!31:31,Земля!32:32)</f>
        <v>0</v>
      </c>
      <c r="Q38" s="55">
        <f>-LOOKUP(Q5,Земля!31:31,Земля!32:32)</f>
        <v>0</v>
      </c>
      <c r="R38" s="55">
        <f>-LOOKUP(R5,Земля!31:31,Земля!32:32)</f>
        <v>0</v>
      </c>
      <c r="S38" s="55">
        <f>-LOOKUP(S5,Земля!31:31,Земля!32:32)</f>
        <v>0</v>
      </c>
      <c r="T38" s="354"/>
      <c r="V38" s="1654">
        <f>SUMPRODUCT(D38:S38,$D$67:$S$67)</f>
        <v>-1054395.5416358206</v>
      </c>
    </row>
    <row r="39" spans="1:138">
      <c r="B39" s="60" t="s">
        <v>91</v>
      </c>
      <c r="C39" s="53">
        <f>SUM(D39:S39)</f>
        <v>1912033876.372067</v>
      </c>
      <c r="D39" s="55">
        <f>Строительство!G54</f>
        <v>0</v>
      </c>
      <c r="E39" s="55">
        <f>Строительство!H54</f>
        <v>26719697.471239075</v>
      </c>
      <c r="F39" s="55">
        <f>Строительство!I54</f>
        <v>508034215.07627803</v>
      </c>
      <c r="G39" s="55">
        <f>Строительство!J54</f>
        <v>704298879.72689641</v>
      </c>
      <c r="H39" s="55">
        <f>Строительство!K54</f>
        <v>525193620.3702479</v>
      </c>
      <c r="I39" s="55">
        <f>Строительство!L54</f>
        <v>147787463.72740561</v>
      </c>
      <c r="J39" s="55">
        <f>Строительство!M54</f>
        <v>0</v>
      </c>
      <c r="K39" s="55">
        <f>Строительство!N54</f>
        <v>0</v>
      </c>
      <c r="L39" s="55">
        <f>Строительство!O54</f>
        <v>0</v>
      </c>
      <c r="M39" s="55">
        <f>Строительство!P54</f>
        <v>0</v>
      </c>
      <c r="N39" s="55">
        <f>Строительство!Q54</f>
        <v>0</v>
      </c>
      <c r="O39" s="55">
        <f>Строительство!R54</f>
        <v>0</v>
      </c>
      <c r="P39" s="55">
        <f>Строительство!S54</f>
        <v>0</v>
      </c>
      <c r="Q39" s="55">
        <f>Строительство!T54</f>
        <v>0</v>
      </c>
      <c r="R39" s="55">
        <f>Строительство!U54</f>
        <v>0</v>
      </c>
      <c r="S39" s="55">
        <f>Строительство!V54</f>
        <v>0</v>
      </c>
      <c r="T39" s="354"/>
      <c r="U39" s="352"/>
      <c r="V39" s="1654">
        <f>SUMPRODUCT(D39:S39,$D$67:$S$67)</f>
        <v>1097560854.3868022</v>
      </c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2"/>
      <c r="AX39" s="352"/>
      <c r="AY39" s="352"/>
      <c r="AZ39" s="352"/>
      <c r="BA39" s="352"/>
      <c r="BB39" s="352"/>
      <c r="BC39" s="352"/>
      <c r="BD39" s="352"/>
      <c r="BE39" s="352"/>
      <c r="BF39" s="352"/>
      <c r="BG39" s="352"/>
      <c r="BH39" s="352"/>
      <c r="BI39" s="352"/>
      <c r="BJ39" s="352"/>
      <c r="BK39" s="352"/>
      <c r="BL39" s="352"/>
      <c r="BM39" s="352"/>
      <c r="BN39" s="352"/>
      <c r="BO39" s="352"/>
      <c r="BP39" s="352"/>
      <c r="BQ39" s="352"/>
      <c r="BR39" s="352"/>
      <c r="BS39" s="352"/>
      <c r="BT39" s="352"/>
      <c r="BU39" s="352"/>
      <c r="BV39" s="352"/>
      <c r="BW39" s="352"/>
      <c r="BX39" s="352"/>
      <c r="BY39" s="352"/>
      <c r="BZ39" s="352"/>
      <c r="CA39" s="352"/>
      <c r="CB39" s="352"/>
      <c r="CC39" s="352"/>
      <c r="CD39" s="352"/>
      <c r="CE39" s="352"/>
      <c r="CF39" s="352"/>
      <c r="CG39" s="352"/>
      <c r="CH39" s="352"/>
      <c r="CI39" s="352"/>
      <c r="CJ39" s="352"/>
      <c r="CK39" s="352"/>
      <c r="CL39" s="352"/>
      <c r="CM39" s="352"/>
      <c r="CN39" s="352"/>
      <c r="CO39" s="352"/>
      <c r="CP39" s="352"/>
      <c r="CQ39" s="352"/>
      <c r="CR39" s="352"/>
      <c r="CS39" s="352"/>
      <c r="CT39" s="352"/>
      <c r="CU39" s="352"/>
      <c r="CV39" s="352"/>
      <c r="CW39" s="352"/>
      <c r="CX39" s="352"/>
      <c r="CY39" s="352"/>
      <c r="CZ39" s="352"/>
      <c r="DA39" s="352"/>
      <c r="DB39" s="352"/>
      <c r="DC39" s="352"/>
      <c r="DD39" s="352"/>
      <c r="DE39" s="352"/>
      <c r="DF39" s="352"/>
      <c r="DG39" s="352"/>
      <c r="DH39" s="352"/>
      <c r="DI39" s="352"/>
      <c r="DJ39" s="352"/>
      <c r="DK39" s="352"/>
      <c r="DL39" s="352"/>
      <c r="DM39" s="352"/>
      <c r="DN39" s="352"/>
      <c r="DO39" s="352"/>
      <c r="DP39" s="352"/>
      <c r="DQ39" s="352"/>
      <c r="DR39" s="352"/>
      <c r="DS39" s="352"/>
      <c r="DT39" s="352"/>
      <c r="DU39" s="352"/>
      <c r="DV39" s="352"/>
      <c r="DW39" s="352"/>
      <c r="DX39" s="352"/>
      <c r="DY39" s="352"/>
      <c r="DZ39" s="352"/>
      <c r="EA39" s="352"/>
      <c r="EB39" s="352"/>
      <c r="EC39" s="352"/>
      <c r="ED39" s="352"/>
      <c r="EE39" s="352"/>
      <c r="EF39" s="352"/>
      <c r="EG39" s="352"/>
      <c r="EH39" s="352"/>
    </row>
    <row r="40" spans="1:138" s="352" customFormat="1" collapsed="1">
      <c r="B40" s="61" t="s">
        <v>92</v>
      </c>
      <c r="C40" s="53">
        <f>SUM(D40:S40)</f>
        <v>5651718555.6336803</v>
      </c>
      <c r="D40" s="1321">
        <f>SUM(D35:D39)</f>
        <v>-160732124.2753464</v>
      </c>
      <c r="E40" s="1321">
        <f t="shared" ref="E40:S40" si="16">SUM(E35:E39)</f>
        <v>-3021937951.9639382</v>
      </c>
      <c r="F40" s="1321">
        <f>SUM(F35:F39)</f>
        <v>-3718212661.6022744</v>
      </c>
      <c r="G40" s="1321">
        <f t="shared" si="16"/>
        <v>-2342580283.6421418</v>
      </c>
      <c r="H40" s="1321">
        <f t="shared" si="16"/>
        <v>1025497598.9812014</v>
      </c>
      <c r="I40" s="1321">
        <f t="shared" si="16"/>
        <v>2365290990.8252492</v>
      </c>
      <c r="J40" s="1321">
        <f t="shared" si="16"/>
        <v>2097533184.2835371</v>
      </c>
      <c r="K40" s="1321">
        <f t="shared" si="16"/>
        <v>896218409.90428627</v>
      </c>
      <c r="L40" s="1321">
        <f t="shared" si="16"/>
        <v>971504072.19823265</v>
      </c>
      <c r="M40" s="1321">
        <f t="shared" si="16"/>
        <v>996031734.2721113</v>
      </c>
      <c r="N40" s="1321">
        <f t="shared" si="16"/>
        <v>1033015502.9051963</v>
      </c>
      <c r="O40" s="1321">
        <f t="shared" si="16"/>
        <v>1065599668.3709555</v>
      </c>
      <c r="P40" s="1321">
        <f t="shared" si="16"/>
        <v>1102141928.9797382</v>
      </c>
      <c r="Q40" s="1321">
        <f t="shared" si="16"/>
        <v>1107518288.9659424</v>
      </c>
      <c r="R40" s="1321">
        <f t="shared" si="16"/>
        <v>1097727791.0366459</v>
      </c>
      <c r="S40" s="1321">
        <f t="shared" si="16"/>
        <v>1137102406.3942847</v>
      </c>
      <c r="T40" s="356"/>
      <c r="V40" s="1654">
        <f>SUMPRODUCT(D40:S40,$D$67:$S$67)</f>
        <v>-2581456997.8921413</v>
      </c>
    </row>
    <row r="41" spans="1:138" s="114" customFormat="1">
      <c r="B41" s="59" t="s">
        <v>93</v>
      </c>
      <c r="C41" s="56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355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  <c r="DJ41" s="352"/>
      <c r="DK41" s="352"/>
      <c r="DL41" s="352"/>
      <c r="DM41" s="352"/>
      <c r="DN41" s="352"/>
      <c r="DO41" s="352"/>
      <c r="DP41" s="352"/>
      <c r="DQ41" s="352"/>
      <c r="DR41" s="352"/>
      <c r="DS41" s="352"/>
      <c r="DT41" s="352"/>
      <c r="DU41" s="352"/>
      <c r="DV41" s="352"/>
      <c r="DW41" s="352"/>
      <c r="DX41" s="352"/>
      <c r="DY41" s="352"/>
      <c r="DZ41" s="352"/>
      <c r="EA41" s="352"/>
      <c r="EB41" s="352"/>
      <c r="EC41" s="352"/>
      <c r="ED41" s="352"/>
      <c r="EE41" s="352"/>
      <c r="EF41" s="352"/>
      <c r="EG41" s="352"/>
      <c r="EH41" s="352"/>
    </row>
    <row r="42" spans="1:138" s="19" customFormat="1" ht="15">
      <c r="A42" s="1434"/>
      <c r="B42" s="60" t="s">
        <v>55</v>
      </c>
      <c r="C42" s="53">
        <f>SUM(D42:S42)</f>
        <v>2274674803.8893714</v>
      </c>
      <c r="D42" s="55">
        <f t="shared" ref="D42:I42" si="17">IF(SUM(C48,D40,D44,D45,D43)&lt;0,-SUM(C48,D40,D44,D45,D43),0)</f>
        <v>60732123.896142259</v>
      </c>
      <c r="E42" s="55">
        <f t="shared" si="17"/>
        <v>879834374.65873814</v>
      </c>
      <c r="F42" s="55">
        <f t="shared" si="17"/>
        <v>850001509.8572917</v>
      </c>
      <c r="G42" s="55">
        <f t="shared" si="17"/>
        <v>344933432.98920155</v>
      </c>
      <c r="H42" s="55">
        <f t="shared" si="17"/>
        <v>139173362.48799789</v>
      </c>
      <c r="I42" s="55">
        <f t="shared" si="17"/>
        <v>0</v>
      </c>
      <c r="J42" s="55">
        <f t="shared" ref="J42:S42" si="18">IF(SUM(I48,J40,J44,J45,J43)&lt;0,-SUM(I48,J40,J44,J45,J43),0)</f>
        <v>0</v>
      </c>
      <c r="K42" s="55">
        <f t="shared" si="18"/>
        <v>0</v>
      </c>
      <c r="L42" s="55">
        <f t="shared" si="18"/>
        <v>0</v>
      </c>
      <c r="M42" s="55">
        <f t="shared" si="18"/>
        <v>0</v>
      </c>
      <c r="N42" s="55">
        <f t="shared" si="18"/>
        <v>0</v>
      </c>
      <c r="O42" s="55">
        <f t="shared" si="18"/>
        <v>0</v>
      </c>
      <c r="P42" s="55">
        <f t="shared" si="18"/>
        <v>0</v>
      </c>
      <c r="Q42" s="55">
        <f t="shared" si="18"/>
        <v>0</v>
      </c>
      <c r="R42" s="55">
        <f t="shared" si="18"/>
        <v>0</v>
      </c>
      <c r="S42" s="55">
        <f t="shared" si="18"/>
        <v>0</v>
      </c>
      <c r="T42" s="355"/>
      <c r="U42" s="352"/>
      <c r="V42" s="1654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352"/>
      <c r="BI42" s="352"/>
      <c r="BJ42" s="352"/>
      <c r="BK42" s="352"/>
      <c r="BL42" s="352"/>
      <c r="BM42" s="352"/>
      <c r="BN42" s="352"/>
      <c r="BO42" s="352"/>
      <c r="BP42" s="352"/>
      <c r="BQ42" s="352"/>
      <c r="BR42" s="352"/>
      <c r="BS42" s="352"/>
      <c r="BT42" s="352"/>
      <c r="BU42" s="352"/>
      <c r="BV42" s="352"/>
      <c r="BW42" s="352"/>
      <c r="BX42" s="352"/>
      <c r="BY42" s="352"/>
      <c r="BZ42" s="352"/>
      <c r="CA42" s="352"/>
      <c r="CB42" s="352"/>
      <c r="CC42" s="352"/>
      <c r="CD42" s="352"/>
      <c r="CE42" s="352"/>
      <c r="CF42" s="352"/>
      <c r="CG42" s="352"/>
      <c r="CH42" s="352"/>
      <c r="CI42" s="352"/>
      <c r="CJ42" s="352"/>
      <c r="CK42" s="352"/>
      <c r="CL42" s="352"/>
      <c r="CM42" s="352"/>
      <c r="CN42" s="352"/>
      <c r="CO42" s="352"/>
      <c r="CP42" s="352"/>
      <c r="CQ42" s="352"/>
      <c r="CR42" s="352"/>
      <c r="CS42" s="352"/>
      <c r="CT42" s="352"/>
      <c r="CU42" s="352"/>
      <c r="CV42" s="352"/>
      <c r="CW42" s="352"/>
      <c r="CX42" s="352"/>
      <c r="CY42" s="352"/>
      <c r="CZ42" s="352"/>
      <c r="DA42" s="352"/>
      <c r="DB42" s="352"/>
      <c r="DC42" s="352"/>
      <c r="DD42" s="352"/>
      <c r="DE42" s="352"/>
      <c r="DF42" s="352"/>
      <c r="DG42" s="352"/>
      <c r="DH42" s="352"/>
      <c r="DI42" s="352"/>
      <c r="DJ42" s="352"/>
      <c r="DK42" s="352"/>
      <c r="DL42" s="352"/>
      <c r="DM42" s="352"/>
      <c r="DN42" s="352"/>
      <c r="DO42" s="352"/>
      <c r="DP42" s="352"/>
      <c r="DQ42" s="352"/>
      <c r="DR42" s="352"/>
      <c r="DS42" s="352"/>
      <c r="DT42" s="352"/>
      <c r="DU42" s="352"/>
      <c r="DV42" s="352"/>
      <c r="DW42" s="352"/>
      <c r="DX42" s="352"/>
      <c r="DY42" s="352"/>
      <c r="DZ42" s="352"/>
      <c r="EA42" s="352"/>
      <c r="EB42" s="352"/>
      <c r="EC42" s="352"/>
      <c r="ED42" s="352"/>
      <c r="EE42" s="352"/>
      <c r="EF42" s="352"/>
      <c r="EG42" s="352"/>
      <c r="EH42" s="352"/>
    </row>
    <row r="43" spans="1:138">
      <c r="A43" s="269" t="b">
        <f>C43=C180</f>
        <v>1</v>
      </c>
      <c r="B43" s="60" t="s">
        <v>94</v>
      </c>
      <c r="C43" s="53">
        <f>SUM(D43:S43)</f>
        <v>8027999999.7626839</v>
      </c>
      <c r="D43" s="55">
        <f>D180</f>
        <v>100000000.37920414</v>
      </c>
      <c r="E43" s="55">
        <f t="shared" ref="E43:R43" si="19">E180</f>
        <v>2146103577.3203683</v>
      </c>
      <c r="F43" s="55">
        <f t="shared" si="19"/>
        <v>2958055294.8529658</v>
      </c>
      <c r="G43" s="55">
        <f t="shared" si="19"/>
        <v>2205813205.5550418</v>
      </c>
      <c r="H43" s="55">
        <f t="shared" si="19"/>
        <v>618027921.65510368</v>
      </c>
      <c r="I43" s="55">
        <f t="shared" si="19"/>
        <v>0</v>
      </c>
      <c r="J43" s="55">
        <f t="shared" si="19"/>
        <v>0</v>
      </c>
      <c r="K43" s="55">
        <f t="shared" si="19"/>
        <v>0</v>
      </c>
      <c r="L43" s="55">
        <f t="shared" si="19"/>
        <v>0</v>
      </c>
      <c r="M43" s="55">
        <f t="shared" si="19"/>
        <v>0</v>
      </c>
      <c r="N43" s="55">
        <f t="shared" si="19"/>
        <v>0</v>
      </c>
      <c r="O43" s="55">
        <f t="shared" si="19"/>
        <v>0</v>
      </c>
      <c r="P43" s="55">
        <f t="shared" si="19"/>
        <v>0</v>
      </c>
      <c r="Q43" s="55">
        <f t="shared" si="19"/>
        <v>0</v>
      </c>
      <c r="R43" s="55">
        <f t="shared" si="19"/>
        <v>0</v>
      </c>
      <c r="S43" s="55"/>
      <c r="T43" s="354"/>
      <c r="U43" s="352"/>
      <c r="V43" s="1654">
        <f>SUMPRODUCT(D43:S43,$D$67:$S$67)</f>
        <v>5403218264.3114748</v>
      </c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352"/>
      <c r="BI43" s="352"/>
      <c r="BJ43" s="352"/>
      <c r="BK43" s="352"/>
      <c r="BL43" s="352"/>
      <c r="BM43" s="352"/>
      <c r="BN43" s="352"/>
      <c r="BO43" s="352"/>
      <c r="BP43" s="352"/>
      <c r="BQ43" s="352"/>
      <c r="BR43" s="352"/>
      <c r="BS43" s="352"/>
      <c r="BT43" s="352"/>
      <c r="BU43" s="352"/>
      <c r="BV43" s="352"/>
      <c r="BW43" s="352"/>
      <c r="BX43" s="352"/>
      <c r="BY43" s="352"/>
      <c r="BZ43" s="352"/>
      <c r="CA43" s="352"/>
      <c r="CB43" s="352"/>
      <c r="CC43" s="352"/>
      <c r="CD43" s="352"/>
      <c r="CE43" s="352"/>
      <c r="CF43" s="352"/>
      <c r="CG43" s="352"/>
      <c r="CH43" s="352"/>
      <c r="CI43" s="352"/>
      <c r="CJ43" s="352"/>
      <c r="CK43" s="352"/>
      <c r="CL43" s="352"/>
      <c r="CM43" s="352"/>
      <c r="CN43" s="352"/>
      <c r="CO43" s="352"/>
      <c r="CP43" s="352"/>
      <c r="CQ43" s="352"/>
      <c r="CR43" s="352"/>
      <c r="CS43" s="352"/>
      <c r="CT43" s="352"/>
      <c r="CU43" s="352"/>
      <c r="CV43" s="352"/>
      <c r="CW43" s="352"/>
      <c r="CX43" s="352"/>
      <c r="CY43" s="352"/>
      <c r="CZ43" s="352"/>
      <c r="DA43" s="352"/>
      <c r="DB43" s="352"/>
      <c r="DC43" s="352"/>
      <c r="DD43" s="352"/>
      <c r="DE43" s="352"/>
      <c r="DF43" s="352"/>
      <c r="DG43" s="352"/>
      <c r="DH43" s="352"/>
      <c r="DI43" s="352"/>
      <c r="DJ43" s="352"/>
      <c r="DK43" s="352"/>
      <c r="DL43" s="352"/>
      <c r="DM43" s="352"/>
      <c r="DN43" s="352"/>
      <c r="DO43" s="352"/>
      <c r="DP43" s="352"/>
      <c r="DQ43" s="352"/>
      <c r="DR43" s="352"/>
      <c r="DS43" s="352"/>
      <c r="DT43" s="352"/>
      <c r="DU43" s="352"/>
      <c r="DV43" s="352"/>
      <c r="DW43" s="352"/>
      <c r="DX43" s="352"/>
      <c r="DY43" s="352"/>
      <c r="DZ43" s="352"/>
      <c r="EA43" s="352"/>
      <c r="EB43" s="352"/>
      <c r="EC43" s="352"/>
      <c r="ED43" s="352"/>
      <c r="EE43" s="352"/>
      <c r="EF43" s="352"/>
      <c r="EG43" s="352"/>
      <c r="EH43" s="352"/>
    </row>
    <row r="44" spans="1:138">
      <c r="A44" s="269" t="b">
        <f>-C44=C183</f>
        <v>1</v>
      </c>
      <c r="B44" s="60" t="s">
        <v>193</v>
      </c>
      <c r="C44" s="53">
        <f>SUM(D44:S44)</f>
        <v>-2338657381.0546288</v>
      </c>
      <c r="D44" s="55">
        <f>D25</f>
        <v>0</v>
      </c>
      <c r="E44" s="55">
        <f t="shared" ref="E44:S44" si="20">E25</f>
        <v>-4000000.0151681658</v>
      </c>
      <c r="F44" s="55">
        <f t="shared" si="20"/>
        <v>-89844143.107982904</v>
      </c>
      <c r="G44" s="55">
        <f t="shared" si="20"/>
        <v>-208166354.90210152</v>
      </c>
      <c r="H44" s="55">
        <f t="shared" si="20"/>
        <v>-296398883.12430322</v>
      </c>
      <c r="I44" s="55">
        <f t="shared" si="20"/>
        <v>-261667999.99050736</v>
      </c>
      <c r="J44" s="55">
        <f t="shared" si="20"/>
        <v>-253443999.99050736</v>
      </c>
      <c r="K44" s="55">
        <f t="shared" si="20"/>
        <v>-239587999.99050736</v>
      </c>
      <c r="L44" s="55">
        <f t="shared" si="20"/>
        <v>-220583999.99050736</v>
      </c>
      <c r="M44" s="55">
        <f t="shared" si="20"/>
        <v>-197895999.99050736</v>
      </c>
      <c r="N44" s="55">
        <f t="shared" si="20"/>
        <v>-172715999.99050736</v>
      </c>
      <c r="O44" s="55">
        <f t="shared" si="20"/>
        <v>-144771999.99050736</v>
      </c>
      <c r="P44" s="55">
        <f t="shared" si="20"/>
        <v>-114563999.99050736</v>
      </c>
      <c r="Q44" s="55">
        <f t="shared" si="20"/>
        <v>-83303999.990507349</v>
      </c>
      <c r="R44" s="55">
        <f t="shared" si="20"/>
        <v>-51711999.990507357</v>
      </c>
      <c r="S44" s="55">
        <f t="shared" si="20"/>
        <v>0</v>
      </c>
      <c r="T44" s="354"/>
      <c r="V44" s="1654">
        <f>SUMPRODUCT(D44:S44,$D$67:$S$67)</f>
        <v>-795350642.04208302</v>
      </c>
    </row>
    <row r="45" spans="1:138">
      <c r="A45" s="1457" t="b">
        <f>-C45=C43</f>
        <v>0</v>
      </c>
      <c r="B45" s="60" t="s">
        <v>95</v>
      </c>
      <c r="C45" s="53">
        <f>SUM(D45:S45)</f>
        <v>-8028000000</v>
      </c>
      <c r="D45" s="55">
        <f>-D184</f>
        <v>0</v>
      </c>
      <c r="E45" s="55">
        <f t="shared" ref="E45:S45" si="21">-E184</f>
        <v>0</v>
      </c>
      <c r="F45" s="55">
        <f t="shared" si="21"/>
        <v>0</v>
      </c>
      <c r="G45" s="55">
        <f t="shared" si="21"/>
        <v>0</v>
      </c>
      <c r="H45" s="55">
        <f t="shared" si="21"/>
        <v>-1486300000</v>
      </c>
      <c r="I45" s="55">
        <f t="shared" si="21"/>
        <v>-205600000</v>
      </c>
      <c r="J45" s="55">
        <f t="shared" si="21"/>
        <v>-346400000</v>
      </c>
      <c r="K45" s="55">
        <f t="shared" si="21"/>
        <v>-475100000</v>
      </c>
      <c r="L45" s="55">
        <f t="shared" si="21"/>
        <v>-567200000</v>
      </c>
      <c r="M45" s="55">
        <f t="shared" si="21"/>
        <v>-629500000</v>
      </c>
      <c r="N45" s="55">
        <f t="shared" si="21"/>
        <v>-698600000</v>
      </c>
      <c r="O45" s="55">
        <f t="shared" si="21"/>
        <v>-755200000</v>
      </c>
      <c r="P45" s="55">
        <f t="shared" si="21"/>
        <v>-781500000</v>
      </c>
      <c r="Q45" s="55">
        <f t="shared" si="21"/>
        <v>-789800000</v>
      </c>
      <c r="R45" s="55">
        <f t="shared" si="21"/>
        <v>-787800000</v>
      </c>
      <c r="S45" s="55">
        <f t="shared" si="21"/>
        <v>-505000000</v>
      </c>
      <c r="T45" s="354"/>
      <c r="V45" s="1654">
        <f>SUMPRODUCT(D45:S45,$D$67:$S$67)</f>
        <v>-1958605568.959631</v>
      </c>
    </row>
    <row r="46" spans="1:138" s="352" customFormat="1" collapsed="1">
      <c r="A46" s="1397" t="str">
        <f>A186</f>
        <v>ВНИМАНИЕ</v>
      </c>
      <c r="B46" s="61" t="s">
        <v>96</v>
      </c>
      <c r="C46" s="53">
        <f>SUM(D46:S46)</f>
        <v>3313061174.3417354</v>
      </c>
      <c r="D46" s="57">
        <f t="shared" ref="D46:S46" si="22">SUM(D40:D45)-D42</f>
        <v>-60732123.896142259</v>
      </c>
      <c r="E46" s="57">
        <f t="shared" si="22"/>
        <v>-879834374.65873814</v>
      </c>
      <c r="F46" s="57">
        <f t="shared" si="22"/>
        <v>-850001509.85729146</v>
      </c>
      <c r="G46" s="57">
        <f t="shared" si="22"/>
        <v>-344933432.98920155</v>
      </c>
      <c r="H46" s="57">
        <f t="shared" si="22"/>
        <v>-139173362.48799789</v>
      </c>
      <c r="I46" s="57">
        <f t="shared" si="22"/>
        <v>1898022990.8347418</v>
      </c>
      <c r="J46" s="57">
        <f t="shared" si="22"/>
        <v>1497689184.2930298</v>
      </c>
      <c r="K46" s="57">
        <f t="shared" si="22"/>
        <v>181530409.9137789</v>
      </c>
      <c r="L46" s="57">
        <f t="shared" si="22"/>
        <v>183720072.20772529</v>
      </c>
      <c r="M46" s="57">
        <f t="shared" si="22"/>
        <v>168635734.28160393</v>
      </c>
      <c r="N46" s="57">
        <f t="shared" si="22"/>
        <v>161699502.91468894</v>
      </c>
      <c r="O46" s="57">
        <f t="shared" si="22"/>
        <v>165627668.3804481</v>
      </c>
      <c r="P46" s="57">
        <f t="shared" si="22"/>
        <v>206077928.98923087</v>
      </c>
      <c r="Q46" s="57">
        <f t="shared" si="22"/>
        <v>234414288.97543502</v>
      </c>
      <c r="R46" s="57">
        <f t="shared" si="22"/>
        <v>258215791.04613853</v>
      </c>
      <c r="S46" s="57">
        <f t="shared" si="22"/>
        <v>632102406.39428473</v>
      </c>
      <c r="T46" s="356"/>
      <c r="V46" s="1654">
        <f>SUMPRODUCT(D46:S46,$D$67:$S$67)</f>
        <v>67805055.417616993</v>
      </c>
      <c r="X46" s="352" t="b">
        <f>V46=D71</f>
        <v>1</v>
      </c>
    </row>
    <row r="47" spans="1:138">
      <c r="B47" s="60" t="s">
        <v>1011</v>
      </c>
      <c r="C47" s="53"/>
      <c r="D47" s="55">
        <f>SUM(D40:D45)</f>
        <v>0</v>
      </c>
      <c r="E47" s="55">
        <f>SUM(E40:E45)</f>
        <v>2.4214386940002441E-8</v>
      </c>
      <c r="F47" s="55">
        <f>SUM(F40:F45)</f>
        <v>2.0861625671386719E-7</v>
      </c>
      <c r="G47" s="55">
        <f>SUM(G40:G45)</f>
        <v>0</v>
      </c>
      <c r="H47" s="55">
        <f t="shared" ref="H47:S47" si="23">SUM(H40:H45)</f>
        <v>0</v>
      </c>
      <c r="I47" s="55">
        <f t="shared" si="23"/>
        <v>1898022990.8347418</v>
      </c>
      <c r="J47" s="55">
        <f t="shared" si="23"/>
        <v>1497689184.2930298</v>
      </c>
      <c r="K47" s="55">
        <f t="shared" si="23"/>
        <v>181530409.9137789</v>
      </c>
      <c r="L47" s="55">
        <f t="shared" si="23"/>
        <v>183720072.20772529</v>
      </c>
      <c r="M47" s="55">
        <f t="shared" si="23"/>
        <v>168635734.28160393</v>
      </c>
      <c r="N47" s="55">
        <f t="shared" si="23"/>
        <v>161699502.91468894</v>
      </c>
      <c r="O47" s="55">
        <f t="shared" si="23"/>
        <v>165627668.3804481</v>
      </c>
      <c r="P47" s="55">
        <f t="shared" si="23"/>
        <v>206077928.98923087</v>
      </c>
      <c r="Q47" s="55">
        <f t="shared" si="23"/>
        <v>234414288.97543502</v>
      </c>
      <c r="R47" s="55">
        <f t="shared" si="23"/>
        <v>258215791.04613853</v>
      </c>
      <c r="S47" s="55">
        <f t="shared" si="23"/>
        <v>632102406.39428473</v>
      </c>
      <c r="T47" s="354"/>
    </row>
    <row r="48" spans="1:138">
      <c r="B48" s="60" t="s">
        <v>1012</v>
      </c>
      <c r="C48" s="53"/>
      <c r="D48" s="55">
        <f t="shared" ref="D48:S48" si="24">C48+D47</f>
        <v>0</v>
      </c>
      <c r="E48" s="55">
        <f t="shared" si="24"/>
        <v>2.4214386940002441E-8</v>
      </c>
      <c r="F48" s="55">
        <f t="shared" si="24"/>
        <v>2.3283064365386963E-7</v>
      </c>
      <c r="G48" s="55">
        <f t="shared" si="24"/>
        <v>2.3283064365386963E-7</v>
      </c>
      <c r="H48" s="55">
        <f t="shared" si="24"/>
        <v>2.3283064365386963E-7</v>
      </c>
      <c r="I48" s="55">
        <f t="shared" si="24"/>
        <v>1898022990.8347421</v>
      </c>
      <c r="J48" s="55">
        <f t="shared" si="24"/>
        <v>3395712175.1277719</v>
      </c>
      <c r="K48" s="55">
        <f t="shared" si="24"/>
        <v>3577242585.0415506</v>
      </c>
      <c r="L48" s="55">
        <f t="shared" si="24"/>
        <v>3760962657.2492762</v>
      </c>
      <c r="M48" s="55">
        <f t="shared" si="24"/>
        <v>3929598391.53088</v>
      </c>
      <c r="N48" s="55">
        <f t="shared" si="24"/>
        <v>4091297894.445569</v>
      </c>
      <c r="O48" s="55">
        <f t="shared" si="24"/>
        <v>4256925562.8260174</v>
      </c>
      <c r="P48" s="55">
        <f t="shared" si="24"/>
        <v>4463003491.8152485</v>
      </c>
      <c r="Q48" s="55">
        <f t="shared" si="24"/>
        <v>4697417780.7906837</v>
      </c>
      <c r="R48" s="55">
        <f t="shared" si="24"/>
        <v>4955633571.8368225</v>
      </c>
      <c r="S48" s="55">
        <f t="shared" si="24"/>
        <v>5587735978.2311077</v>
      </c>
      <c r="T48" s="354"/>
    </row>
    <row r="49" spans="1:21" s="1433" customFormat="1">
      <c r="A49" s="1397"/>
      <c r="B49" s="1429"/>
      <c r="C49" s="1430"/>
      <c r="D49" s="1431"/>
      <c r="E49" s="1431"/>
      <c r="F49" s="1431"/>
      <c r="G49" s="1431"/>
      <c r="H49" s="1431"/>
      <c r="I49" s="1431"/>
      <c r="J49" s="1431"/>
      <c r="K49" s="1436"/>
      <c r="L49" s="1436"/>
      <c r="M49" s="1436"/>
      <c r="N49" s="1436"/>
      <c r="O49" s="1436"/>
      <c r="P49" s="1436"/>
      <c r="Q49" s="1436"/>
      <c r="R49" s="1436"/>
      <c r="S49" s="1436"/>
      <c r="T49" s="1432"/>
    </row>
    <row r="50" spans="1:21">
      <c r="B50" s="1428" t="s">
        <v>986</v>
      </c>
      <c r="C50" s="341"/>
      <c r="D50" s="341">
        <f t="shared" ref="D50:N50" si="25">D5</f>
        <v>2022</v>
      </c>
      <c r="E50" s="341">
        <f t="shared" si="25"/>
        <v>2023</v>
      </c>
      <c r="F50" s="341">
        <f t="shared" si="25"/>
        <v>2024</v>
      </c>
      <c r="G50" s="341">
        <f t="shared" si="25"/>
        <v>2025</v>
      </c>
      <c r="H50" s="341">
        <f t="shared" si="25"/>
        <v>2026</v>
      </c>
      <c r="I50" s="341">
        <f t="shared" si="25"/>
        <v>2027</v>
      </c>
      <c r="J50" s="341">
        <f t="shared" si="25"/>
        <v>2028</v>
      </c>
      <c r="K50" s="341">
        <f t="shared" si="25"/>
        <v>2029</v>
      </c>
      <c r="L50" s="341">
        <f t="shared" si="25"/>
        <v>2030</v>
      </c>
      <c r="M50" s="341">
        <f t="shared" si="25"/>
        <v>2031</v>
      </c>
      <c r="N50" s="341">
        <f t="shared" si="25"/>
        <v>2032</v>
      </c>
      <c r="O50" s="341"/>
      <c r="P50" s="341"/>
      <c r="Q50" s="341"/>
      <c r="R50" s="341"/>
      <c r="S50" s="341"/>
      <c r="T50" s="341" t="str">
        <f>T4</f>
        <v>Постпрогноз</v>
      </c>
    </row>
    <row r="51" spans="1:21" s="114" customFormat="1">
      <c r="B51" s="59" t="s">
        <v>97</v>
      </c>
      <c r="C51" s="56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1">
      <c r="B52" s="60" t="s">
        <v>98</v>
      </c>
      <c r="C52" s="5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1327">
        <v>0.1</v>
      </c>
    </row>
    <row r="53" spans="1:21">
      <c r="B53" s="60" t="s">
        <v>97</v>
      </c>
      <c r="C53" s="56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5">
        <f>T35/T52</f>
        <v>11893888876.333202</v>
      </c>
    </row>
    <row r="54" spans="1:21">
      <c r="B54" s="60" t="s">
        <v>99</v>
      </c>
      <c r="C54" s="5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62">
        <v>0.01</v>
      </c>
    </row>
    <row r="55" spans="1:21">
      <c r="B55" s="60" t="s">
        <v>100</v>
      </c>
      <c r="C55" s="56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5">
        <f>-T54*T53</f>
        <v>-118938888.76333202</v>
      </c>
    </row>
    <row r="56" spans="1:21">
      <c r="B56" s="60" t="s">
        <v>101</v>
      </c>
      <c r="C56" s="56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5"/>
    </row>
    <row r="57" spans="1:21">
      <c r="B57" s="60" t="s">
        <v>102</v>
      </c>
      <c r="C57" s="56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5">
        <f>T53+T55-T56</f>
        <v>11774949987.56987</v>
      </c>
    </row>
    <row r="58" spans="1:21">
      <c r="B58" s="60" t="s">
        <v>103</v>
      </c>
      <c r="C58" s="56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62"/>
      <c r="U58" s="31" t="s">
        <v>445</v>
      </c>
    </row>
    <row r="59" spans="1:21">
      <c r="B59" s="60" t="s">
        <v>104</v>
      </c>
      <c r="C59" s="56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5">
        <f>-T57*T58</f>
        <v>0</v>
      </c>
    </row>
    <row r="60" spans="1:21">
      <c r="B60" s="60" t="s">
        <v>105</v>
      </c>
      <c r="C60" s="56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5">
        <v>0</v>
      </c>
    </row>
    <row r="61" spans="1:21">
      <c r="B61" s="60" t="s">
        <v>446</v>
      </c>
      <c r="C61" s="56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5">
        <f>T53+T55+T59-T60</f>
        <v>11774949987.56987</v>
      </c>
    </row>
    <row r="62" spans="1:21" s="114" customFormat="1">
      <c r="B62" s="59" t="s">
        <v>106</v>
      </c>
      <c r="C62" s="56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5"/>
    </row>
    <row r="63" spans="1:21">
      <c r="B63" s="60" t="str">
        <f>B46</f>
        <v>FCFE</v>
      </c>
      <c r="C63" s="56"/>
      <c r="D63" s="55">
        <f>D46</f>
        <v>-60732123.896142259</v>
      </c>
      <c r="E63" s="55">
        <f t="shared" ref="E63:S63" si="26">E46</f>
        <v>-879834374.65873814</v>
      </c>
      <c r="F63" s="55">
        <f t="shared" si="26"/>
        <v>-850001509.85729146</v>
      </c>
      <c r="G63" s="55">
        <f t="shared" si="26"/>
        <v>-344933432.98920155</v>
      </c>
      <c r="H63" s="55">
        <f t="shared" si="26"/>
        <v>-139173362.48799789</v>
      </c>
      <c r="I63" s="55">
        <f t="shared" si="26"/>
        <v>1898022990.8347418</v>
      </c>
      <c r="J63" s="55">
        <f t="shared" si="26"/>
        <v>1497689184.2930298</v>
      </c>
      <c r="K63" s="55">
        <f t="shared" si="26"/>
        <v>181530409.9137789</v>
      </c>
      <c r="L63" s="55">
        <f t="shared" si="26"/>
        <v>183720072.20772529</v>
      </c>
      <c r="M63" s="55">
        <f t="shared" si="26"/>
        <v>168635734.28160393</v>
      </c>
      <c r="N63" s="55">
        <f t="shared" si="26"/>
        <v>161699502.91468894</v>
      </c>
      <c r="O63" s="55">
        <f t="shared" si="26"/>
        <v>165627668.3804481</v>
      </c>
      <c r="P63" s="55">
        <f t="shared" si="26"/>
        <v>206077928.98923087</v>
      </c>
      <c r="Q63" s="55">
        <f t="shared" si="26"/>
        <v>234414288.97543502</v>
      </c>
      <c r="R63" s="55">
        <f t="shared" si="26"/>
        <v>258215791.04613853</v>
      </c>
      <c r="S63" s="55">
        <f t="shared" si="26"/>
        <v>632102406.39428473</v>
      </c>
      <c r="T63" s="354"/>
      <c r="U63" s="1440"/>
    </row>
    <row r="64" spans="1:21">
      <c r="B64" s="60" t="s">
        <v>990</v>
      </c>
      <c r="C64" s="56"/>
      <c r="D64" s="55">
        <f t="shared" ref="D64:T64" si="27">D63+D61</f>
        <v>-60732123.896142259</v>
      </c>
      <c r="E64" s="55">
        <f t="shared" si="27"/>
        <v>-879834374.65873814</v>
      </c>
      <c r="F64" s="55">
        <f t="shared" si="27"/>
        <v>-850001509.85729146</v>
      </c>
      <c r="G64" s="55">
        <f t="shared" si="27"/>
        <v>-344933432.98920155</v>
      </c>
      <c r="H64" s="55">
        <f t="shared" si="27"/>
        <v>-139173362.48799789</v>
      </c>
      <c r="I64" s="55">
        <f t="shared" si="27"/>
        <v>1898022990.8347418</v>
      </c>
      <c r="J64" s="55">
        <f t="shared" si="27"/>
        <v>1497689184.2930298</v>
      </c>
      <c r="K64" s="55">
        <f t="shared" si="27"/>
        <v>181530409.9137789</v>
      </c>
      <c r="L64" s="55">
        <f t="shared" si="27"/>
        <v>183720072.20772529</v>
      </c>
      <c r="M64" s="55">
        <f t="shared" si="27"/>
        <v>168635734.28160393</v>
      </c>
      <c r="N64" s="55">
        <f t="shared" si="27"/>
        <v>161699502.91468894</v>
      </c>
      <c r="O64" s="55">
        <f t="shared" si="27"/>
        <v>165627668.3804481</v>
      </c>
      <c r="P64" s="55">
        <f t="shared" si="27"/>
        <v>206077928.98923087</v>
      </c>
      <c r="Q64" s="55">
        <f t="shared" si="27"/>
        <v>234414288.97543502</v>
      </c>
      <c r="R64" s="55">
        <f t="shared" si="27"/>
        <v>258215791.04613853</v>
      </c>
      <c r="S64" s="55">
        <f t="shared" si="27"/>
        <v>632102406.39428473</v>
      </c>
      <c r="T64" s="358">
        <f t="shared" si="27"/>
        <v>11774949987.56987</v>
      </c>
    </row>
    <row r="65" spans="2:21">
      <c r="B65" s="60" t="s">
        <v>107</v>
      </c>
      <c r="C65" s="56"/>
      <c r="D65" s="62">
        <f>WACC!D20</f>
        <v>0.17289341739814601</v>
      </c>
      <c r="E65" s="62">
        <f>D65</f>
        <v>0.17289341739814601</v>
      </c>
      <c r="F65" s="62">
        <f t="shared" ref="F65:S65" si="28">E65</f>
        <v>0.17289341739814601</v>
      </c>
      <c r="G65" s="62">
        <f t="shared" si="28"/>
        <v>0.17289341739814601</v>
      </c>
      <c r="H65" s="62">
        <f t="shared" si="28"/>
        <v>0.17289341739814601</v>
      </c>
      <c r="I65" s="62">
        <f t="shared" si="28"/>
        <v>0.17289341739814601</v>
      </c>
      <c r="J65" s="62">
        <f t="shared" si="28"/>
        <v>0.17289341739814601</v>
      </c>
      <c r="K65" s="62">
        <f t="shared" si="28"/>
        <v>0.17289341739814601</v>
      </c>
      <c r="L65" s="62">
        <f t="shared" si="28"/>
        <v>0.17289341739814601</v>
      </c>
      <c r="M65" s="62">
        <f t="shared" si="28"/>
        <v>0.17289341739814601</v>
      </c>
      <c r="N65" s="62">
        <f t="shared" si="28"/>
        <v>0.17289341739814601</v>
      </c>
      <c r="O65" s="62">
        <f t="shared" si="28"/>
        <v>0.17289341739814601</v>
      </c>
      <c r="P65" s="62">
        <f t="shared" si="28"/>
        <v>0.17289341739814601</v>
      </c>
      <c r="Q65" s="62">
        <f t="shared" si="28"/>
        <v>0.17289341739814601</v>
      </c>
      <c r="R65" s="62">
        <f t="shared" si="28"/>
        <v>0.17289341739814601</v>
      </c>
      <c r="S65" s="62">
        <f t="shared" si="28"/>
        <v>0.17289341739814601</v>
      </c>
      <c r="T65" s="62">
        <f>N65</f>
        <v>0.17289341739814601</v>
      </c>
    </row>
    <row r="66" spans="2:21">
      <c r="B66" s="60" t="s">
        <v>447</v>
      </c>
      <c r="C66" s="56"/>
      <c r="D66" s="357">
        <f>D$8/365/2</f>
        <v>0.45753424657534247</v>
      </c>
      <c r="E66" s="357">
        <f>D66*2+0.5</f>
        <v>1.4150684931506849</v>
      </c>
      <c r="F66" s="63">
        <f>E66+1</f>
        <v>2.4150684931506849</v>
      </c>
      <c r="G66" s="63">
        <f t="shared" ref="G66:S66" si="29">F66+1</f>
        <v>3.4150684931506849</v>
      </c>
      <c r="H66" s="63">
        <f t="shared" si="29"/>
        <v>4.4150684931506845</v>
      </c>
      <c r="I66" s="63">
        <f t="shared" si="29"/>
        <v>5.4150684931506845</v>
      </c>
      <c r="J66" s="63">
        <f t="shared" si="29"/>
        <v>6.4150684931506845</v>
      </c>
      <c r="K66" s="63">
        <f t="shared" si="29"/>
        <v>7.4150684931506845</v>
      </c>
      <c r="L66" s="63">
        <f t="shared" si="29"/>
        <v>8.4150684931506845</v>
      </c>
      <c r="M66" s="63">
        <f t="shared" si="29"/>
        <v>9.4150684931506845</v>
      </c>
      <c r="N66" s="63">
        <f t="shared" si="29"/>
        <v>10.415068493150685</v>
      </c>
      <c r="O66" s="63">
        <f t="shared" si="29"/>
        <v>11.415068493150685</v>
      </c>
      <c r="P66" s="63">
        <f t="shared" si="29"/>
        <v>12.415068493150685</v>
      </c>
      <c r="Q66" s="63">
        <f t="shared" si="29"/>
        <v>13.415068493150685</v>
      </c>
      <c r="R66" s="63">
        <f t="shared" si="29"/>
        <v>14.415068493150685</v>
      </c>
      <c r="S66" s="63">
        <f t="shared" si="29"/>
        <v>15.415068493150685</v>
      </c>
      <c r="T66" s="357">
        <f>S66+0.5</f>
        <v>15.915068493150685</v>
      </c>
    </row>
    <row r="67" spans="2:21">
      <c r="B67" s="60" t="s">
        <v>108</v>
      </c>
      <c r="C67" s="56"/>
      <c r="D67" s="64">
        <f>1/(1+D65)^D66</f>
        <v>0.92963366389920821</v>
      </c>
      <c r="E67" s="64">
        <f t="shared" ref="E67:S67" si="30">1/(1+E65)^E66</f>
        <v>0.79798441516667362</v>
      </c>
      <c r="F67" s="64">
        <f t="shared" si="30"/>
        <v>0.68035543837977974</v>
      </c>
      <c r="G67" s="64">
        <f t="shared" si="30"/>
        <v>0.58006586812382877</v>
      </c>
      <c r="H67" s="64">
        <f t="shared" si="30"/>
        <v>0.4945597438943779</v>
      </c>
      <c r="I67" s="64">
        <f t="shared" si="30"/>
        <v>0.42165787322045861</v>
      </c>
      <c r="J67" s="64">
        <f t="shared" si="30"/>
        <v>0.35950229318860966</v>
      </c>
      <c r="K67" s="64">
        <f t="shared" si="30"/>
        <v>0.30650891876100822</v>
      </c>
      <c r="L67" s="64">
        <f t="shared" si="30"/>
        <v>0.26132717109193382</v>
      </c>
      <c r="M67" s="64">
        <f t="shared" si="30"/>
        <v>0.22280555693768098</v>
      </c>
      <c r="N67" s="64">
        <f t="shared" si="30"/>
        <v>0.18996232192344903</v>
      </c>
      <c r="O67" s="64">
        <f t="shared" si="30"/>
        <v>0.1619604297420702</v>
      </c>
      <c r="P67" s="64">
        <f t="shared" si="30"/>
        <v>0.13808622960929429</v>
      </c>
      <c r="Q67" s="64">
        <f t="shared" si="30"/>
        <v>0.11773126829854146</v>
      </c>
      <c r="R67" s="64">
        <f t="shared" si="30"/>
        <v>0.10037678322017285</v>
      </c>
      <c r="S67" s="64">
        <f t="shared" si="30"/>
        <v>8.5580481338910372E-2</v>
      </c>
      <c r="T67" s="64">
        <f>1/(1+T65)^T66</f>
        <v>7.9021532945928979E-2</v>
      </c>
    </row>
    <row r="68" spans="2:21">
      <c r="B68" s="60" t="s">
        <v>999</v>
      </c>
      <c r="C68" s="56"/>
      <c r="D68" s="55">
        <f t="shared" ref="D68:T68" si="31">D67*D63</f>
        <v>-56458626.853951387</v>
      </c>
      <c r="E68" s="55">
        <f t="shared" si="31"/>
        <v>-702094118.9055891</v>
      </c>
      <c r="F68" s="55">
        <f t="shared" si="31"/>
        <v>-578303149.86243224</v>
      </c>
      <c r="G68" s="55">
        <f t="shared" si="31"/>
        <v>-200084111.25181371</v>
      </c>
      <c r="H68" s="55">
        <f t="shared" si="31"/>
        <v>-68829542.508983657</v>
      </c>
      <c r="I68" s="55">
        <f t="shared" si="31"/>
        <v>800316337.63891125</v>
      </c>
      <c r="J68" s="55">
        <f t="shared" si="31"/>
        <v>538422696.23712242</v>
      </c>
      <c r="K68" s="55">
        <f t="shared" si="31"/>
        <v>55640689.664914981</v>
      </c>
      <c r="L68" s="55">
        <f t="shared" si="31"/>
        <v>48011046.742850661</v>
      </c>
      <c r="M68" s="55">
        <f t="shared" si="31"/>
        <v>37572978.696207546</v>
      </c>
      <c r="N68" s="55">
        <f t="shared" si="31"/>
        <v>30716813.027541827</v>
      </c>
      <c r="O68" s="55">
        <f t="shared" si="31"/>
        <v>26825128.348074466</v>
      </c>
      <c r="P68" s="55">
        <f t="shared" si="31"/>
        <v>28456524.219814777</v>
      </c>
      <c r="Q68" s="55">
        <f t="shared" si="31"/>
        <v>27597891.548378769</v>
      </c>
      <c r="R68" s="55">
        <f t="shared" si="31"/>
        <v>25918870.481863696</v>
      </c>
      <c r="S68" s="55">
        <f t="shared" si="31"/>
        <v>54095628.194706425</v>
      </c>
      <c r="T68" s="55">
        <f t="shared" si="31"/>
        <v>0</v>
      </c>
      <c r="U68" s="1440"/>
    </row>
    <row r="69" spans="2:21">
      <c r="B69" s="60" t="s">
        <v>1000</v>
      </c>
      <c r="C69" s="56"/>
      <c r="D69" s="55">
        <f>D64*D67</f>
        <v>-56458626.853951387</v>
      </c>
      <c r="E69" s="55">
        <f t="shared" ref="E69:T69" si="32">E64*E67</f>
        <v>-702094118.9055891</v>
      </c>
      <c r="F69" s="55">
        <f t="shared" si="32"/>
        <v>-578303149.86243224</v>
      </c>
      <c r="G69" s="55">
        <f t="shared" si="32"/>
        <v>-200084111.25181371</v>
      </c>
      <c r="H69" s="55">
        <f t="shared" si="32"/>
        <v>-68829542.508983657</v>
      </c>
      <c r="I69" s="55">
        <f t="shared" si="32"/>
        <v>800316337.63891125</v>
      </c>
      <c r="J69" s="55">
        <f t="shared" si="32"/>
        <v>538422696.23712242</v>
      </c>
      <c r="K69" s="55">
        <f t="shared" si="32"/>
        <v>55640689.664914981</v>
      </c>
      <c r="L69" s="55">
        <f t="shared" si="32"/>
        <v>48011046.742850661</v>
      </c>
      <c r="M69" s="55">
        <f t="shared" si="32"/>
        <v>37572978.696207546</v>
      </c>
      <c r="N69" s="55">
        <f t="shared" si="32"/>
        <v>30716813.027541827</v>
      </c>
      <c r="O69" s="55">
        <f t="shared" si="32"/>
        <v>26825128.348074466</v>
      </c>
      <c r="P69" s="55">
        <f t="shared" si="32"/>
        <v>28456524.219814777</v>
      </c>
      <c r="Q69" s="55">
        <f t="shared" si="32"/>
        <v>27597891.548378769</v>
      </c>
      <c r="R69" s="55">
        <f t="shared" si="32"/>
        <v>25918870.481863696</v>
      </c>
      <c r="S69" s="55">
        <f t="shared" si="32"/>
        <v>54095628.194706425</v>
      </c>
      <c r="T69" s="55">
        <f t="shared" si="32"/>
        <v>930474598.37941849</v>
      </c>
    </row>
    <row r="70" spans="2:21" s="352" customFormat="1" collapsed="1">
      <c r="B70" s="351" t="s">
        <v>109</v>
      </c>
      <c r="C70" s="58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2:21">
      <c r="B71" s="65" t="s">
        <v>998</v>
      </c>
      <c r="C71" s="56"/>
      <c r="D71" s="67">
        <f>SUM(D68:S68)</f>
        <v>67805055.417616993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5"/>
    </row>
    <row r="72" spans="2:21">
      <c r="B72" s="65" t="s">
        <v>997</v>
      </c>
      <c r="C72" s="56"/>
      <c r="D72" s="67">
        <f>SUM(D69:T69)</f>
        <v>998279653.79703546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5"/>
    </row>
    <row r="73" spans="2:21">
      <c r="B73" s="60" t="s">
        <v>995</v>
      </c>
      <c r="C73" s="56"/>
      <c r="D73" s="68">
        <f>SUM($D$63:D63)</f>
        <v>-60732123.896142259</v>
      </c>
      <c r="E73" s="55">
        <f>SUM($D$63:E63)</f>
        <v>-940566498.55488038</v>
      </c>
      <c r="F73" s="55">
        <f>SUM($D$63:F63)</f>
        <v>-1790568008.4121718</v>
      </c>
      <c r="G73" s="55">
        <f>SUM($D$63:G63)</f>
        <v>-2135501441.4013734</v>
      </c>
      <c r="H73" s="55">
        <f>SUM($D$63:H63)</f>
        <v>-2274674803.8893714</v>
      </c>
      <c r="I73" s="55">
        <f>SUM($D$63:I63)</f>
        <v>-376651813.05462956</v>
      </c>
      <c r="J73" s="55">
        <f>SUM($D$63:J63)</f>
        <v>1121037371.2384002</v>
      </c>
      <c r="K73" s="55">
        <f>SUM($D$63:K63)</f>
        <v>1302567781.1521792</v>
      </c>
      <c r="L73" s="55">
        <f>SUM($D$63:L63)</f>
        <v>1486287853.3599045</v>
      </c>
      <c r="M73" s="55">
        <f>SUM($D$63:M63)</f>
        <v>1654923587.6415086</v>
      </c>
      <c r="N73" s="55">
        <f>SUM($D$63:N63)</f>
        <v>1816623090.5561976</v>
      </c>
      <c r="O73" s="55">
        <f>SUM($D$63:O63)</f>
        <v>1982250758.9366457</v>
      </c>
      <c r="P73" s="55">
        <f>SUM($D$63:P63)</f>
        <v>2188328687.9258766</v>
      </c>
      <c r="Q73" s="55">
        <f>SUM($D$63:Q63)</f>
        <v>2422742976.9013119</v>
      </c>
      <c r="R73" s="55">
        <f>SUM($D$63:R63)</f>
        <v>2680958767.9474506</v>
      </c>
      <c r="S73" s="358">
        <f>SUM($D$63:T63)</f>
        <v>3313061174.3417354</v>
      </c>
      <c r="T73" s="55"/>
    </row>
    <row r="74" spans="2:21">
      <c r="B74" s="60" t="s">
        <v>996</v>
      </c>
      <c r="C74" s="56"/>
      <c r="D74" s="68">
        <f>SUM($D$64:D64)</f>
        <v>-60732123.896142259</v>
      </c>
      <c r="E74" s="68">
        <f>SUM($D$64:E64)</f>
        <v>-940566498.55488038</v>
      </c>
      <c r="F74" s="68">
        <f>SUM($D$64:F64)</f>
        <v>-1790568008.4121718</v>
      </c>
      <c r="G74" s="68">
        <f>SUM($D$64:G64)</f>
        <v>-2135501441.4013734</v>
      </c>
      <c r="H74" s="68">
        <f>SUM($D$64:H64)</f>
        <v>-2274674803.8893714</v>
      </c>
      <c r="I74" s="68">
        <f>SUM($D$64:I64)</f>
        <v>-376651813.05462956</v>
      </c>
      <c r="J74" s="68">
        <f>SUM($D$64:J64)</f>
        <v>1121037371.2384002</v>
      </c>
      <c r="K74" s="68">
        <f>SUM($D$64:K64)</f>
        <v>1302567781.1521792</v>
      </c>
      <c r="L74" s="68">
        <f>SUM($D$64:L64)</f>
        <v>1486287853.3599045</v>
      </c>
      <c r="M74" s="68">
        <f>SUM($D$64:M64)</f>
        <v>1654923587.6415086</v>
      </c>
      <c r="N74" s="68">
        <f>SUM($D$64:N64)</f>
        <v>1816623090.5561976</v>
      </c>
      <c r="O74" s="68">
        <f>SUM($D$64:O64)</f>
        <v>1982250758.9366457</v>
      </c>
      <c r="P74" s="68">
        <f>SUM($D$64:P64)</f>
        <v>2188328687.9258766</v>
      </c>
      <c r="Q74" s="68">
        <f>SUM($D$64:Q64)</f>
        <v>2422742976.9013119</v>
      </c>
      <c r="R74" s="68">
        <f>SUM($D$64:R64)</f>
        <v>2680958767.9474506</v>
      </c>
      <c r="S74" s="358">
        <f>SUM($D$64:T64)</f>
        <v>15088011161.911606</v>
      </c>
      <c r="T74" s="55"/>
    </row>
    <row r="75" spans="2:21">
      <c r="B75" s="69" t="s">
        <v>1001</v>
      </c>
      <c r="C75" s="56"/>
      <c r="D75" s="71">
        <f>IF(AND(S73&gt;0,(COUNTIF(D73:S73,"&lt;0"))=COUNT(D73:S73)-1),"окупается с продажи",IF(OR(S73&lt;0,(COUNTIF(D73:S73,"&lt;0"))=COUNT(D73:S73)),"не окупается",(COUNTIF(D73:S73,"&lt;0"))))</f>
        <v>6</v>
      </c>
      <c r="E75" s="359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 spans="2:21">
      <c r="B76" s="69" t="s">
        <v>1002</v>
      </c>
      <c r="C76" s="56"/>
      <c r="D76" s="71">
        <f>IF(AND(S74&gt;0,(COUNTIF(D74:S74,"&lt;0"))=COUNT(D74:S74)-1),"окупается с продажи",IF(OR(S74&lt;0,(COUNTIF(D74:S74,"&lt;0"))=COUNT(D74:S74)),"не окупается",(COUNTIF(D74:S74,"&lt;0"))))</f>
        <v>6</v>
      </c>
      <c r="E76" s="359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 spans="2:21">
      <c r="B77" s="70" t="s">
        <v>1003</v>
      </c>
      <c r="C77" s="56"/>
      <c r="D77" s="68">
        <f>SUM($D$68:D68)</f>
        <v>-56458626.853951387</v>
      </c>
      <c r="E77" s="55">
        <f>SUM($D$68:E68)</f>
        <v>-758552745.75954044</v>
      </c>
      <c r="F77" s="55">
        <f>SUM($D$68:F68)</f>
        <v>-1336855895.6219726</v>
      </c>
      <c r="G77" s="55">
        <f>SUM($D$68:G68)</f>
        <v>-1536940006.8737862</v>
      </c>
      <c r="H77" s="55">
        <f>SUM($D$68:H68)</f>
        <v>-1605769549.3827698</v>
      </c>
      <c r="I77" s="55">
        <f>SUM($D$68:I68)</f>
        <v>-805453211.74385858</v>
      </c>
      <c r="J77" s="55">
        <f>SUM($D$68:J68)</f>
        <v>-267030515.50673616</v>
      </c>
      <c r="K77" s="55">
        <f>SUM($D$68:K68)</f>
        <v>-211389825.84182119</v>
      </c>
      <c r="L77" s="55">
        <f>SUM($D$68:L68)</f>
        <v>-163378779.09897053</v>
      </c>
      <c r="M77" s="55">
        <f>SUM($D$68:M68)</f>
        <v>-125805800.40276298</v>
      </c>
      <c r="N77" s="55">
        <f>SUM($D$68:N68)</f>
        <v>-95088987.375221148</v>
      </c>
      <c r="O77" s="55">
        <f>SUM($D$68:O68)</f>
        <v>-68263859.027146682</v>
      </c>
      <c r="P77" s="55">
        <f>SUM($D$68:P68)</f>
        <v>-39807334.807331905</v>
      </c>
      <c r="Q77" s="55">
        <f>SUM($D$68:Q68)</f>
        <v>-12209443.258953135</v>
      </c>
      <c r="R77" s="55">
        <f>SUM($D$68:R68)</f>
        <v>13709427.222910561</v>
      </c>
      <c r="S77" s="358">
        <f>SUM($D$68:T68)</f>
        <v>67805055.417616993</v>
      </c>
      <c r="T77" s="55"/>
    </row>
    <row r="78" spans="2:21">
      <c r="B78" s="70" t="s">
        <v>1004</v>
      </c>
      <c r="C78" s="56"/>
      <c r="D78" s="68">
        <f>SUM($D$69:D69)</f>
        <v>-56458626.853951387</v>
      </c>
      <c r="E78" s="55">
        <f>SUM($D$69:E69)</f>
        <v>-758552745.75954044</v>
      </c>
      <c r="F78" s="55">
        <f>SUM($D$69:F69)</f>
        <v>-1336855895.6219726</v>
      </c>
      <c r="G78" s="55">
        <f>SUM($D$69:G69)</f>
        <v>-1536940006.8737862</v>
      </c>
      <c r="H78" s="55">
        <f>SUM($D$69:H69)</f>
        <v>-1605769549.3827698</v>
      </c>
      <c r="I78" s="55">
        <f>SUM($D$69:I69)</f>
        <v>-805453211.74385858</v>
      </c>
      <c r="J78" s="55">
        <f>SUM($D$69:J69)</f>
        <v>-267030515.50673616</v>
      </c>
      <c r="K78" s="55">
        <f>SUM($D$69:K69)</f>
        <v>-211389825.84182119</v>
      </c>
      <c r="L78" s="55">
        <f>SUM($D$69:L69)</f>
        <v>-163378779.09897053</v>
      </c>
      <c r="M78" s="55">
        <f>SUM($D$69:M69)</f>
        <v>-125805800.40276298</v>
      </c>
      <c r="N78" s="55">
        <f>SUM($D$69:N69)</f>
        <v>-95088987.375221148</v>
      </c>
      <c r="O78" s="55">
        <f>SUM($D$69:O69)</f>
        <v>-68263859.027146682</v>
      </c>
      <c r="P78" s="55">
        <f>SUM($D$69:P69)</f>
        <v>-39807334.807331905</v>
      </c>
      <c r="Q78" s="55">
        <f>SUM($D$69:Q69)</f>
        <v>-12209443.258953135</v>
      </c>
      <c r="R78" s="55">
        <f>SUM($D$69:R69)</f>
        <v>13709427.222910561</v>
      </c>
      <c r="S78" s="358">
        <f>SUM($D$69:T69)</f>
        <v>998279653.79703546</v>
      </c>
      <c r="T78" s="55"/>
    </row>
    <row r="79" spans="2:21">
      <c r="B79" s="69" t="s">
        <v>1005</v>
      </c>
      <c r="C79" s="56"/>
      <c r="D79" s="71">
        <f>IF(AND(S77&gt;0,(COUNTIF(D77:S77,"&lt;0"))=COUNT(D77:S77)-1),"окупается с продажи",IF(OR(S77&lt;0,(COUNTIF(D77:S77,"&lt;0"))=COUNT(D77:S77)),"не окупается",(COUNTIF(D77:S77,"&lt;0"))))</f>
        <v>14</v>
      </c>
      <c r="E79" s="359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2:21">
      <c r="B80" s="69" t="s">
        <v>1006</v>
      </c>
      <c r="C80" s="56"/>
      <c r="D80" s="71">
        <f>IF(AND(S78&gt;0,(COUNTIF(D78:S78,"&lt;0"))=COUNT(D78:S78)-1),"окупается с продажи",IF(OR(S78&lt;0,(COUNTIF(D78:S78,"&lt;0"))=COUNT(D78:S78)),"не окупается",(COUNTIF(D78:S78,"&lt;0"))))</f>
        <v>14</v>
      </c>
      <c r="E80" s="359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 spans="1:20">
      <c r="B81" s="70" t="str">
        <f>B63</f>
        <v>FCFE</v>
      </c>
      <c r="C81" s="53">
        <f>SUM(D81:S81)</f>
        <v>3313061174.3417354</v>
      </c>
      <c r="D81" s="55">
        <f t="shared" ref="D81:R81" si="33">D63</f>
        <v>-60732123.896142259</v>
      </c>
      <c r="E81" s="55">
        <f t="shared" si="33"/>
        <v>-879834374.65873814</v>
      </c>
      <c r="F81" s="55">
        <f t="shared" si="33"/>
        <v>-850001509.85729146</v>
      </c>
      <c r="G81" s="55">
        <f t="shared" si="33"/>
        <v>-344933432.98920155</v>
      </c>
      <c r="H81" s="55">
        <f t="shared" si="33"/>
        <v>-139173362.48799789</v>
      </c>
      <c r="I81" s="55">
        <f t="shared" si="33"/>
        <v>1898022990.8347418</v>
      </c>
      <c r="J81" s="55">
        <f t="shared" si="33"/>
        <v>1497689184.2930298</v>
      </c>
      <c r="K81" s="55">
        <f t="shared" si="33"/>
        <v>181530409.9137789</v>
      </c>
      <c r="L81" s="55">
        <f t="shared" si="33"/>
        <v>183720072.20772529</v>
      </c>
      <c r="M81" s="55">
        <f t="shared" si="33"/>
        <v>168635734.28160393</v>
      </c>
      <c r="N81" s="55">
        <f t="shared" si="33"/>
        <v>161699502.91468894</v>
      </c>
      <c r="O81" s="55">
        <f t="shared" si="33"/>
        <v>165627668.3804481</v>
      </c>
      <c r="P81" s="55">
        <f t="shared" si="33"/>
        <v>206077928.98923087</v>
      </c>
      <c r="Q81" s="55">
        <f t="shared" si="33"/>
        <v>234414288.97543502</v>
      </c>
      <c r="R81" s="55">
        <f t="shared" si="33"/>
        <v>258215791.04613853</v>
      </c>
      <c r="S81" s="358">
        <f>S63+T63</f>
        <v>632102406.39428473</v>
      </c>
      <c r="T81" s="55"/>
    </row>
    <row r="82" spans="1:20">
      <c r="B82" s="60" t="s">
        <v>990</v>
      </c>
      <c r="C82" s="53">
        <f>SUM(D82:S82)</f>
        <v>15088011161.911606</v>
      </c>
      <c r="D82" s="55">
        <f>D64</f>
        <v>-60732123.896142259</v>
      </c>
      <c r="E82" s="55">
        <f t="shared" ref="E82:R82" si="34">E64</f>
        <v>-879834374.65873814</v>
      </c>
      <c r="F82" s="55">
        <f t="shared" si="34"/>
        <v>-850001509.85729146</v>
      </c>
      <c r="G82" s="55">
        <f t="shared" si="34"/>
        <v>-344933432.98920155</v>
      </c>
      <c r="H82" s="55">
        <f t="shared" si="34"/>
        <v>-139173362.48799789</v>
      </c>
      <c r="I82" s="55">
        <f t="shared" si="34"/>
        <v>1898022990.8347418</v>
      </c>
      <c r="J82" s="55">
        <f t="shared" si="34"/>
        <v>1497689184.2930298</v>
      </c>
      <c r="K82" s="55">
        <f t="shared" si="34"/>
        <v>181530409.9137789</v>
      </c>
      <c r="L82" s="55">
        <f t="shared" si="34"/>
        <v>183720072.20772529</v>
      </c>
      <c r="M82" s="55">
        <f t="shared" si="34"/>
        <v>168635734.28160393</v>
      </c>
      <c r="N82" s="55">
        <f t="shared" si="34"/>
        <v>161699502.91468894</v>
      </c>
      <c r="O82" s="55">
        <f t="shared" si="34"/>
        <v>165627668.3804481</v>
      </c>
      <c r="P82" s="55">
        <f t="shared" si="34"/>
        <v>206077928.98923087</v>
      </c>
      <c r="Q82" s="55">
        <f t="shared" si="34"/>
        <v>234414288.97543502</v>
      </c>
      <c r="R82" s="55">
        <f t="shared" si="34"/>
        <v>258215791.04613853</v>
      </c>
      <c r="S82" s="358">
        <f>S64+T64</f>
        <v>12407052393.964155</v>
      </c>
      <c r="T82" s="1317"/>
    </row>
    <row r="83" spans="1:20">
      <c r="A83" s="1324" t="s">
        <v>925</v>
      </c>
      <c r="B83" s="60" t="str">
        <f>B81&amp;" без кассовых разрывов"</f>
        <v>FCFE без кассовых разрывов</v>
      </c>
      <c r="C83" s="53">
        <f>SUM(D83:S83)</f>
        <v>3313061174.3417354</v>
      </c>
      <c r="D83" s="55">
        <f t="shared" ref="D83:E84" si="35">D81</f>
        <v>-60732123.896142259</v>
      </c>
      <c r="E83" s="55">
        <f t="shared" si="35"/>
        <v>-879834374.65873814</v>
      </c>
      <c r="F83" s="1702">
        <f>MIN(F81,-1000)</f>
        <v>-850001509.85729146</v>
      </c>
      <c r="G83" s="1702">
        <f>MIN(G81,-1000)</f>
        <v>-344933432.98920155</v>
      </c>
      <c r="H83" s="1702">
        <f t="shared" ref="H83:J83" si="36">MIN(H81,-1000)</f>
        <v>-139173362.48799789</v>
      </c>
      <c r="I83" s="1702">
        <f t="shared" si="36"/>
        <v>-1000</v>
      </c>
      <c r="J83" s="1702">
        <f t="shared" si="36"/>
        <v>-1000</v>
      </c>
      <c r="K83" s="1646">
        <f>SUM($D$81:K81)-SUM($D$83:J83)</f>
        <v>3577244585.0415506</v>
      </c>
      <c r="L83" s="1646">
        <f>SUM($D$81:L81)-SUM($D$83:K83)</f>
        <v>183720072.20772529</v>
      </c>
      <c r="M83" s="1646">
        <f>SUM($D$81:M81)-SUM($D$83:L83)</f>
        <v>168635734.28160405</v>
      </c>
      <c r="N83" s="1646">
        <f>SUM($D$81:N81)-SUM($D$83:M83)</f>
        <v>161699502.91468906</v>
      </c>
      <c r="O83" s="1646">
        <f>SUM($D$81:O81)-SUM($D$83:N83)</f>
        <v>165627668.3804481</v>
      </c>
      <c r="P83" s="1646">
        <f>SUM($D$81:P81)-SUM($D$83:O83)</f>
        <v>206077928.98923087</v>
      </c>
      <c r="Q83" s="1646">
        <f>SUM($D$81:Q81)-SUM($D$83:P83)</f>
        <v>234414288.97543526</v>
      </c>
      <c r="R83" s="1646">
        <f>SUM($D$81:R81)-SUM($D$83:Q83)</f>
        <v>258215791.04613876</v>
      </c>
      <c r="S83" s="1646">
        <f>SUM($D$81:S81)-SUM($D$83:R83)</f>
        <v>632102406.39428473</v>
      </c>
      <c r="T83" s="1317"/>
    </row>
    <row r="84" spans="1:20">
      <c r="A84" s="1324" t="s">
        <v>925</v>
      </c>
      <c r="B84" s="60" t="str">
        <f>B82&amp;" без кассовых разрывов"</f>
        <v>FCFE + TV без кассовых разрывов</v>
      </c>
      <c r="C84" s="53">
        <f>SUM(D84:S84)</f>
        <v>15088011161.911606</v>
      </c>
      <c r="D84" s="55">
        <f t="shared" si="35"/>
        <v>-60732123.896142259</v>
      </c>
      <c r="E84" s="55">
        <f t="shared" si="35"/>
        <v>-879834374.65873814</v>
      </c>
      <c r="F84" s="1702">
        <f>MIN(F82,-1000)</f>
        <v>-850001509.85729146</v>
      </c>
      <c r="G84" s="1702">
        <f>MIN(G82,-1000)</f>
        <v>-344933432.98920155</v>
      </c>
      <c r="H84" s="1702">
        <f t="shared" ref="H84:J84" si="37">MIN(H82,-1000)</f>
        <v>-139173362.48799789</v>
      </c>
      <c r="I84" s="1702">
        <f t="shared" si="37"/>
        <v>-1000</v>
      </c>
      <c r="J84" s="1702">
        <f t="shared" si="37"/>
        <v>-1000</v>
      </c>
      <c r="K84" s="1646">
        <f>SUM($D$82:K82)-SUM($D$84:J84)</f>
        <v>3577244585.0415506</v>
      </c>
      <c r="L84" s="1646">
        <f>SUM($D$82:L82)-SUM($D$84:K84)</f>
        <v>183720072.20772529</v>
      </c>
      <c r="M84" s="1646">
        <f>SUM($D$82:M82)-SUM($D$84:L84)</f>
        <v>168635734.28160405</v>
      </c>
      <c r="N84" s="1646">
        <f>SUM($D$82:N82)-SUM($D$84:M84)</f>
        <v>161699502.91468906</v>
      </c>
      <c r="O84" s="1646">
        <f>SUM($D$82:O82)-SUM($D$84:N84)</f>
        <v>165627668.3804481</v>
      </c>
      <c r="P84" s="1646">
        <f>SUM($D$82:P82)-SUM($D$84:O84)</f>
        <v>206077928.98923087</v>
      </c>
      <c r="Q84" s="1646">
        <f>SUM($D$82:Q82)-SUM($D$84:P84)</f>
        <v>234414288.97543526</v>
      </c>
      <c r="R84" s="1646">
        <f>SUM($D$82:R82)-SUM($D$84:Q84)</f>
        <v>258215791.04613876</v>
      </c>
      <c r="S84" s="1646">
        <f>SUM($D$82:S82)-SUM($D$84:R84)</f>
        <v>12407052393.964155</v>
      </c>
      <c r="T84" s="1317"/>
    </row>
    <row r="85" spans="1:20" s="228" customFormat="1" ht="15">
      <c r="A85" s="1420" t="str">
        <f>IF(AND(D71&lt;0,D85&gt;=D65),"Error","")</f>
        <v/>
      </c>
      <c r="B85" s="69" t="s">
        <v>987</v>
      </c>
      <c r="C85" s="56"/>
      <c r="D85" s="1445">
        <f>IF(IRR(D83:S83)&lt;0,"не применимо",IRR(D83:S83))</f>
        <v>0.14418346312725339</v>
      </c>
      <c r="E85" s="1421"/>
      <c r="F85" s="1421"/>
      <c r="G85" s="1421"/>
      <c r="H85" s="1421"/>
      <c r="I85" s="1421"/>
      <c r="J85" s="1421"/>
      <c r="K85" s="1421"/>
      <c r="L85" s="1421"/>
      <c r="M85" s="1421"/>
      <c r="N85" s="1421"/>
      <c r="O85" s="1421"/>
      <c r="P85" s="1421"/>
      <c r="Q85" s="1421"/>
      <c r="R85" s="1421"/>
      <c r="S85" s="1421"/>
      <c r="T85" s="1421"/>
    </row>
    <row r="86" spans="1:20" ht="15">
      <c r="A86" s="1420" t="str">
        <f>IF(AND(D72&lt;0,D86&gt;=D65),"Error","")</f>
        <v/>
      </c>
      <c r="B86" s="69" t="s">
        <v>1007</v>
      </c>
      <c r="C86" s="56"/>
      <c r="D86" s="1445">
        <f>IF(IRR(D84:S84)&lt;0,"Неприменимо",IRR(D84:S84))</f>
        <v>0.22612660540241736</v>
      </c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</row>
    <row r="87" spans="1:20"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  <row r="88" spans="1:20">
      <c r="D88" s="361"/>
    </row>
    <row r="89" spans="1:20">
      <c r="B89" s="362" t="s">
        <v>448</v>
      </c>
      <c r="C89" s="362"/>
      <c r="D89" s="362"/>
    </row>
    <row r="90" spans="1:20">
      <c r="B90" s="1419" t="s">
        <v>992</v>
      </c>
      <c r="C90" s="1418"/>
      <c r="D90" s="1418"/>
    </row>
    <row r="91" spans="1:20">
      <c r="B91" s="363" t="s">
        <v>991</v>
      </c>
      <c r="C91" s="364"/>
      <c r="D91" s="365">
        <f>D71</f>
        <v>67805055.417616993</v>
      </c>
      <c r="F91" s="123"/>
      <c r="G91" s="123"/>
      <c r="H91" s="361"/>
    </row>
    <row r="92" spans="1:20">
      <c r="B92" s="363" t="s">
        <v>270</v>
      </c>
      <c r="C92" s="364"/>
      <c r="D92" s="366">
        <f>D85</f>
        <v>0.14418346312725339</v>
      </c>
      <c r="F92" s="123"/>
      <c r="G92" s="123"/>
      <c r="H92" s="361"/>
    </row>
    <row r="93" spans="1:20">
      <c r="B93" s="363" t="s">
        <v>159</v>
      </c>
      <c r="C93" s="364"/>
      <c r="D93" s="365">
        <f>D75</f>
        <v>6</v>
      </c>
      <c r="F93" s="123"/>
      <c r="G93" s="123"/>
      <c r="H93" s="361"/>
      <c r="J93" s="1444"/>
    </row>
    <row r="94" spans="1:20">
      <c r="B94" s="363" t="s">
        <v>449</v>
      </c>
      <c r="C94" s="364"/>
      <c r="D94" s="365">
        <f>D79</f>
        <v>14</v>
      </c>
      <c r="F94" s="123"/>
      <c r="G94" s="123"/>
      <c r="H94" s="361"/>
    </row>
    <row r="95" spans="1:20">
      <c r="B95" s="1419" t="s">
        <v>994</v>
      </c>
      <c r="C95" s="1418"/>
      <c r="D95" s="1418"/>
      <c r="F95" s="123"/>
      <c r="G95" s="123"/>
      <c r="H95" s="361"/>
    </row>
    <row r="96" spans="1:20">
      <c r="B96" s="108" t="s">
        <v>269</v>
      </c>
      <c r="C96" s="364"/>
      <c r="D96" s="365">
        <f>D72</f>
        <v>998279653.79703546</v>
      </c>
      <c r="F96" s="123"/>
      <c r="G96" s="123"/>
      <c r="H96" s="361"/>
    </row>
    <row r="97" spans="2:20">
      <c r="B97" s="101" t="s">
        <v>270</v>
      </c>
      <c r="C97" s="364"/>
      <c r="D97" s="366">
        <f>D86</f>
        <v>0.22612660540241736</v>
      </c>
      <c r="F97" s="123"/>
      <c r="G97" s="123"/>
      <c r="H97" s="361"/>
    </row>
    <row r="98" spans="2:20">
      <c r="B98" s="363" t="s">
        <v>159</v>
      </c>
      <c r="C98" s="364"/>
      <c r="D98" s="365">
        <f>D76</f>
        <v>6</v>
      </c>
    </row>
    <row r="99" spans="2:20">
      <c r="B99" s="363" t="s">
        <v>449</v>
      </c>
      <c r="C99" s="364"/>
      <c r="D99" s="365">
        <f>D80</f>
        <v>14</v>
      </c>
    </row>
    <row r="100" spans="2:20">
      <c r="D100" s="40"/>
      <c r="H100" s="367"/>
    </row>
    <row r="102" spans="2:20" outlineLevel="1">
      <c r="B102" s="362" t="s">
        <v>450</v>
      </c>
      <c r="C102" s="362"/>
      <c r="D102" s="362">
        <f t="shared" ref="D102:T102" si="38">D5</f>
        <v>2022</v>
      </c>
      <c r="E102" s="362">
        <f t="shared" si="38"/>
        <v>2023</v>
      </c>
      <c r="F102" s="362">
        <f t="shared" si="38"/>
        <v>2024</v>
      </c>
      <c r="G102" s="362">
        <f t="shared" si="38"/>
        <v>2025</v>
      </c>
      <c r="H102" s="362">
        <f t="shared" si="38"/>
        <v>2026</v>
      </c>
      <c r="I102" s="362">
        <f t="shared" si="38"/>
        <v>2027</v>
      </c>
      <c r="J102" s="362">
        <f t="shared" si="38"/>
        <v>2028</v>
      </c>
      <c r="K102" s="362">
        <f t="shared" si="38"/>
        <v>2029</v>
      </c>
      <c r="L102" s="362">
        <f t="shared" si="38"/>
        <v>2030</v>
      </c>
      <c r="M102" s="362">
        <f t="shared" si="38"/>
        <v>2031</v>
      </c>
      <c r="N102" s="362">
        <f t="shared" si="38"/>
        <v>2032</v>
      </c>
      <c r="O102" s="362">
        <f t="shared" si="38"/>
        <v>2033</v>
      </c>
      <c r="P102" s="362">
        <f t="shared" si="38"/>
        <v>2034</v>
      </c>
      <c r="Q102" s="362">
        <f t="shared" si="38"/>
        <v>2035</v>
      </c>
      <c r="R102" s="362">
        <f t="shared" si="38"/>
        <v>2036</v>
      </c>
      <c r="S102" s="362">
        <f t="shared" si="38"/>
        <v>2037</v>
      </c>
      <c r="T102" s="362">
        <f t="shared" si="38"/>
        <v>2038</v>
      </c>
    </row>
    <row r="103" spans="2:20" s="352" customFormat="1" outlineLevel="1">
      <c r="B103" s="351" t="s">
        <v>80</v>
      </c>
      <c r="C103" s="53"/>
      <c r="D103" s="57">
        <f>D24</f>
        <v>0</v>
      </c>
      <c r="E103" s="57">
        <f t="shared" ref="E103:T103" si="39">E24</f>
        <v>0</v>
      </c>
      <c r="F103" s="57">
        <f t="shared" si="39"/>
        <v>0</v>
      </c>
      <c r="G103" s="57">
        <f t="shared" si="39"/>
        <v>104282558.85244972</v>
      </c>
      <c r="H103" s="57">
        <f t="shared" si="39"/>
        <v>1438746070.8654373</v>
      </c>
      <c r="I103" s="57">
        <f t="shared" si="39"/>
        <v>2414139490.2444201</v>
      </c>
      <c r="J103" s="57">
        <f t="shared" si="39"/>
        <v>2288577930.3890333</v>
      </c>
      <c r="K103" s="57">
        <f t="shared" si="39"/>
        <v>973791704.08877683</v>
      </c>
      <c r="L103" s="57">
        <f t="shared" si="39"/>
        <v>1066373103.2532104</v>
      </c>
      <c r="M103" s="57">
        <f t="shared" si="39"/>
        <v>1099561626.4175639</v>
      </c>
      <c r="N103" s="57">
        <f t="shared" si="39"/>
        <v>1147948216.5158894</v>
      </c>
      <c r="O103" s="57">
        <f t="shared" si="39"/>
        <v>1191635181.5641251</v>
      </c>
      <c r="P103" s="57">
        <f t="shared" si="39"/>
        <v>1240421572.8171225</v>
      </c>
      <c r="Q103" s="57">
        <f t="shared" si="39"/>
        <v>1252518211.8540504</v>
      </c>
      <c r="R103" s="57">
        <f t="shared" si="39"/>
        <v>1246726806.0205634</v>
      </c>
      <c r="S103" s="57">
        <f t="shared" si="39"/>
        <v>1302809617.0929511</v>
      </c>
      <c r="T103" s="57">
        <f t="shared" si="39"/>
        <v>1364687109.6835258</v>
      </c>
    </row>
    <row r="104" spans="2:20" s="114" customFormat="1" outlineLevel="1">
      <c r="B104" s="52" t="s">
        <v>82</v>
      </c>
      <c r="C104" s="56"/>
      <c r="D104" s="55">
        <f t="shared" ref="D104:T104" si="40">D26</f>
        <v>0</v>
      </c>
      <c r="E104" s="55">
        <f t="shared" si="40"/>
        <v>0</v>
      </c>
      <c r="F104" s="55">
        <f t="shared" si="40"/>
        <v>0</v>
      </c>
      <c r="G104" s="55">
        <f t="shared" si="40"/>
        <v>-43883903.161762349</v>
      </c>
      <c r="H104" s="55">
        <f t="shared" si="40"/>
        <v>-160749322.35770154</v>
      </c>
      <c r="I104" s="55">
        <f t="shared" si="40"/>
        <v>-233730838.39187843</v>
      </c>
      <c r="J104" s="55">
        <f t="shared" si="40"/>
        <v>-233730838.39187843</v>
      </c>
      <c r="K104" s="55">
        <f t="shared" si="40"/>
        <v>-233730838.39187843</v>
      </c>
      <c r="L104" s="55">
        <f t="shared" si="40"/>
        <v>-233730838.39187843</v>
      </c>
      <c r="M104" s="55">
        <f t="shared" si="40"/>
        <v>-233730838.39187843</v>
      </c>
      <c r="N104" s="55">
        <f t="shared" si="40"/>
        <v>-233730838.39187843</v>
      </c>
      <c r="O104" s="55">
        <f t="shared" si="40"/>
        <v>-233730838.39187843</v>
      </c>
      <c r="P104" s="55">
        <f t="shared" si="40"/>
        <v>-233730838.39187843</v>
      </c>
      <c r="Q104" s="55">
        <f t="shared" si="40"/>
        <v>-233730838.39187843</v>
      </c>
      <c r="R104" s="55">
        <f t="shared" si="40"/>
        <v>-233730838.39187843</v>
      </c>
      <c r="S104" s="55">
        <f t="shared" si="40"/>
        <v>-233730838.39187843</v>
      </c>
      <c r="T104" s="55">
        <f t="shared" si="40"/>
        <v>-233730838.39187843</v>
      </c>
    </row>
    <row r="105" spans="2:20" s="114" customFormat="1" outlineLevel="1">
      <c r="B105" s="52" t="s">
        <v>923</v>
      </c>
      <c r="C105" s="56"/>
      <c r="D105" s="55">
        <f t="shared" ref="D105:T105" si="41">D27</f>
        <v>0</v>
      </c>
      <c r="E105" s="55">
        <f t="shared" si="41"/>
        <v>0</v>
      </c>
      <c r="F105" s="55">
        <f t="shared" si="41"/>
        <v>0</v>
      </c>
      <c r="G105" s="55">
        <f t="shared" si="41"/>
        <v>0</v>
      </c>
      <c r="H105" s="55">
        <f t="shared" si="41"/>
        <v>-406325959.24209309</v>
      </c>
      <c r="I105" s="55">
        <f t="shared" si="41"/>
        <v>-650121534.78734899</v>
      </c>
      <c r="J105" s="55">
        <f t="shared" si="41"/>
        <v>-568856342.93893039</v>
      </c>
      <c r="K105" s="55">
        <f t="shared" si="41"/>
        <v>0</v>
      </c>
      <c r="L105" s="55">
        <f t="shared" si="41"/>
        <v>0</v>
      </c>
      <c r="M105" s="55">
        <f t="shared" si="41"/>
        <v>0</v>
      </c>
      <c r="N105" s="55">
        <f t="shared" si="41"/>
        <v>0</v>
      </c>
      <c r="O105" s="55">
        <f t="shared" si="41"/>
        <v>0</v>
      </c>
      <c r="P105" s="55">
        <f t="shared" si="41"/>
        <v>0</v>
      </c>
      <c r="Q105" s="55">
        <f t="shared" si="41"/>
        <v>0</v>
      </c>
      <c r="R105" s="55">
        <f t="shared" si="41"/>
        <v>0</v>
      </c>
      <c r="S105" s="55">
        <f t="shared" si="41"/>
        <v>0</v>
      </c>
      <c r="T105" s="55">
        <f t="shared" si="41"/>
        <v>0</v>
      </c>
    </row>
    <row r="106" spans="2:20" s="114" customFormat="1" outlineLevel="1">
      <c r="B106" s="52" t="s">
        <v>83</v>
      </c>
      <c r="C106" s="56"/>
      <c r="D106" s="55">
        <f>SUM(D103:D105)</f>
        <v>0</v>
      </c>
      <c r="E106" s="55">
        <f>SUM(E103:E105)</f>
        <v>0</v>
      </c>
      <c r="F106" s="55">
        <f>SUM(F103:F105)</f>
        <v>0</v>
      </c>
      <c r="G106" s="55">
        <f t="shared" ref="G106:T106" si="42">SUM(G103:G105)</f>
        <v>60398655.690687366</v>
      </c>
      <c r="H106" s="55">
        <f t="shared" si="42"/>
        <v>871670789.26564264</v>
      </c>
      <c r="I106" s="55">
        <f t="shared" si="42"/>
        <v>1530287117.0651925</v>
      </c>
      <c r="J106" s="55">
        <f t="shared" si="42"/>
        <v>1485990749.0582247</v>
      </c>
      <c r="K106" s="55">
        <f t="shared" si="42"/>
        <v>740060865.69689846</v>
      </c>
      <c r="L106" s="55">
        <f t="shared" si="42"/>
        <v>832642264.86133194</v>
      </c>
      <c r="M106" s="55">
        <f t="shared" si="42"/>
        <v>865830788.02568555</v>
      </c>
      <c r="N106" s="55">
        <f t="shared" si="42"/>
        <v>914217378.12401104</v>
      </c>
      <c r="O106" s="55">
        <f t="shared" si="42"/>
        <v>957904343.17224669</v>
      </c>
      <c r="P106" s="55">
        <f t="shared" si="42"/>
        <v>1006690734.4252441</v>
      </c>
      <c r="Q106" s="55">
        <f t="shared" si="42"/>
        <v>1018787373.462172</v>
      </c>
      <c r="R106" s="55">
        <f t="shared" si="42"/>
        <v>1012995967.628685</v>
      </c>
      <c r="S106" s="55">
        <f t="shared" si="42"/>
        <v>1069078778.7010727</v>
      </c>
      <c r="T106" s="55">
        <f t="shared" si="42"/>
        <v>1130956271.2916474</v>
      </c>
    </row>
    <row r="107" spans="2:20" s="114" customFormat="1" outlineLevel="1">
      <c r="B107" s="52" t="s">
        <v>84</v>
      </c>
      <c r="C107" s="56"/>
      <c r="D107" s="55">
        <f>D106</f>
        <v>0</v>
      </c>
      <c r="E107" s="55">
        <f t="shared" ref="E107:T107" si="43">IF(E106&lt;0,E106,0)+D109</f>
        <v>0</v>
      </c>
      <c r="F107" s="55">
        <f t="shared" si="43"/>
        <v>0</v>
      </c>
      <c r="G107" s="55">
        <f t="shared" si="43"/>
        <v>0</v>
      </c>
      <c r="H107" s="55">
        <f t="shared" si="43"/>
        <v>0</v>
      </c>
      <c r="I107" s="55">
        <f t="shared" si="43"/>
        <v>0</v>
      </c>
      <c r="J107" s="55">
        <f t="shared" si="43"/>
        <v>0</v>
      </c>
      <c r="K107" s="55">
        <f t="shared" si="43"/>
        <v>0</v>
      </c>
      <c r="L107" s="55">
        <f t="shared" si="43"/>
        <v>0</v>
      </c>
      <c r="M107" s="55">
        <f t="shared" si="43"/>
        <v>0</v>
      </c>
      <c r="N107" s="55">
        <f t="shared" si="43"/>
        <v>0</v>
      </c>
      <c r="O107" s="55">
        <f t="shared" si="43"/>
        <v>0</v>
      </c>
      <c r="P107" s="55">
        <f t="shared" si="43"/>
        <v>0</v>
      </c>
      <c r="Q107" s="55">
        <f t="shared" si="43"/>
        <v>0</v>
      </c>
      <c r="R107" s="55">
        <f t="shared" si="43"/>
        <v>0</v>
      </c>
      <c r="S107" s="55">
        <f t="shared" si="43"/>
        <v>0</v>
      </c>
      <c r="T107" s="55">
        <f t="shared" si="43"/>
        <v>0</v>
      </c>
    </row>
    <row r="108" spans="2:20" s="114" customFormat="1" outlineLevel="1">
      <c r="B108" s="52" t="s">
        <v>85</v>
      </c>
      <c r="C108" s="56"/>
      <c r="D108" s="55"/>
      <c r="E108" s="55">
        <f t="shared" ref="E108:T108" si="44">IF(E107&lt;0,(IF(E106&gt;0,MIN(-E107,E106),0)),0)</f>
        <v>0</v>
      </c>
      <c r="F108" s="55">
        <f t="shared" si="44"/>
        <v>0</v>
      </c>
      <c r="G108" s="55">
        <f t="shared" si="44"/>
        <v>0</v>
      </c>
      <c r="H108" s="55">
        <f t="shared" si="44"/>
        <v>0</v>
      </c>
      <c r="I108" s="55">
        <f t="shared" si="44"/>
        <v>0</v>
      </c>
      <c r="J108" s="55">
        <f t="shared" si="44"/>
        <v>0</v>
      </c>
      <c r="K108" s="55">
        <f t="shared" si="44"/>
        <v>0</v>
      </c>
      <c r="L108" s="55">
        <f t="shared" si="44"/>
        <v>0</v>
      </c>
      <c r="M108" s="55">
        <f t="shared" si="44"/>
        <v>0</v>
      </c>
      <c r="N108" s="55">
        <f t="shared" si="44"/>
        <v>0</v>
      </c>
      <c r="O108" s="55">
        <f t="shared" si="44"/>
        <v>0</v>
      </c>
      <c r="P108" s="55">
        <f t="shared" si="44"/>
        <v>0</v>
      </c>
      <c r="Q108" s="55">
        <f t="shared" si="44"/>
        <v>0</v>
      </c>
      <c r="R108" s="55">
        <f t="shared" si="44"/>
        <v>0</v>
      </c>
      <c r="S108" s="55">
        <f t="shared" si="44"/>
        <v>0</v>
      </c>
      <c r="T108" s="55">
        <f t="shared" si="44"/>
        <v>0</v>
      </c>
    </row>
    <row r="109" spans="2:20" s="114" customFormat="1" outlineLevel="1">
      <c r="B109" s="52" t="s">
        <v>926</v>
      </c>
      <c r="C109" s="56"/>
      <c r="D109" s="55"/>
      <c r="E109" s="55">
        <f t="shared" ref="E109:T109" si="45">IF((E107+E108)&lt;0,(E107+E108),0)</f>
        <v>0</v>
      </c>
      <c r="F109" s="55">
        <f t="shared" si="45"/>
        <v>0</v>
      </c>
      <c r="G109" s="55">
        <f t="shared" si="45"/>
        <v>0</v>
      </c>
      <c r="H109" s="55">
        <f t="shared" si="45"/>
        <v>0</v>
      </c>
      <c r="I109" s="55">
        <f t="shared" si="45"/>
        <v>0</v>
      </c>
      <c r="J109" s="55">
        <f t="shared" si="45"/>
        <v>0</v>
      </c>
      <c r="K109" s="55">
        <f t="shared" si="45"/>
        <v>0</v>
      </c>
      <c r="L109" s="55">
        <f t="shared" si="45"/>
        <v>0</v>
      </c>
      <c r="M109" s="55">
        <f t="shared" si="45"/>
        <v>0</v>
      </c>
      <c r="N109" s="55">
        <f t="shared" si="45"/>
        <v>0</v>
      </c>
      <c r="O109" s="55">
        <f t="shared" si="45"/>
        <v>0</v>
      </c>
      <c r="P109" s="55">
        <f t="shared" si="45"/>
        <v>0</v>
      </c>
      <c r="Q109" s="55">
        <f t="shared" si="45"/>
        <v>0</v>
      </c>
      <c r="R109" s="55">
        <f t="shared" si="45"/>
        <v>0</v>
      </c>
      <c r="S109" s="55">
        <f t="shared" si="45"/>
        <v>0</v>
      </c>
      <c r="T109" s="55">
        <f t="shared" si="45"/>
        <v>0</v>
      </c>
    </row>
    <row r="110" spans="2:20" s="114" customFormat="1" outlineLevel="1">
      <c r="B110" s="52" t="s">
        <v>86</v>
      </c>
      <c r="C110" s="56"/>
      <c r="D110" s="55"/>
      <c r="E110" s="55">
        <f t="shared" ref="E110:T110" si="46">IF((E106-E108)&lt;0,0,(E106-E108))</f>
        <v>0</v>
      </c>
      <c r="F110" s="55">
        <f t="shared" si="46"/>
        <v>0</v>
      </c>
      <c r="G110" s="55">
        <f t="shared" si="46"/>
        <v>60398655.690687366</v>
      </c>
      <c r="H110" s="55">
        <f t="shared" si="46"/>
        <v>871670789.26564264</v>
      </c>
      <c r="I110" s="55">
        <f t="shared" si="46"/>
        <v>1530287117.0651925</v>
      </c>
      <c r="J110" s="55">
        <f t="shared" si="46"/>
        <v>1485990749.0582247</v>
      </c>
      <c r="K110" s="55">
        <f t="shared" si="46"/>
        <v>740060865.69689846</v>
      </c>
      <c r="L110" s="55">
        <f t="shared" si="46"/>
        <v>832642264.86133194</v>
      </c>
      <c r="M110" s="55">
        <f t="shared" si="46"/>
        <v>865830788.02568555</v>
      </c>
      <c r="N110" s="55">
        <f t="shared" si="46"/>
        <v>914217378.12401104</v>
      </c>
      <c r="O110" s="55">
        <f t="shared" si="46"/>
        <v>957904343.17224669</v>
      </c>
      <c r="P110" s="55">
        <f t="shared" si="46"/>
        <v>1006690734.4252441</v>
      </c>
      <c r="Q110" s="55">
        <f t="shared" si="46"/>
        <v>1018787373.462172</v>
      </c>
      <c r="R110" s="55">
        <f t="shared" si="46"/>
        <v>1012995967.628685</v>
      </c>
      <c r="S110" s="55">
        <f t="shared" si="46"/>
        <v>1069078778.7010727</v>
      </c>
      <c r="T110" s="55">
        <f t="shared" si="46"/>
        <v>1130956271.2916474</v>
      </c>
    </row>
    <row r="111" spans="2:20" s="114" customFormat="1" outlineLevel="1">
      <c r="B111" s="52" t="s">
        <v>87</v>
      </c>
      <c r="C111" s="56"/>
      <c r="D111" s="1697">
        <f>D33</f>
        <v>0.13500000000000001</v>
      </c>
      <c r="E111" s="1697">
        <f t="shared" ref="E111:T111" si="47">E33</f>
        <v>0.13500000000000001</v>
      </c>
      <c r="F111" s="1697">
        <f t="shared" si="47"/>
        <v>0.13500000000000001</v>
      </c>
      <c r="G111" s="1697">
        <f t="shared" si="47"/>
        <v>0.155</v>
      </c>
      <c r="H111" s="1697">
        <f t="shared" si="47"/>
        <v>0.155</v>
      </c>
      <c r="I111" s="1697">
        <f t="shared" si="47"/>
        <v>0.155</v>
      </c>
      <c r="J111" s="1697">
        <f t="shared" si="47"/>
        <v>0.155</v>
      </c>
      <c r="K111" s="1697">
        <f t="shared" si="47"/>
        <v>0.155</v>
      </c>
      <c r="L111" s="1697">
        <f t="shared" si="47"/>
        <v>0.155</v>
      </c>
      <c r="M111" s="1697">
        <f t="shared" si="47"/>
        <v>0.155</v>
      </c>
      <c r="N111" s="1697">
        <f t="shared" si="47"/>
        <v>0.155</v>
      </c>
      <c r="O111" s="1697">
        <f t="shared" si="47"/>
        <v>0.155</v>
      </c>
      <c r="P111" s="1697">
        <f t="shared" si="47"/>
        <v>0.155</v>
      </c>
      <c r="Q111" s="1697">
        <f t="shared" si="47"/>
        <v>0.155</v>
      </c>
      <c r="R111" s="1697">
        <f t="shared" si="47"/>
        <v>0.155</v>
      </c>
      <c r="S111" s="1697">
        <f t="shared" si="47"/>
        <v>0.155</v>
      </c>
      <c r="T111" s="1697">
        <f t="shared" si="47"/>
        <v>0.155</v>
      </c>
    </row>
    <row r="112" spans="2:20" s="114" customFormat="1" outlineLevel="1">
      <c r="B112" s="52" t="s">
        <v>104</v>
      </c>
      <c r="C112" s="56"/>
      <c r="D112" s="55">
        <f>-D111*D110</f>
        <v>0</v>
      </c>
      <c r="E112" s="55">
        <f>-E111*E110</f>
        <v>0</v>
      </c>
      <c r="F112" s="55">
        <f>-F111*F110</f>
        <v>0</v>
      </c>
      <c r="G112" s="55">
        <f>-G111*G110</f>
        <v>-9361791.6320565417</v>
      </c>
      <c r="H112" s="55">
        <f t="shared" ref="H112:T112" si="48">-H111*H110</f>
        <v>-135108972.33617461</v>
      </c>
      <c r="I112" s="55">
        <f t="shared" si="48"/>
        <v>-237194503.14510483</v>
      </c>
      <c r="J112" s="55">
        <f t="shared" si="48"/>
        <v>-230328566.10402483</v>
      </c>
      <c r="K112" s="55">
        <f t="shared" si="48"/>
        <v>-114709434.18301927</v>
      </c>
      <c r="L112" s="55">
        <f t="shared" si="48"/>
        <v>-129059551.05350645</v>
      </c>
      <c r="M112" s="55">
        <f t="shared" si="48"/>
        <v>-134203772.14398126</v>
      </c>
      <c r="N112" s="55">
        <f t="shared" si="48"/>
        <v>-141703693.6092217</v>
      </c>
      <c r="O112" s="55">
        <f t="shared" si="48"/>
        <v>-148475173.19169822</v>
      </c>
      <c r="P112" s="55">
        <f t="shared" si="48"/>
        <v>-156037063.83591282</v>
      </c>
      <c r="Q112" s="55">
        <f t="shared" si="48"/>
        <v>-157912042.88663667</v>
      </c>
      <c r="R112" s="55">
        <f t="shared" si="48"/>
        <v>-157014374.98244616</v>
      </c>
      <c r="S112" s="55">
        <f t="shared" si="48"/>
        <v>-165707210.69866627</v>
      </c>
      <c r="T112" s="55">
        <f t="shared" si="48"/>
        <v>-175298222.05020535</v>
      </c>
    </row>
    <row r="113" spans="2:20" s="352" customFormat="1" outlineLevel="1">
      <c r="B113" s="117" t="s">
        <v>88</v>
      </c>
      <c r="C113" s="53"/>
      <c r="D113" s="57">
        <f>D103+D112</f>
        <v>0</v>
      </c>
      <c r="E113" s="57">
        <f>E103+E112</f>
        <v>0</v>
      </c>
      <c r="F113" s="57">
        <f>F103+F112</f>
        <v>0</v>
      </c>
      <c r="G113" s="57">
        <f t="shared" ref="G113:T113" si="49">G103+G112</f>
        <v>94920767.220393181</v>
      </c>
      <c r="H113" s="57">
        <f t="shared" si="49"/>
        <v>1303637098.5292625</v>
      </c>
      <c r="I113" s="57">
        <f t="shared" si="49"/>
        <v>2176944987.0993152</v>
      </c>
      <c r="J113" s="57">
        <f t="shared" si="49"/>
        <v>2058249364.2850084</v>
      </c>
      <c r="K113" s="57">
        <f t="shared" si="49"/>
        <v>859082269.90575755</v>
      </c>
      <c r="L113" s="57">
        <f t="shared" si="49"/>
        <v>937313552.19970393</v>
      </c>
      <c r="M113" s="57">
        <f t="shared" si="49"/>
        <v>965357854.2735827</v>
      </c>
      <c r="N113" s="57">
        <f t="shared" si="49"/>
        <v>1006244522.9066677</v>
      </c>
      <c r="O113" s="57">
        <f t="shared" si="49"/>
        <v>1043160008.3724269</v>
      </c>
      <c r="P113" s="57">
        <f t="shared" si="49"/>
        <v>1084384508.9812098</v>
      </c>
      <c r="Q113" s="57">
        <f t="shared" si="49"/>
        <v>1094606168.9674137</v>
      </c>
      <c r="R113" s="57">
        <f t="shared" si="49"/>
        <v>1089712431.0381172</v>
      </c>
      <c r="S113" s="57">
        <f t="shared" si="49"/>
        <v>1137102406.3942847</v>
      </c>
      <c r="T113" s="57">
        <f t="shared" si="49"/>
        <v>1189388887.6333203</v>
      </c>
    </row>
    <row r="114" spans="2:20" s="114" customFormat="1" outlineLevel="1">
      <c r="B114" s="59" t="s">
        <v>89</v>
      </c>
      <c r="C114" s="56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 spans="2:20" s="114" customFormat="1" outlineLevel="1">
      <c r="B115" s="60" t="s">
        <v>90</v>
      </c>
      <c r="C115" s="53"/>
      <c r="D115" s="55">
        <f>D37</f>
        <v>-160318184.82743448</v>
      </c>
      <c r="E115" s="55">
        <f>E37</f>
        <v>-3048205290.4576688</v>
      </c>
      <c r="F115" s="55">
        <f>F37</f>
        <v>-4225793278.3613796</v>
      </c>
      <c r="G115" s="55">
        <f>G37</f>
        <v>-3151161722.221488</v>
      </c>
      <c r="H115" s="55">
        <f>H37</f>
        <v>-886724782.36443377</v>
      </c>
      <c r="I115" s="55">
        <f t="shared" ref="I115:T115" si="50">I37</f>
        <v>0</v>
      </c>
      <c r="J115" s="55">
        <f t="shared" si="50"/>
        <v>0</v>
      </c>
      <c r="K115" s="55">
        <f t="shared" si="50"/>
        <v>0</v>
      </c>
      <c r="L115" s="55">
        <f t="shared" si="50"/>
        <v>0</v>
      </c>
      <c r="M115" s="55">
        <f t="shared" si="50"/>
        <v>0</v>
      </c>
      <c r="N115" s="55">
        <f t="shared" si="50"/>
        <v>0</v>
      </c>
      <c r="O115" s="55">
        <f t="shared" si="50"/>
        <v>0</v>
      </c>
      <c r="P115" s="55">
        <f t="shared" si="50"/>
        <v>0</v>
      </c>
      <c r="Q115" s="55">
        <f t="shared" si="50"/>
        <v>0</v>
      </c>
      <c r="R115" s="55">
        <f t="shared" si="50"/>
        <v>0</v>
      </c>
      <c r="S115" s="55">
        <f t="shared" si="50"/>
        <v>0</v>
      </c>
      <c r="T115" s="55">
        <f t="shared" si="50"/>
        <v>0</v>
      </c>
    </row>
    <row r="116" spans="2:20" s="114" customFormat="1" outlineLevel="1">
      <c r="B116" s="60" t="s">
        <v>444</v>
      </c>
      <c r="C116" s="53"/>
      <c r="D116" s="55">
        <f>D38</f>
        <v>-413939.44791191071</v>
      </c>
      <c r="E116" s="55">
        <f t="shared" ref="E116:G117" si="51">E38</f>
        <v>-452358.97750852513</v>
      </c>
      <c r="F116" s="55">
        <f t="shared" si="51"/>
        <v>-453598.31717293209</v>
      </c>
      <c r="G116" s="55">
        <f t="shared" si="51"/>
        <v>0</v>
      </c>
      <c r="H116" s="55">
        <f t="shared" ref="H116:L117" si="52">H38</f>
        <v>0</v>
      </c>
      <c r="I116" s="55">
        <f t="shared" si="52"/>
        <v>0</v>
      </c>
      <c r="J116" s="55">
        <f t="shared" si="52"/>
        <v>0</v>
      </c>
      <c r="K116" s="55">
        <f t="shared" si="52"/>
        <v>0</v>
      </c>
      <c r="L116" s="55">
        <f t="shared" si="52"/>
        <v>0</v>
      </c>
      <c r="M116" s="55">
        <f t="shared" ref="M116:T116" si="53">M38</f>
        <v>0</v>
      </c>
      <c r="N116" s="55">
        <f t="shared" si="53"/>
        <v>0</v>
      </c>
      <c r="O116" s="55">
        <f t="shared" si="53"/>
        <v>0</v>
      </c>
      <c r="P116" s="55">
        <f t="shared" si="53"/>
        <v>0</v>
      </c>
      <c r="Q116" s="55">
        <f t="shared" si="53"/>
        <v>0</v>
      </c>
      <c r="R116" s="55">
        <f t="shared" si="53"/>
        <v>0</v>
      </c>
      <c r="S116" s="55">
        <f t="shared" si="53"/>
        <v>0</v>
      </c>
      <c r="T116" s="55">
        <f t="shared" si="53"/>
        <v>0</v>
      </c>
    </row>
    <row r="117" spans="2:20" s="114" customFormat="1" outlineLevel="1">
      <c r="B117" s="60" t="s">
        <v>91</v>
      </c>
      <c r="C117" s="53"/>
      <c r="D117" s="55">
        <f>D39</f>
        <v>0</v>
      </c>
      <c r="E117" s="55">
        <f t="shared" si="51"/>
        <v>26719697.471239075</v>
      </c>
      <c r="F117" s="55">
        <f t="shared" si="51"/>
        <v>508034215.07627803</v>
      </c>
      <c r="G117" s="55">
        <f t="shared" si="51"/>
        <v>704298879.72689641</v>
      </c>
      <c r="H117" s="55">
        <f t="shared" si="52"/>
        <v>525193620.3702479</v>
      </c>
      <c r="I117" s="55">
        <f t="shared" si="52"/>
        <v>147787463.72740561</v>
      </c>
      <c r="J117" s="55">
        <f t="shared" si="52"/>
        <v>0</v>
      </c>
      <c r="K117" s="55">
        <f t="shared" si="52"/>
        <v>0</v>
      </c>
      <c r="L117" s="55">
        <f t="shared" si="52"/>
        <v>0</v>
      </c>
      <c r="M117" s="55">
        <f t="shared" ref="M117:T117" si="54">M39</f>
        <v>0</v>
      </c>
      <c r="N117" s="55">
        <f t="shared" si="54"/>
        <v>0</v>
      </c>
      <c r="O117" s="55">
        <f t="shared" si="54"/>
        <v>0</v>
      </c>
      <c r="P117" s="55">
        <f t="shared" si="54"/>
        <v>0</v>
      </c>
      <c r="Q117" s="55">
        <f t="shared" si="54"/>
        <v>0</v>
      </c>
      <c r="R117" s="55">
        <f t="shared" si="54"/>
        <v>0</v>
      </c>
      <c r="S117" s="55">
        <f t="shared" si="54"/>
        <v>0</v>
      </c>
      <c r="T117" s="55">
        <f t="shared" si="54"/>
        <v>0</v>
      </c>
    </row>
    <row r="118" spans="2:20" s="114" customFormat="1" outlineLevel="1">
      <c r="B118" s="59" t="s">
        <v>106</v>
      </c>
      <c r="C118" s="56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5"/>
    </row>
    <row r="119" spans="2:20" s="114" customFormat="1" outlineLevel="1">
      <c r="B119" s="60" t="s">
        <v>1008</v>
      </c>
      <c r="C119" s="53"/>
      <c r="D119" s="55">
        <f t="shared" ref="D119:S119" si="55">SUM(D113:D117)</f>
        <v>-160732124.2753464</v>
      </c>
      <c r="E119" s="55">
        <f t="shared" si="55"/>
        <v>-3021937951.9639382</v>
      </c>
      <c r="F119" s="55">
        <f t="shared" si="55"/>
        <v>-3718212661.6022744</v>
      </c>
      <c r="G119" s="55">
        <f t="shared" si="55"/>
        <v>-2351942075.2741985</v>
      </c>
      <c r="H119" s="55">
        <f t="shared" si="55"/>
        <v>942105936.53507662</v>
      </c>
      <c r="I119" s="55">
        <f t="shared" si="55"/>
        <v>2324732450.8267207</v>
      </c>
      <c r="J119" s="55">
        <f t="shared" si="55"/>
        <v>2058249364.2850084</v>
      </c>
      <c r="K119" s="55">
        <f t="shared" si="55"/>
        <v>859082269.90575755</v>
      </c>
      <c r="L119" s="55">
        <f t="shared" si="55"/>
        <v>937313552.19970393</v>
      </c>
      <c r="M119" s="55">
        <f t="shared" si="55"/>
        <v>965357854.2735827</v>
      </c>
      <c r="N119" s="55">
        <f t="shared" si="55"/>
        <v>1006244522.9066677</v>
      </c>
      <c r="O119" s="55">
        <f t="shared" si="55"/>
        <v>1043160008.3724269</v>
      </c>
      <c r="P119" s="55">
        <f t="shared" si="55"/>
        <v>1084384508.9812098</v>
      </c>
      <c r="Q119" s="55">
        <f t="shared" si="55"/>
        <v>1094606168.9674137</v>
      </c>
      <c r="R119" s="55">
        <f t="shared" si="55"/>
        <v>1089712431.0381172</v>
      </c>
      <c r="S119" s="55">
        <f t="shared" si="55"/>
        <v>1137102406.3942847</v>
      </c>
      <c r="T119" s="354"/>
    </row>
    <row r="120" spans="2:20" s="352" customFormat="1" outlineLevel="1">
      <c r="B120" s="60" t="s">
        <v>1009</v>
      </c>
      <c r="C120" s="53"/>
      <c r="D120" s="55">
        <f>D119+D61</f>
        <v>-160732124.2753464</v>
      </c>
      <c r="E120" s="55">
        <f t="shared" ref="E120:T120" si="56">E119+E61</f>
        <v>-3021937951.9639382</v>
      </c>
      <c r="F120" s="55">
        <f t="shared" si="56"/>
        <v>-3718212661.6022744</v>
      </c>
      <c r="G120" s="55">
        <f t="shared" si="56"/>
        <v>-2351942075.2741985</v>
      </c>
      <c r="H120" s="55">
        <f t="shared" si="56"/>
        <v>942105936.53507662</v>
      </c>
      <c r="I120" s="55">
        <f t="shared" si="56"/>
        <v>2324732450.8267207</v>
      </c>
      <c r="J120" s="55">
        <f t="shared" si="56"/>
        <v>2058249364.2850084</v>
      </c>
      <c r="K120" s="55">
        <f t="shared" si="56"/>
        <v>859082269.90575755</v>
      </c>
      <c r="L120" s="55">
        <f t="shared" si="56"/>
        <v>937313552.19970393</v>
      </c>
      <c r="M120" s="55">
        <f t="shared" si="56"/>
        <v>965357854.2735827</v>
      </c>
      <c r="N120" s="55">
        <f t="shared" si="56"/>
        <v>1006244522.9066677</v>
      </c>
      <c r="O120" s="55">
        <f t="shared" si="56"/>
        <v>1043160008.3724269</v>
      </c>
      <c r="P120" s="55">
        <f t="shared" si="56"/>
        <v>1084384508.9812098</v>
      </c>
      <c r="Q120" s="55">
        <f t="shared" si="56"/>
        <v>1094606168.9674137</v>
      </c>
      <c r="R120" s="55">
        <f t="shared" si="56"/>
        <v>1089712431.0381172</v>
      </c>
      <c r="S120" s="55">
        <f t="shared" si="56"/>
        <v>1137102406.3942847</v>
      </c>
      <c r="T120" s="358">
        <f t="shared" si="56"/>
        <v>11774949987.56987</v>
      </c>
    </row>
    <row r="121" spans="2:20" outlineLevel="1">
      <c r="B121" s="60" t="str">
        <f>B65</f>
        <v>Ставка дисконтирования</v>
      </c>
      <c r="C121" s="56"/>
      <c r="D121" s="62">
        <f>WACC!D23</f>
        <v>0.12229314111647401</v>
      </c>
      <c r="E121" s="62">
        <f>D121</f>
        <v>0.12229314111647401</v>
      </c>
      <c r="F121" s="62">
        <f t="shared" ref="F121:S121" si="57">E121</f>
        <v>0.12229314111647401</v>
      </c>
      <c r="G121" s="62">
        <f t="shared" si="57"/>
        <v>0.12229314111647401</v>
      </c>
      <c r="H121" s="62">
        <f t="shared" si="57"/>
        <v>0.12229314111647401</v>
      </c>
      <c r="I121" s="62">
        <f t="shared" si="57"/>
        <v>0.12229314111647401</v>
      </c>
      <c r="J121" s="62">
        <f t="shared" si="57"/>
        <v>0.12229314111647401</v>
      </c>
      <c r="K121" s="62">
        <f t="shared" si="57"/>
        <v>0.12229314111647401</v>
      </c>
      <c r="L121" s="62">
        <f t="shared" si="57"/>
        <v>0.12229314111647401</v>
      </c>
      <c r="M121" s="62">
        <f t="shared" si="57"/>
        <v>0.12229314111647401</v>
      </c>
      <c r="N121" s="62">
        <f t="shared" si="57"/>
        <v>0.12229314111647401</v>
      </c>
      <c r="O121" s="62">
        <f t="shared" si="57"/>
        <v>0.12229314111647401</v>
      </c>
      <c r="P121" s="62">
        <f t="shared" si="57"/>
        <v>0.12229314111647401</v>
      </c>
      <c r="Q121" s="62">
        <f t="shared" si="57"/>
        <v>0.12229314111647401</v>
      </c>
      <c r="R121" s="62">
        <f t="shared" si="57"/>
        <v>0.12229314111647401</v>
      </c>
      <c r="S121" s="62">
        <f t="shared" si="57"/>
        <v>0.12229314111647401</v>
      </c>
      <c r="T121" s="62">
        <f>N121</f>
        <v>0.12229314111647401</v>
      </c>
    </row>
    <row r="122" spans="2:20" outlineLevel="1">
      <c r="B122" s="60" t="str">
        <f>B66</f>
        <v>Период дисконтирования</v>
      </c>
      <c r="C122" s="56"/>
      <c r="D122" s="357">
        <f>D$8/365/2</f>
        <v>0.45753424657534247</v>
      </c>
      <c r="E122" s="357">
        <f>D122*2+0.5</f>
        <v>1.4150684931506849</v>
      </c>
      <c r="F122" s="63">
        <f>E122+1</f>
        <v>2.4150684931506849</v>
      </c>
      <c r="G122" s="63">
        <f t="shared" ref="G122:S122" si="58">F122+1</f>
        <v>3.4150684931506849</v>
      </c>
      <c r="H122" s="63">
        <f t="shared" si="58"/>
        <v>4.4150684931506845</v>
      </c>
      <c r="I122" s="63">
        <f t="shared" si="58"/>
        <v>5.4150684931506845</v>
      </c>
      <c r="J122" s="63">
        <f t="shared" si="58"/>
        <v>6.4150684931506845</v>
      </c>
      <c r="K122" s="63">
        <f t="shared" si="58"/>
        <v>7.4150684931506845</v>
      </c>
      <c r="L122" s="63">
        <f t="shared" si="58"/>
        <v>8.4150684931506845</v>
      </c>
      <c r="M122" s="63">
        <f t="shared" si="58"/>
        <v>9.4150684931506845</v>
      </c>
      <c r="N122" s="63">
        <f t="shared" si="58"/>
        <v>10.415068493150685</v>
      </c>
      <c r="O122" s="63">
        <f t="shared" si="58"/>
        <v>11.415068493150685</v>
      </c>
      <c r="P122" s="63">
        <f t="shared" si="58"/>
        <v>12.415068493150685</v>
      </c>
      <c r="Q122" s="63">
        <f t="shared" si="58"/>
        <v>13.415068493150685</v>
      </c>
      <c r="R122" s="63">
        <f t="shared" si="58"/>
        <v>14.415068493150685</v>
      </c>
      <c r="S122" s="63">
        <f t="shared" si="58"/>
        <v>15.415068493150685</v>
      </c>
      <c r="T122" s="357">
        <f>S122+0.5</f>
        <v>15.915068493150685</v>
      </c>
    </row>
    <row r="123" spans="2:20" outlineLevel="1">
      <c r="B123" s="60" t="str">
        <f>B67</f>
        <v>Фактор дисконтирования (с середины года)</v>
      </c>
      <c r="C123" s="56"/>
      <c r="D123" s="64">
        <f>1/(1+D121)^D122</f>
        <v>0.94858149419952253</v>
      </c>
      <c r="E123" s="64">
        <f t="shared" ref="E123:S123" si="59">1/(1+E121)^E122</f>
        <v>0.84936848171379875</v>
      </c>
      <c r="F123" s="64">
        <f t="shared" si="59"/>
        <v>0.75681517653118158</v>
      </c>
      <c r="G123" s="64">
        <f t="shared" si="59"/>
        <v>0.67434714586092048</v>
      </c>
      <c r="H123" s="64">
        <f t="shared" si="59"/>
        <v>0.60086542557862377</v>
      </c>
      <c r="I123" s="64">
        <f t="shared" si="59"/>
        <v>0.53539080260338556</v>
      </c>
      <c r="J123" s="64">
        <f t="shared" si="59"/>
        <v>0.47705076596188656</v>
      </c>
      <c r="K123" s="64">
        <f t="shared" si="59"/>
        <v>0.42506787975849986</v>
      </c>
      <c r="L123" s="64">
        <f t="shared" si="59"/>
        <v>0.37874942311029003</v>
      </c>
      <c r="M123" s="64">
        <f t="shared" si="59"/>
        <v>0.33747815898928551</v>
      </c>
      <c r="N123" s="64">
        <f t="shared" si="59"/>
        <v>0.30070410895816146</v>
      </c>
      <c r="O123" s="64">
        <f t="shared" si="59"/>
        <v>0.26793722418994431</v>
      </c>
      <c r="P123" s="64">
        <f t="shared" si="59"/>
        <v>0.2387408551061769</v>
      </c>
      <c r="Q123" s="64">
        <f t="shared" si="59"/>
        <v>0.21272593261032846</v>
      </c>
      <c r="R123" s="64">
        <f t="shared" si="59"/>
        <v>0.18954578337590616</v>
      </c>
      <c r="S123" s="64">
        <f t="shared" si="59"/>
        <v>0.1688915100981043</v>
      </c>
      <c r="T123" s="64">
        <f>1/(1+T121)^T122</f>
        <v>0.15942435348762313</v>
      </c>
    </row>
    <row r="124" spans="2:20" outlineLevel="1">
      <c r="B124" s="60" t="s">
        <v>999</v>
      </c>
      <c r="C124" s="56"/>
      <c r="D124" s="55">
        <f t="shared" ref="D124:T124" si="60">D123*D119</f>
        <v>-152467518.61097142</v>
      </c>
      <c r="E124" s="55">
        <f t="shared" si="60"/>
        <v>-2566738850.0929165</v>
      </c>
      <c r="F124" s="55">
        <f t="shared" si="60"/>
        <v>-2813999771.8709998</v>
      </c>
      <c r="G124" s="55">
        <f t="shared" si="60"/>
        <v>-1586025425.691366</v>
      </c>
      <c r="H124" s="55">
        <f t="shared" si="60"/>
        <v>566078884.49629676</v>
      </c>
      <c r="I124" s="55">
        <f t="shared" si="60"/>
        <v>1244640372.6862535</v>
      </c>
      <c r="J124" s="55">
        <f t="shared" si="60"/>
        <v>981889435.7727294</v>
      </c>
      <c r="K124" s="55">
        <f t="shared" si="60"/>
        <v>365168279.00695968</v>
      </c>
      <c r="L124" s="55">
        <f t="shared" si="60"/>
        <v>355006967.16909456</v>
      </c>
      <c r="M124" s="55">
        <f t="shared" si="60"/>
        <v>325787191.42609566</v>
      </c>
      <c r="N124" s="55">
        <f t="shared" si="60"/>
        <v>302581862.65467983</v>
      </c>
      <c r="O124" s="55">
        <f t="shared" si="60"/>
        <v>279501397.02926713</v>
      </c>
      <c r="P124" s="55">
        <f t="shared" si="60"/>
        <v>258886884.9380658</v>
      </c>
      <c r="Q124" s="55">
        <f t="shared" si="60"/>
        <v>232851118.13461185</v>
      </c>
      <c r="R124" s="55">
        <f t="shared" si="60"/>
        <v>206550396.39558303</v>
      </c>
      <c r="S124" s="55">
        <f t="shared" si="60"/>
        <v>192046942.55211905</v>
      </c>
      <c r="T124" s="55">
        <f t="shared" si="60"/>
        <v>0</v>
      </c>
    </row>
    <row r="125" spans="2:20" outlineLevel="1">
      <c r="B125" s="60" t="s">
        <v>1000</v>
      </c>
      <c r="C125" s="56"/>
      <c r="D125" s="55">
        <f>D123*D120</f>
        <v>-152467518.61097142</v>
      </c>
      <c r="E125" s="55">
        <f t="shared" ref="E125:T125" si="61">E123*E120</f>
        <v>-2566738850.0929165</v>
      </c>
      <c r="F125" s="55">
        <f t="shared" si="61"/>
        <v>-2813999771.8709998</v>
      </c>
      <c r="G125" s="55">
        <f t="shared" si="61"/>
        <v>-1586025425.691366</v>
      </c>
      <c r="H125" s="55">
        <f t="shared" si="61"/>
        <v>566078884.49629676</v>
      </c>
      <c r="I125" s="55">
        <f t="shared" si="61"/>
        <v>1244640372.6862535</v>
      </c>
      <c r="J125" s="55">
        <f t="shared" si="61"/>
        <v>981889435.7727294</v>
      </c>
      <c r="K125" s="55">
        <f t="shared" si="61"/>
        <v>365168279.00695968</v>
      </c>
      <c r="L125" s="55">
        <f t="shared" si="61"/>
        <v>355006967.16909456</v>
      </c>
      <c r="M125" s="55">
        <f t="shared" si="61"/>
        <v>325787191.42609566</v>
      </c>
      <c r="N125" s="55">
        <f t="shared" si="61"/>
        <v>302581862.65467983</v>
      </c>
      <c r="O125" s="55">
        <f t="shared" si="61"/>
        <v>279501397.02926713</v>
      </c>
      <c r="P125" s="55">
        <f t="shared" si="61"/>
        <v>258886884.9380658</v>
      </c>
      <c r="Q125" s="55">
        <f t="shared" si="61"/>
        <v>232851118.13461185</v>
      </c>
      <c r="R125" s="55">
        <f t="shared" si="61"/>
        <v>206550396.39558303</v>
      </c>
      <c r="S125" s="55">
        <f t="shared" si="61"/>
        <v>192046942.55211905</v>
      </c>
      <c r="T125" s="55">
        <f t="shared" si="61"/>
        <v>1877213789.1174226</v>
      </c>
    </row>
    <row r="126" spans="2:20" s="352" customFormat="1" outlineLevel="1" collapsed="1">
      <c r="B126" s="351" t="str">
        <f>B70</f>
        <v>Чистая текущая ст-ть проекта на дату анализа</v>
      </c>
      <c r="C126" s="58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</row>
    <row r="127" spans="2:20" outlineLevel="1">
      <c r="B127" s="65" t="str">
        <f>B71</f>
        <v>Чистая текущая ст-ть проекта на дату анализа - без TV</v>
      </c>
      <c r="C127" s="56"/>
      <c r="D127" s="67">
        <f>SUM(D124:S124)</f>
        <v>-1808241834.0044968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5"/>
    </row>
    <row r="128" spans="2:20" ht="25.5" outlineLevel="1">
      <c r="B128" s="65" t="s">
        <v>989</v>
      </c>
      <c r="C128" s="56"/>
      <c r="D128" s="67">
        <f>SUM(D125:T125)</f>
        <v>68971955.112925768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5"/>
    </row>
    <row r="129" spans="1:20" outlineLevel="1">
      <c r="B129" s="60" t="str">
        <f t="shared" ref="B129:B136" si="62">B73</f>
        <v>Денежный поток накопленным итогом - без TV</v>
      </c>
      <c r="C129" s="56"/>
      <c r="D129" s="68">
        <f>SUM($D$119:D119)</f>
        <v>-160732124.2753464</v>
      </c>
      <c r="E129" s="68">
        <f>SUM($D$119:E119)</f>
        <v>-3182670076.2392845</v>
      </c>
      <c r="F129" s="68">
        <f>SUM($D$119:F119)</f>
        <v>-6900882737.8415585</v>
      </c>
      <c r="G129" s="68">
        <f>SUM($D$119:G119)</f>
        <v>-9252824813.115757</v>
      </c>
      <c r="H129" s="68">
        <f>SUM($D$119:H119)</f>
        <v>-8310718876.5806808</v>
      </c>
      <c r="I129" s="68">
        <f>SUM($D$119:I119)</f>
        <v>-5985986425.7539597</v>
      </c>
      <c r="J129" s="68">
        <f>SUM($D$119:J119)</f>
        <v>-3927737061.4689512</v>
      </c>
      <c r="K129" s="68">
        <f>SUM($D$119:K119)</f>
        <v>-3068654791.5631938</v>
      </c>
      <c r="L129" s="68">
        <f>SUM($D$119:L119)</f>
        <v>-2131341239.3634899</v>
      </c>
      <c r="M129" s="68">
        <f>SUM($D$119:M119)</f>
        <v>-1165983385.0899072</v>
      </c>
      <c r="N129" s="68">
        <f>SUM($D$119:N119)</f>
        <v>-159738862.18323946</v>
      </c>
      <c r="O129" s="68">
        <f>SUM($D$119:O119)</f>
        <v>883421146.18918741</v>
      </c>
      <c r="P129" s="68">
        <f>SUM($D$119:P119)</f>
        <v>1967805655.1703973</v>
      </c>
      <c r="Q129" s="68">
        <f>SUM($D$119:Q119)</f>
        <v>3062411824.1378107</v>
      </c>
      <c r="R129" s="68">
        <f>SUM($D$119:R119)</f>
        <v>4152124255.1759281</v>
      </c>
      <c r="S129" s="358">
        <f>SUM($D$119:T119)</f>
        <v>5289226661.5702133</v>
      </c>
      <c r="T129" s="68"/>
    </row>
    <row r="130" spans="1:20" outlineLevel="1">
      <c r="B130" s="60" t="str">
        <f t="shared" si="62"/>
        <v>Денежный поток накопленным итогом - c TV</v>
      </c>
      <c r="C130" s="56"/>
      <c r="D130" s="68">
        <f>SUM($D$120:D120)</f>
        <v>-160732124.2753464</v>
      </c>
      <c r="E130" s="68">
        <f>SUM($D$120:E120)</f>
        <v>-3182670076.2392845</v>
      </c>
      <c r="F130" s="68">
        <f>SUM($D$120:F120)</f>
        <v>-6900882737.8415585</v>
      </c>
      <c r="G130" s="68">
        <f>SUM($D$120:G120)</f>
        <v>-9252824813.115757</v>
      </c>
      <c r="H130" s="68">
        <f>SUM($D$120:H120)</f>
        <v>-8310718876.5806808</v>
      </c>
      <c r="I130" s="68">
        <f>SUM($D$120:I120)</f>
        <v>-5985986425.7539597</v>
      </c>
      <c r="J130" s="68">
        <f>SUM($D$120:J120)</f>
        <v>-3927737061.4689512</v>
      </c>
      <c r="K130" s="68">
        <f>SUM($D$120:K120)</f>
        <v>-3068654791.5631938</v>
      </c>
      <c r="L130" s="68">
        <f>SUM($D$120:L120)</f>
        <v>-2131341239.3634899</v>
      </c>
      <c r="M130" s="68">
        <f>SUM($D$120:M120)</f>
        <v>-1165983385.0899072</v>
      </c>
      <c r="N130" s="68">
        <f>SUM($D$120:N120)</f>
        <v>-159738862.18323946</v>
      </c>
      <c r="O130" s="68">
        <f>SUM($D$120:O120)</f>
        <v>883421146.18918741</v>
      </c>
      <c r="P130" s="68">
        <f>SUM($D$120:P120)</f>
        <v>1967805655.1703973</v>
      </c>
      <c r="Q130" s="68">
        <f>SUM($D$120:Q120)</f>
        <v>3062411824.1378107</v>
      </c>
      <c r="R130" s="68">
        <f>SUM($D$120:R120)</f>
        <v>4152124255.1759281</v>
      </c>
      <c r="S130" s="358">
        <f>SUM($D$120:T120)</f>
        <v>17064176649.140083</v>
      </c>
      <c r="T130" s="68"/>
    </row>
    <row r="131" spans="1:20" outlineLevel="1">
      <c r="B131" s="69" t="str">
        <f t="shared" si="62"/>
        <v>PBP (срок окупаемости) - без TV</v>
      </c>
      <c r="C131" s="56"/>
      <c r="D131" s="71">
        <f>IF(AND(S129&gt;0,(COUNTIF(D129:S129,"&lt;0"))=COUNT(D129:S129)-1),"окупается с продажи",IF(OR(S129&lt;0,(COUNTIF(D129:S129,"&lt;0"))=COUNT(D129:S129)),"не окупается",(COUNTIF(D129:S129,"&lt;0"))))</f>
        <v>11</v>
      </c>
      <c r="E131" s="359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 spans="1:20" outlineLevel="1">
      <c r="B132" s="69" t="str">
        <f t="shared" si="62"/>
        <v>PBP (срок окупаемости) - c TV</v>
      </c>
      <c r="C132" s="56"/>
      <c r="D132" s="71">
        <f>IF(AND(S130&gt;0,(COUNTIF(D130:S130,"&lt;0"))=COUNT(D130:S130)-1),"окупается с продажи",IF(OR(S130&lt;0,(COUNTIF(D130:S130,"&lt;0"))=COUNT(D130:S130)),"не окупается",(COUNTIF(D130:S130,"&lt;0"))))</f>
        <v>11</v>
      </c>
      <c r="E132" s="359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 spans="1:20" outlineLevel="1">
      <c r="B133" s="70" t="str">
        <f t="shared" si="62"/>
        <v>Дисконтированный денежный поток накопленным итогом - без TV</v>
      </c>
      <c r="C133" s="56"/>
      <c r="D133" s="68">
        <f>SUM($D$124:D124)</f>
        <v>-152467518.61097142</v>
      </c>
      <c r="E133" s="68">
        <f>SUM($D$124:E124)</f>
        <v>-2719206368.7038879</v>
      </c>
      <c r="F133" s="68">
        <f>SUM($D$124:F124)</f>
        <v>-5533206140.5748882</v>
      </c>
      <c r="G133" s="68">
        <f>SUM($D$124:G124)</f>
        <v>-7119231566.2662544</v>
      </c>
      <c r="H133" s="68">
        <f>SUM($D$124:H124)</f>
        <v>-6553152681.7699575</v>
      </c>
      <c r="I133" s="68">
        <f>SUM($D$124:I124)</f>
        <v>-5308512309.083704</v>
      </c>
      <c r="J133" s="68">
        <f>SUM($D$124:J124)</f>
        <v>-4326622873.3109741</v>
      </c>
      <c r="K133" s="68">
        <f>SUM($D$124:K124)</f>
        <v>-3961454594.3040142</v>
      </c>
      <c r="L133" s="68">
        <f>SUM($D$124:L124)</f>
        <v>-3606447627.1349196</v>
      </c>
      <c r="M133" s="68">
        <f>SUM($D$124:M124)</f>
        <v>-3280660435.7088242</v>
      </c>
      <c r="N133" s="68">
        <f>SUM($D$124:N124)</f>
        <v>-2978078573.0541444</v>
      </c>
      <c r="O133" s="68">
        <f>SUM($D$124:O124)</f>
        <v>-2698577176.0248771</v>
      </c>
      <c r="P133" s="68">
        <f>SUM($D$124:P124)</f>
        <v>-2439690291.0868111</v>
      </c>
      <c r="Q133" s="68">
        <f>SUM($D$124:Q124)</f>
        <v>-2206839172.952199</v>
      </c>
      <c r="R133" s="68">
        <f>SUM($D$124:R124)</f>
        <v>-2000288776.5566158</v>
      </c>
      <c r="S133" s="358">
        <f>SUM($D$124:T124)</f>
        <v>-1808241834.0044968</v>
      </c>
      <c r="T133" s="68"/>
    </row>
    <row r="134" spans="1:20" outlineLevel="1">
      <c r="B134" s="70" t="str">
        <f t="shared" si="62"/>
        <v>Дисконтированный денежный поток накопленным итогом - c TV</v>
      </c>
      <c r="C134" s="56"/>
      <c r="D134" s="68">
        <f>SUM($D$125:D125)</f>
        <v>-152467518.61097142</v>
      </c>
      <c r="E134" s="68">
        <f>SUM($D$125:E125)</f>
        <v>-2719206368.7038879</v>
      </c>
      <c r="F134" s="68">
        <f>SUM($D$125:F125)</f>
        <v>-5533206140.5748882</v>
      </c>
      <c r="G134" s="68">
        <f>SUM($D$125:G125)</f>
        <v>-7119231566.2662544</v>
      </c>
      <c r="H134" s="68">
        <f>SUM($D$125:H125)</f>
        <v>-6553152681.7699575</v>
      </c>
      <c r="I134" s="68">
        <f>SUM($D$125:I125)</f>
        <v>-5308512309.083704</v>
      </c>
      <c r="J134" s="68">
        <f>SUM($D$125:J125)</f>
        <v>-4326622873.3109741</v>
      </c>
      <c r="K134" s="68">
        <f>SUM($D$125:K125)</f>
        <v>-3961454594.3040142</v>
      </c>
      <c r="L134" s="68">
        <f>SUM($D$125:L125)</f>
        <v>-3606447627.1349196</v>
      </c>
      <c r="M134" s="68">
        <f>SUM($D$125:M125)</f>
        <v>-3280660435.7088242</v>
      </c>
      <c r="N134" s="68">
        <f>SUM($D$125:N125)</f>
        <v>-2978078573.0541444</v>
      </c>
      <c r="O134" s="68">
        <f>SUM($D$125:O125)</f>
        <v>-2698577176.0248771</v>
      </c>
      <c r="P134" s="68">
        <f>SUM($D$125:P125)</f>
        <v>-2439690291.0868111</v>
      </c>
      <c r="Q134" s="68">
        <f>SUM($D$125:Q125)</f>
        <v>-2206839172.952199</v>
      </c>
      <c r="R134" s="68">
        <f>SUM($D$125:R125)</f>
        <v>-2000288776.5566158</v>
      </c>
      <c r="S134" s="358">
        <f>SUM($D$125:T125)</f>
        <v>68971955.112925768</v>
      </c>
      <c r="T134" s="68"/>
    </row>
    <row r="135" spans="1:20" outlineLevel="1">
      <c r="B135" s="69" t="str">
        <f t="shared" si="62"/>
        <v>DPBP (дисконтированный срок окупаемости) - без TV</v>
      </c>
      <c r="C135" s="56"/>
      <c r="D135" s="71" t="str">
        <f>IF(AND(S133&gt;0,(COUNTIF(D133:S133,"&lt;0"))=COUNT(D133:S133)-1),"окупается с продажи",IF(OR(S133&lt;0,(COUNTIF(D133:S133,"&lt;0"))=COUNT(D133:S133)),"не окупается",(COUNTIF(D133:S133,"&lt;0"))))</f>
        <v>не окупается</v>
      </c>
      <c r="E135" s="359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 spans="1:20" outlineLevel="1">
      <c r="B136" s="69" t="str">
        <f t="shared" si="62"/>
        <v>DPBP (дисконтированный срок окупаемости) - c TV</v>
      </c>
      <c r="C136" s="56"/>
      <c r="D136" s="71" t="str">
        <f>IF(AND(S134&gt;0,(COUNTIF(D134:S134,"&lt;0"))=COUNT(D134:S134)-1),"окупается с продажи",IF(OR(S134&lt;0,(COUNTIF(D134:S134,"&lt;0"))=COUNT(D134:S134)),"не окупается",(COUNTIF(D134:S134,"&lt;0"))))</f>
        <v>окупается с продажи</v>
      </c>
      <c r="E136" s="359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 spans="1:20" outlineLevel="1">
      <c r="B137" s="70" t="str">
        <f>B119</f>
        <v>FCFF</v>
      </c>
      <c r="C137" s="56"/>
      <c r="D137" s="68">
        <f>D119</f>
        <v>-160732124.2753464</v>
      </c>
      <c r="E137" s="68">
        <f t="shared" ref="E137:R137" si="63">E119</f>
        <v>-3021937951.9639382</v>
      </c>
      <c r="F137" s="68">
        <f t="shared" si="63"/>
        <v>-3718212661.6022744</v>
      </c>
      <c r="G137" s="68">
        <f t="shared" si="63"/>
        <v>-2351942075.2741985</v>
      </c>
      <c r="H137" s="68">
        <f t="shared" si="63"/>
        <v>942105936.53507662</v>
      </c>
      <c r="I137" s="68">
        <f t="shared" si="63"/>
        <v>2324732450.8267207</v>
      </c>
      <c r="J137" s="68">
        <f t="shared" si="63"/>
        <v>2058249364.2850084</v>
      </c>
      <c r="K137" s="68">
        <f t="shared" si="63"/>
        <v>859082269.90575755</v>
      </c>
      <c r="L137" s="68">
        <f t="shared" si="63"/>
        <v>937313552.19970393</v>
      </c>
      <c r="M137" s="68">
        <f t="shared" si="63"/>
        <v>965357854.2735827</v>
      </c>
      <c r="N137" s="68">
        <f t="shared" si="63"/>
        <v>1006244522.9066677</v>
      </c>
      <c r="O137" s="68">
        <f t="shared" si="63"/>
        <v>1043160008.3724269</v>
      </c>
      <c r="P137" s="68">
        <f t="shared" si="63"/>
        <v>1084384508.9812098</v>
      </c>
      <c r="Q137" s="68">
        <f t="shared" si="63"/>
        <v>1094606168.9674137</v>
      </c>
      <c r="R137" s="68">
        <f t="shared" si="63"/>
        <v>1089712431.0381172</v>
      </c>
      <c r="S137" s="358">
        <f>S119+T119</f>
        <v>1137102406.3942847</v>
      </c>
      <c r="T137" s="54"/>
    </row>
    <row r="138" spans="1:20" outlineLevel="1">
      <c r="B138" s="70" t="str">
        <f>B120</f>
        <v>FCFF + TV</v>
      </c>
      <c r="C138" s="360"/>
      <c r="D138" s="68">
        <f>D120</f>
        <v>-160732124.2753464</v>
      </c>
      <c r="E138" s="68">
        <f t="shared" ref="E138:R138" si="64">E120</f>
        <v>-3021937951.9639382</v>
      </c>
      <c r="F138" s="68">
        <f t="shared" si="64"/>
        <v>-3718212661.6022744</v>
      </c>
      <c r="G138" s="68">
        <f t="shared" si="64"/>
        <v>-2351942075.2741985</v>
      </c>
      <c r="H138" s="68">
        <f t="shared" si="64"/>
        <v>942105936.53507662</v>
      </c>
      <c r="I138" s="68">
        <f t="shared" si="64"/>
        <v>2324732450.8267207</v>
      </c>
      <c r="J138" s="68">
        <f t="shared" si="64"/>
        <v>2058249364.2850084</v>
      </c>
      <c r="K138" s="68">
        <f t="shared" si="64"/>
        <v>859082269.90575755</v>
      </c>
      <c r="L138" s="68">
        <f t="shared" si="64"/>
        <v>937313552.19970393</v>
      </c>
      <c r="M138" s="68">
        <f t="shared" si="64"/>
        <v>965357854.2735827</v>
      </c>
      <c r="N138" s="68">
        <f t="shared" si="64"/>
        <v>1006244522.9066677</v>
      </c>
      <c r="O138" s="68">
        <f t="shared" si="64"/>
        <v>1043160008.3724269</v>
      </c>
      <c r="P138" s="68">
        <f t="shared" si="64"/>
        <v>1084384508.9812098</v>
      </c>
      <c r="Q138" s="68">
        <f t="shared" si="64"/>
        <v>1094606168.9674137</v>
      </c>
      <c r="R138" s="68">
        <f t="shared" si="64"/>
        <v>1089712431.0381172</v>
      </c>
      <c r="S138" s="358">
        <f>S120+T120</f>
        <v>12912052393.964155</v>
      </c>
      <c r="T138" s="55"/>
    </row>
    <row r="139" spans="1:20" ht="15" outlineLevel="1">
      <c r="A139" s="1413" t="str">
        <f>IF(AND(D127&lt;0,D139&gt;=D121),"Error","")</f>
        <v/>
      </c>
      <c r="B139" s="69" t="str">
        <f>B85</f>
        <v>IRR - без TV</v>
      </c>
      <c r="C139" s="56"/>
      <c r="D139" s="1445">
        <f>IF(IRR(D137:S137)&lt;0,"не применимо",IRR(D137:S137))</f>
        <v>6.9552783334162038E-2</v>
      </c>
    </row>
    <row r="140" spans="1:20" ht="15" outlineLevel="1">
      <c r="A140" s="1413" t="str">
        <f>IF(AND(D128&lt;0,D140&gt;=D121),"Error","")</f>
        <v/>
      </c>
      <c r="B140" s="69" t="str">
        <f>B86</f>
        <v>IRR - c TV</v>
      </c>
      <c r="C140" s="56"/>
      <c r="D140" s="1445">
        <f>IF(IRR(D138:S138)&lt;0,"Неприменимо",IRR(D138:S138))</f>
        <v>0.12587749107539414</v>
      </c>
    </row>
    <row r="142" spans="1:20">
      <c r="B142" s="362" t="s">
        <v>450</v>
      </c>
      <c r="C142" s="362"/>
      <c r="D142" s="362"/>
    </row>
    <row r="143" spans="1:20">
      <c r="B143" s="1419" t="s">
        <v>992</v>
      </c>
      <c r="C143" s="1418"/>
      <c r="D143" s="1418"/>
    </row>
    <row r="144" spans="1:20">
      <c r="B144" s="363" t="s">
        <v>269</v>
      </c>
      <c r="C144" s="364"/>
      <c r="D144" s="365">
        <f>D127</f>
        <v>-1808241834.0044968</v>
      </c>
    </row>
    <row r="145" spans="1:113">
      <c r="B145" s="363" t="s">
        <v>270</v>
      </c>
      <c r="C145" s="364"/>
      <c r="D145" s="366">
        <f>D139</f>
        <v>6.9552783334162038E-2</v>
      </c>
    </row>
    <row r="146" spans="1:113">
      <c r="B146" s="363" t="s">
        <v>159</v>
      </c>
      <c r="C146" s="364"/>
      <c r="D146" s="365">
        <f>D131</f>
        <v>11</v>
      </c>
      <c r="F146" s="368"/>
    </row>
    <row r="147" spans="1:113">
      <c r="B147" s="363" t="s">
        <v>449</v>
      </c>
      <c r="C147" s="364"/>
      <c r="D147" s="365" t="str">
        <f>D135</f>
        <v>не окупается</v>
      </c>
    </row>
    <row r="148" spans="1:113">
      <c r="B148" s="1419" t="s">
        <v>994</v>
      </c>
      <c r="C148" s="1418"/>
      <c r="D148" s="1418"/>
    </row>
    <row r="149" spans="1:113">
      <c r="B149" s="108" t="s">
        <v>269</v>
      </c>
      <c r="C149" s="364"/>
      <c r="D149" s="365">
        <f>D128</f>
        <v>68971955.112925768</v>
      </c>
    </row>
    <row r="150" spans="1:113">
      <c r="B150" s="101" t="s">
        <v>270</v>
      </c>
      <c r="C150" s="364"/>
      <c r="D150" s="366">
        <f>D140</f>
        <v>0.12587749107539414</v>
      </c>
    </row>
    <row r="151" spans="1:113">
      <c r="B151" s="363" t="s">
        <v>159</v>
      </c>
      <c r="C151" s="364"/>
      <c r="D151" s="365">
        <f>D132</f>
        <v>11</v>
      </c>
    </row>
    <row r="152" spans="1:113">
      <c r="B152" s="363" t="s">
        <v>449</v>
      </c>
      <c r="C152" s="364"/>
      <c r="D152" s="365" t="str">
        <f>D136</f>
        <v>окупается с продажи</v>
      </c>
    </row>
    <row r="155" spans="1:113" s="30" customFormat="1">
      <c r="A155" s="140"/>
      <c r="B155" s="98" t="s">
        <v>451</v>
      </c>
      <c r="C155" s="40"/>
      <c r="D155" s="140"/>
      <c r="E155" s="140"/>
      <c r="F155" s="140"/>
      <c r="G155" s="140"/>
    </row>
    <row r="156" spans="1:113">
      <c r="B156" s="369" t="s">
        <v>142</v>
      </c>
      <c r="C156" s="370"/>
      <c r="D156" s="370" t="s">
        <v>143</v>
      </c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</row>
    <row r="157" spans="1:113">
      <c r="B157" s="371" t="s">
        <v>452</v>
      </c>
      <c r="C157" s="372" t="s">
        <v>453</v>
      </c>
      <c r="D157" s="373">
        <v>1</v>
      </c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</row>
    <row r="158" spans="1:113">
      <c r="B158" s="371" t="s">
        <v>144</v>
      </c>
      <c r="C158" s="374"/>
      <c r="D158" s="375">
        <f>IF(D157=0,23.5%,IF(D157=1,4%,"Error"))</f>
        <v>0.04</v>
      </c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</row>
    <row r="159" spans="1:113">
      <c r="B159" s="371" t="s">
        <v>1013</v>
      </c>
      <c r="C159" s="56"/>
      <c r="D159" s="97">
        <f>MAX(Вводные!D10:D16)</f>
        <v>46204</v>
      </c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</row>
    <row r="160" spans="1:113">
      <c r="B160" s="371" t="s">
        <v>146</v>
      </c>
      <c r="C160" s="56"/>
      <c r="D160" s="376">
        <f>-SUM(D178:O178)</f>
        <v>3444203258.4697208</v>
      </c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</row>
    <row r="161" spans="1:121">
      <c r="B161" s="371" t="s">
        <v>147</v>
      </c>
      <c r="C161" s="56"/>
      <c r="D161" s="376">
        <f>C180</f>
        <v>8027999999.7626839</v>
      </c>
      <c r="E161" s="40"/>
      <c r="F161" s="99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</row>
    <row r="162" spans="1:121">
      <c r="B162" s="371" t="s">
        <v>148</v>
      </c>
      <c r="C162" s="56"/>
      <c r="D162" s="376">
        <f>D161/D165</f>
        <v>802799999.97626841</v>
      </c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</row>
    <row r="163" spans="1:121">
      <c r="B163" s="371" t="s">
        <v>454</v>
      </c>
      <c r="C163" s="56"/>
      <c r="D163" s="377">
        <v>15</v>
      </c>
      <c r="E163" s="378"/>
      <c r="F163" s="378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</row>
    <row r="164" spans="1:121">
      <c r="A164" s="1324" t="s">
        <v>925</v>
      </c>
      <c r="B164" s="371" t="s">
        <v>1014</v>
      </c>
      <c r="C164" s="56"/>
      <c r="D164" s="379">
        <f>COUNTIF(D177:T177,"&lt;0")</f>
        <v>5</v>
      </c>
      <c r="E164" s="378"/>
      <c r="F164" s="378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</row>
    <row r="165" spans="1:121">
      <c r="B165" s="371" t="s">
        <v>149</v>
      </c>
      <c r="C165" s="56"/>
      <c r="D165" s="379">
        <f>D163-D164</f>
        <v>10</v>
      </c>
      <c r="E165" s="378" t="s">
        <v>150</v>
      </c>
      <c r="F165" s="378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</row>
    <row r="166" spans="1:121">
      <c r="B166" s="371" t="s">
        <v>151</v>
      </c>
      <c r="C166" s="56"/>
      <c r="D166" s="97">
        <f>D159</f>
        <v>46204</v>
      </c>
      <c r="E166" s="1461">
        <f>D164+1</f>
        <v>6</v>
      </c>
      <c r="F166" s="378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</row>
    <row r="167" spans="1:121">
      <c r="B167" s="371" t="s">
        <v>152</v>
      </c>
      <c r="C167" s="380"/>
      <c r="D167" s="97">
        <f>DATE(YEAR(D166)+D165,12,31)</f>
        <v>50040</v>
      </c>
      <c r="E167" s="1796">
        <f>D163</f>
        <v>15</v>
      </c>
      <c r="F167" s="378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</row>
    <row r="168" spans="1:121" ht="14.25" customHeight="1">
      <c r="E168" s="1323"/>
      <c r="F168" s="378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</row>
    <row r="169" spans="1:121">
      <c r="B169" s="98" t="s">
        <v>153</v>
      </c>
      <c r="D169" s="39"/>
      <c r="E169" s="39"/>
      <c r="F169" s="39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</row>
    <row r="170" spans="1:121">
      <c r="B170" s="381"/>
      <c r="C170" s="370"/>
      <c r="D170" s="382">
        <f t="shared" ref="D170:T170" si="65">D5</f>
        <v>2022</v>
      </c>
      <c r="E170" s="382">
        <f t="shared" si="65"/>
        <v>2023</v>
      </c>
      <c r="F170" s="382">
        <f t="shared" si="65"/>
        <v>2024</v>
      </c>
      <c r="G170" s="382">
        <f t="shared" si="65"/>
        <v>2025</v>
      </c>
      <c r="H170" s="382">
        <f t="shared" si="65"/>
        <v>2026</v>
      </c>
      <c r="I170" s="382">
        <f t="shared" si="65"/>
        <v>2027</v>
      </c>
      <c r="J170" s="382">
        <f t="shared" si="65"/>
        <v>2028</v>
      </c>
      <c r="K170" s="382">
        <f t="shared" si="65"/>
        <v>2029</v>
      </c>
      <c r="L170" s="382">
        <f t="shared" si="65"/>
        <v>2030</v>
      </c>
      <c r="M170" s="382">
        <f t="shared" si="65"/>
        <v>2031</v>
      </c>
      <c r="N170" s="382">
        <f t="shared" si="65"/>
        <v>2032</v>
      </c>
      <c r="O170" s="382">
        <f t="shared" si="65"/>
        <v>2033</v>
      </c>
      <c r="P170" s="382">
        <f t="shared" si="65"/>
        <v>2034</v>
      </c>
      <c r="Q170" s="382">
        <f t="shared" si="65"/>
        <v>2035</v>
      </c>
      <c r="R170" s="382">
        <f t="shared" si="65"/>
        <v>2036</v>
      </c>
      <c r="S170" s="382">
        <f t="shared" si="65"/>
        <v>2037</v>
      </c>
      <c r="T170" s="382">
        <f t="shared" si="65"/>
        <v>2038</v>
      </c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</row>
    <row r="171" spans="1:121">
      <c r="B171" s="371" t="s">
        <v>67</v>
      </c>
      <c r="C171" s="56"/>
      <c r="D171" s="383">
        <v>1</v>
      </c>
      <c r="E171" s="383">
        <f>D171+1</f>
        <v>2</v>
      </c>
      <c r="F171" s="383">
        <f t="shared" ref="F171:T171" si="66">E171+1</f>
        <v>3</v>
      </c>
      <c r="G171" s="383">
        <f t="shared" si="66"/>
        <v>4</v>
      </c>
      <c r="H171" s="383">
        <f t="shared" si="66"/>
        <v>5</v>
      </c>
      <c r="I171" s="383">
        <f t="shared" si="66"/>
        <v>6</v>
      </c>
      <c r="J171" s="376">
        <f t="shared" si="66"/>
        <v>7</v>
      </c>
      <c r="K171" s="383">
        <f t="shared" si="66"/>
        <v>8</v>
      </c>
      <c r="L171" s="383">
        <f t="shared" si="66"/>
        <v>9</v>
      </c>
      <c r="M171" s="383">
        <f t="shared" si="66"/>
        <v>10</v>
      </c>
      <c r="N171" s="383">
        <f t="shared" si="66"/>
        <v>11</v>
      </c>
      <c r="O171" s="383">
        <f t="shared" si="66"/>
        <v>12</v>
      </c>
      <c r="P171" s="383">
        <f t="shared" si="66"/>
        <v>13</v>
      </c>
      <c r="Q171" s="383">
        <f t="shared" si="66"/>
        <v>14</v>
      </c>
      <c r="R171" s="383">
        <f t="shared" si="66"/>
        <v>15</v>
      </c>
      <c r="S171" s="383">
        <f t="shared" si="66"/>
        <v>16</v>
      </c>
      <c r="T171" s="383">
        <f t="shared" si="66"/>
        <v>17</v>
      </c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</row>
    <row r="172" spans="1:121">
      <c r="B172" s="371" t="s">
        <v>1</v>
      </c>
      <c r="C172" s="56"/>
      <c r="D172" s="97">
        <f t="shared" ref="D172:T172" si="67">D6</f>
        <v>44593</v>
      </c>
      <c r="E172" s="97">
        <f t="shared" si="67"/>
        <v>44927</v>
      </c>
      <c r="F172" s="97">
        <f t="shared" si="67"/>
        <v>45292</v>
      </c>
      <c r="G172" s="97">
        <f t="shared" si="67"/>
        <v>45658</v>
      </c>
      <c r="H172" s="97">
        <f t="shared" si="67"/>
        <v>46023</v>
      </c>
      <c r="I172" s="97">
        <f t="shared" si="67"/>
        <v>46388</v>
      </c>
      <c r="J172" s="97">
        <f t="shared" si="67"/>
        <v>46753</v>
      </c>
      <c r="K172" s="97">
        <f t="shared" si="67"/>
        <v>47119</v>
      </c>
      <c r="L172" s="97">
        <f t="shared" si="67"/>
        <v>47484</v>
      </c>
      <c r="M172" s="97">
        <f t="shared" si="67"/>
        <v>47849</v>
      </c>
      <c r="N172" s="97">
        <f t="shared" si="67"/>
        <v>48214</v>
      </c>
      <c r="O172" s="97">
        <f t="shared" si="67"/>
        <v>48580</v>
      </c>
      <c r="P172" s="97">
        <f t="shared" si="67"/>
        <v>48945</v>
      </c>
      <c r="Q172" s="97">
        <f t="shared" si="67"/>
        <v>49310</v>
      </c>
      <c r="R172" s="97">
        <f t="shared" si="67"/>
        <v>49675</v>
      </c>
      <c r="S172" s="97">
        <f t="shared" si="67"/>
        <v>50041</v>
      </c>
      <c r="T172" s="97">
        <f t="shared" si="67"/>
        <v>50406</v>
      </c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</row>
    <row r="173" spans="1:121">
      <c r="B173" s="371" t="s">
        <v>2</v>
      </c>
      <c r="C173" s="56"/>
      <c r="D173" s="97">
        <f t="shared" ref="D173:T173" si="68">D7</f>
        <v>44926</v>
      </c>
      <c r="E173" s="97">
        <f t="shared" si="68"/>
        <v>45291</v>
      </c>
      <c r="F173" s="97">
        <f t="shared" si="68"/>
        <v>45657</v>
      </c>
      <c r="G173" s="97">
        <f t="shared" si="68"/>
        <v>46022</v>
      </c>
      <c r="H173" s="97">
        <f t="shared" si="68"/>
        <v>46387</v>
      </c>
      <c r="I173" s="97">
        <f t="shared" si="68"/>
        <v>46752</v>
      </c>
      <c r="J173" s="97">
        <f t="shared" si="68"/>
        <v>47118</v>
      </c>
      <c r="K173" s="97">
        <f t="shared" si="68"/>
        <v>47483</v>
      </c>
      <c r="L173" s="97">
        <f t="shared" si="68"/>
        <v>47848</v>
      </c>
      <c r="M173" s="97">
        <f t="shared" si="68"/>
        <v>48213</v>
      </c>
      <c r="N173" s="97">
        <f t="shared" si="68"/>
        <v>48579</v>
      </c>
      <c r="O173" s="97">
        <f t="shared" si="68"/>
        <v>48944</v>
      </c>
      <c r="P173" s="97">
        <f t="shared" si="68"/>
        <v>49309</v>
      </c>
      <c r="Q173" s="97">
        <f t="shared" si="68"/>
        <v>49674</v>
      </c>
      <c r="R173" s="97">
        <f t="shared" si="68"/>
        <v>50040</v>
      </c>
      <c r="S173" s="97">
        <f t="shared" si="68"/>
        <v>50405</v>
      </c>
      <c r="T173" s="97">
        <f t="shared" si="68"/>
        <v>50770</v>
      </c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</row>
    <row r="174" spans="1:121">
      <c r="B174" s="371" t="s">
        <v>68</v>
      </c>
      <c r="C174" s="56"/>
      <c r="D174" s="383">
        <f t="shared" ref="D174:T174" si="69">D8</f>
        <v>334</v>
      </c>
      <c r="E174" s="383">
        <f t="shared" si="69"/>
        <v>365</v>
      </c>
      <c r="F174" s="383">
        <f t="shared" si="69"/>
        <v>366</v>
      </c>
      <c r="G174" s="383">
        <f t="shared" si="69"/>
        <v>365</v>
      </c>
      <c r="H174" s="383">
        <f t="shared" si="69"/>
        <v>365</v>
      </c>
      <c r="I174" s="383">
        <f t="shared" si="69"/>
        <v>365</v>
      </c>
      <c r="J174" s="383">
        <f t="shared" si="69"/>
        <v>366</v>
      </c>
      <c r="K174" s="383">
        <f t="shared" si="69"/>
        <v>365</v>
      </c>
      <c r="L174" s="383">
        <f t="shared" si="69"/>
        <v>365</v>
      </c>
      <c r="M174" s="383">
        <f t="shared" si="69"/>
        <v>365</v>
      </c>
      <c r="N174" s="383">
        <f t="shared" si="69"/>
        <v>366</v>
      </c>
      <c r="O174" s="383">
        <f t="shared" si="69"/>
        <v>365</v>
      </c>
      <c r="P174" s="383">
        <f t="shared" si="69"/>
        <v>365</v>
      </c>
      <c r="Q174" s="383">
        <f t="shared" si="69"/>
        <v>365</v>
      </c>
      <c r="R174" s="383">
        <f t="shared" si="69"/>
        <v>366</v>
      </c>
      <c r="S174" s="383">
        <f t="shared" si="69"/>
        <v>365</v>
      </c>
      <c r="T174" s="383">
        <f t="shared" si="69"/>
        <v>365</v>
      </c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</row>
    <row r="175" spans="1:121">
      <c r="A175" s="1441"/>
      <c r="B175" s="371" t="str">
        <f>Строительство!C53</f>
        <v>ИТОГО, затраты на строительство в период</v>
      </c>
      <c r="C175" s="384">
        <f>SUM(D175:DH175)</f>
        <v>11472203258.232403</v>
      </c>
      <c r="D175" s="383">
        <f>Строительство!G53</f>
        <v>160318184.82743448</v>
      </c>
      <c r="E175" s="383">
        <f>Строительство!H53</f>
        <v>3048205290.4576688</v>
      </c>
      <c r="F175" s="383">
        <f>Строительство!I53</f>
        <v>4225793278.3613796</v>
      </c>
      <c r="G175" s="383">
        <f>Строительство!J53</f>
        <v>3151161722.221488</v>
      </c>
      <c r="H175" s="376">
        <f>Строительство!K53</f>
        <v>886724782.36443377</v>
      </c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</row>
    <row r="176" spans="1:121">
      <c r="A176" s="1441"/>
      <c r="B176" s="371" t="str">
        <f>Строительство!C54</f>
        <v>ИТОГО, НДС к возмещению со сдвигом на 2 квартала</v>
      </c>
      <c r="C176" s="1439"/>
      <c r="D176" s="383">
        <f>Строительство!G54</f>
        <v>0</v>
      </c>
      <c r="E176" s="383">
        <f>Строительство!H54*0</f>
        <v>0</v>
      </c>
      <c r="F176" s="383">
        <f>Строительство!I54*0</f>
        <v>0</v>
      </c>
      <c r="G176" s="383">
        <f>Строительство!J54*0</f>
        <v>0</v>
      </c>
      <c r="H176" s="383">
        <f>Строительство!K54*0</f>
        <v>0</v>
      </c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</row>
    <row r="177" spans="1:121">
      <c r="B177" s="115" t="s">
        <v>174</v>
      </c>
      <c r="C177" s="384">
        <f>SUM(D177:DH177)</f>
        <v>-11472203258.232403</v>
      </c>
      <c r="D177" s="54">
        <f>-(D175-D176)</f>
        <v>-160318184.82743448</v>
      </c>
      <c r="E177" s="54">
        <f>-(E175-E176)</f>
        <v>-3048205290.4576688</v>
      </c>
      <c r="F177" s="54">
        <f>-(F175-F176)</f>
        <v>-4225793278.3613796</v>
      </c>
      <c r="G177" s="54">
        <f>-(G175-G176)</f>
        <v>-3151161722.221488</v>
      </c>
      <c r="H177" s="54">
        <f>-(H175-H176)</f>
        <v>-886724782.36443377</v>
      </c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</row>
    <row r="178" spans="1:121">
      <c r="A178" s="1440"/>
      <c r="B178" s="386" t="s">
        <v>55</v>
      </c>
      <c r="C178" s="387">
        <v>0.3</v>
      </c>
      <c r="D178" s="55">
        <f>IF(($C$178*D177)&gt;0,0,-$C$178*D175)-12222729</f>
        <v>-60318184.448230341</v>
      </c>
      <c r="E178" s="55">
        <f>IF(($C$178*E177)&gt;0,0,-$C$178*E175)+12359874</f>
        <v>-902101713.13730061</v>
      </c>
      <c r="F178" s="55">
        <f>IF(($C$178*F177)&gt;0,0,-$C$178*F175)</f>
        <v>-1267737983.5084138</v>
      </c>
      <c r="G178" s="55">
        <f>IF(($C$178*G177)&gt;0,0,-$C$178*G175)</f>
        <v>-945348516.66644633</v>
      </c>
      <c r="H178" s="55">
        <f>IF(($C$178*H177)&gt;0,0,-$C$178*H175)-2679426</f>
        <v>-268696860.70933008</v>
      </c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</row>
    <row r="179" spans="1:121">
      <c r="A179" s="1440"/>
      <c r="B179" s="386" t="s">
        <v>455</v>
      </c>
      <c r="C179" s="388">
        <f>1-C178</f>
        <v>0.7</v>
      </c>
      <c r="D179" s="55">
        <f>D177-D178</f>
        <v>-100000000.37920414</v>
      </c>
      <c r="E179" s="55">
        <f>E177-E178</f>
        <v>-2146103577.3203683</v>
      </c>
      <c r="F179" s="55">
        <f>F177-F178</f>
        <v>-2958055294.8529658</v>
      </c>
      <c r="G179" s="55">
        <f>G177-G178</f>
        <v>-2205813205.5550418</v>
      </c>
      <c r="H179" s="55">
        <f>H177-H178</f>
        <v>-618027921.65510368</v>
      </c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</row>
    <row r="180" spans="1:121">
      <c r="B180" s="371" t="s">
        <v>154</v>
      </c>
      <c r="C180" s="389">
        <f>SUM(D180:DH180)</f>
        <v>8027999999.7626839</v>
      </c>
      <c r="D180" s="376">
        <f>MAX(-D179,0)</f>
        <v>100000000.37920414</v>
      </c>
      <c r="E180" s="376">
        <f t="shared" ref="E180:N180" si="70">MAX(-E179,0)</f>
        <v>2146103577.3203683</v>
      </c>
      <c r="F180" s="376">
        <f t="shared" si="70"/>
        <v>2958055294.8529658</v>
      </c>
      <c r="G180" s="376">
        <f t="shared" si="70"/>
        <v>2205813205.5550418</v>
      </c>
      <c r="H180" s="376">
        <f t="shared" si="70"/>
        <v>618027921.65510368</v>
      </c>
      <c r="I180" s="376">
        <f t="shared" ref="I180:L180" si="71">MAX(-I179,0)</f>
        <v>0</v>
      </c>
      <c r="J180" s="376">
        <f t="shared" si="71"/>
        <v>0</v>
      </c>
      <c r="K180" s="376">
        <f t="shared" si="71"/>
        <v>0</v>
      </c>
      <c r="L180" s="376">
        <f t="shared" si="71"/>
        <v>0</v>
      </c>
      <c r="M180" s="376">
        <f t="shared" si="70"/>
        <v>0</v>
      </c>
      <c r="N180" s="376">
        <f t="shared" si="70"/>
        <v>0</v>
      </c>
      <c r="O180" s="376">
        <f t="shared" ref="O180:T180" si="72">MAX(-O179,0)</f>
        <v>0</v>
      </c>
      <c r="P180" s="376">
        <f t="shared" si="72"/>
        <v>0</v>
      </c>
      <c r="Q180" s="376">
        <f t="shared" si="72"/>
        <v>0</v>
      </c>
      <c r="R180" s="376">
        <f t="shared" si="72"/>
        <v>0</v>
      </c>
      <c r="S180" s="376">
        <f t="shared" si="72"/>
        <v>0</v>
      </c>
      <c r="T180" s="376">
        <f t="shared" si="72"/>
        <v>0</v>
      </c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</row>
    <row r="181" spans="1:121">
      <c r="B181" s="371" t="s">
        <v>456</v>
      </c>
      <c r="C181" s="66"/>
      <c r="D181" s="383"/>
      <c r="E181" s="376">
        <f>IF(E171&gt;$E$167,0,D187)</f>
        <v>100000000.37920414</v>
      </c>
      <c r="F181" s="376">
        <f t="shared" ref="F181:T181" si="73">IF(F171&gt;$E$167,0,E187)</f>
        <v>2246103577.6995726</v>
      </c>
      <c r="G181" s="376">
        <f t="shared" si="73"/>
        <v>5204158872.5525379</v>
      </c>
      <c r="H181" s="376">
        <f t="shared" si="73"/>
        <v>7409972078.1075802</v>
      </c>
      <c r="I181" s="376">
        <f t="shared" si="73"/>
        <v>6541699999.7626839</v>
      </c>
      <c r="J181" s="376">
        <f t="shared" si="73"/>
        <v>6336099999.7626839</v>
      </c>
      <c r="K181" s="376">
        <f t="shared" si="73"/>
        <v>5989699999.7626839</v>
      </c>
      <c r="L181" s="376">
        <f t="shared" si="73"/>
        <v>5514599999.7626839</v>
      </c>
      <c r="M181" s="376">
        <f t="shared" si="73"/>
        <v>4947399999.7626839</v>
      </c>
      <c r="N181" s="376">
        <f t="shared" si="73"/>
        <v>4317899999.7626839</v>
      </c>
      <c r="O181" s="376">
        <f t="shared" si="73"/>
        <v>3619299999.7626839</v>
      </c>
      <c r="P181" s="376">
        <f t="shared" si="73"/>
        <v>2864099999.7626839</v>
      </c>
      <c r="Q181" s="376">
        <f t="shared" si="73"/>
        <v>2082599999.7626839</v>
      </c>
      <c r="R181" s="376">
        <f t="shared" si="73"/>
        <v>1292799999.7626839</v>
      </c>
      <c r="S181" s="376">
        <f t="shared" si="73"/>
        <v>0</v>
      </c>
      <c r="T181" s="376">
        <f t="shared" si="73"/>
        <v>0</v>
      </c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</row>
    <row r="182" spans="1:121">
      <c r="B182" s="371" t="s">
        <v>155</v>
      </c>
      <c r="C182" s="66"/>
      <c r="D182" s="390">
        <f>D158</f>
        <v>0.04</v>
      </c>
      <c r="E182" s="391">
        <f>D182</f>
        <v>0.04</v>
      </c>
      <c r="F182" s="390">
        <f t="shared" ref="F182:T182" si="74">E182</f>
        <v>0.04</v>
      </c>
      <c r="G182" s="390">
        <f t="shared" si="74"/>
        <v>0.04</v>
      </c>
      <c r="H182" s="390">
        <f t="shared" si="74"/>
        <v>0.04</v>
      </c>
      <c r="I182" s="390">
        <f t="shared" si="74"/>
        <v>0.04</v>
      </c>
      <c r="J182" s="390">
        <f t="shared" si="74"/>
        <v>0.04</v>
      </c>
      <c r="K182" s="390">
        <f t="shared" si="74"/>
        <v>0.04</v>
      </c>
      <c r="L182" s="390">
        <f t="shared" si="74"/>
        <v>0.04</v>
      </c>
      <c r="M182" s="390">
        <f t="shared" si="74"/>
        <v>0.04</v>
      </c>
      <c r="N182" s="390">
        <f t="shared" si="74"/>
        <v>0.04</v>
      </c>
      <c r="O182" s="390">
        <f t="shared" si="74"/>
        <v>0.04</v>
      </c>
      <c r="P182" s="390">
        <f t="shared" si="74"/>
        <v>0.04</v>
      </c>
      <c r="Q182" s="390">
        <f t="shared" si="74"/>
        <v>0.04</v>
      </c>
      <c r="R182" s="390">
        <f t="shared" si="74"/>
        <v>0.04</v>
      </c>
      <c r="S182" s="390">
        <f t="shared" si="74"/>
        <v>0.04</v>
      </c>
      <c r="T182" s="390">
        <f t="shared" si="74"/>
        <v>0.04</v>
      </c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</row>
    <row r="183" spans="1:121">
      <c r="B183" s="371" t="s">
        <v>156</v>
      </c>
      <c r="C183" s="66">
        <f>SUM(D183:DH183)</f>
        <v>2338657381.0546288</v>
      </c>
      <c r="D183" s="376">
        <f t="shared" ref="D183:T183" si="75">D182*D181</f>
        <v>0</v>
      </c>
      <c r="E183" s="376">
        <f t="shared" si="75"/>
        <v>4000000.0151681658</v>
      </c>
      <c r="F183" s="376">
        <f t="shared" si="75"/>
        <v>89844143.107982904</v>
      </c>
      <c r="G183" s="376">
        <f t="shared" si="75"/>
        <v>208166354.90210152</v>
      </c>
      <c r="H183" s="376">
        <f t="shared" si="75"/>
        <v>296398883.12430322</v>
      </c>
      <c r="I183" s="383">
        <f t="shared" si="75"/>
        <v>261667999.99050736</v>
      </c>
      <c r="J183" s="383">
        <f t="shared" si="75"/>
        <v>253443999.99050736</v>
      </c>
      <c r="K183" s="376">
        <f t="shared" si="75"/>
        <v>239587999.99050736</v>
      </c>
      <c r="L183" s="383">
        <f t="shared" si="75"/>
        <v>220583999.99050736</v>
      </c>
      <c r="M183" s="383">
        <f t="shared" si="75"/>
        <v>197895999.99050736</v>
      </c>
      <c r="N183" s="376">
        <f t="shared" si="75"/>
        <v>172715999.99050736</v>
      </c>
      <c r="O183" s="383">
        <f t="shared" si="75"/>
        <v>144771999.99050736</v>
      </c>
      <c r="P183" s="383">
        <f t="shared" si="75"/>
        <v>114563999.99050736</v>
      </c>
      <c r="Q183" s="383">
        <f t="shared" si="75"/>
        <v>83303999.990507349</v>
      </c>
      <c r="R183" s="383">
        <f t="shared" si="75"/>
        <v>51711999.990507357</v>
      </c>
      <c r="S183" s="383">
        <f t="shared" si="75"/>
        <v>0</v>
      </c>
      <c r="T183" s="383">
        <f t="shared" si="75"/>
        <v>0</v>
      </c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</row>
    <row r="184" spans="1:121">
      <c r="B184" s="371" t="s">
        <v>157</v>
      </c>
      <c r="C184" s="66">
        <f>SUM(D184:DH184)</f>
        <v>8028000000</v>
      </c>
      <c r="D184" s="385"/>
      <c r="E184" s="385"/>
      <c r="F184" s="385"/>
      <c r="G184" s="385"/>
      <c r="H184" s="392">
        <f>289500000+1196800000</f>
        <v>1486300000</v>
      </c>
      <c r="I184" s="392">
        <v>205600000</v>
      </c>
      <c r="J184" s="392">
        <v>346400000</v>
      </c>
      <c r="K184" s="392">
        <v>475100000</v>
      </c>
      <c r="L184" s="392">
        <v>567200000</v>
      </c>
      <c r="M184" s="392">
        <v>629500000</v>
      </c>
      <c r="N184" s="392">
        <v>698600000</v>
      </c>
      <c r="O184" s="392">
        <v>755200000</v>
      </c>
      <c r="P184" s="392">
        <v>781500000</v>
      </c>
      <c r="Q184" s="392">
        <v>789800000</v>
      </c>
      <c r="R184" s="392">
        <v>787800000</v>
      </c>
      <c r="S184" s="392">
        <v>505000000</v>
      </c>
      <c r="T184" s="392">
        <f>IF(AND(OR(T171&gt;$E$166,T171=$E$166),T171&lt;=$E$167),$D$162,0)</f>
        <v>0</v>
      </c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</row>
    <row r="185" spans="1:121">
      <c r="B185" s="371" t="s">
        <v>457</v>
      </c>
      <c r="C185" s="66">
        <f>SUM(D185:DH185)</f>
        <v>10366657381.054628</v>
      </c>
      <c r="D185" s="383">
        <f t="shared" ref="D185:T185" si="76">D183+D184</f>
        <v>0</v>
      </c>
      <c r="E185" s="383">
        <f t="shared" si="76"/>
        <v>4000000.0151681658</v>
      </c>
      <c r="F185" s="383">
        <f t="shared" si="76"/>
        <v>89844143.107982904</v>
      </c>
      <c r="G185" s="383">
        <f t="shared" si="76"/>
        <v>208166354.90210152</v>
      </c>
      <c r="H185" s="383">
        <f t="shared" si="76"/>
        <v>1782698883.1243033</v>
      </c>
      <c r="I185" s="383">
        <f t="shared" si="76"/>
        <v>467267999.99050736</v>
      </c>
      <c r="J185" s="383">
        <f t="shared" si="76"/>
        <v>599843999.99050736</v>
      </c>
      <c r="K185" s="383">
        <f t="shared" si="76"/>
        <v>714687999.99050736</v>
      </c>
      <c r="L185" s="383">
        <f t="shared" si="76"/>
        <v>787783999.99050736</v>
      </c>
      <c r="M185" s="383">
        <f t="shared" si="76"/>
        <v>827395999.99050736</v>
      </c>
      <c r="N185" s="383">
        <f t="shared" si="76"/>
        <v>871315999.99050736</v>
      </c>
      <c r="O185" s="383">
        <f t="shared" si="76"/>
        <v>899971999.99050736</v>
      </c>
      <c r="P185" s="383">
        <f t="shared" si="76"/>
        <v>896063999.99050736</v>
      </c>
      <c r="Q185" s="383">
        <f t="shared" si="76"/>
        <v>873103999.99050736</v>
      </c>
      <c r="R185" s="383">
        <f t="shared" si="76"/>
        <v>839511999.99050736</v>
      </c>
      <c r="S185" s="383">
        <f t="shared" si="76"/>
        <v>505000000</v>
      </c>
      <c r="T185" s="383">
        <f t="shared" si="76"/>
        <v>0</v>
      </c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</row>
    <row r="186" spans="1:121">
      <c r="A186" s="1324" t="s">
        <v>925</v>
      </c>
      <c r="B186" s="371" t="s">
        <v>924</v>
      </c>
      <c r="C186" s="66">
        <f>SUM(D186:DH186)</f>
        <v>0</v>
      </c>
      <c r="D186" s="385"/>
      <c r="E186" s="385"/>
      <c r="F186" s="385"/>
      <c r="G186" s="1826"/>
      <c r="H186" s="1826"/>
      <c r="I186" s="1325"/>
      <c r="J186" s="1325"/>
      <c r="K186" s="1325"/>
      <c r="L186" s="1325"/>
      <c r="M186" s="1325"/>
      <c r="N186" s="1325"/>
      <c r="O186" s="1325"/>
      <c r="P186" s="1325"/>
      <c r="Q186" s="1325"/>
      <c r="R186" s="1325"/>
      <c r="S186" s="383"/>
      <c r="T186" s="383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</row>
    <row r="187" spans="1:121">
      <c r="B187" s="371" t="s">
        <v>458</v>
      </c>
      <c r="C187" s="56"/>
      <c r="D187" s="376">
        <f t="shared" ref="D187:P187" si="77">IF(D173&lt;=$D$167,C187+D180-D184,0)</f>
        <v>100000000.37920414</v>
      </c>
      <c r="E187" s="376">
        <f t="shared" si="77"/>
        <v>2246103577.6995726</v>
      </c>
      <c r="F187" s="376">
        <f t="shared" si="77"/>
        <v>5204158872.5525379</v>
      </c>
      <c r="G187" s="376">
        <f>IF(G173&lt;=$D$167,F187+G180-G184,0)</f>
        <v>7409972078.1075802</v>
      </c>
      <c r="H187" s="376">
        <f t="shared" si="77"/>
        <v>6541699999.7626839</v>
      </c>
      <c r="I187" s="376">
        <f t="shared" si="77"/>
        <v>6336099999.7626839</v>
      </c>
      <c r="J187" s="376">
        <f t="shared" si="77"/>
        <v>5989699999.7626839</v>
      </c>
      <c r="K187" s="376">
        <f t="shared" si="77"/>
        <v>5514599999.7626839</v>
      </c>
      <c r="L187" s="376">
        <f t="shared" si="77"/>
        <v>4947399999.7626839</v>
      </c>
      <c r="M187" s="376">
        <f t="shared" si="77"/>
        <v>4317899999.7626839</v>
      </c>
      <c r="N187" s="376">
        <f t="shared" si="77"/>
        <v>3619299999.7626839</v>
      </c>
      <c r="O187" s="376">
        <f t="shared" si="77"/>
        <v>2864099999.7626839</v>
      </c>
      <c r="P187" s="376">
        <f t="shared" si="77"/>
        <v>2082599999.7626839</v>
      </c>
      <c r="Q187" s="376">
        <f>IF(Q173&lt;=$D$167,P187+Q180-Q184,0)</f>
        <v>1292799999.7626839</v>
      </c>
      <c r="R187" s="376">
        <f>IF(R173&lt;=$D$167,Q187+R180-R184,0)</f>
        <v>504999999.76268387</v>
      </c>
      <c r="S187" s="376">
        <f>IF(S173&lt;=$D$167,R187+S180-S184,0)</f>
        <v>0</v>
      </c>
      <c r="T187" s="376">
        <f>IF(T173&lt;=$D$167,S187+T180-T184,0)</f>
        <v>0</v>
      </c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</row>
    <row r="188" spans="1:121">
      <c r="C188" s="269" t="b">
        <f>ROUND(C180,0)=ROUND(C184,0)</f>
        <v>1</v>
      </c>
      <c r="G188" s="1826">
        <v>0</v>
      </c>
      <c r="H188" s="1826">
        <v>0</v>
      </c>
    </row>
    <row r="189" spans="1:121">
      <c r="C189" s="269"/>
    </row>
    <row r="190" spans="1:121" s="352" customFormat="1" collapsed="1">
      <c r="A190" s="1326"/>
      <c r="B190" s="61" t="str">
        <f>B46</f>
        <v>FCFE</v>
      </c>
      <c r="C190" s="1427" t="s">
        <v>1010</v>
      </c>
      <c r="D190" s="57"/>
      <c r="E190" s="57"/>
      <c r="F190" s="57"/>
      <c r="G190" s="57">
        <f t="shared" ref="G190:T190" si="78">G46</f>
        <v>-344933432.98920155</v>
      </c>
      <c r="H190" s="57">
        <f t="shared" si="78"/>
        <v>-139173362.48799789</v>
      </c>
      <c r="I190" s="57">
        <f t="shared" si="78"/>
        <v>1898022990.8347418</v>
      </c>
      <c r="J190" s="57">
        <f t="shared" si="78"/>
        <v>1497689184.2930298</v>
      </c>
      <c r="K190" s="57">
        <f t="shared" si="78"/>
        <v>181530409.9137789</v>
      </c>
      <c r="L190" s="57">
        <f t="shared" si="78"/>
        <v>183720072.20772529</v>
      </c>
      <c r="M190" s="57">
        <f t="shared" si="78"/>
        <v>168635734.28160393</v>
      </c>
      <c r="N190" s="57">
        <f t="shared" si="78"/>
        <v>161699502.91468894</v>
      </c>
      <c r="O190" s="57">
        <f t="shared" si="78"/>
        <v>165627668.3804481</v>
      </c>
      <c r="P190" s="57">
        <f t="shared" si="78"/>
        <v>206077928.98923087</v>
      </c>
      <c r="Q190" s="57">
        <f t="shared" si="78"/>
        <v>234414288.97543502</v>
      </c>
      <c r="R190" s="57">
        <f t="shared" si="78"/>
        <v>258215791.04613853</v>
      </c>
      <c r="S190" s="57">
        <f t="shared" si="78"/>
        <v>632102406.39428473</v>
      </c>
      <c r="T190" s="57">
        <f t="shared" si="78"/>
        <v>0</v>
      </c>
    </row>
    <row r="192" spans="1:121">
      <c r="B192" s="98" t="s">
        <v>459</v>
      </c>
    </row>
    <row r="193" spans="2:20">
      <c r="B193" s="393"/>
      <c r="C193" s="393"/>
      <c r="D193" s="394">
        <f t="shared" ref="D193:T193" si="79">D5</f>
        <v>2022</v>
      </c>
      <c r="E193" s="394">
        <f t="shared" si="79"/>
        <v>2023</v>
      </c>
      <c r="F193" s="394">
        <f t="shared" si="79"/>
        <v>2024</v>
      </c>
      <c r="G193" s="394">
        <f t="shared" si="79"/>
        <v>2025</v>
      </c>
      <c r="H193" s="394">
        <f t="shared" si="79"/>
        <v>2026</v>
      </c>
      <c r="I193" s="394">
        <f t="shared" si="79"/>
        <v>2027</v>
      </c>
      <c r="J193" s="394">
        <f t="shared" si="79"/>
        <v>2028</v>
      </c>
      <c r="K193" s="394">
        <f t="shared" si="79"/>
        <v>2029</v>
      </c>
      <c r="L193" s="394">
        <f t="shared" si="79"/>
        <v>2030</v>
      </c>
      <c r="M193" s="394">
        <f t="shared" si="79"/>
        <v>2031</v>
      </c>
      <c r="N193" s="394">
        <f t="shared" si="79"/>
        <v>2032</v>
      </c>
      <c r="O193" s="394">
        <f t="shared" si="79"/>
        <v>2033</v>
      </c>
      <c r="P193" s="394">
        <f t="shared" si="79"/>
        <v>2034</v>
      </c>
      <c r="Q193" s="394">
        <f t="shared" si="79"/>
        <v>2035</v>
      </c>
      <c r="R193" s="394">
        <f t="shared" si="79"/>
        <v>2036</v>
      </c>
      <c r="S193" s="394">
        <f t="shared" si="79"/>
        <v>2037</v>
      </c>
      <c r="T193" s="394">
        <f t="shared" si="79"/>
        <v>2038</v>
      </c>
    </row>
    <row r="194" spans="2:20">
      <c r="B194" s="395" t="s">
        <v>460</v>
      </c>
      <c r="C194" s="396"/>
      <c r="D194" s="1322">
        <f t="shared" ref="D194:T194" si="80">D35</f>
        <v>0</v>
      </c>
      <c r="E194" s="1322">
        <f t="shared" si="80"/>
        <v>0</v>
      </c>
      <c r="F194" s="1322">
        <f t="shared" si="80"/>
        <v>0</v>
      </c>
      <c r="G194" s="1322">
        <f t="shared" si="80"/>
        <v>104282558.85244972</v>
      </c>
      <c r="H194" s="1322">
        <f t="shared" si="80"/>
        <v>1387028760.9753873</v>
      </c>
      <c r="I194" s="1322">
        <f t="shared" si="80"/>
        <v>2217503527.0978436</v>
      </c>
      <c r="J194" s="1322">
        <f t="shared" si="80"/>
        <v>2097533184.2835371</v>
      </c>
      <c r="K194" s="1322">
        <f t="shared" si="80"/>
        <v>896218409.90428627</v>
      </c>
      <c r="L194" s="1322">
        <f t="shared" si="80"/>
        <v>971504072.19823265</v>
      </c>
      <c r="M194" s="1322">
        <f t="shared" si="80"/>
        <v>996031734.2721113</v>
      </c>
      <c r="N194" s="1322">
        <f t="shared" si="80"/>
        <v>1033015502.9051963</v>
      </c>
      <c r="O194" s="1322">
        <f t="shared" si="80"/>
        <v>1065599668.3709555</v>
      </c>
      <c r="P194" s="1322">
        <f t="shared" si="80"/>
        <v>1102141928.9797382</v>
      </c>
      <c r="Q194" s="1322">
        <f t="shared" si="80"/>
        <v>1107518288.9659424</v>
      </c>
      <c r="R194" s="1322">
        <f t="shared" si="80"/>
        <v>1097727791.0366459</v>
      </c>
      <c r="S194" s="1322">
        <f t="shared" si="80"/>
        <v>1137102406.3942847</v>
      </c>
      <c r="T194" s="1322">
        <f t="shared" si="80"/>
        <v>1189388887.6333203</v>
      </c>
    </row>
    <row r="195" spans="2:20">
      <c r="B195" s="395" t="s">
        <v>461</v>
      </c>
      <c r="C195" s="396"/>
      <c r="D195" s="397">
        <f t="shared" ref="D195:T195" si="81">-D45</f>
        <v>0</v>
      </c>
      <c r="E195" s="397">
        <f t="shared" si="81"/>
        <v>0</v>
      </c>
      <c r="F195" s="397">
        <f t="shared" si="81"/>
        <v>0</v>
      </c>
      <c r="G195" s="397">
        <f t="shared" si="81"/>
        <v>0</v>
      </c>
      <c r="H195" s="1322">
        <f t="shared" si="81"/>
        <v>1486300000</v>
      </c>
      <c r="I195" s="397">
        <f t="shared" si="81"/>
        <v>205600000</v>
      </c>
      <c r="J195" s="397">
        <f t="shared" si="81"/>
        <v>346400000</v>
      </c>
      <c r="K195" s="397">
        <f t="shared" si="81"/>
        <v>475100000</v>
      </c>
      <c r="L195" s="397">
        <f t="shared" si="81"/>
        <v>567200000</v>
      </c>
      <c r="M195" s="397">
        <f t="shared" si="81"/>
        <v>629500000</v>
      </c>
      <c r="N195" s="397">
        <f t="shared" si="81"/>
        <v>698600000</v>
      </c>
      <c r="O195" s="397">
        <f t="shared" si="81"/>
        <v>755200000</v>
      </c>
      <c r="P195" s="397">
        <f t="shared" si="81"/>
        <v>781500000</v>
      </c>
      <c r="Q195" s="397">
        <f t="shared" si="81"/>
        <v>789800000</v>
      </c>
      <c r="R195" s="397">
        <f t="shared" si="81"/>
        <v>787800000</v>
      </c>
      <c r="S195" s="397">
        <f t="shared" si="81"/>
        <v>505000000</v>
      </c>
      <c r="T195" s="397">
        <f t="shared" si="81"/>
        <v>0</v>
      </c>
    </row>
    <row r="196" spans="2:20">
      <c r="B196" s="395" t="s">
        <v>462</v>
      </c>
      <c r="C196" s="396"/>
      <c r="D196" s="397">
        <f t="shared" ref="D196:T196" si="82">-D44</f>
        <v>0</v>
      </c>
      <c r="E196" s="397">
        <f t="shared" si="82"/>
        <v>4000000.0151681658</v>
      </c>
      <c r="F196" s="397">
        <f t="shared" si="82"/>
        <v>89844143.107982904</v>
      </c>
      <c r="G196" s="397">
        <f t="shared" si="82"/>
        <v>208166354.90210152</v>
      </c>
      <c r="H196" s="1322">
        <f t="shared" si="82"/>
        <v>296398883.12430322</v>
      </c>
      <c r="I196" s="397">
        <f t="shared" si="82"/>
        <v>261667999.99050736</v>
      </c>
      <c r="J196" s="397">
        <f t="shared" si="82"/>
        <v>253443999.99050736</v>
      </c>
      <c r="K196" s="397">
        <f t="shared" si="82"/>
        <v>239587999.99050736</v>
      </c>
      <c r="L196" s="397">
        <f t="shared" si="82"/>
        <v>220583999.99050736</v>
      </c>
      <c r="M196" s="397">
        <f t="shared" si="82"/>
        <v>197895999.99050736</v>
      </c>
      <c r="N196" s="397">
        <f t="shared" si="82"/>
        <v>172715999.99050736</v>
      </c>
      <c r="O196" s="397">
        <f t="shared" si="82"/>
        <v>144771999.99050736</v>
      </c>
      <c r="P196" s="397">
        <f t="shared" si="82"/>
        <v>114563999.99050736</v>
      </c>
      <c r="Q196" s="397">
        <f t="shared" si="82"/>
        <v>83303999.990507349</v>
      </c>
      <c r="R196" s="397">
        <f t="shared" si="82"/>
        <v>51711999.990507357</v>
      </c>
      <c r="S196" s="397">
        <f t="shared" si="82"/>
        <v>0</v>
      </c>
      <c r="T196" s="397">
        <f t="shared" si="82"/>
        <v>0</v>
      </c>
    </row>
    <row r="197" spans="2:20" s="401" customFormat="1">
      <c r="B197" s="398" t="s">
        <v>463</v>
      </c>
      <c r="C197" s="399">
        <f>AVERAGEIF(D196:T196,"&gt;0",D197:T197)</f>
        <v>1.3848693002841845</v>
      </c>
      <c r="D197" s="400">
        <f>IFERROR(D194/(D195+D196),0)</f>
        <v>0</v>
      </c>
      <c r="E197" s="400">
        <f t="shared" ref="E197:T197" si="83">IFERROR(E194/(E195+E196),0)</f>
        <v>0</v>
      </c>
      <c r="F197" s="400">
        <f t="shared" si="83"/>
        <v>0</v>
      </c>
      <c r="G197" s="400">
        <f t="shared" si="83"/>
        <v>0.50095779839875043</v>
      </c>
      <c r="H197" s="400">
        <f t="shared" si="83"/>
        <v>0.77804994107839642</v>
      </c>
      <c r="I197" s="400">
        <f t="shared" si="83"/>
        <v>4.7456781272051431</v>
      </c>
      <c r="J197" s="400">
        <f t="shared" si="83"/>
        <v>3.4967978079579543</v>
      </c>
      <c r="K197" s="400">
        <f t="shared" si="83"/>
        <v>1.2539995213522404</v>
      </c>
      <c r="L197" s="400">
        <f t="shared" si="83"/>
        <v>1.233211225678535</v>
      </c>
      <c r="M197" s="400">
        <f t="shared" si="83"/>
        <v>1.2038150224119268</v>
      </c>
      <c r="N197" s="400">
        <f t="shared" si="83"/>
        <v>1.1855807800114431</v>
      </c>
      <c r="O197" s="400">
        <f t="shared" si="83"/>
        <v>1.1840364682258948</v>
      </c>
      <c r="P197" s="400">
        <f t="shared" si="83"/>
        <v>1.2299812613735337</v>
      </c>
      <c r="Q197" s="400">
        <f t="shared" si="83"/>
        <v>1.2684838106090266</v>
      </c>
      <c r="R197" s="400">
        <f t="shared" si="83"/>
        <v>1.3075784396757382</v>
      </c>
      <c r="S197" s="400">
        <f t="shared" si="83"/>
        <v>2.2516879334540292</v>
      </c>
      <c r="T197" s="400">
        <f t="shared" si="83"/>
        <v>0</v>
      </c>
    </row>
    <row r="202" spans="2:20">
      <c r="B202" s="1440"/>
      <c r="C202" s="1440"/>
      <c r="E202" s="39"/>
    </row>
    <row r="203" spans="2:20">
      <c r="C203" s="1440"/>
      <c r="E203" s="39"/>
    </row>
    <row r="204" spans="2:20">
      <c r="C204" s="1440"/>
    </row>
    <row r="205" spans="2:20">
      <c r="D205" s="1442"/>
      <c r="E205" s="39"/>
    </row>
    <row r="206" spans="2:20">
      <c r="C206" s="1441"/>
      <c r="E206" s="39"/>
    </row>
    <row r="207" spans="2:20">
      <c r="C207" s="1441"/>
      <c r="D207" s="1442"/>
      <c r="E207" s="39"/>
    </row>
    <row r="211" spans="5:5">
      <c r="E211" s="39"/>
    </row>
  </sheetData>
  <conditionalFormatting sqref="T51 G62:S62 D51:S61 G41:S41 E85:T85 G37:T37 G25:S26 E79:R80 E75:R76 T75:T76 T79:T80 D25:F25 D45:F45 T45 G36:S36 G39:T39 T11:T12 D15:T16 D27:T28 D34:S34 D32 T14 D71:S72 D105:G105 G104:T106 G43:S45">
    <cfRule type="cellIs" dxfId="1685" priority="493" operator="lessThan">
      <formula>0</formula>
    </cfRule>
  </conditionalFormatting>
  <conditionalFormatting sqref="C51:C65 C75:C76 T51 C79:C80 D70:T70 E85:T85 C17 C19:C22 C36:C37 C28:C33 C16:T16 F66:S66 D77:R77 E79:R80 E75:R76 T73:T84 D24:T24 D37:T37 C39:T39 D41:T41 D10:T12 D25:S26 D27:T28 D34:S36 D32 D14:T15 D71:S72 C104:C112 C97:C99 D104:T106 C121 D51:S63 C67:T69 D73:R74 C85 D63:T63 C145:C147 D43:T45 T46 D49:T49 D81:R82 K83:S84">
    <cfRule type="cellIs" dxfId="1684" priority="492" operator="equal">
      <formula>0</formula>
    </cfRule>
  </conditionalFormatting>
  <conditionalFormatting sqref="B3:C4">
    <cfRule type="cellIs" dxfId="1683" priority="491" operator="notEqual">
      <formula>1</formula>
    </cfRule>
  </conditionalFormatting>
  <conditionalFormatting sqref="C73:C74">
    <cfRule type="cellIs" dxfId="1682" priority="469" operator="equal">
      <formula>0</formula>
    </cfRule>
  </conditionalFormatting>
  <conditionalFormatting sqref="F66:S66 D77:R77 E79:R80 E75:R76 E85:T85 T73:T84 D24:T24 D37:T37 D39:T39 D41:T41 D10:T12 D25:S26 D27:T28 D34:S36 D32 D14:T16 D104:T106 D67:T72 D73:R74 D51:T63 D43:T45 T46 D49:T49 D81:R82 K83:S84">
    <cfRule type="cellIs" dxfId="1681" priority="490" operator="equal">
      <formula>0</formula>
    </cfRule>
  </conditionalFormatting>
  <conditionalFormatting sqref="C41">
    <cfRule type="cellIs" dxfId="1680" priority="489" operator="equal">
      <formula>0</formula>
    </cfRule>
  </conditionalFormatting>
  <conditionalFormatting sqref="T52">
    <cfRule type="expression" dxfId="1679" priority="486">
      <formula>$A$1=1</formula>
    </cfRule>
  </conditionalFormatting>
  <conditionalFormatting sqref="T54">
    <cfRule type="expression" dxfId="1678" priority="485">
      <formula>$A$1=1</formula>
    </cfRule>
  </conditionalFormatting>
  <conditionalFormatting sqref="T53">
    <cfRule type="cellIs" dxfId="1677" priority="484" operator="lessThan">
      <formula>0</formula>
    </cfRule>
  </conditionalFormatting>
  <conditionalFormatting sqref="T53">
    <cfRule type="cellIs" dxfId="1676" priority="483" operator="equal">
      <formula>0</formula>
    </cfRule>
  </conditionalFormatting>
  <conditionalFormatting sqref="T53">
    <cfRule type="cellIs" dxfId="1675" priority="482" operator="equal">
      <formula>0</formula>
    </cfRule>
  </conditionalFormatting>
  <conditionalFormatting sqref="T55">
    <cfRule type="cellIs" dxfId="1674" priority="481" operator="lessThan">
      <formula>0</formula>
    </cfRule>
  </conditionalFormatting>
  <conditionalFormatting sqref="T55">
    <cfRule type="cellIs" dxfId="1673" priority="480" operator="equal">
      <formula>0</formula>
    </cfRule>
  </conditionalFormatting>
  <conditionalFormatting sqref="T55">
    <cfRule type="cellIs" dxfId="1672" priority="479" operator="equal">
      <formula>0</formula>
    </cfRule>
  </conditionalFormatting>
  <conditionalFormatting sqref="T56:T57 T59:T62">
    <cfRule type="cellIs" dxfId="1671" priority="478" operator="lessThan">
      <formula>0</formula>
    </cfRule>
  </conditionalFormatting>
  <conditionalFormatting sqref="T56:T57 T59:T62">
    <cfRule type="cellIs" dxfId="1670" priority="477" operator="equal">
      <formula>0</formula>
    </cfRule>
  </conditionalFormatting>
  <conditionalFormatting sqref="T56:T57 T59:T62">
    <cfRule type="cellIs" dxfId="1669" priority="476" operator="equal">
      <formula>0</formula>
    </cfRule>
  </conditionalFormatting>
  <conditionalFormatting sqref="T58">
    <cfRule type="expression" dxfId="1668" priority="475">
      <formula>$A$1=1</formula>
    </cfRule>
  </conditionalFormatting>
  <conditionalFormatting sqref="C70">
    <cfRule type="cellIs" dxfId="1667" priority="474" operator="equal">
      <formula>0</formula>
    </cfRule>
  </conditionalFormatting>
  <conditionalFormatting sqref="C71:C72">
    <cfRule type="cellIs" dxfId="1666" priority="473" operator="equal">
      <formula>0</formula>
    </cfRule>
  </conditionalFormatting>
  <conditionalFormatting sqref="T71:T72">
    <cfRule type="cellIs" dxfId="1665" priority="472" operator="lessThan">
      <formula>0</formula>
    </cfRule>
  </conditionalFormatting>
  <conditionalFormatting sqref="T71:T72">
    <cfRule type="cellIs" dxfId="1664" priority="471" operator="equal">
      <formula>0</formula>
    </cfRule>
  </conditionalFormatting>
  <conditionalFormatting sqref="T71:T72">
    <cfRule type="cellIs" dxfId="1663" priority="470" operator="equal">
      <formula>0</formula>
    </cfRule>
  </conditionalFormatting>
  <conditionalFormatting sqref="C77:C78">
    <cfRule type="cellIs" dxfId="1662" priority="468" operator="equal">
      <formula>0</formula>
    </cfRule>
  </conditionalFormatting>
  <conditionalFormatting sqref="D65">
    <cfRule type="expression" dxfId="1661" priority="467">
      <formula>$A$1=1</formula>
    </cfRule>
  </conditionalFormatting>
  <conditionalFormatting sqref="D65">
    <cfRule type="cellIs" dxfId="1660" priority="466" operator="equal">
      <formula>0</formula>
    </cfRule>
  </conditionalFormatting>
  <conditionalFormatting sqref="C66">
    <cfRule type="cellIs" dxfId="1659" priority="465" operator="equal">
      <formula>0</formula>
    </cfRule>
  </conditionalFormatting>
  <conditionalFormatting sqref="D66">
    <cfRule type="expression" dxfId="1658" priority="464">
      <formula>$A$1=1</formula>
    </cfRule>
  </conditionalFormatting>
  <conditionalFormatting sqref="E66">
    <cfRule type="expression" dxfId="1657" priority="463">
      <formula>$A$1=1</formula>
    </cfRule>
  </conditionalFormatting>
  <conditionalFormatting sqref="T66">
    <cfRule type="expression" dxfId="1656" priority="462">
      <formula>$A$1=1</formula>
    </cfRule>
  </conditionalFormatting>
  <conditionalFormatting sqref="C91:C94 C96:C97">
    <cfRule type="cellIs" dxfId="1655" priority="456" operator="equal">
      <formula>0</formula>
    </cfRule>
  </conditionalFormatting>
  <conditionalFormatting sqref="T41 T43:T44">
    <cfRule type="cellIs" dxfId="1654" priority="459" operator="lessThan">
      <formula>0</formula>
    </cfRule>
  </conditionalFormatting>
  <conditionalFormatting sqref="T41 T43:T44">
    <cfRule type="cellIs" dxfId="1653" priority="458" operator="equal">
      <formula>0</formula>
    </cfRule>
  </conditionalFormatting>
  <conditionalFormatting sqref="D75:D76">
    <cfRule type="cellIs" dxfId="1652" priority="453" operator="equal">
      <formula>0</formula>
    </cfRule>
  </conditionalFormatting>
  <conditionalFormatting sqref="D75:D76">
    <cfRule type="cellIs" dxfId="1651" priority="448" operator="lessThan">
      <formula>0</formula>
    </cfRule>
  </conditionalFormatting>
  <conditionalFormatting sqref="D75:D76">
    <cfRule type="cellIs" dxfId="1650" priority="445" operator="lessThan">
      <formula>0</formula>
    </cfRule>
  </conditionalFormatting>
  <conditionalFormatting sqref="D75:D76">
    <cfRule type="cellIs" dxfId="1649" priority="455" operator="equal">
      <formula>0</formula>
    </cfRule>
  </conditionalFormatting>
  <conditionalFormatting sqref="D75:D76">
    <cfRule type="cellIs" dxfId="1648" priority="454" operator="lessThan">
      <formula>0</formula>
    </cfRule>
  </conditionalFormatting>
  <conditionalFormatting sqref="D75:D76">
    <cfRule type="cellIs" dxfId="1647" priority="452" operator="equal">
      <formula>0</formula>
    </cfRule>
  </conditionalFormatting>
  <conditionalFormatting sqref="D75:D76">
    <cfRule type="cellIs" dxfId="1646" priority="451" operator="lessThan">
      <formula>0</formula>
    </cfRule>
  </conditionalFormatting>
  <conditionalFormatting sqref="D75:D76">
    <cfRule type="cellIs" dxfId="1645" priority="450" operator="equal">
      <formula>0</formula>
    </cfRule>
  </conditionalFormatting>
  <conditionalFormatting sqref="D75:D76">
    <cfRule type="cellIs" dxfId="1644" priority="449" operator="equal">
      <formula>0</formula>
    </cfRule>
  </conditionalFormatting>
  <conditionalFormatting sqref="D75:D76">
    <cfRule type="cellIs" dxfId="1643" priority="447" operator="equal">
      <formula>0</formula>
    </cfRule>
  </conditionalFormatting>
  <conditionalFormatting sqref="D75:D76">
    <cfRule type="cellIs" dxfId="1642" priority="446" operator="equal">
      <formula>0</formula>
    </cfRule>
  </conditionalFormatting>
  <conditionalFormatting sqref="D75:D76">
    <cfRule type="cellIs" dxfId="1641" priority="444" operator="equal">
      <formula>0</formula>
    </cfRule>
  </conditionalFormatting>
  <conditionalFormatting sqref="D75:D76">
    <cfRule type="cellIs" dxfId="1640" priority="443" operator="equal">
      <formula>0</formula>
    </cfRule>
  </conditionalFormatting>
  <conditionalFormatting sqref="D9:T9">
    <cfRule type="cellIs" dxfId="1639" priority="440" operator="lessThan">
      <formula>0</formula>
    </cfRule>
  </conditionalFormatting>
  <conditionalFormatting sqref="C9:T9">
    <cfRule type="cellIs" dxfId="1638" priority="439" operator="equal">
      <formula>0</formula>
    </cfRule>
  </conditionalFormatting>
  <conditionalFormatting sqref="D9:T9">
    <cfRule type="cellIs" dxfId="1637" priority="438" operator="equal">
      <formula>0</formula>
    </cfRule>
  </conditionalFormatting>
  <conditionalFormatting sqref="C122">
    <cfRule type="cellIs" dxfId="1636" priority="421" operator="equal">
      <formula>0</formula>
    </cfRule>
  </conditionalFormatting>
  <conditionalFormatting sqref="C18">
    <cfRule type="cellIs" dxfId="1635" priority="436" operator="equal">
      <formula>0</formula>
    </cfRule>
  </conditionalFormatting>
  <conditionalFormatting sqref="E127:S128 E135:T136 E131:T132 T137">
    <cfRule type="cellIs" dxfId="1634" priority="435" operator="lessThan">
      <formula>0</formula>
    </cfRule>
  </conditionalFormatting>
  <conditionalFormatting sqref="C131:C132 C135:C137 T129:T138 F122:S122 E131:S132 E127:S128 D126:T126 C123:T125 D129:S130 D133:R134 E135:S136 D137:R138">
    <cfRule type="cellIs" dxfId="1633" priority="434" operator="equal">
      <formula>0</formula>
    </cfRule>
  </conditionalFormatting>
  <conditionalFormatting sqref="F122:S122 E131:S132 E127:S128 D126:S126 T126:T138 D123:T125 D129:S130 D133:R134 E135:S136 D137:R138">
    <cfRule type="cellIs" dxfId="1632" priority="433" operator="equal">
      <formula>0</formula>
    </cfRule>
  </conditionalFormatting>
  <conditionalFormatting sqref="C126">
    <cfRule type="cellIs" dxfId="1631" priority="430" operator="equal">
      <formula>0</formula>
    </cfRule>
  </conditionalFormatting>
  <conditionalFormatting sqref="C127:C128">
    <cfRule type="cellIs" dxfId="1630" priority="429" operator="equal">
      <formula>0</formula>
    </cfRule>
  </conditionalFormatting>
  <conditionalFormatting sqref="T127:T128">
    <cfRule type="cellIs" dxfId="1629" priority="428" operator="lessThan">
      <formula>0</formula>
    </cfRule>
  </conditionalFormatting>
  <conditionalFormatting sqref="T127:T128">
    <cfRule type="cellIs" dxfId="1628" priority="427" operator="equal">
      <formula>0</formula>
    </cfRule>
  </conditionalFormatting>
  <conditionalFormatting sqref="T127:T128">
    <cfRule type="cellIs" dxfId="1627" priority="426" operator="equal">
      <formula>0</formula>
    </cfRule>
  </conditionalFormatting>
  <conditionalFormatting sqref="C129:C130">
    <cfRule type="cellIs" dxfId="1626" priority="425" operator="equal">
      <formula>0</formula>
    </cfRule>
  </conditionalFormatting>
  <conditionalFormatting sqref="C133:C134">
    <cfRule type="cellIs" dxfId="1625" priority="424" operator="equal">
      <formula>0</formula>
    </cfRule>
  </conditionalFormatting>
  <conditionalFormatting sqref="D121">
    <cfRule type="expression" dxfId="1624" priority="423">
      <formula>$A$1=1</formula>
    </cfRule>
  </conditionalFormatting>
  <conditionalFormatting sqref="D121">
    <cfRule type="cellIs" dxfId="1623" priority="422" operator="equal">
      <formula>0</formula>
    </cfRule>
  </conditionalFormatting>
  <conditionalFormatting sqref="T122">
    <cfRule type="expression" dxfId="1622" priority="420">
      <formula>$A$1=1</formula>
    </cfRule>
  </conditionalFormatting>
  <conditionalFormatting sqref="C138">
    <cfRule type="cellIs" dxfId="1621" priority="419" operator="equal">
      <formula>0</formula>
    </cfRule>
  </conditionalFormatting>
  <conditionalFormatting sqref="D135:D136">
    <cfRule type="cellIs" dxfId="1620" priority="394" operator="lessThan">
      <formula>0</formula>
    </cfRule>
  </conditionalFormatting>
  <conditionalFormatting sqref="D135:D136">
    <cfRule type="cellIs" dxfId="1619" priority="391" operator="lessThan">
      <formula>0</formula>
    </cfRule>
  </conditionalFormatting>
  <conditionalFormatting sqref="D135:D136">
    <cfRule type="cellIs" dxfId="1618" priority="401" operator="equal">
      <formula>0</formula>
    </cfRule>
  </conditionalFormatting>
  <conditionalFormatting sqref="D135:D136">
    <cfRule type="cellIs" dxfId="1617" priority="400" operator="lessThan">
      <formula>0</formula>
    </cfRule>
  </conditionalFormatting>
  <conditionalFormatting sqref="D135:D136">
    <cfRule type="cellIs" dxfId="1616" priority="399" operator="equal">
      <formula>0</formula>
    </cfRule>
  </conditionalFormatting>
  <conditionalFormatting sqref="D135:D136">
    <cfRule type="cellIs" dxfId="1615" priority="398" operator="equal">
      <formula>0</formula>
    </cfRule>
  </conditionalFormatting>
  <conditionalFormatting sqref="D135:D136">
    <cfRule type="cellIs" dxfId="1614" priority="397" operator="lessThan">
      <formula>0</formula>
    </cfRule>
  </conditionalFormatting>
  <conditionalFormatting sqref="D135:D136">
    <cfRule type="cellIs" dxfId="1613" priority="396" operator="equal">
      <formula>0</formula>
    </cfRule>
  </conditionalFormatting>
  <conditionalFormatting sqref="D135:D136">
    <cfRule type="cellIs" dxfId="1612" priority="395" operator="equal">
      <formula>0</formula>
    </cfRule>
  </conditionalFormatting>
  <conditionalFormatting sqref="D135:D136">
    <cfRule type="cellIs" dxfId="1611" priority="393" operator="equal">
      <formula>0</formula>
    </cfRule>
  </conditionalFormatting>
  <conditionalFormatting sqref="D135:D136">
    <cfRule type="cellIs" dxfId="1610" priority="392" operator="equal">
      <formula>0</formula>
    </cfRule>
  </conditionalFormatting>
  <conditionalFormatting sqref="D135:D136">
    <cfRule type="cellIs" dxfId="1609" priority="390" operator="equal">
      <formula>0</formula>
    </cfRule>
  </conditionalFormatting>
  <conditionalFormatting sqref="D135:D136">
    <cfRule type="cellIs" dxfId="1608" priority="389" operator="equal">
      <formula>0</formula>
    </cfRule>
  </conditionalFormatting>
  <conditionalFormatting sqref="C144:C145">
    <cfRule type="cellIs" dxfId="1607" priority="387" operator="equal">
      <formula>0</formula>
    </cfRule>
  </conditionalFormatting>
  <conditionalFormatting sqref="D122">
    <cfRule type="expression" dxfId="1606" priority="386">
      <formula>$A$1=1</formula>
    </cfRule>
  </conditionalFormatting>
  <conditionalFormatting sqref="E122">
    <cfRule type="expression" dxfId="1605" priority="385">
      <formula>$A$1=1</formula>
    </cfRule>
  </conditionalFormatting>
  <conditionalFormatting sqref="C25">
    <cfRule type="cellIs" dxfId="1604" priority="365" operator="equal">
      <formula>0</formula>
    </cfRule>
  </conditionalFormatting>
  <conditionalFormatting sqref="D23:T23">
    <cfRule type="cellIs" dxfId="1603" priority="384" operator="lessThan">
      <formula>0</formula>
    </cfRule>
  </conditionalFormatting>
  <conditionalFormatting sqref="D23:T23">
    <cfRule type="cellIs" dxfId="1602" priority="383" operator="equal">
      <formula>0</formula>
    </cfRule>
  </conditionalFormatting>
  <conditionalFormatting sqref="D23:T23">
    <cfRule type="cellIs" dxfId="1601" priority="382" operator="equal">
      <formula>0</formula>
    </cfRule>
  </conditionalFormatting>
  <conditionalFormatting sqref="E182:F182 D162:D163 D171:T171 D180:F181 D174:T174 J175:T177 G180:T180 D187:F187 D175:H176">
    <cfRule type="cellIs" dxfId="1600" priority="381" operator="lessThan">
      <formula>0</formula>
    </cfRule>
  </conditionalFormatting>
  <conditionalFormatting sqref="C158:C167 D178:H179">
    <cfRule type="cellIs" dxfId="1599" priority="380" operator="equal">
      <formula>0</formula>
    </cfRule>
  </conditionalFormatting>
  <conditionalFormatting sqref="D178:H179">
    <cfRule type="cellIs" dxfId="1598" priority="379" operator="equal">
      <formula>0</formula>
    </cfRule>
  </conditionalFormatting>
  <conditionalFormatting sqref="D182:F183 D185:F185 D187:F187">
    <cfRule type="cellIs" dxfId="1597" priority="378" operator="lessThan">
      <formula>0</formula>
    </cfRule>
  </conditionalFormatting>
  <conditionalFormatting sqref="C180 C182:C185 C187 C172:C177">
    <cfRule type="cellIs" dxfId="1596" priority="377" operator="equal">
      <formula>0</formula>
    </cfRule>
  </conditionalFormatting>
  <conditionalFormatting sqref="D158">
    <cfRule type="expression" dxfId="1595" priority="376">
      <formula>$A$1=1</formula>
    </cfRule>
  </conditionalFormatting>
  <conditionalFormatting sqref="C181">
    <cfRule type="cellIs" dxfId="1594" priority="375" operator="equal">
      <formula>0</formula>
    </cfRule>
  </conditionalFormatting>
  <conditionalFormatting sqref="D161">
    <cfRule type="cellIs" dxfId="1593" priority="374" operator="lessThan">
      <formula>0</formula>
    </cfRule>
  </conditionalFormatting>
  <conditionalFormatting sqref="C171">
    <cfRule type="cellIs" dxfId="1592" priority="373" operator="equal">
      <formula>0</formula>
    </cfRule>
  </conditionalFormatting>
  <conditionalFormatting sqref="D160">
    <cfRule type="cellIs" dxfId="1591" priority="372" operator="lessThan">
      <formula>0</formula>
    </cfRule>
  </conditionalFormatting>
  <conditionalFormatting sqref="C157">
    <cfRule type="cellIs" dxfId="1590" priority="370" operator="equal">
      <formula>0</formula>
    </cfRule>
  </conditionalFormatting>
  <conditionalFormatting sqref="D29:D31">
    <cfRule type="cellIs" dxfId="1589" priority="368" operator="equal">
      <formula>0</formula>
    </cfRule>
  </conditionalFormatting>
  <conditionalFormatting sqref="D29:D31">
    <cfRule type="cellIs" dxfId="1588" priority="367" operator="equal">
      <formula>0</formula>
    </cfRule>
  </conditionalFormatting>
  <conditionalFormatting sqref="C26">
    <cfRule type="cellIs" dxfId="1587" priority="366" operator="equal">
      <formula>0</formula>
    </cfRule>
  </conditionalFormatting>
  <conditionalFormatting sqref="C24">
    <cfRule type="cellIs" dxfId="1586" priority="364" operator="equal">
      <formula>0</formula>
    </cfRule>
  </conditionalFormatting>
  <conditionalFormatting sqref="C14:C15">
    <cfRule type="cellIs" dxfId="1585" priority="362" operator="equal">
      <formula>0</formula>
    </cfRule>
  </conditionalFormatting>
  <conditionalFormatting sqref="C43">
    <cfRule type="cellIs" dxfId="1584" priority="361" operator="equal">
      <formula>0</formula>
    </cfRule>
  </conditionalFormatting>
  <conditionalFormatting sqref="C44">
    <cfRule type="cellIs" dxfId="1583" priority="360" operator="equal">
      <formula>0</formula>
    </cfRule>
  </conditionalFormatting>
  <conditionalFormatting sqref="C45">
    <cfRule type="cellIs" dxfId="1582" priority="359" operator="equal">
      <formula>0</formula>
    </cfRule>
  </conditionalFormatting>
  <conditionalFormatting sqref="S79:S80 S75:S76">
    <cfRule type="cellIs" dxfId="1581" priority="354" operator="lessThan">
      <formula>0</formula>
    </cfRule>
  </conditionalFormatting>
  <conditionalFormatting sqref="S75:S77 S79:S81">
    <cfRule type="cellIs" dxfId="1580" priority="353" operator="equal">
      <formula>0</formula>
    </cfRule>
  </conditionalFormatting>
  <conditionalFormatting sqref="S75:S77 S79:S81">
    <cfRule type="cellIs" dxfId="1579" priority="352" operator="equal">
      <formula>0</formula>
    </cfRule>
  </conditionalFormatting>
  <conditionalFormatting sqref="D163">
    <cfRule type="expression" dxfId="1578" priority="351">
      <formula>$A$1=1</formula>
    </cfRule>
  </conditionalFormatting>
  <conditionalFormatting sqref="D165">
    <cfRule type="cellIs" dxfId="1577" priority="350" operator="lessThan">
      <formula>0</formula>
    </cfRule>
  </conditionalFormatting>
  <conditionalFormatting sqref="C188:C189">
    <cfRule type="cellIs" dxfId="1576" priority="349" operator="equal">
      <formula>FALSE</formula>
    </cfRule>
  </conditionalFormatting>
  <conditionalFormatting sqref="D79:D80">
    <cfRule type="cellIs" dxfId="1575" priority="330" operator="lessThan">
      <formula>0</formula>
    </cfRule>
  </conditionalFormatting>
  <conditionalFormatting sqref="A43:A45">
    <cfRule type="cellIs" dxfId="1574" priority="346" operator="equal">
      <formula>FALSE</formula>
    </cfRule>
  </conditionalFormatting>
  <conditionalFormatting sqref="D177:H177">
    <cfRule type="cellIs" dxfId="1573" priority="345" operator="equal">
      <formula>0</formula>
    </cfRule>
  </conditionalFormatting>
  <conditionalFormatting sqref="D177:H177">
    <cfRule type="cellIs" dxfId="1572" priority="344" operator="equal">
      <formula>0</formula>
    </cfRule>
  </conditionalFormatting>
  <conditionalFormatting sqref="T25:T26 T34 T36 T28">
    <cfRule type="cellIs" dxfId="1571" priority="343" operator="lessThan">
      <formula>0</formula>
    </cfRule>
  </conditionalFormatting>
  <conditionalFormatting sqref="T34:T36 T25:T26 T28">
    <cfRule type="cellIs" dxfId="1570" priority="342" operator="equal">
      <formula>0</formula>
    </cfRule>
  </conditionalFormatting>
  <conditionalFormatting sqref="T34:T36 T25:T26 T28">
    <cfRule type="cellIs" dxfId="1569" priority="341" operator="equal">
      <formula>0</formula>
    </cfRule>
  </conditionalFormatting>
  <conditionalFormatting sqref="D79:D80">
    <cfRule type="cellIs" dxfId="1568" priority="327" operator="lessThan">
      <formula>0</formula>
    </cfRule>
  </conditionalFormatting>
  <conditionalFormatting sqref="D79:D80">
    <cfRule type="cellIs" dxfId="1567" priority="337" operator="equal">
      <formula>0</formula>
    </cfRule>
  </conditionalFormatting>
  <conditionalFormatting sqref="D79:D80">
    <cfRule type="cellIs" dxfId="1566" priority="336" operator="lessThan">
      <formula>0</formula>
    </cfRule>
  </conditionalFormatting>
  <conditionalFormatting sqref="D79:D80">
    <cfRule type="cellIs" dxfId="1565" priority="335" operator="equal">
      <formula>0</formula>
    </cfRule>
  </conditionalFormatting>
  <conditionalFormatting sqref="D79:D80">
    <cfRule type="cellIs" dxfId="1564" priority="334" operator="equal">
      <formula>0</formula>
    </cfRule>
  </conditionalFormatting>
  <conditionalFormatting sqref="D79:D80">
    <cfRule type="cellIs" dxfId="1563" priority="333" operator="lessThan">
      <formula>0</formula>
    </cfRule>
  </conditionalFormatting>
  <conditionalFormatting sqref="D79:D80">
    <cfRule type="cellIs" dxfId="1562" priority="332" operator="equal">
      <formula>0</formula>
    </cfRule>
  </conditionalFormatting>
  <conditionalFormatting sqref="D79:D80">
    <cfRule type="cellIs" dxfId="1561" priority="331" operator="equal">
      <formula>0</formula>
    </cfRule>
  </conditionalFormatting>
  <conditionalFormatting sqref="D79:D80">
    <cfRule type="cellIs" dxfId="1560" priority="329" operator="equal">
      <formula>0</formula>
    </cfRule>
  </conditionalFormatting>
  <conditionalFormatting sqref="D79:D80">
    <cfRule type="cellIs" dxfId="1559" priority="328" operator="equal">
      <formula>0</formula>
    </cfRule>
  </conditionalFormatting>
  <conditionalFormatting sqref="D79:D80">
    <cfRule type="cellIs" dxfId="1558" priority="326" operator="equal">
      <formula>0</formula>
    </cfRule>
  </conditionalFormatting>
  <conditionalFormatting sqref="D79:D80">
    <cfRule type="cellIs" dxfId="1557" priority="325" operator="equal">
      <formula>0</formula>
    </cfRule>
  </conditionalFormatting>
  <conditionalFormatting sqref="G38:T38">
    <cfRule type="cellIs" dxfId="1556" priority="324" operator="lessThan">
      <formula>0</formula>
    </cfRule>
  </conditionalFormatting>
  <conditionalFormatting sqref="C38:T38">
    <cfRule type="cellIs" dxfId="1555" priority="323" operator="equal">
      <formula>0</formula>
    </cfRule>
  </conditionalFormatting>
  <conditionalFormatting sqref="D38:T38">
    <cfRule type="cellIs" dxfId="1554" priority="322" operator="equal">
      <formula>0</formula>
    </cfRule>
  </conditionalFormatting>
  <conditionalFormatting sqref="C186">
    <cfRule type="cellIs" dxfId="1553" priority="301" operator="equal">
      <formula>0</formula>
    </cfRule>
  </conditionalFormatting>
  <conditionalFormatting sqref="D186:F186">
    <cfRule type="cellIs" dxfId="1552" priority="297" operator="lessThan">
      <formula>0</formula>
    </cfRule>
  </conditionalFormatting>
  <conditionalFormatting sqref="E29:T29">
    <cfRule type="cellIs" dxfId="1551" priority="292" operator="equal">
      <formula>0</formula>
    </cfRule>
  </conditionalFormatting>
  <conditionalFormatting sqref="T40">
    <cfRule type="cellIs" dxfId="1550" priority="310" operator="equal">
      <formula>0</formula>
    </cfRule>
  </conditionalFormatting>
  <conditionalFormatting sqref="T40">
    <cfRule type="cellIs" dxfId="1549" priority="309" operator="equal">
      <formula>0</formula>
    </cfRule>
  </conditionalFormatting>
  <conditionalFormatting sqref="D40:S40">
    <cfRule type="cellIs" dxfId="1548" priority="307" operator="equal">
      <formula>0</formula>
    </cfRule>
  </conditionalFormatting>
  <conditionalFormatting sqref="D40:S40">
    <cfRule type="cellIs" dxfId="1547" priority="306" operator="equal">
      <formula>0</formula>
    </cfRule>
  </conditionalFormatting>
  <conditionalFormatting sqref="C27">
    <cfRule type="cellIs" dxfId="1546" priority="305" operator="equal">
      <formula>0</formula>
    </cfRule>
  </conditionalFormatting>
  <conditionalFormatting sqref="D184:F184">
    <cfRule type="cellIs" dxfId="1545" priority="295" operator="lessThan">
      <formula>0</formula>
    </cfRule>
  </conditionalFormatting>
  <conditionalFormatting sqref="C35">
    <cfRule type="cellIs" dxfId="1544" priority="279" operator="equal">
      <formula>0</formula>
    </cfRule>
  </conditionalFormatting>
  <conditionalFormatting sqref="E29:T29">
    <cfRule type="cellIs" dxfId="1543" priority="291" operator="equal">
      <formula>0</formula>
    </cfRule>
  </conditionalFormatting>
  <conditionalFormatting sqref="E30:T30">
    <cfRule type="cellIs" dxfId="1542" priority="290" operator="lessThan">
      <formula>0</formula>
    </cfRule>
  </conditionalFormatting>
  <conditionalFormatting sqref="E30:T30">
    <cfRule type="cellIs" dxfId="1541" priority="289" operator="equal">
      <formula>0</formula>
    </cfRule>
  </conditionalFormatting>
  <conditionalFormatting sqref="E30:T30">
    <cfRule type="cellIs" dxfId="1540" priority="288" operator="equal">
      <formula>0</formula>
    </cfRule>
  </conditionalFormatting>
  <conditionalFormatting sqref="E31:T31">
    <cfRule type="cellIs" dxfId="1539" priority="287" operator="equal">
      <formula>0</formula>
    </cfRule>
  </conditionalFormatting>
  <conditionalFormatting sqref="E31:T31">
    <cfRule type="cellIs" dxfId="1538" priority="286" operator="equal">
      <formula>0</formula>
    </cfRule>
  </conditionalFormatting>
  <conditionalFormatting sqref="E32:T32">
    <cfRule type="cellIs" dxfId="1537" priority="285" operator="equal">
      <formula>0</formula>
    </cfRule>
  </conditionalFormatting>
  <conditionalFormatting sqref="E32:T32">
    <cfRule type="cellIs" dxfId="1536" priority="284" operator="equal">
      <formula>0</formula>
    </cfRule>
  </conditionalFormatting>
  <conditionalFormatting sqref="C10:C12">
    <cfRule type="cellIs" dxfId="1535" priority="276" operator="equal">
      <formula>0</formula>
    </cfRule>
  </conditionalFormatting>
  <conditionalFormatting sqref="C40">
    <cfRule type="cellIs" dxfId="1534" priority="278" operator="equal">
      <formula>0</formula>
    </cfRule>
  </conditionalFormatting>
  <conditionalFormatting sqref="C46 C49">
    <cfRule type="cellIs" dxfId="1533" priority="277" operator="equal">
      <formula>0</formula>
    </cfRule>
  </conditionalFormatting>
  <conditionalFormatting sqref="T13">
    <cfRule type="cellIs" dxfId="1532" priority="275" operator="lessThan">
      <formula>0</formula>
    </cfRule>
  </conditionalFormatting>
  <conditionalFormatting sqref="D13:T13">
    <cfRule type="cellIs" dxfId="1531" priority="274" operator="equal">
      <formula>0</formula>
    </cfRule>
  </conditionalFormatting>
  <conditionalFormatting sqref="D13:T13">
    <cfRule type="cellIs" dxfId="1530" priority="273" operator="equal">
      <formula>0</formula>
    </cfRule>
  </conditionalFormatting>
  <conditionalFormatting sqref="C13">
    <cfRule type="cellIs" dxfId="1529" priority="271" operator="equal">
      <formula>0</formula>
    </cfRule>
  </conditionalFormatting>
  <conditionalFormatting sqref="D190:T190">
    <cfRule type="cellIs" dxfId="1528" priority="270" operator="equal">
      <formula>0</formula>
    </cfRule>
  </conditionalFormatting>
  <conditionalFormatting sqref="D190:T190">
    <cfRule type="cellIs" dxfId="1527" priority="269" operator="equal">
      <formula>0</formula>
    </cfRule>
  </conditionalFormatting>
  <conditionalFormatting sqref="C190">
    <cfRule type="cellIs" dxfId="1526" priority="268" operator="equal">
      <formula>0</formula>
    </cfRule>
  </conditionalFormatting>
  <conditionalFormatting sqref="D127:D128">
    <cfRule type="cellIs" dxfId="1525" priority="266" operator="lessThan">
      <formula>0</formula>
    </cfRule>
  </conditionalFormatting>
  <conditionalFormatting sqref="D127:D128">
    <cfRule type="cellIs" dxfId="1524" priority="265" operator="equal">
      <formula>0</formula>
    </cfRule>
  </conditionalFormatting>
  <conditionalFormatting sqref="D127:D128">
    <cfRule type="cellIs" dxfId="1523" priority="264" operator="equal">
      <formula>0</formula>
    </cfRule>
  </conditionalFormatting>
  <conditionalFormatting sqref="D103:T103">
    <cfRule type="cellIs" dxfId="1522" priority="263" operator="equal">
      <formula>0</formula>
    </cfRule>
  </conditionalFormatting>
  <conditionalFormatting sqref="D103:T103">
    <cfRule type="cellIs" dxfId="1521" priority="262" operator="equal">
      <formula>0</formula>
    </cfRule>
  </conditionalFormatting>
  <conditionalFormatting sqref="C103">
    <cfRule type="cellIs" dxfId="1520" priority="261" operator="equal">
      <formula>0</formula>
    </cfRule>
  </conditionalFormatting>
  <conditionalFormatting sqref="D106:T106">
    <cfRule type="cellIs" dxfId="1519" priority="260" operator="lessThan">
      <formula>0</formula>
    </cfRule>
  </conditionalFormatting>
  <conditionalFormatting sqref="D112:S112 D110:D111 E111:T111">
    <cfRule type="cellIs" dxfId="1518" priority="259" operator="lessThan">
      <formula>0</formula>
    </cfRule>
  </conditionalFormatting>
  <conditionalFormatting sqref="D112:S112 D110:D111 E111:T111">
    <cfRule type="cellIs" dxfId="1517" priority="258" operator="equal">
      <formula>0</formula>
    </cfRule>
  </conditionalFormatting>
  <conditionalFormatting sqref="D112:S112 D110:D111 E111:T111">
    <cfRule type="cellIs" dxfId="1516" priority="257" operator="equal">
      <formula>0</formula>
    </cfRule>
  </conditionalFormatting>
  <conditionalFormatting sqref="D107:D109">
    <cfRule type="cellIs" dxfId="1515" priority="256" operator="equal">
      <formula>0</formula>
    </cfRule>
  </conditionalFormatting>
  <conditionalFormatting sqref="D107:D109">
    <cfRule type="cellIs" dxfId="1514" priority="255" operator="equal">
      <formula>0</formula>
    </cfRule>
  </conditionalFormatting>
  <conditionalFormatting sqref="T112">
    <cfRule type="cellIs" dxfId="1513" priority="254" operator="lessThan">
      <formula>0</formula>
    </cfRule>
  </conditionalFormatting>
  <conditionalFormatting sqref="T112">
    <cfRule type="cellIs" dxfId="1512" priority="253" operator="equal">
      <formula>0</formula>
    </cfRule>
  </conditionalFormatting>
  <conditionalFormatting sqref="T112">
    <cfRule type="cellIs" dxfId="1511" priority="252" operator="equal">
      <formula>0</formula>
    </cfRule>
  </conditionalFormatting>
  <conditionalFormatting sqref="E107:T107">
    <cfRule type="cellIs" dxfId="1510" priority="251" operator="equal">
      <formula>0</formula>
    </cfRule>
  </conditionalFormatting>
  <conditionalFormatting sqref="E107:T107">
    <cfRule type="cellIs" dxfId="1509" priority="250" operator="equal">
      <formula>0</formula>
    </cfRule>
  </conditionalFormatting>
  <conditionalFormatting sqref="E108:T108">
    <cfRule type="cellIs" dxfId="1508" priority="249" operator="lessThan">
      <formula>0</formula>
    </cfRule>
  </conditionalFormatting>
  <conditionalFormatting sqref="E108:T108">
    <cfRule type="cellIs" dxfId="1507" priority="248" operator="equal">
      <formula>0</formula>
    </cfRule>
  </conditionalFormatting>
  <conditionalFormatting sqref="E108:T108">
    <cfRule type="cellIs" dxfId="1506" priority="247" operator="equal">
      <formula>0</formula>
    </cfRule>
  </conditionalFormatting>
  <conditionalFormatting sqref="E109:T109">
    <cfRule type="cellIs" dxfId="1505" priority="246" operator="equal">
      <formula>0</formula>
    </cfRule>
  </conditionalFormatting>
  <conditionalFormatting sqref="E109:T109">
    <cfRule type="cellIs" dxfId="1504" priority="245" operator="equal">
      <formula>0</formula>
    </cfRule>
  </conditionalFormatting>
  <conditionalFormatting sqref="E110:T110">
    <cfRule type="cellIs" dxfId="1503" priority="244" operator="equal">
      <formula>0</formula>
    </cfRule>
  </conditionalFormatting>
  <conditionalFormatting sqref="E110:T110">
    <cfRule type="cellIs" dxfId="1502" priority="243" operator="equal">
      <formula>0</formula>
    </cfRule>
  </conditionalFormatting>
  <conditionalFormatting sqref="C114:C115 C117 C119">
    <cfRule type="cellIs" dxfId="1501" priority="220" operator="equal">
      <formula>0</formula>
    </cfRule>
  </conditionalFormatting>
  <conditionalFormatting sqref="C113">
    <cfRule type="cellIs" dxfId="1500" priority="218" operator="equal">
      <formula>0</formula>
    </cfRule>
  </conditionalFormatting>
  <conditionalFormatting sqref="D113:T113">
    <cfRule type="cellIs" dxfId="1499" priority="233" operator="equal">
      <formula>0</formula>
    </cfRule>
  </conditionalFormatting>
  <conditionalFormatting sqref="D113:T113">
    <cfRule type="cellIs" dxfId="1498" priority="232" operator="equal">
      <formula>0</formula>
    </cfRule>
  </conditionalFormatting>
  <conditionalFormatting sqref="D117:T117 D114:T115">
    <cfRule type="cellIs" dxfId="1497" priority="224" operator="equal">
      <formula>0</formula>
    </cfRule>
  </conditionalFormatting>
  <conditionalFormatting sqref="D117:T117 D114:T115">
    <cfRule type="cellIs" dxfId="1496" priority="223" operator="equal">
      <formula>0</formula>
    </cfRule>
  </conditionalFormatting>
  <conditionalFormatting sqref="D116:T116">
    <cfRule type="cellIs" dxfId="1495" priority="222" operator="equal">
      <formula>0</formula>
    </cfRule>
  </conditionalFormatting>
  <conditionalFormatting sqref="D116:T116">
    <cfRule type="cellIs" dxfId="1494" priority="221" operator="equal">
      <formula>0</formula>
    </cfRule>
  </conditionalFormatting>
  <conditionalFormatting sqref="C116">
    <cfRule type="cellIs" dxfId="1493" priority="219" operator="equal">
      <formula>0</formula>
    </cfRule>
  </conditionalFormatting>
  <conditionalFormatting sqref="C120">
    <cfRule type="cellIs" dxfId="1492" priority="217" operator="equal">
      <formula>0</formula>
    </cfRule>
  </conditionalFormatting>
  <conditionalFormatting sqref="S74">
    <cfRule type="cellIs" dxfId="1491" priority="196" operator="equal">
      <formula>0</formula>
    </cfRule>
  </conditionalFormatting>
  <conditionalFormatting sqref="S73">
    <cfRule type="cellIs" dxfId="1490" priority="195" operator="equal">
      <formula>0</formula>
    </cfRule>
  </conditionalFormatting>
  <conditionalFormatting sqref="S73">
    <cfRule type="cellIs" dxfId="1489" priority="194" operator="equal">
      <formula>0</formula>
    </cfRule>
  </conditionalFormatting>
  <conditionalFormatting sqref="D64:S64">
    <cfRule type="cellIs" dxfId="1488" priority="201" operator="equal">
      <formula>0</formula>
    </cfRule>
  </conditionalFormatting>
  <conditionalFormatting sqref="D64:S64">
    <cfRule type="cellIs" dxfId="1487" priority="200" operator="equal">
      <formula>0</formula>
    </cfRule>
  </conditionalFormatting>
  <conditionalFormatting sqref="S74">
    <cfRule type="cellIs" dxfId="1486" priority="197" operator="equal">
      <formula>0</formula>
    </cfRule>
  </conditionalFormatting>
  <conditionalFormatting sqref="D78:R78">
    <cfRule type="cellIs" dxfId="1485" priority="192" operator="equal">
      <formula>0</formula>
    </cfRule>
  </conditionalFormatting>
  <conditionalFormatting sqref="D78:R78">
    <cfRule type="cellIs" dxfId="1484" priority="193" operator="equal">
      <formula>0</formula>
    </cfRule>
  </conditionalFormatting>
  <conditionalFormatting sqref="S78">
    <cfRule type="cellIs" dxfId="1483" priority="191" operator="equal">
      <formula>0</formula>
    </cfRule>
  </conditionalFormatting>
  <conditionalFormatting sqref="S78">
    <cfRule type="cellIs" dxfId="1482" priority="190" operator="equal">
      <formula>0</formula>
    </cfRule>
  </conditionalFormatting>
  <conditionalFormatting sqref="C86">
    <cfRule type="cellIs" dxfId="1481" priority="189" operator="equal">
      <formula>0</formula>
    </cfRule>
  </conditionalFormatting>
  <conditionalFormatting sqref="S82">
    <cfRule type="cellIs" dxfId="1480" priority="188" operator="equal">
      <formula>0</formula>
    </cfRule>
  </conditionalFormatting>
  <conditionalFormatting sqref="S82">
    <cfRule type="cellIs" dxfId="1479" priority="187" operator="equal">
      <formula>0</formula>
    </cfRule>
  </conditionalFormatting>
  <conditionalFormatting sqref="T120">
    <cfRule type="cellIs" dxfId="1478" priority="162" operator="equal">
      <formula>0</formula>
    </cfRule>
  </conditionalFormatting>
  <conditionalFormatting sqref="T120">
    <cfRule type="cellIs" dxfId="1477" priority="161" operator="equal">
      <formula>0</formula>
    </cfRule>
  </conditionalFormatting>
  <conditionalFormatting sqref="G118:S118">
    <cfRule type="cellIs" dxfId="1476" priority="183" operator="lessThan">
      <formula>0</formula>
    </cfRule>
  </conditionalFormatting>
  <conditionalFormatting sqref="C118:S118">
    <cfRule type="cellIs" dxfId="1475" priority="182" operator="equal">
      <formula>0</formula>
    </cfRule>
  </conditionalFormatting>
  <conditionalFormatting sqref="D118:T118">
    <cfRule type="cellIs" dxfId="1474" priority="181" operator="equal">
      <formula>0</formula>
    </cfRule>
  </conditionalFormatting>
  <conditionalFormatting sqref="T118">
    <cfRule type="cellIs" dxfId="1473" priority="180" operator="lessThan">
      <formula>0</formula>
    </cfRule>
  </conditionalFormatting>
  <conditionalFormatting sqref="T118">
    <cfRule type="cellIs" dxfId="1472" priority="179" operator="equal">
      <formula>0</formula>
    </cfRule>
  </conditionalFormatting>
  <conditionalFormatting sqref="T118">
    <cfRule type="cellIs" dxfId="1471" priority="178" operator="equal">
      <formula>0</formula>
    </cfRule>
  </conditionalFormatting>
  <conditionalFormatting sqref="D132">
    <cfRule type="cellIs" dxfId="1470" priority="135" operator="equal">
      <formula>0</formula>
    </cfRule>
  </conditionalFormatting>
  <conditionalFormatting sqref="D132">
    <cfRule type="cellIs" dxfId="1469" priority="134" operator="equal">
      <formula>0</formula>
    </cfRule>
  </conditionalFormatting>
  <conditionalFormatting sqref="D119:R119">
    <cfRule type="cellIs" dxfId="1468" priority="175" operator="equal">
      <formula>0</formula>
    </cfRule>
  </conditionalFormatting>
  <conditionalFormatting sqref="D119:R119">
    <cfRule type="cellIs" dxfId="1467" priority="174" operator="equal">
      <formula>0</formula>
    </cfRule>
  </conditionalFormatting>
  <conditionalFormatting sqref="D120:R120">
    <cfRule type="cellIs" dxfId="1466" priority="173" operator="equal">
      <formula>0</formula>
    </cfRule>
  </conditionalFormatting>
  <conditionalFormatting sqref="D120:R120">
    <cfRule type="cellIs" dxfId="1465" priority="172" operator="equal">
      <formula>0</formula>
    </cfRule>
  </conditionalFormatting>
  <conditionalFormatting sqref="S120">
    <cfRule type="cellIs" dxfId="1464" priority="164" operator="equal">
      <formula>0</formula>
    </cfRule>
  </conditionalFormatting>
  <conditionalFormatting sqref="S120">
    <cfRule type="cellIs" dxfId="1463" priority="163" operator="equal">
      <formula>0</formula>
    </cfRule>
  </conditionalFormatting>
  <conditionalFormatting sqref="T64">
    <cfRule type="cellIs" dxfId="1462" priority="169" operator="equal">
      <formula>0</formula>
    </cfRule>
  </conditionalFormatting>
  <conditionalFormatting sqref="T64">
    <cfRule type="cellIs" dxfId="1461" priority="168" operator="equal">
      <formula>0</formula>
    </cfRule>
  </conditionalFormatting>
  <conditionalFormatting sqref="T63">
    <cfRule type="cellIs" dxfId="1460" priority="167" operator="lessThan">
      <formula>0</formula>
    </cfRule>
  </conditionalFormatting>
  <conditionalFormatting sqref="S119:T119">
    <cfRule type="cellIs" dxfId="1459" priority="166" operator="equal">
      <formula>0</formula>
    </cfRule>
  </conditionalFormatting>
  <conditionalFormatting sqref="S119:T119">
    <cfRule type="cellIs" dxfId="1458" priority="165" operator="equal">
      <formula>0</formula>
    </cfRule>
  </conditionalFormatting>
  <conditionalFormatting sqref="D132">
    <cfRule type="cellIs" dxfId="1457" priority="138" operator="equal">
      <formula>0</formula>
    </cfRule>
  </conditionalFormatting>
  <conditionalFormatting sqref="D132">
    <cfRule type="cellIs" dxfId="1456" priority="137" operator="equal">
      <formula>0</formula>
    </cfRule>
  </conditionalFormatting>
  <conditionalFormatting sqref="T119">
    <cfRule type="cellIs" dxfId="1455" priority="160" operator="lessThan">
      <formula>0</formula>
    </cfRule>
  </conditionalFormatting>
  <conditionalFormatting sqref="D131">
    <cfRule type="cellIs" dxfId="1454" priority="157" operator="equal">
      <formula>0</formula>
    </cfRule>
  </conditionalFormatting>
  <conditionalFormatting sqref="D131">
    <cfRule type="cellIs" dxfId="1453" priority="152" operator="lessThan">
      <formula>0</formula>
    </cfRule>
  </conditionalFormatting>
  <conditionalFormatting sqref="D131">
    <cfRule type="cellIs" dxfId="1452" priority="149" operator="lessThan">
      <formula>0</formula>
    </cfRule>
  </conditionalFormatting>
  <conditionalFormatting sqref="D131">
    <cfRule type="cellIs" dxfId="1451" priority="159" operator="equal">
      <formula>0</formula>
    </cfRule>
  </conditionalFormatting>
  <conditionalFormatting sqref="D131">
    <cfRule type="cellIs" dxfId="1450" priority="158" operator="lessThan">
      <formula>0</formula>
    </cfRule>
  </conditionalFormatting>
  <conditionalFormatting sqref="D131">
    <cfRule type="cellIs" dxfId="1449" priority="156" operator="equal">
      <formula>0</formula>
    </cfRule>
  </conditionalFormatting>
  <conditionalFormatting sqref="D131">
    <cfRule type="cellIs" dxfId="1448" priority="155" operator="lessThan">
      <formula>0</formula>
    </cfRule>
  </conditionalFormatting>
  <conditionalFormatting sqref="D131">
    <cfRule type="cellIs" dxfId="1447" priority="154" operator="equal">
      <formula>0</formula>
    </cfRule>
  </conditionalFormatting>
  <conditionalFormatting sqref="D131">
    <cfRule type="cellIs" dxfId="1446" priority="153" operator="equal">
      <formula>0</formula>
    </cfRule>
  </conditionalFormatting>
  <conditionalFormatting sqref="D131">
    <cfRule type="cellIs" dxfId="1445" priority="151" operator="equal">
      <formula>0</formula>
    </cfRule>
  </conditionalFormatting>
  <conditionalFormatting sqref="D131">
    <cfRule type="cellIs" dxfId="1444" priority="150" operator="equal">
      <formula>0</formula>
    </cfRule>
  </conditionalFormatting>
  <conditionalFormatting sqref="D131">
    <cfRule type="cellIs" dxfId="1443" priority="148" operator="equal">
      <formula>0</formula>
    </cfRule>
  </conditionalFormatting>
  <conditionalFormatting sqref="D131">
    <cfRule type="cellIs" dxfId="1442" priority="147" operator="equal">
      <formula>0</formula>
    </cfRule>
  </conditionalFormatting>
  <conditionalFormatting sqref="D132">
    <cfRule type="cellIs" dxfId="1441" priority="144" operator="equal">
      <formula>0</formula>
    </cfRule>
  </conditionalFormatting>
  <conditionalFormatting sqref="D132">
    <cfRule type="cellIs" dxfId="1440" priority="139" operator="lessThan">
      <formula>0</formula>
    </cfRule>
  </conditionalFormatting>
  <conditionalFormatting sqref="D132">
    <cfRule type="cellIs" dxfId="1439" priority="136" operator="lessThan">
      <formula>0</formula>
    </cfRule>
  </conditionalFormatting>
  <conditionalFormatting sqref="D132">
    <cfRule type="cellIs" dxfId="1438" priority="146" operator="equal">
      <formula>0</formula>
    </cfRule>
  </conditionalFormatting>
  <conditionalFormatting sqref="D132">
    <cfRule type="cellIs" dxfId="1437" priority="145" operator="lessThan">
      <formula>0</formula>
    </cfRule>
  </conditionalFormatting>
  <conditionalFormatting sqref="D132">
    <cfRule type="cellIs" dxfId="1436" priority="143" operator="equal">
      <formula>0</formula>
    </cfRule>
  </conditionalFormatting>
  <conditionalFormatting sqref="D132">
    <cfRule type="cellIs" dxfId="1435" priority="142" operator="lessThan">
      <formula>0</formula>
    </cfRule>
  </conditionalFormatting>
  <conditionalFormatting sqref="D132">
    <cfRule type="cellIs" dxfId="1434" priority="141" operator="equal">
      <formula>0</formula>
    </cfRule>
  </conditionalFormatting>
  <conditionalFormatting sqref="D132">
    <cfRule type="cellIs" dxfId="1433" priority="140" operator="equal">
      <formula>0</formula>
    </cfRule>
  </conditionalFormatting>
  <conditionalFormatting sqref="S137:S138">
    <cfRule type="cellIs" dxfId="1432" priority="123" operator="equal">
      <formula>0</formula>
    </cfRule>
  </conditionalFormatting>
  <conditionalFormatting sqref="S137:S138">
    <cfRule type="cellIs" dxfId="1431" priority="122" operator="equal">
      <formula>0</formula>
    </cfRule>
  </conditionalFormatting>
  <conditionalFormatting sqref="C139">
    <cfRule type="cellIs" dxfId="1430" priority="133" operator="equal">
      <formula>0</formula>
    </cfRule>
  </conditionalFormatting>
  <conditionalFormatting sqref="C140">
    <cfRule type="cellIs" dxfId="1429" priority="132" operator="equal">
      <formula>0</formula>
    </cfRule>
  </conditionalFormatting>
  <conditionalFormatting sqref="S133">
    <cfRule type="cellIs" dxfId="1428" priority="131" operator="equal">
      <formula>0</formula>
    </cfRule>
  </conditionalFormatting>
  <conditionalFormatting sqref="S133">
    <cfRule type="cellIs" dxfId="1427" priority="130" operator="equal">
      <formula>0</formula>
    </cfRule>
  </conditionalFormatting>
  <conditionalFormatting sqref="S134">
    <cfRule type="cellIs" dxfId="1426" priority="129" operator="equal">
      <formula>0</formula>
    </cfRule>
  </conditionalFormatting>
  <conditionalFormatting sqref="S134">
    <cfRule type="cellIs" dxfId="1425" priority="128" operator="equal">
      <formula>0</formula>
    </cfRule>
  </conditionalFormatting>
  <conditionalFormatting sqref="C150:C152">
    <cfRule type="cellIs" dxfId="1424" priority="121" operator="equal">
      <formula>0</formula>
    </cfRule>
  </conditionalFormatting>
  <conditionalFormatting sqref="C149:C150">
    <cfRule type="cellIs" dxfId="1423" priority="120" operator="equal">
      <formula>0</formula>
    </cfRule>
  </conditionalFormatting>
  <conditionalFormatting sqref="T47">
    <cfRule type="cellIs" dxfId="1422" priority="119" operator="lessThan">
      <formula>0</formula>
    </cfRule>
  </conditionalFormatting>
  <conditionalFormatting sqref="T47">
    <cfRule type="cellIs" dxfId="1421" priority="118" operator="equal">
      <formula>0</formula>
    </cfRule>
  </conditionalFormatting>
  <conditionalFormatting sqref="T47">
    <cfRule type="cellIs" dxfId="1420" priority="117" operator="equal">
      <formula>0</formula>
    </cfRule>
  </conditionalFormatting>
  <conditionalFormatting sqref="T48">
    <cfRule type="cellIs" dxfId="1419" priority="116" operator="lessThan">
      <formula>0</formula>
    </cfRule>
  </conditionalFormatting>
  <conditionalFormatting sqref="T48">
    <cfRule type="cellIs" dxfId="1418" priority="115" operator="equal">
      <formula>0</formula>
    </cfRule>
  </conditionalFormatting>
  <conditionalFormatting sqref="T48">
    <cfRule type="cellIs" dxfId="1417" priority="114" operator="equal">
      <formula>0</formula>
    </cfRule>
  </conditionalFormatting>
  <conditionalFormatting sqref="C47">
    <cfRule type="cellIs" dxfId="1416" priority="107" operator="equal">
      <formula>0</formula>
    </cfRule>
  </conditionalFormatting>
  <conditionalFormatting sqref="C48">
    <cfRule type="cellIs" dxfId="1415" priority="106" operator="equal">
      <formula>0</formula>
    </cfRule>
  </conditionalFormatting>
  <conditionalFormatting sqref="D42:S42 U42 W42:DA42">
    <cfRule type="cellIs" dxfId="0" priority="105" operator="equal">
      <formula>0</formula>
    </cfRule>
  </conditionalFormatting>
  <conditionalFormatting sqref="U42 W42:DA42 D42:S42">
    <cfRule type="cellIs" dxfId="1414" priority="104" operator="equal">
      <formula>0</formula>
    </cfRule>
  </conditionalFormatting>
  <conditionalFormatting sqref="D47">
    <cfRule type="cellIs" dxfId="1413" priority="94" operator="equal">
      <formula>0</formula>
    </cfRule>
  </conditionalFormatting>
  <conditionalFormatting sqref="DE42:ED42">
    <cfRule type="cellIs" dxfId="1412" priority="100" operator="equal">
      <formula>0</formula>
    </cfRule>
  </conditionalFormatting>
  <conditionalFormatting sqref="DE42:ED42">
    <cfRule type="cellIs" dxfId="1411" priority="99" operator="equal">
      <formula>0</formula>
    </cfRule>
  </conditionalFormatting>
  <conditionalFormatting sqref="K83:S84">
    <cfRule type="cellIs" dxfId="1410" priority="75" operator="equal">
      <formula>0</formula>
    </cfRule>
  </conditionalFormatting>
  <conditionalFormatting sqref="K83:S84">
    <cfRule type="cellIs" dxfId="1409" priority="74" operator="equal">
      <formula>0</formula>
    </cfRule>
  </conditionalFormatting>
  <conditionalFormatting sqref="D47:S47">
    <cfRule type="cellIs" dxfId="1408" priority="98" operator="equal">
      <formula>0</formula>
    </cfRule>
  </conditionalFormatting>
  <conditionalFormatting sqref="D47:S47">
    <cfRule type="cellIs" dxfId="1407" priority="97" operator="equal">
      <formula>0</formula>
    </cfRule>
  </conditionalFormatting>
  <conditionalFormatting sqref="D47:S48">
    <cfRule type="cellIs" dxfId="1406" priority="96" operator="equal">
      <formula>0</formula>
    </cfRule>
  </conditionalFormatting>
  <conditionalFormatting sqref="D47:S48">
    <cfRule type="cellIs" dxfId="1405" priority="95" operator="equal">
      <formula>0</formula>
    </cfRule>
  </conditionalFormatting>
  <conditionalFormatting sqref="D47">
    <cfRule type="cellIs" dxfId="1404" priority="93" operator="equal">
      <formula>0</formula>
    </cfRule>
  </conditionalFormatting>
  <conditionalFormatting sqref="D46:S46">
    <cfRule type="cellIs" dxfId="1403" priority="92" operator="equal">
      <formula>0</formula>
    </cfRule>
  </conditionalFormatting>
  <conditionalFormatting sqref="D46:S46">
    <cfRule type="cellIs" dxfId="1402" priority="91" operator="equal">
      <formula>0</formula>
    </cfRule>
  </conditionalFormatting>
  <conditionalFormatting sqref="T42">
    <cfRule type="cellIs" dxfId="1401" priority="90" operator="equal">
      <formula>0</formula>
    </cfRule>
  </conditionalFormatting>
  <conditionalFormatting sqref="T42">
    <cfRule type="cellIs" dxfId="1400" priority="89" operator="equal">
      <formula>0</formula>
    </cfRule>
  </conditionalFormatting>
  <conditionalFormatting sqref="T42">
    <cfRule type="cellIs" dxfId="1399" priority="88" operator="lessThan">
      <formula>0</formula>
    </cfRule>
  </conditionalFormatting>
  <conditionalFormatting sqref="T42">
    <cfRule type="cellIs" dxfId="1398" priority="87" operator="equal">
      <formula>0</formula>
    </cfRule>
  </conditionalFormatting>
  <conditionalFormatting sqref="C42">
    <cfRule type="cellIs" dxfId="1397" priority="86" operator="equal">
      <formula>0</formula>
    </cfRule>
  </conditionalFormatting>
  <conditionalFormatting sqref="J178:T178">
    <cfRule type="cellIs" dxfId="1396" priority="49" operator="lessThan">
      <formula>0</formula>
    </cfRule>
  </conditionalFormatting>
  <conditionalFormatting sqref="J179:T179">
    <cfRule type="cellIs" dxfId="1395" priority="48" operator="lessThan">
      <formula>0</formula>
    </cfRule>
  </conditionalFormatting>
  <conditionalFormatting sqref="D164">
    <cfRule type="cellIs" dxfId="1394" priority="83" operator="lessThan">
      <formula>0</formula>
    </cfRule>
  </conditionalFormatting>
  <conditionalFormatting sqref="I178">
    <cfRule type="cellIs" dxfId="1393" priority="46" operator="lessThan">
      <formula>0</formula>
    </cfRule>
  </conditionalFormatting>
  <conditionalFormatting sqref="I179">
    <cfRule type="cellIs" dxfId="1392" priority="45" operator="lessThan">
      <formula>0</formula>
    </cfRule>
  </conditionalFormatting>
  <conditionalFormatting sqref="K83:S84">
    <cfRule type="cellIs" dxfId="1391" priority="77" operator="equal">
      <formula>0</formula>
    </cfRule>
  </conditionalFormatting>
  <conditionalFormatting sqref="K83:S84">
    <cfRule type="cellIs" dxfId="1390" priority="76" operator="equal">
      <formula>0</formula>
    </cfRule>
  </conditionalFormatting>
  <conditionalFormatting sqref="I175:I177">
    <cfRule type="cellIs" dxfId="1389" priority="47" operator="lessThan">
      <formula>0</formula>
    </cfRule>
  </conditionalFormatting>
  <conditionalFormatting sqref="C83">
    <cfRule type="cellIs" dxfId="1388" priority="36" operator="equal">
      <formula>0</formula>
    </cfRule>
  </conditionalFormatting>
  <conditionalFormatting sqref="C84">
    <cfRule type="cellIs" dxfId="1387" priority="35" operator="equal">
      <formula>0</formula>
    </cfRule>
  </conditionalFormatting>
  <conditionalFormatting sqref="C81">
    <cfRule type="cellIs" dxfId="1386" priority="34" operator="equal">
      <formula>0</formula>
    </cfRule>
  </conditionalFormatting>
  <conditionalFormatting sqref="C82">
    <cfRule type="cellIs" dxfId="1385" priority="33" operator="equal">
      <formula>0</formula>
    </cfRule>
  </conditionalFormatting>
  <conditionalFormatting sqref="C23">
    <cfRule type="cellIs" dxfId="1384" priority="23" operator="equal">
      <formula>0</formula>
    </cfRule>
  </conditionalFormatting>
  <conditionalFormatting sqref="C34">
    <cfRule type="cellIs" dxfId="1383" priority="22" operator="equal">
      <formula>0</formula>
    </cfRule>
  </conditionalFormatting>
  <conditionalFormatting sqref="D83:E84">
    <cfRule type="cellIs" dxfId="1382" priority="21" operator="equal">
      <formula>0</formula>
    </cfRule>
  </conditionalFormatting>
  <conditionalFormatting sqref="D83:E84">
    <cfRule type="cellIs" dxfId="1381" priority="20" operator="equal">
      <formula>0</formula>
    </cfRule>
  </conditionalFormatting>
  <conditionalFormatting sqref="F84:J84">
    <cfRule type="cellIs" dxfId="1380" priority="12" operator="equal">
      <formula>0</formula>
    </cfRule>
  </conditionalFormatting>
  <conditionalFormatting sqref="F83:J84">
    <cfRule type="cellIs" dxfId="1379" priority="19" operator="equal">
      <formula>0</formula>
    </cfRule>
  </conditionalFormatting>
  <conditionalFormatting sqref="F83:J84">
    <cfRule type="cellIs" dxfId="1378" priority="18" operator="equal">
      <formula>0</formula>
    </cfRule>
  </conditionalFormatting>
  <conditionalFormatting sqref="F84:J84">
    <cfRule type="cellIs" dxfId="1377" priority="13" operator="equal">
      <formula>0</formula>
    </cfRule>
  </conditionalFormatting>
  <conditionalFormatting sqref="F83:J84">
    <cfRule type="cellIs" dxfId="1376" priority="17" operator="equal">
      <formula>0</formula>
    </cfRule>
  </conditionalFormatting>
  <conditionalFormatting sqref="F83:J84">
    <cfRule type="cellIs" dxfId="1375" priority="16" operator="equal">
      <formula>0</formula>
    </cfRule>
  </conditionalFormatting>
  <conditionalFormatting sqref="F84:J84">
    <cfRule type="cellIs" dxfId="1374" priority="15" operator="equal">
      <formula>0</formula>
    </cfRule>
  </conditionalFormatting>
  <conditionalFormatting sqref="F84:J84">
    <cfRule type="cellIs" dxfId="1373" priority="14" operator="equal">
      <formula>0</formula>
    </cfRule>
  </conditionalFormatting>
  <conditionalFormatting sqref="O181:T185 G181:N182 G187:T187 I184:N184">
    <cfRule type="cellIs" dxfId="1372" priority="11" operator="lessThan">
      <formula>0</formula>
    </cfRule>
  </conditionalFormatting>
  <conditionalFormatting sqref="G182:N183 G185:N185 G187:T187 I184:T184">
    <cfRule type="cellIs" dxfId="1371" priority="10" operator="lessThan">
      <formula>0</formula>
    </cfRule>
  </conditionalFormatting>
  <conditionalFormatting sqref="O182:T182">
    <cfRule type="cellIs" dxfId="1370" priority="9" operator="lessThan">
      <formula>0</formula>
    </cfRule>
  </conditionalFormatting>
  <conditionalFormatting sqref="S186:T186">
    <cfRule type="cellIs" dxfId="1369" priority="8" operator="lessThan">
      <formula>0</formula>
    </cfRule>
  </conditionalFormatting>
  <conditionalFormatting sqref="J186:R186">
    <cfRule type="expression" dxfId="1368" priority="7">
      <formula>$A$1=1</formula>
    </cfRule>
  </conditionalFormatting>
  <conditionalFormatting sqref="I186">
    <cfRule type="expression" dxfId="1367" priority="6">
      <formula>$A$1=1</formula>
    </cfRule>
  </conditionalFormatting>
  <conditionalFormatting sqref="G184">
    <cfRule type="cellIs" dxfId="30" priority="4" operator="lessThan">
      <formula>0</formula>
    </cfRule>
  </conditionalFormatting>
  <conditionalFormatting sqref="H184">
    <cfRule type="cellIs" dxfId="28" priority="2" operator="lessThan">
      <formula>0</formula>
    </cfRule>
  </conditionalFormatting>
  <conditionalFormatting sqref="H184">
    <cfRule type="cellIs" dxfId="27" priority="1" operator="lessThan">
      <formula>0</formula>
    </cfRule>
  </conditionalFormatting>
  <dataValidations disablePrompts="1" count="1">
    <dataValidation type="list" allowBlank="1" showInputMessage="1" showErrorMessage="1" sqref="A159 D157">
      <formula1>"0,1"</formula1>
    </dataValidation>
  </dataValidations>
  <pageMargins left="0.7" right="0.7" top="0.75" bottom="0.75" header="0.3" footer="0.3"/>
  <pageSetup paperSize="9" scale="41" orientation="portrait" r:id="rId1"/>
  <ignoredErrors>
    <ignoredError sqref="C81:C83" formula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K44"/>
  <sheetViews>
    <sheetView showGridLines="0" zoomScale="85" zoomScaleNormal="85" workbookViewId="0">
      <selection activeCell="E18" sqref="E18"/>
    </sheetView>
  </sheetViews>
  <sheetFormatPr defaultColWidth="9.140625" defaultRowHeight="15" customHeight="1"/>
  <cols>
    <col min="1" max="1" width="9.42578125" style="140" customWidth="1"/>
    <col min="2" max="2" width="2.28515625" style="140" customWidth="1"/>
    <col min="3" max="3" width="47.85546875" style="140" customWidth="1"/>
    <col min="4" max="4" width="11" style="413" customWidth="1"/>
    <col min="5" max="5" width="44.140625" style="414" customWidth="1"/>
    <col min="6" max="6" width="55.28515625" style="140" customWidth="1"/>
    <col min="7" max="7" width="7.140625" style="140" customWidth="1"/>
    <col min="8" max="8" width="11.28515625" style="140" customWidth="1"/>
    <col min="9" max="18" width="9.140625" style="140" customWidth="1"/>
    <col min="19" max="16384" width="9.140625" style="140"/>
  </cols>
  <sheetData>
    <row r="1" spans="1:11" ht="15.75" thickBot="1">
      <c r="A1" s="189">
        <v>0</v>
      </c>
      <c r="B1" s="402"/>
      <c r="C1" s="402"/>
      <c r="D1" s="403"/>
      <c r="E1" s="404"/>
      <c r="F1" s="402"/>
      <c r="G1" s="402"/>
    </row>
    <row r="2" spans="1:11">
      <c r="A2" s="402"/>
      <c r="B2" s="402"/>
      <c r="C2" s="402"/>
      <c r="D2" s="403"/>
      <c r="E2" s="404"/>
      <c r="F2" s="402"/>
      <c r="G2" s="402"/>
    </row>
    <row r="3" spans="1:11">
      <c r="A3" s="402"/>
      <c r="B3" s="402"/>
      <c r="C3" s="402"/>
      <c r="D3" s="403"/>
      <c r="E3" s="404"/>
      <c r="F3" s="402"/>
      <c r="G3" s="402"/>
    </row>
    <row r="4" spans="1:11">
      <c r="A4" s="402"/>
      <c r="B4" s="402"/>
      <c r="C4" s="72" t="s">
        <v>7</v>
      </c>
      <c r="D4" s="72" t="s">
        <v>110</v>
      </c>
      <c r="E4" s="72" t="s">
        <v>111</v>
      </c>
      <c r="F4" s="73" t="s">
        <v>112</v>
      </c>
      <c r="G4" s="402"/>
    </row>
    <row r="5" spans="1:11" ht="51">
      <c r="A5" s="402"/>
      <c r="B5" s="402"/>
      <c r="C5" s="74" t="s">
        <v>113</v>
      </c>
      <c r="D5" s="405">
        <f>I5/(1+I5)</f>
        <v>0.35913868238913099</v>
      </c>
      <c r="E5" s="74" t="s">
        <v>464</v>
      </c>
      <c r="F5" s="406" t="s">
        <v>465</v>
      </c>
      <c r="G5" s="402"/>
      <c r="H5" s="74" t="s">
        <v>466</v>
      </c>
      <c r="I5" s="86">
        <v>0.56040000000000001</v>
      </c>
      <c r="J5" s="407" t="s">
        <v>467</v>
      </c>
      <c r="K5" s="407" t="s">
        <v>468</v>
      </c>
    </row>
    <row r="6" spans="1:11">
      <c r="A6" s="402"/>
      <c r="B6" s="402"/>
      <c r="C6" s="75" t="s">
        <v>114</v>
      </c>
      <c r="D6" s="76">
        <f>100%-D5</f>
        <v>0.64086131761086906</v>
      </c>
      <c r="E6" s="75" t="s">
        <v>115</v>
      </c>
      <c r="F6" s="77"/>
      <c r="G6" s="402"/>
    </row>
    <row r="7" spans="1:11">
      <c r="A7" s="402"/>
      <c r="B7" s="402"/>
      <c r="C7" s="75" t="s">
        <v>116</v>
      </c>
      <c r="D7" s="1298">
        <v>2.2599999999999999E-2</v>
      </c>
      <c r="E7" s="1299" t="s">
        <v>469</v>
      </c>
      <c r="F7" s="80"/>
      <c r="G7" s="402"/>
    </row>
    <row r="8" spans="1:11">
      <c r="B8" s="402"/>
      <c r="C8" s="75" t="s">
        <v>117</v>
      </c>
      <c r="D8" s="1300">
        <v>3.9951500000000001E-2</v>
      </c>
      <c r="E8" s="1299" t="s">
        <v>901</v>
      </c>
      <c r="F8" s="408" t="s">
        <v>118</v>
      </c>
      <c r="G8" s="402"/>
    </row>
    <row r="9" spans="1:11">
      <c r="B9" s="402"/>
      <c r="C9" s="75" t="s">
        <v>119</v>
      </c>
      <c r="D9" s="1301">
        <v>8.4099999999999994E-2</v>
      </c>
      <c r="E9" s="1299" t="s">
        <v>470</v>
      </c>
      <c r="F9" s="1302" t="s">
        <v>902</v>
      </c>
      <c r="G9" s="402"/>
    </row>
    <row r="10" spans="1:11">
      <c r="A10" s="402"/>
      <c r="B10" s="402"/>
      <c r="C10" s="75" t="s">
        <v>120</v>
      </c>
      <c r="D10" s="409">
        <v>0.59</v>
      </c>
      <c r="E10" s="79" t="str">
        <f>I10</f>
        <v>Real Estate (Operations &amp; Services)</v>
      </c>
      <c r="F10" s="408" t="s">
        <v>121</v>
      </c>
      <c r="G10" s="402"/>
      <c r="H10" s="407" t="s">
        <v>471</v>
      </c>
      <c r="I10" s="407" t="str">
        <f>K5</f>
        <v>Real Estate (Operations &amp; Services)</v>
      </c>
    </row>
    <row r="11" spans="1:11">
      <c r="A11" s="402"/>
      <c r="B11" s="402"/>
      <c r="C11" s="75" t="s">
        <v>122</v>
      </c>
      <c r="D11" s="81">
        <f>D5/D6</f>
        <v>0.5603999999999999</v>
      </c>
      <c r="E11" s="75" t="s">
        <v>123</v>
      </c>
      <c r="F11" s="82"/>
      <c r="G11" s="402"/>
    </row>
    <row r="12" spans="1:11">
      <c r="A12" s="402"/>
      <c r="B12" s="402"/>
      <c r="C12" s="75" t="s">
        <v>124</v>
      </c>
      <c r="D12" s="405">
        <v>0.2</v>
      </c>
      <c r="E12" s="75"/>
      <c r="F12" s="82"/>
      <c r="G12" s="402"/>
    </row>
    <row r="13" spans="1:11">
      <c r="A13" s="402"/>
      <c r="B13" s="402"/>
      <c r="C13" s="75" t="s">
        <v>125</v>
      </c>
      <c r="D13" s="81">
        <f>D10*(1+(1-D12)*D11)</f>
        <v>0.85450879999999985</v>
      </c>
      <c r="E13" s="75" t="s">
        <v>126</v>
      </c>
      <c r="F13" s="77"/>
      <c r="G13" s="402"/>
    </row>
    <row r="14" spans="1:11">
      <c r="A14" s="402"/>
      <c r="B14" s="402"/>
      <c r="C14" s="75" t="s">
        <v>127</v>
      </c>
      <c r="D14" s="84">
        <v>5.4100000000000002E-2</v>
      </c>
      <c r="E14" s="79" t="s">
        <v>903</v>
      </c>
      <c r="F14" s="83" t="s">
        <v>128</v>
      </c>
      <c r="G14" s="402"/>
    </row>
    <row r="15" spans="1:11" ht="25.5">
      <c r="A15" s="402"/>
      <c r="B15" s="402"/>
      <c r="C15" s="75" t="s">
        <v>129</v>
      </c>
      <c r="D15" s="86">
        <v>2.8799999999999999E-2</v>
      </c>
      <c r="E15" s="85" t="s">
        <v>130</v>
      </c>
      <c r="F15" s="83" t="s">
        <v>131</v>
      </c>
      <c r="G15" s="402"/>
    </row>
    <row r="16" spans="1:11">
      <c r="A16" s="402"/>
      <c r="B16" s="402"/>
      <c r="C16" s="75" t="s">
        <v>132</v>
      </c>
      <c r="D16" s="86">
        <v>1.7500000000000002E-2</v>
      </c>
      <c r="E16" s="79" t="s">
        <v>133</v>
      </c>
      <c r="F16" s="87" t="s">
        <v>472</v>
      </c>
      <c r="G16" s="410" t="s">
        <v>473</v>
      </c>
    </row>
    <row r="17" spans="1:7">
      <c r="A17" s="402"/>
      <c r="B17" s="402"/>
      <c r="C17" s="75" t="s">
        <v>134</v>
      </c>
      <c r="D17" s="78">
        <v>0.01</v>
      </c>
      <c r="E17" s="75" t="s">
        <v>135</v>
      </c>
      <c r="F17" s="82"/>
      <c r="G17" s="402"/>
    </row>
    <row r="18" spans="1:7" ht="25.5">
      <c r="A18" s="411"/>
      <c r="B18" s="411"/>
      <c r="C18" s="88" t="s">
        <v>136</v>
      </c>
      <c r="D18" s="89">
        <f>(D7+D13*D14+D15+D16+D17)</f>
        <v>0.12512892607999998</v>
      </c>
      <c r="E18" s="90"/>
      <c r="F18" s="91"/>
      <c r="G18" s="411"/>
    </row>
    <row r="19" spans="1:7">
      <c r="A19" s="411"/>
      <c r="B19" s="411"/>
      <c r="C19" s="75" t="s">
        <v>137</v>
      </c>
      <c r="D19" s="92">
        <f>(1+D9)/(1+D8)</f>
        <v>1.0424524605233996</v>
      </c>
      <c r="E19" s="90"/>
      <c r="F19" s="91"/>
      <c r="G19" s="411"/>
    </row>
    <row r="20" spans="1:7" ht="25.5">
      <c r="A20" s="411"/>
      <c r="B20" s="411"/>
      <c r="C20" s="88" t="s">
        <v>138</v>
      </c>
      <c r="D20" s="412">
        <f>(1+D18)*D19-1</f>
        <v>0.17289341739814601</v>
      </c>
      <c r="E20" s="90"/>
      <c r="F20" s="91"/>
      <c r="G20" s="411"/>
    </row>
    <row r="21" spans="1:7">
      <c r="A21" s="402"/>
      <c r="B21" s="402"/>
      <c r="C21" s="75" t="s">
        <v>139</v>
      </c>
      <c r="D21" s="93">
        <f>CF_15!D158</f>
        <v>0.04</v>
      </c>
      <c r="E21" s="75"/>
      <c r="F21" s="82"/>
      <c r="G21" s="402"/>
    </row>
    <row r="22" spans="1:7">
      <c r="A22" s="402"/>
      <c r="B22" s="402"/>
      <c r="C22" s="75" t="s">
        <v>140</v>
      </c>
      <c r="D22" s="76">
        <f>D21*(1-D12)</f>
        <v>3.2000000000000001E-2</v>
      </c>
      <c r="E22" s="75"/>
      <c r="F22" s="82"/>
      <c r="G22" s="402"/>
    </row>
    <row r="23" spans="1:7">
      <c r="A23" s="411"/>
      <c r="B23" s="411"/>
      <c r="C23" s="94" t="s">
        <v>141</v>
      </c>
      <c r="D23" s="282">
        <f>(D6*D20+D5*D22)</f>
        <v>0.12229314111647401</v>
      </c>
      <c r="E23" s="95"/>
      <c r="F23" s="96"/>
      <c r="G23" s="411"/>
    </row>
    <row r="24" spans="1:7">
      <c r="A24" s="402"/>
      <c r="B24" s="402"/>
      <c r="C24" s="402"/>
      <c r="D24" s="403"/>
      <c r="E24" s="404"/>
      <c r="F24" s="402"/>
      <c r="G24" s="402"/>
    </row>
    <row r="25" spans="1:7">
      <c r="A25" s="402"/>
      <c r="B25" s="402"/>
      <c r="C25" s="402"/>
      <c r="D25" s="403"/>
      <c r="E25" s="404"/>
      <c r="F25" s="402"/>
      <c r="G25" s="402"/>
    </row>
    <row r="26" spans="1:7">
      <c r="A26" s="402"/>
      <c r="B26" s="402"/>
      <c r="C26" s="402"/>
      <c r="D26" s="403"/>
      <c r="E26" s="404"/>
      <c r="F26" s="402"/>
      <c r="G26" s="402"/>
    </row>
    <row r="27" spans="1:7">
      <c r="A27" s="402"/>
      <c r="B27" s="402"/>
      <c r="C27" s="402"/>
      <c r="D27" s="403"/>
      <c r="E27" s="404"/>
      <c r="F27" s="402"/>
      <c r="G27" s="402"/>
    </row>
    <row r="28" spans="1:7">
      <c r="A28" s="402"/>
      <c r="B28" s="402"/>
      <c r="C28" s="402"/>
      <c r="D28" s="403"/>
      <c r="E28" s="404"/>
      <c r="F28" s="402"/>
      <c r="G28" s="402"/>
    </row>
    <row r="29" spans="1:7">
      <c r="A29" s="402"/>
      <c r="B29" s="402"/>
      <c r="C29" s="402"/>
      <c r="D29" s="403"/>
      <c r="E29" s="404"/>
      <c r="F29" s="402"/>
      <c r="G29" s="402"/>
    </row>
    <row r="30" spans="1:7">
      <c r="A30" s="402"/>
      <c r="B30" s="402"/>
      <c r="C30" s="402"/>
      <c r="D30" s="403"/>
      <c r="E30" s="404"/>
      <c r="F30" s="402"/>
      <c r="G30" s="402"/>
    </row>
    <row r="31" spans="1:7">
      <c r="A31" s="402"/>
      <c r="B31" s="402"/>
      <c r="C31" s="402"/>
      <c r="D31" s="403"/>
      <c r="E31" s="404"/>
      <c r="F31" s="402"/>
      <c r="G31" s="402"/>
    </row>
    <row r="32" spans="1:7">
      <c r="A32" s="402"/>
      <c r="B32" s="402"/>
      <c r="C32" s="402"/>
      <c r="D32" s="403"/>
      <c r="E32" s="404"/>
      <c r="F32" s="402"/>
      <c r="G32" s="402"/>
    </row>
    <row r="33" spans="1:7">
      <c r="A33" s="402"/>
      <c r="B33" s="402"/>
      <c r="C33" s="402"/>
      <c r="D33" s="403"/>
      <c r="E33" s="404"/>
      <c r="F33" s="402"/>
      <c r="G33" s="402"/>
    </row>
    <row r="34" spans="1:7">
      <c r="A34" s="402"/>
      <c r="B34" s="402"/>
      <c r="C34" s="402"/>
      <c r="D34" s="403"/>
      <c r="E34" s="404"/>
      <c r="F34" s="402"/>
      <c r="G34" s="402"/>
    </row>
    <row r="35" spans="1:7">
      <c r="A35" s="402"/>
      <c r="B35" s="402"/>
      <c r="C35" s="402"/>
      <c r="D35" s="403"/>
      <c r="E35" s="404"/>
      <c r="F35" s="402"/>
      <c r="G35" s="402"/>
    </row>
    <row r="36" spans="1:7">
      <c r="A36" s="402"/>
      <c r="B36" s="402"/>
      <c r="C36" s="402"/>
      <c r="D36" s="403"/>
      <c r="E36" s="404"/>
      <c r="F36" s="402"/>
      <c r="G36" s="402"/>
    </row>
    <row r="37" spans="1:7">
      <c r="A37" s="402"/>
      <c r="B37" s="402"/>
      <c r="C37" s="402"/>
      <c r="D37" s="403"/>
      <c r="E37" s="404"/>
      <c r="F37" s="402"/>
      <c r="G37" s="402"/>
    </row>
    <row r="38" spans="1:7">
      <c r="A38" s="402"/>
      <c r="B38" s="402"/>
      <c r="C38" s="402"/>
      <c r="D38" s="403"/>
      <c r="E38" s="404"/>
      <c r="F38" s="402"/>
      <c r="G38" s="402"/>
    </row>
    <row r="39" spans="1:7">
      <c r="A39" s="402"/>
      <c r="B39" s="402"/>
      <c r="C39" s="402"/>
      <c r="D39" s="403"/>
      <c r="E39" s="404"/>
      <c r="F39" s="402"/>
      <c r="G39" s="402"/>
    </row>
    <row r="40" spans="1:7">
      <c r="A40" s="402"/>
      <c r="B40" s="402"/>
      <c r="C40" s="402"/>
      <c r="D40" s="403"/>
      <c r="E40" s="404"/>
      <c r="F40" s="402"/>
      <c r="G40" s="402"/>
    </row>
    <row r="41" spans="1:7">
      <c r="A41" s="402"/>
      <c r="B41" s="402"/>
      <c r="C41" s="402"/>
      <c r="D41" s="403"/>
      <c r="E41" s="404"/>
      <c r="F41" s="402"/>
      <c r="G41" s="402"/>
    </row>
    <row r="42" spans="1:7">
      <c r="A42" s="402"/>
      <c r="B42" s="402"/>
      <c r="C42" s="402"/>
      <c r="D42" s="403"/>
      <c r="E42" s="404"/>
      <c r="F42" s="402"/>
      <c r="G42" s="402"/>
    </row>
    <row r="43" spans="1:7">
      <c r="A43" s="402"/>
      <c r="B43" s="402"/>
      <c r="C43" s="402"/>
      <c r="D43" s="403"/>
      <c r="E43" s="404"/>
      <c r="F43" s="402"/>
      <c r="G43" s="402"/>
    </row>
    <row r="44" spans="1:7">
      <c r="A44" s="402"/>
      <c r="B44" s="402"/>
      <c r="C44" s="402"/>
      <c r="D44" s="403"/>
      <c r="E44" s="404"/>
      <c r="F44" s="402"/>
      <c r="G44" s="402"/>
    </row>
  </sheetData>
  <conditionalFormatting sqref="D15">
    <cfRule type="expression" dxfId="1366" priority="13">
      <formula>$A$1=1</formula>
    </cfRule>
  </conditionalFormatting>
  <conditionalFormatting sqref="D17">
    <cfRule type="expression" dxfId="1365" priority="16">
      <formula>$A$1=1</formula>
    </cfRule>
  </conditionalFormatting>
  <conditionalFormatting sqref="D21">
    <cfRule type="expression" dxfId="1364" priority="15">
      <formula>$A$1=1</formula>
    </cfRule>
  </conditionalFormatting>
  <conditionalFormatting sqref="D16">
    <cfRule type="expression" dxfId="1363" priority="12">
      <formula>$A$1=1</formula>
    </cfRule>
  </conditionalFormatting>
  <conditionalFormatting sqref="I5">
    <cfRule type="expression" dxfId="1362" priority="11">
      <formula>$A$1=1</formula>
    </cfRule>
  </conditionalFormatting>
  <conditionalFormatting sqref="D5">
    <cfRule type="expression" dxfId="1361" priority="10">
      <formula>$A$1=1</formula>
    </cfRule>
  </conditionalFormatting>
  <conditionalFormatting sqref="D10">
    <cfRule type="expression" dxfId="1360" priority="6">
      <formula>$A$1=1</formula>
    </cfRule>
  </conditionalFormatting>
  <conditionalFormatting sqref="D14">
    <cfRule type="expression" dxfId="1359" priority="5">
      <formula>$A$1=1</formula>
    </cfRule>
  </conditionalFormatting>
  <conditionalFormatting sqref="D7:D8">
    <cfRule type="expression" dxfId="1358" priority="4">
      <formula>$A$1=1</formula>
    </cfRule>
  </conditionalFormatting>
  <conditionalFormatting sqref="D9">
    <cfRule type="expression" dxfId="1357" priority="3">
      <formula>$A$1=1</formula>
    </cfRule>
  </conditionalFormatting>
  <conditionalFormatting sqref="D12">
    <cfRule type="expression" dxfId="1356" priority="1">
      <formula>$A$1=1</formula>
    </cfRule>
  </conditionalFormatting>
  <hyperlinks>
    <hyperlink ref="F5" r:id="rId1"/>
    <hyperlink ref="F8" r:id="rId2"/>
    <hyperlink ref="F15" r:id="rId3"/>
    <hyperlink ref="G16" r:id="rId4"/>
    <hyperlink ref="F10" r:id="rId5"/>
    <hyperlink ref="F14" r:id="rId6"/>
    <hyperlink ref="F9" r:id="rId7"/>
  </hyperlinks>
  <pageMargins left="0.7" right="0.7" top="0.75" bottom="0.75" header="0.3" footer="0.3"/>
  <pageSetup paperSize="9" orientation="portrait" r:id="rId8"/>
  <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V92"/>
  <sheetViews>
    <sheetView showGridLines="0" zoomScale="85" zoomScaleNormal="85" workbookViewId="0">
      <selection activeCell="F12" sqref="F12"/>
    </sheetView>
  </sheetViews>
  <sheetFormatPr defaultColWidth="8.7109375" defaultRowHeight="12.75" outlineLevelRow="1"/>
  <cols>
    <col min="1" max="1" width="4.28515625" style="140" customWidth="1"/>
    <col min="2" max="2" width="9.7109375" style="140" customWidth="1"/>
    <col min="3" max="3" width="28.85546875" style="140" customWidth="1"/>
    <col min="4" max="4" width="13.140625" style="1659" customWidth="1"/>
    <col min="5" max="5" width="19.28515625" style="140" customWidth="1"/>
    <col min="6" max="6" width="16.140625" style="140" customWidth="1"/>
    <col min="7" max="7" width="16" style="140" customWidth="1"/>
    <col min="8" max="8" width="11.42578125" style="140" customWidth="1"/>
    <col min="9" max="9" width="16.42578125" style="1659" customWidth="1"/>
    <col min="10" max="10" width="12" style="140" bestFit="1" customWidth="1"/>
    <col min="11" max="11" width="17" style="140" customWidth="1"/>
    <col min="12" max="12" width="18" style="140" customWidth="1"/>
    <col min="13" max="13" width="24.7109375" style="140" customWidth="1"/>
    <col min="14" max="14" width="15.42578125" style="140" customWidth="1"/>
    <col min="15" max="15" width="21.28515625" style="140" customWidth="1"/>
    <col min="16" max="16" width="11.42578125" style="140" customWidth="1"/>
    <col min="17" max="17" width="14.28515625" style="140" bestFit="1" customWidth="1"/>
    <col min="18" max="22" width="18" style="140" customWidth="1"/>
    <col min="23" max="16384" width="8.7109375" style="140"/>
  </cols>
  <sheetData>
    <row r="1" spans="2:22" ht="13.5" thickBot="1"/>
    <row r="2" spans="2:22">
      <c r="B2" s="1741" t="s">
        <v>1338</v>
      </c>
      <c r="C2" s="1742"/>
      <c r="D2" s="1743"/>
      <c r="E2" s="1742"/>
      <c r="F2" s="1742"/>
      <c r="G2" s="1742"/>
      <c r="H2" s="1742"/>
      <c r="I2" s="1742"/>
      <c r="J2" s="1742"/>
      <c r="K2" s="1761"/>
      <c r="L2" s="1741" t="s">
        <v>1343</v>
      </c>
      <c r="M2" s="1742"/>
      <c r="N2" s="1743"/>
      <c r="O2" s="1742"/>
      <c r="P2" s="1742"/>
      <c r="Q2" s="1742"/>
      <c r="R2" s="1742"/>
      <c r="S2" s="1744"/>
      <c r="T2" s="1659"/>
    </row>
    <row r="3" spans="2:22">
      <c r="B3" s="1745"/>
      <c r="C3" s="1704"/>
      <c r="D3" s="1705"/>
      <c r="E3" s="1704"/>
      <c r="F3" s="1704"/>
      <c r="G3" s="1704"/>
      <c r="H3" s="1704"/>
      <c r="I3" s="1704"/>
      <c r="J3" s="1704"/>
      <c r="K3" s="1762"/>
      <c r="L3" s="1745"/>
      <c r="M3" s="1704"/>
      <c r="N3" s="1705"/>
      <c r="O3" s="1704"/>
      <c r="P3" s="1704"/>
      <c r="Q3" s="1704"/>
      <c r="R3" s="1704"/>
      <c r="S3" s="1746"/>
      <c r="T3" s="1659"/>
      <c r="V3" s="1701"/>
    </row>
    <row r="4" spans="2:22">
      <c r="B4" s="1747" t="str">
        <f>KPI!B3</f>
        <v>Показатели проекта на собственный капитал</v>
      </c>
      <c r="C4" s="1660"/>
      <c r="D4" s="1661"/>
      <c r="E4" s="1687" t="str">
        <f>KPI!D3</f>
        <v>FCFE</v>
      </c>
      <c r="F4" s="1704"/>
      <c r="G4" s="1704"/>
      <c r="H4" s="1660" t="str">
        <f>KPI!G3</f>
        <v xml:space="preserve">Показатели проекта </v>
      </c>
      <c r="I4" s="1660"/>
      <c r="J4" s="1660"/>
      <c r="K4" s="1748" t="str">
        <f>KPI!I3</f>
        <v xml:space="preserve">FCFF </v>
      </c>
      <c r="L4" s="1747" t="str">
        <f>KPI!B3</f>
        <v>Показатели проекта на собственный капитал</v>
      </c>
      <c r="M4" s="1660"/>
      <c r="N4" s="1687" t="str">
        <f>KPI!D3</f>
        <v>FCFE</v>
      </c>
      <c r="O4" s="1704"/>
      <c r="P4" s="1660" t="str">
        <f>KPI!G3</f>
        <v xml:space="preserve">Показатели проекта </v>
      </c>
      <c r="Q4" s="1660"/>
      <c r="R4" s="1661"/>
      <c r="S4" s="1748" t="str">
        <f>KPI!I3</f>
        <v xml:space="preserve">FCFF </v>
      </c>
    </row>
    <row r="5" spans="2:22">
      <c r="B5" s="1749" t="s">
        <v>107</v>
      </c>
      <c r="C5" s="1706"/>
      <c r="D5" s="1708"/>
      <c r="E5" s="1662">
        <f>KPI!D4</f>
        <v>0.17289341739814601</v>
      </c>
      <c r="F5" s="1704"/>
      <c r="G5" s="1704"/>
      <c r="H5" s="1707" t="s">
        <v>107</v>
      </c>
      <c r="I5" s="1706"/>
      <c r="J5" s="1706"/>
      <c r="K5" s="1750">
        <f>KPI!I4</f>
        <v>0.12229314111647401</v>
      </c>
      <c r="L5" s="1749" t="s">
        <v>107</v>
      </c>
      <c r="M5" s="1706"/>
      <c r="N5" s="1662">
        <f>KPI!D4</f>
        <v>0.17289341739814601</v>
      </c>
      <c r="O5" s="1704"/>
      <c r="P5" s="1707" t="s">
        <v>107</v>
      </c>
      <c r="Q5" s="1707"/>
      <c r="R5" s="1708"/>
      <c r="S5" s="1750">
        <f>KPI!I4</f>
        <v>0.12229314111647401</v>
      </c>
    </row>
    <row r="6" spans="2:22">
      <c r="B6" s="1751" t="str">
        <f>KPI!B6</f>
        <v xml:space="preserve">NPV </v>
      </c>
      <c r="C6" s="1664" t="s">
        <v>1327</v>
      </c>
      <c r="D6" s="1665" t="s">
        <v>985</v>
      </c>
      <c r="E6" s="1666">
        <f>KPI!D6</f>
        <v>67.805055417616614</v>
      </c>
      <c r="F6" s="1704"/>
      <c r="G6" s="1704"/>
      <c r="H6" s="1663" t="str">
        <f>B6</f>
        <v xml:space="preserve">NPV </v>
      </c>
      <c r="I6" s="1665"/>
      <c r="J6" s="1665" t="s">
        <v>985</v>
      </c>
      <c r="K6" s="1752">
        <f>KPI!I6</f>
        <v>-1808.2418340044969</v>
      </c>
      <c r="L6" s="1751" t="str">
        <f>KPI!B11</f>
        <v xml:space="preserve">NPV </v>
      </c>
      <c r="M6" s="1665" t="s">
        <v>985</v>
      </c>
      <c r="N6" s="1666">
        <f>KPI!D11</f>
        <v>998.27965379703528</v>
      </c>
      <c r="O6" s="1704"/>
      <c r="P6" s="1663" t="str">
        <f>L6</f>
        <v xml:space="preserve">NPV </v>
      </c>
      <c r="Q6" s="1663"/>
      <c r="R6" s="1665" t="s">
        <v>985</v>
      </c>
      <c r="S6" s="1752">
        <f>KPI!I11</f>
        <v>68.971955112926025</v>
      </c>
    </row>
    <row r="7" spans="2:22">
      <c r="B7" s="1751" t="str">
        <f>KPI!B7</f>
        <v>IRR</v>
      </c>
      <c r="C7" s="1664" t="s">
        <v>1330</v>
      </c>
      <c r="D7" s="1667"/>
      <c r="E7" s="1668">
        <f>KPI!D7</f>
        <v>0.14418346312725339</v>
      </c>
      <c r="F7" s="1704"/>
      <c r="G7" s="1704"/>
      <c r="H7" s="1663" t="str">
        <f>B7</f>
        <v>IRR</v>
      </c>
      <c r="I7" s="1667"/>
      <c r="J7" s="1667"/>
      <c r="K7" s="1753">
        <f>KPI!I7</f>
        <v>6.9552783334161816E-2</v>
      </c>
      <c r="L7" s="1751" t="str">
        <f>KPI!B12</f>
        <v>IRR</v>
      </c>
      <c r="M7" s="1667"/>
      <c r="N7" s="1668">
        <f>KPI!D12</f>
        <v>0.22612660540241714</v>
      </c>
      <c r="O7" s="1704"/>
      <c r="P7" s="1663" t="str">
        <f>L7</f>
        <v>IRR</v>
      </c>
      <c r="Q7" s="1663"/>
      <c r="R7" s="1667"/>
      <c r="S7" s="1753">
        <f>KPI!I12</f>
        <v>0.12587749107539392</v>
      </c>
    </row>
    <row r="8" spans="2:22">
      <c r="B8" s="1751" t="str">
        <f>KPI!B8</f>
        <v>PBP</v>
      </c>
      <c r="C8" s="1664" t="s">
        <v>1328</v>
      </c>
      <c r="D8" s="1665" t="s">
        <v>150</v>
      </c>
      <c r="E8" s="1711">
        <f>KPI!D8</f>
        <v>6</v>
      </c>
      <c r="F8" s="1704"/>
      <c r="G8" s="1704"/>
      <c r="H8" s="1663" t="str">
        <f>B8</f>
        <v>PBP</v>
      </c>
      <c r="I8" s="1665"/>
      <c r="J8" s="1665" t="s">
        <v>150</v>
      </c>
      <c r="K8" s="1754">
        <f>KPI!I8</f>
        <v>11</v>
      </c>
      <c r="L8" s="1751" t="str">
        <f>KPI!B13</f>
        <v>PBP</v>
      </c>
      <c r="M8" s="1665" t="s">
        <v>150</v>
      </c>
      <c r="N8" s="1711">
        <f>KPI!D13</f>
        <v>6</v>
      </c>
      <c r="O8" s="1704"/>
      <c r="P8" s="1663" t="str">
        <f>L8</f>
        <v>PBP</v>
      </c>
      <c r="Q8" s="1663"/>
      <c r="R8" s="1665" t="s">
        <v>150</v>
      </c>
      <c r="S8" s="1754">
        <f>KPI!I13</f>
        <v>11</v>
      </c>
    </row>
    <row r="9" spans="2:22" ht="23.25" thickBot="1">
      <c r="B9" s="1755" t="str">
        <f>KPI!B9</f>
        <v>DPBP</v>
      </c>
      <c r="C9" s="1763" t="s">
        <v>1329</v>
      </c>
      <c r="D9" s="1756" t="s">
        <v>150</v>
      </c>
      <c r="E9" s="1757">
        <f>KPI!D9</f>
        <v>14</v>
      </c>
      <c r="F9" s="1758"/>
      <c r="G9" s="1758"/>
      <c r="H9" s="1759" t="str">
        <f>B9</f>
        <v>DPBP</v>
      </c>
      <c r="I9" s="1756"/>
      <c r="J9" s="1756" t="s">
        <v>150</v>
      </c>
      <c r="K9" s="1760" t="str">
        <f>KPI!I9</f>
        <v>не окупается</v>
      </c>
      <c r="L9" s="1755" t="str">
        <f>KPI!B14</f>
        <v>DPBP</v>
      </c>
      <c r="M9" s="1756" t="s">
        <v>150</v>
      </c>
      <c r="N9" s="1757">
        <f>KPI!D14</f>
        <v>14</v>
      </c>
      <c r="O9" s="1758"/>
      <c r="P9" s="1759" t="str">
        <f>L9</f>
        <v>DPBP</v>
      </c>
      <c r="Q9" s="1759"/>
      <c r="R9" s="1756" t="s">
        <v>150</v>
      </c>
      <c r="S9" s="1760" t="str">
        <f>KPI!I14</f>
        <v>окупается с продажи</v>
      </c>
    </row>
    <row r="13" spans="2:22">
      <c r="B13" s="1669" t="s">
        <v>1331</v>
      </c>
    </row>
    <row r="14" spans="2:22" ht="13.5" thickBot="1">
      <c r="C14" s="1669"/>
    </row>
    <row r="15" spans="2:22">
      <c r="C15" s="1669"/>
      <c r="D15" s="1716" t="str">
        <f>B2</f>
        <v>ПОКАЗАТЕЛИ ПРОЕКТА БЕЗ УЧЕТА ПРОДАЖИ В ТЕРМИНАЛЬНОМ ГОДУ</v>
      </c>
      <c r="E15" s="1717"/>
      <c r="F15" s="1717"/>
      <c r="G15" s="1717"/>
      <c r="H15" s="1717"/>
      <c r="I15" s="1718"/>
      <c r="J15" s="1717"/>
      <c r="K15" s="1719"/>
      <c r="L15" s="1716" t="str">
        <f>L2</f>
        <v>ПОКАЗАТЕЛИ ПРОЕКТА С УЧЕТОМ ПРОДАЖИ В ТЕРМИНАЛЬНОМ ГОДУ</v>
      </c>
      <c r="M15" s="1717"/>
      <c r="N15" s="1717"/>
      <c r="O15" s="1717"/>
      <c r="P15" s="1717"/>
      <c r="Q15" s="1718"/>
      <c r="R15" s="1717"/>
      <c r="S15" s="1719"/>
    </row>
    <row r="16" spans="2:22">
      <c r="B16" s="1703"/>
      <c r="C16" s="1682"/>
      <c r="D16" s="1720" t="str">
        <f>B4</f>
        <v>Показатели проекта на собственный капитал</v>
      </c>
      <c r="E16" s="1684"/>
      <c r="F16" s="1686"/>
      <c r="G16" s="1685" t="str">
        <f>E4</f>
        <v>FCFE</v>
      </c>
      <c r="H16" s="1682" t="str">
        <f>H4</f>
        <v xml:space="preserve">Показатели проекта </v>
      </c>
      <c r="I16" s="1683"/>
      <c r="J16" s="1684"/>
      <c r="K16" s="1721" t="str">
        <f>K4</f>
        <v xml:space="preserve">FCFF </v>
      </c>
      <c r="L16" s="1720" t="str">
        <f>L4</f>
        <v>Показатели проекта на собственный капитал</v>
      </c>
      <c r="M16" s="1684"/>
      <c r="N16" s="1686"/>
      <c r="O16" s="1685" t="str">
        <f>N4</f>
        <v>FCFE</v>
      </c>
      <c r="P16" s="1682" t="str">
        <f>P4</f>
        <v xml:space="preserve">Показатели проекта </v>
      </c>
      <c r="Q16" s="1683"/>
      <c r="R16" s="1684"/>
      <c r="S16" s="1721" t="str">
        <f>S4</f>
        <v xml:space="preserve">FCFF </v>
      </c>
    </row>
    <row r="17" spans="2:19" ht="25.5">
      <c r="B17" s="417">
        <v>1</v>
      </c>
      <c r="C17" s="1674" t="s">
        <v>1332</v>
      </c>
      <c r="D17" s="1722" t="s">
        <v>1333</v>
      </c>
      <c r="E17" s="1670" t="str">
        <f>B8</f>
        <v>PBP</v>
      </c>
      <c r="F17" s="1670" t="str">
        <f>B9</f>
        <v>DPBP</v>
      </c>
      <c r="G17" s="1675" t="str">
        <f>B7</f>
        <v>IRR</v>
      </c>
      <c r="H17" s="1674" t="str">
        <f>D17</f>
        <v>NPV, 
млн руб.</v>
      </c>
      <c r="I17" s="1670" t="str">
        <f>E17</f>
        <v>PBP</v>
      </c>
      <c r="J17" s="1670" t="str">
        <f>F17</f>
        <v>DPBP</v>
      </c>
      <c r="K17" s="1723" t="str">
        <f>G17</f>
        <v>IRR</v>
      </c>
      <c r="L17" s="1722" t="s">
        <v>1333</v>
      </c>
      <c r="M17" s="1670" t="str">
        <f>L8</f>
        <v>PBP</v>
      </c>
      <c r="N17" s="1670" t="str">
        <f>L9</f>
        <v>DPBP</v>
      </c>
      <c r="O17" s="1675" t="str">
        <f>L7</f>
        <v>IRR</v>
      </c>
      <c r="P17" s="1674" t="str">
        <f>L17</f>
        <v>NPV, 
млн руб.</v>
      </c>
      <c r="Q17" s="1670" t="str">
        <f>M17</f>
        <v>PBP</v>
      </c>
      <c r="R17" s="1670" t="str">
        <f>N17</f>
        <v>DPBP</v>
      </c>
      <c r="S17" s="1723" t="str">
        <f>O17</f>
        <v>IRR</v>
      </c>
    </row>
    <row r="18" spans="2:19" hidden="1" outlineLevel="1">
      <c r="B18" s="1691"/>
      <c r="C18" s="1676">
        <f>Строительство!F53/10^6</f>
        <v>11472.203258232403</v>
      </c>
      <c r="D18" s="1738">
        <f>E6</f>
        <v>67.805055417616614</v>
      </c>
      <c r="E18" s="1709">
        <f>E8</f>
        <v>6</v>
      </c>
      <c r="F18" s="1709">
        <f>E9</f>
        <v>14</v>
      </c>
      <c r="G18" s="1677">
        <f>E7</f>
        <v>0.14418346312725339</v>
      </c>
      <c r="H18" s="1676">
        <f>K6</f>
        <v>-1808.2418340044969</v>
      </c>
      <c r="I18" s="1709">
        <f>K8</f>
        <v>11</v>
      </c>
      <c r="J18" s="1709" t="str">
        <f>K9</f>
        <v>не окупается</v>
      </c>
      <c r="K18" s="1725">
        <f>K7</f>
        <v>6.9552783334161816E-2</v>
      </c>
      <c r="L18" s="1738">
        <f>N6</f>
        <v>998.27965379703528</v>
      </c>
      <c r="M18" s="1709">
        <f>N8</f>
        <v>6</v>
      </c>
      <c r="N18" s="1709">
        <f>N9</f>
        <v>14</v>
      </c>
      <c r="O18" s="1677">
        <f>N7</f>
        <v>0.22612660540241714</v>
      </c>
      <c r="P18" s="1690">
        <f>S6</f>
        <v>68.971955112926025</v>
      </c>
      <c r="Q18" s="1709">
        <f>S8</f>
        <v>11</v>
      </c>
      <c r="R18" s="1709" t="str">
        <f>S9</f>
        <v>окупается с продажи</v>
      </c>
      <c r="S18" s="1725">
        <f>S7</f>
        <v>0.12587749107539392</v>
      </c>
    </row>
    <row r="19" spans="2:19" collapsed="1">
      <c r="B19" s="1692">
        <v>0.8</v>
      </c>
      <c r="C19" s="1735">
        <f t="dataTable" ref="C19:S31" dt2D="0" dtr="0" r1="B17"/>
        <v>9177.7626065859222</v>
      </c>
      <c r="D19" s="1726">
        <v>440.04380594891194</v>
      </c>
      <c r="E19" s="1672">
        <v>5</v>
      </c>
      <c r="F19" s="1672">
        <v>6</v>
      </c>
      <c r="G19" s="1681">
        <v>0.19268666085973973</v>
      </c>
      <c r="H19" s="1680">
        <v>-411.38379411252822</v>
      </c>
      <c r="I19" s="1672">
        <v>9</v>
      </c>
      <c r="J19" s="1672" t="str">
        <v>не окупается</v>
      </c>
      <c r="K19" s="1727">
        <v>0.10812640716812094</v>
      </c>
      <c r="L19" s="1726">
        <v>1378.1547912246665</v>
      </c>
      <c r="M19" s="1672">
        <v>5</v>
      </c>
      <c r="N19" s="1672">
        <v>6</v>
      </c>
      <c r="O19" s="1681">
        <v>0.26230138532110314</v>
      </c>
      <c r="P19" s="1680">
        <v>1481.2362519900978</v>
      </c>
      <c r="Q19" s="1672">
        <v>9</v>
      </c>
      <c r="R19" s="1672" t="str">
        <v>окупается с продажи</v>
      </c>
      <c r="S19" s="1727">
        <v>0.15940958692481133</v>
      </c>
    </row>
    <row r="20" spans="2:19">
      <c r="B20" s="1692">
        <f t="shared" ref="B20:B31" si="0">B19+0.025</f>
        <v>0.82500000000000007</v>
      </c>
      <c r="C20" s="1735">
        <v>9464.5676880417323</v>
      </c>
      <c r="D20" s="1726">
        <v>393.51396213249956</v>
      </c>
      <c r="E20" s="1672">
        <v>6</v>
      </c>
      <c r="F20" s="1672">
        <v>7</v>
      </c>
      <c r="G20" s="1681">
        <v>0.1860545599414678</v>
      </c>
      <c r="H20" s="1680">
        <v>-585.99104909902223</v>
      </c>
      <c r="I20" s="1672">
        <v>9</v>
      </c>
      <c r="J20" s="1672" t="str">
        <v>не окупается</v>
      </c>
      <c r="K20" s="1727">
        <v>0.10257400671581918</v>
      </c>
      <c r="L20" s="1726">
        <v>1330.6703990462122</v>
      </c>
      <c r="M20" s="1672">
        <v>6</v>
      </c>
      <c r="N20" s="1672">
        <v>7</v>
      </c>
      <c r="O20" s="1681">
        <v>0.25723631163934146</v>
      </c>
      <c r="P20" s="1680">
        <v>1304.7032148804537</v>
      </c>
      <c r="Q20" s="1672">
        <v>9</v>
      </c>
      <c r="R20" s="1672" t="str">
        <v>окупается с продажи</v>
      </c>
      <c r="S20" s="1727">
        <v>0.15459317561895047</v>
      </c>
    </row>
    <row r="21" spans="2:19">
      <c r="B21" s="1692">
        <f t="shared" si="0"/>
        <v>0.85000000000000009</v>
      </c>
      <c r="C21" s="1735">
        <v>9751.3727694975441</v>
      </c>
      <c r="D21" s="1726">
        <v>346.9841183160874</v>
      </c>
      <c r="E21" s="1672">
        <v>6</v>
      </c>
      <c r="F21" s="1672">
        <v>7</v>
      </c>
      <c r="G21" s="1681">
        <v>0.17960800495116991</v>
      </c>
      <c r="H21" s="1680">
        <v>-760.59830408552057</v>
      </c>
      <c r="I21" s="1672">
        <v>9</v>
      </c>
      <c r="J21" s="1672" t="str">
        <v>не окупается</v>
      </c>
      <c r="K21" s="1727">
        <v>9.7261453835228107E-2</v>
      </c>
      <c r="L21" s="1726">
        <v>1283.1860068677581</v>
      </c>
      <c r="M21" s="1672">
        <v>6</v>
      </c>
      <c r="N21" s="1672">
        <v>7</v>
      </c>
      <c r="O21" s="1681">
        <v>0.25234695518689532</v>
      </c>
      <c r="P21" s="1680">
        <v>1128.1701777708049</v>
      </c>
      <c r="Q21" s="1672">
        <v>9</v>
      </c>
      <c r="R21" s="1672" t="str">
        <v>окупается с продажи</v>
      </c>
      <c r="S21" s="1727">
        <v>0.14998238265209052</v>
      </c>
    </row>
    <row r="22" spans="2:19">
      <c r="B22" s="1692">
        <f t="shared" si="0"/>
        <v>0.87500000000000011</v>
      </c>
      <c r="C22" s="1735">
        <v>10038.177850953354</v>
      </c>
      <c r="D22" s="1726">
        <v>300.45427449967605</v>
      </c>
      <c r="E22" s="1672">
        <v>6</v>
      </c>
      <c r="F22" s="1672">
        <v>8</v>
      </c>
      <c r="G22" s="1681">
        <v>0.17333429563213265</v>
      </c>
      <c r="H22" s="1680">
        <v>-935.20555907201538</v>
      </c>
      <c r="I22" s="1672">
        <v>10</v>
      </c>
      <c r="J22" s="1672" t="str">
        <v>не окупается</v>
      </c>
      <c r="K22" s="1727">
        <v>9.2171232066806441E-2</v>
      </c>
      <c r="L22" s="1726">
        <v>1235.7016146893047</v>
      </c>
      <c r="M22" s="1672">
        <v>6</v>
      </c>
      <c r="N22" s="1672">
        <v>8</v>
      </c>
      <c r="O22" s="1681">
        <v>0.24762187442992856</v>
      </c>
      <c r="P22" s="1680">
        <v>951.63714066115949</v>
      </c>
      <c r="Q22" s="1672">
        <v>10</v>
      </c>
      <c r="R22" s="1672" t="str">
        <v>окупается с продажи</v>
      </c>
      <c r="S22" s="1727">
        <v>0.14556189921398688</v>
      </c>
    </row>
    <row r="23" spans="2:19">
      <c r="B23" s="1692">
        <f t="shared" si="0"/>
        <v>0.90000000000000013</v>
      </c>
      <c r="C23" s="1735">
        <v>10324.982932409164</v>
      </c>
      <c r="D23" s="1726">
        <v>253.92443068326384</v>
      </c>
      <c r="E23" s="1672">
        <v>6</v>
      </c>
      <c r="F23" s="1672">
        <v>9</v>
      </c>
      <c r="G23" s="1681">
        <v>0.16722181837727579</v>
      </c>
      <c r="H23" s="1680">
        <v>-1109.8128140585131</v>
      </c>
      <c r="I23" s="1672">
        <v>10</v>
      </c>
      <c r="J23" s="1672" t="str">
        <v>не окупается</v>
      </c>
      <c r="K23" s="1727">
        <v>8.728756808342375E-2</v>
      </c>
      <c r="L23" s="1726">
        <v>1188.2172225108507</v>
      </c>
      <c r="M23" s="1672">
        <v>6</v>
      </c>
      <c r="N23" s="1672">
        <v>9</v>
      </c>
      <c r="O23" s="1681">
        <v>0.24305066643831053</v>
      </c>
      <c r="P23" s="1680">
        <v>775.10410355151157</v>
      </c>
      <c r="Q23" s="1672">
        <v>10</v>
      </c>
      <c r="R23" s="1672" t="str">
        <v>окупается с продажи</v>
      </c>
      <c r="S23" s="1727">
        <v>0.141317981512455</v>
      </c>
    </row>
    <row r="24" spans="2:19">
      <c r="B24" s="1692">
        <f t="shared" si="0"/>
        <v>0.92500000000000016</v>
      </c>
      <c r="C24" s="1735">
        <v>10611.788013864974</v>
      </c>
      <c r="D24" s="1726">
        <v>207.39458686685214</v>
      </c>
      <c r="E24" s="1672">
        <v>6</v>
      </c>
      <c r="F24" s="1672">
        <v>10</v>
      </c>
      <c r="G24" s="1681">
        <v>0.16125992160995395</v>
      </c>
      <c r="H24" s="1680">
        <v>-1284.4200690450089</v>
      </c>
      <c r="I24" s="1672">
        <v>10</v>
      </c>
      <c r="J24" s="1672" t="str">
        <v>не окупается</v>
      </c>
      <c r="K24" s="1727">
        <v>8.2596215696335573E-2</v>
      </c>
      <c r="L24" s="1726">
        <v>1140.732830332397</v>
      </c>
      <c r="M24" s="1672">
        <v>6</v>
      </c>
      <c r="N24" s="1672">
        <v>10</v>
      </c>
      <c r="O24" s="1681">
        <v>0.23862384742102249</v>
      </c>
      <c r="P24" s="1680">
        <v>598.57106644186592</v>
      </c>
      <c r="Q24" s="1672">
        <v>10</v>
      </c>
      <c r="R24" s="1672" t="str">
        <v>окупается с продажи</v>
      </c>
      <c r="S24" s="1727">
        <v>0.1372382511315724</v>
      </c>
    </row>
    <row r="25" spans="2:19">
      <c r="B25" s="1692">
        <f t="shared" si="0"/>
        <v>0.95000000000000018</v>
      </c>
      <c r="C25" s="1735">
        <v>10898.593095320786</v>
      </c>
      <c r="D25" s="1726">
        <v>160.86474305043981</v>
      </c>
      <c r="E25" s="1672">
        <v>6</v>
      </c>
      <c r="F25" s="1672">
        <v>11</v>
      </c>
      <c r="G25" s="1681">
        <v>0.15543880803098431</v>
      </c>
      <c r="H25" s="1680">
        <v>-1459.0273240315062</v>
      </c>
      <c r="I25" s="1672">
        <v>10</v>
      </c>
      <c r="J25" s="1672" t="str">
        <v>не окупается</v>
      </c>
      <c r="K25" s="1727">
        <v>7.8084271571963848E-2</v>
      </c>
      <c r="L25" s="1726">
        <v>1093.2484381539425</v>
      </c>
      <c r="M25" s="1672">
        <v>6</v>
      </c>
      <c r="N25" s="1672">
        <v>11</v>
      </c>
      <c r="O25" s="1681">
        <v>0.23433274973785645</v>
      </c>
      <c r="P25" s="1680">
        <v>422.03802933221777</v>
      </c>
      <c r="Q25" s="1672">
        <v>10</v>
      </c>
      <c r="R25" s="1672" t="str">
        <v>окупается с продажи</v>
      </c>
      <c r="S25" s="1727">
        <v>0.13331152552502523</v>
      </c>
    </row>
    <row r="26" spans="2:19">
      <c r="B26" s="1692">
        <f t="shared" si="0"/>
        <v>0.9750000000000002</v>
      </c>
      <c r="C26" s="1735">
        <v>11185.398176776594</v>
      </c>
      <c r="D26" s="1726">
        <v>114.33489923402793</v>
      </c>
      <c r="E26" s="1672">
        <v>6</v>
      </c>
      <c r="F26" s="1672">
        <v>12</v>
      </c>
      <c r="G26" s="1681">
        <v>0.14974944103887267</v>
      </c>
      <c r="H26" s="1680">
        <v>-1633.6345790180014</v>
      </c>
      <c r="I26" s="1672">
        <v>10</v>
      </c>
      <c r="J26" s="1672" t="str">
        <v>не окупается</v>
      </c>
      <c r="K26" s="1727">
        <v>7.3740017272990954E-2</v>
      </c>
      <c r="L26" s="1726">
        <v>1045.7640459754884</v>
      </c>
      <c r="M26" s="1672">
        <v>6</v>
      </c>
      <c r="N26" s="1672">
        <v>12</v>
      </c>
      <c r="O26" s="1681">
        <v>0.23016943275699941</v>
      </c>
      <c r="P26" s="1680">
        <v>245.50499222257145</v>
      </c>
      <c r="Q26" s="1672">
        <v>10</v>
      </c>
      <c r="R26" s="1672" t="str">
        <v>окупается с продажи</v>
      </c>
      <c r="S26" s="1727">
        <v>0.12952767344047755</v>
      </c>
    </row>
    <row r="27" spans="2:19">
      <c r="B27" s="1693">
        <f t="shared" si="0"/>
        <v>1.0000000000000002</v>
      </c>
      <c r="C27" s="1736">
        <v>11472.203258232405</v>
      </c>
      <c r="D27" s="1739">
        <v>67.80505541761616</v>
      </c>
      <c r="E27" s="1710">
        <v>6</v>
      </c>
      <c r="F27" s="1710">
        <v>14</v>
      </c>
      <c r="G27" s="1695">
        <v>0.14418346312725316</v>
      </c>
      <c r="H27" s="1694">
        <v>-1808.2418340044969</v>
      </c>
      <c r="I27" s="1710">
        <v>11</v>
      </c>
      <c r="J27" s="1710" t="str">
        <v>не окупается</v>
      </c>
      <c r="K27" s="1740">
        <v>6.9552783334161816E-2</v>
      </c>
      <c r="L27" s="1739">
        <v>998.27965379703483</v>
      </c>
      <c r="M27" s="1710">
        <v>6</v>
      </c>
      <c r="N27" s="1710">
        <v>14</v>
      </c>
      <c r="O27" s="1695">
        <v>0.22612660540241714</v>
      </c>
      <c r="P27" s="1694">
        <v>68.971955112926025</v>
      </c>
      <c r="Q27" s="1710">
        <v>11</v>
      </c>
      <c r="R27" s="1710" t="str">
        <v>окупается с продажи</v>
      </c>
      <c r="S27" s="1740">
        <v>0.12587749107539414</v>
      </c>
    </row>
    <row r="28" spans="2:19">
      <c r="B28" s="1692">
        <f t="shared" si="0"/>
        <v>1.0250000000000001</v>
      </c>
      <c r="C28" s="1735">
        <v>11759.008339688213</v>
      </c>
      <c r="D28" s="1726">
        <v>21.275211601204497</v>
      </c>
      <c r="E28" s="1672">
        <v>6</v>
      </c>
      <c r="F28" s="1672" t="str">
        <v>окупается с продажи</v>
      </c>
      <c r="G28" s="1681">
        <v>0.13873312443757113</v>
      </c>
      <c r="H28" s="1680">
        <v>-1982.8490889909931</v>
      </c>
      <c r="I28" s="1672">
        <v>11</v>
      </c>
      <c r="J28" s="1672" t="str">
        <v>не окупается</v>
      </c>
      <c r="K28" s="1727">
        <v>6.5512831859004805E-2</v>
      </c>
      <c r="L28" s="1726">
        <v>950.79526161858109</v>
      </c>
      <c r="M28" s="1672">
        <v>6</v>
      </c>
      <c r="N28" s="1672" t="str">
        <v>окупается с продажи</v>
      </c>
      <c r="O28" s="1681">
        <v>0.2221975586144036</v>
      </c>
      <c r="P28" s="1680">
        <v>-107.56108199672099</v>
      </c>
      <c r="Q28" s="1672">
        <v>11</v>
      </c>
      <c r="R28" s="1672" t="str">
        <v>не окупается</v>
      </c>
      <c r="S28" s="1727">
        <v>0.12235259555585687</v>
      </c>
    </row>
    <row r="29" spans="2:19">
      <c r="B29" s="1692">
        <f t="shared" si="0"/>
        <v>1.05</v>
      </c>
      <c r="C29" s="1735">
        <v>12045.813421144023</v>
      </c>
      <c r="D29" s="1726">
        <v>-25.254632215207536</v>
      </c>
      <c r="E29" s="1672">
        <v>6</v>
      </c>
      <c r="F29" s="1672" t="str">
        <v>не окупается</v>
      </c>
      <c r="G29" s="1681">
        <v>0.13339122002262216</v>
      </c>
      <c r="H29" s="1680">
        <v>-2157.4563439774884</v>
      </c>
      <c r="I29" s="1672">
        <v>11</v>
      </c>
      <c r="J29" s="1672" t="str">
        <v>не окупается</v>
      </c>
      <c r="K29" s="1727">
        <v>6.1611254700484341E-2</v>
      </c>
      <c r="L29" s="1726">
        <v>903.31086944012725</v>
      </c>
      <c r="M29" s="1672">
        <v>6</v>
      </c>
      <c r="N29" s="1672" t="str">
        <v>окупается с продажи</v>
      </c>
      <c r="O29" s="1681">
        <v>0.21837610625200576</v>
      </c>
      <c r="P29" s="1680">
        <v>-284.09411910636618</v>
      </c>
      <c r="Q29" s="1672">
        <v>11</v>
      </c>
      <c r="R29" s="1672" t="str">
        <v>не окупается</v>
      </c>
      <c r="S29" s="1727">
        <v>0.11894533296019416</v>
      </c>
    </row>
    <row r="30" spans="2:19">
      <c r="B30" s="1692">
        <f t="shared" si="0"/>
        <v>1.075</v>
      </c>
      <c r="C30" s="1735">
        <v>12332.618502599835</v>
      </c>
      <c r="D30" s="1726">
        <v>-71.784476031619235</v>
      </c>
      <c r="E30" s="1672">
        <v>6</v>
      </c>
      <c r="F30" s="1672" t="str">
        <v>не окупается</v>
      </c>
      <c r="G30" s="1681">
        <v>0.12815103439113584</v>
      </c>
      <c r="H30" s="1680">
        <v>-2332.063598963985</v>
      </c>
      <c r="I30" s="1672">
        <v>11</v>
      </c>
      <c r="J30" s="1672" t="str">
        <v>не окупается</v>
      </c>
      <c r="K30" s="1727">
        <v>5.7839884887588067E-2</v>
      </c>
      <c r="L30" s="1726">
        <v>855.82647726167352</v>
      </c>
      <c r="M30" s="1672">
        <v>6</v>
      </c>
      <c r="N30" s="1672" t="str">
        <v>окупается с продажи</v>
      </c>
      <c r="O30" s="1681">
        <v>0.21465653321307832</v>
      </c>
      <c r="P30" s="1680">
        <v>-460.62715621601342</v>
      </c>
      <c r="Q30" s="1672">
        <v>11</v>
      </c>
      <c r="R30" s="1672" t="str">
        <v>не окупается</v>
      </c>
      <c r="S30" s="1727">
        <v>0.11564869859963056</v>
      </c>
    </row>
    <row r="31" spans="2:19" ht="13.5" thickBot="1">
      <c r="B31" s="1692">
        <f t="shared" si="0"/>
        <v>1.0999999999999999</v>
      </c>
      <c r="C31" s="1737">
        <v>12619.423584055641</v>
      </c>
      <c r="D31" s="1730">
        <v>-118.31431984803019</v>
      </c>
      <c r="E31" s="1731">
        <v>6</v>
      </c>
      <c r="F31" s="1731" t="str">
        <v>не окупается</v>
      </c>
      <c r="G31" s="1732">
        <v>0.12300629255991602</v>
      </c>
      <c r="H31" s="1733">
        <v>-2506.6708539504803</v>
      </c>
      <c r="I31" s="1731">
        <v>12</v>
      </c>
      <c r="J31" s="1731" t="str">
        <v>не окупается</v>
      </c>
      <c r="K31" s="1734">
        <v>5.4191219292921256E-2</v>
      </c>
      <c r="L31" s="1730">
        <v>808.34208508322058</v>
      </c>
      <c r="M31" s="1731">
        <v>6</v>
      </c>
      <c r="N31" s="1731" t="str">
        <v>окупается с продажи</v>
      </c>
      <c r="O31" s="1732">
        <v>0.21103354974243804</v>
      </c>
      <c r="P31" s="1733">
        <v>-637.16019332565907</v>
      </c>
      <c r="Q31" s="1731">
        <v>12</v>
      </c>
      <c r="R31" s="1731" t="str">
        <v>не окупается</v>
      </c>
      <c r="S31" s="1734">
        <v>0.1124562676884362</v>
      </c>
    </row>
    <row r="32" spans="2:19">
      <c r="B32" s="1659"/>
    </row>
    <row r="33" spans="2:19">
      <c r="B33" s="1659"/>
    </row>
    <row r="34" spans="2:19">
      <c r="C34" s="1669" t="s">
        <v>1334</v>
      </c>
    </row>
    <row r="35" spans="2:19" ht="13.5" thickBot="1">
      <c r="C35" s="1669"/>
    </row>
    <row r="36" spans="2:19">
      <c r="B36" s="1669"/>
      <c r="D36" s="1716" t="str">
        <f>D15</f>
        <v>ПОКАЗАТЕЛИ ПРОЕКТА БЕЗ УЧЕТА ПРОДАЖИ В ТЕРМИНАЛЬНОМ ГОДУ</v>
      </c>
      <c r="E36" s="1717"/>
      <c r="F36" s="1717"/>
      <c r="G36" s="1717"/>
      <c r="H36" s="1717"/>
      <c r="I36" s="1718"/>
      <c r="J36" s="1717"/>
      <c r="K36" s="1719"/>
      <c r="L36" s="1716" t="str">
        <f>L15</f>
        <v>ПОКАЗАТЕЛИ ПРОЕКТА С УЧЕТОМ ПРОДАЖИ В ТЕРМИНАЛЬНОМ ГОДУ</v>
      </c>
      <c r="M36" s="1717"/>
      <c r="N36" s="1717"/>
      <c r="O36" s="1717"/>
      <c r="P36" s="1717"/>
      <c r="Q36" s="1718"/>
      <c r="R36" s="1717"/>
      <c r="S36" s="1719"/>
    </row>
    <row r="37" spans="2:19">
      <c r="B37" s="1703"/>
      <c r="C37" s="1682"/>
      <c r="D37" s="1720" t="str">
        <f>D16</f>
        <v>Показатели проекта на собственный капитал</v>
      </c>
      <c r="E37" s="1684"/>
      <c r="F37" s="1686"/>
      <c r="G37" s="1685"/>
      <c r="H37" s="1682" t="str">
        <f>H16</f>
        <v xml:space="preserve">Показатели проекта </v>
      </c>
      <c r="I37" s="1683"/>
      <c r="J37" s="1684"/>
      <c r="K37" s="1721"/>
      <c r="L37" s="1720" t="str">
        <f>L16</f>
        <v>Показатели проекта на собственный капитал</v>
      </c>
      <c r="M37" s="1684"/>
      <c r="N37" s="1686"/>
      <c r="O37" s="1685"/>
      <c r="P37" s="1682" t="str">
        <f>P16</f>
        <v xml:space="preserve">Показатели проекта </v>
      </c>
      <c r="Q37" s="1683"/>
      <c r="R37" s="1684"/>
      <c r="S37" s="1721"/>
    </row>
    <row r="38" spans="2:19" ht="38.25">
      <c r="B38" s="417">
        <v>1</v>
      </c>
      <c r="C38" s="1674" t="s">
        <v>1335</v>
      </c>
      <c r="D38" s="1722" t="s">
        <v>1333</v>
      </c>
      <c r="E38" s="1670" t="str">
        <f>E17</f>
        <v>PBP</v>
      </c>
      <c r="F38" s="1670" t="str">
        <f t="shared" ref="F38:G38" si="1">F17</f>
        <v>DPBP</v>
      </c>
      <c r="G38" s="1675" t="str">
        <f t="shared" si="1"/>
        <v>IRR</v>
      </c>
      <c r="H38" s="1674" t="str">
        <f>D38</f>
        <v>NPV, 
млн руб.</v>
      </c>
      <c r="I38" s="1670" t="str">
        <f>E38</f>
        <v>PBP</v>
      </c>
      <c r="J38" s="1670" t="str">
        <f>F38</f>
        <v>DPBP</v>
      </c>
      <c r="K38" s="1723" t="str">
        <f>G38</f>
        <v>IRR</v>
      </c>
      <c r="L38" s="1722" t="s">
        <v>1333</v>
      </c>
      <c r="M38" s="1670" t="str">
        <f>M17</f>
        <v>PBP</v>
      </c>
      <c r="N38" s="1670" t="str">
        <f t="shared" ref="N38:O38" si="2">N17</f>
        <v>DPBP</v>
      </c>
      <c r="O38" s="1675" t="str">
        <f t="shared" si="2"/>
        <v>IRR</v>
      </c>
      <c r="P38" s="1674" t="str">
        <f>L38</f>
        <v>NPV, 
млн руб.</v>
      </c>
      <c r="Q38" s="1670" t="str">
        <f>M38</f>
        <v>PBP</v>
      </c>
      <c r="R38" s="1670" t="str">
        <f>N38</f>
        <v>DPBP</v>
      </c>
      <c r="S38" s="1723" t="str">
        <f>O38</f>
        <v>IRR</v>
      </c>
    </row>
    <row r="39" spans="2:19" hidden="1" outlineLevel="1">
      <c r="C39" s="1712">
        <f>СВОД_PL!$I$31</f>
        <v>0.64671998166900768</v>
      </c>
      <c r="D39" s="1724">
        <f>D18</f>
        <v>67.805055417616614</v>
      </c>
      <c r="E39" s="1709">
        <f t="shared" ref="E39:K39" si="3">E18</f>
        <v>6</v>
      </c>
      <c r="F39" s="1709">
        <f t="shared" si="3"/>
        <v>14</v>
      </c>
      <c r="G39" s="1677">
        <f t="shared" si="3"/>
        <v>0.14418346312725339</v>
      </c>
      <c r="H39" s="1676">
        <f>H18</f>
        <v>-1808.2418340044969</v>
      </c>
      <c r="I39" s="1709">
        <f t="shared" si="3"/>
        <v>11</v>
      </c>
      <c r="J39" s="1709" t="str">
        <f t="shared" si="3"/>
        <v>не окупается</v>
      </c>
      <c r="K39" s="1725">
        <f t="shared" si="3"/>
        <v>6.9552783334161816E-2</v>
      </c>
      <c r="L39" s="1724">
        <f>L18</f>
        <v>998.27965379703528</v>
      </c>
      <c r="M39" s="1709">
        <f t="shared" ref="M39:O39" si="4">M18</f>
        <v>6</v>
      </c>
      <c r="N39" s="1709">
        <f t="shared" si="4"/>
        <v>14</v>
      </c>
      <c r="O39" s="1677">
        <f t="shared" si="4"/>
        <v>0.22612660540241714</v>
      </c>
      <c r="P39" s="1676">
        <f>P18</f>
        <v>68.971955112926025</v>
      </c>
      <c r="Q39" s="1709">
        <f t="shared" ref="Q39:S39" si="5">Q18</f>
        <v>11</v>
      </c>
      <c r="R39" s="1709" t="str">
        <f t="shared" si="5"/>
        <v>окупается с продажи</v>
      </c>
      <c r="S39" s="1725">
        <f t="shared" si="5"/>
        <v>0.12587749107539392</v>
      </c>
    </row>
    <row r="40" spans="2:19" collapsed="1">
      <c r="B40" s="508">
        <v>0.8</v>
      </c>
      <c r="C40" s="1713">
        <f t="dataTable" ref="C40:S56" dt2D="0" dtr="0" r1="B38" ca="1"/>
        <v>0.51737598533520623</v>
      </c>
      <c r="D40" s="1726">
        <v>-796.89337737055564</v>
      </c>
      <c r="E40" s="1672" t="str">
        <v>не окупается</v>
      </c>
      <c r="F40" s="1672" t="str">
        <v>не окупается</v>
      </c>
      <c r="G40" s="1681" t="str">
        <v>не применимо</v>
      </c>
      <c r="H40" s="1680">
        <v>-3035.9697759299397</v>
      </c>
      <c r="I40" s="1672">
        <v>13</v>
      </c>
      <c r="J40" s="1672" t="str">
        <v>не окупается</v>
      </c>
      <c r="K40" s="1727">
        <v>2.6896484903399465E-2</v>
      </c>
      <c r="L40" s="1726">
        <v>-109.03665729053137</v>
      </c>
      <c r="M40" s="1672" t="str">
        <v>окупается с продажи</v>
      </c>
      <c r="N40" s="1672" t="str">
        <v>не окупается</v>
      </c>
      <c r="O40" s="1681">
        <v>0.15118037588283073</v>
      </c>
      <c r="P40" s="1680">
        <v>-1648.2326769051563</v>
      </c>
      <c r="Q40" s="1672">
        <v>13</v>
      </c>
      <c r="R40" s="1672" t="str">
        <v>не окупается</v>
      </c>
      <c r="S40" s="1727">
        <v>8.8092379986296709E-2</v>
      </c>
    </row>
    <row r="41" spans="2:19">
      <c r="B41" s="508">
        <f t="shared" ref="B41:B56" si="6">B40+0.025</f>
        <v>0.82500000000000007</v>
      </c>
      <c r="C41" s="1713">
        <v>0.53354398487693144</v>
      </c>
      <c r="D41" s="1726">
        <v>-688.60267276970274</v>
      </c>
      <c r="E41" s="1672">
        <v>10</v>
      </c>
      <c r="F41" s="1672" t="str">
        <v>не окупается</v>
      </c>
      <c r="G41" s="1681">
        <v>2.0372070570181755E-2</v>
      </c>
      <c r="H41" s="1680">
        <v>-2882.5037831892614</v>
      </c>
      <c r="I41" s="1672">
        <v>13</v>
      </c>
      <c r="J41" s="1672" t="str">
        <v>не окупается</v>
      </c>
      <c r="K41" s="1727">
        <v>3.266027816528827E-2</v>
      </c>
      <c r="L41" s="1726">
        <v>29.58128209774577</v>
      </c>
      <c r="M41" s="1672">
        <v>10</v>
      </c>
      <c r="N41" s="1672" t="str">
        <v>окупается с продажи</v>
      </c>
      <c r="O41" s="1681">
        <v>0.16167093385253328</v>
      </c>
      <c r="P41" s="1680">
        <v>-1433.5820979028983</v>
      </c>
      <c r="Q41" s="1672">
        <v>13</v>
      </c>
      <c r="R41" s="1672" t="str">
        <v>не окупается</v>
      </c>
      <c r="S41" s="1727">
        <v>9.3231843484985921E-2</v>
      </c>
    </row>
    <row r="42" spans="2:19">
      <c r="B42" s="508">
        <f t="shared" si="6"/>
        <v>0.85000000000000009</v>
      </c>
      <c r="C42" s="1713">
        <v>0.54971198441865654</v>
      </c>
      <c r="D42" s="1726">
        <v>-580.54442588579968</v>
      </c>
      <c r="E42" s="1672">
        <v>6</v>
      </c>
      <c r="F42" s="1672" t="str">
        <v>не окупается</v>
      </c>
      <c r="G42" s="1681">
        <v>4.4430064924436907E-2</v>
      </c>
      <c r="H42" s="1680">
        <v>-2729.0377904485786</v>
      </c>
      <c r="I42" s="1672">
        <v>12</v>
      </c>
      <c r="J42" s="1672" t="str">
        <v>не окупается</v>
      </c>
      <c r="K42" s="1727">
        <v>3.8283380789977839E-2</v>
      </c>
      <c r="L42" s="1726">
        <v>167.96676376907305</v>
      </c>
      <c r="M42" s="1672">
        <v>6</v>
      </c>
      <c r="N42" s="1672" t="str">
        <v>окупается с продажи</v>
      </c>
      <c r="O42" s="1681">
        <v>0.17175153819755007</v>
      </c>
      <c r="P42" s="1680">
        <v>-1218.9315189006356</v>
      </c>
      <c r="Q42" s="1672">
        <v>12</v>
      </c>
      <c r="R42" s="1672" t="str">
        <v>не окупается</v>
      </c>
      <c r="S42" s="1727">
        <v>9.8234436416073434E-2</v>
      </c>
    </row>
    <row r="43" spans="2:19">
      <c r="B43" s="508">
        <f t="shared" si="6"/>
        <v>0.87500000000000011</v>
      </c>
      <c r="C43" s="1713">
        <v>0.56587998396038186</v>
      </c>
      <c r="D43" s="1726">
        <v>-472.48617900189663</v>
      </c>
      <c r="E43" s="1672">
        <v>6</v>
      </c>
      <c r="F43" s="1672" t="str">
        <v>не окупается</v>
      </c>
      <c r="G43" s="1681">
        <v>6.5274256887761117E-2</v>
      </c>
      <c r="H43" s="1680">
        <v>-2575.5717977078966</v>
      </c>
      <c r="I43" s="1672">
        <v>12</v>
      </c>
      <c r="J43" s="1672" t="str">
        <v>не окупается</v>
      </c>
      <c r="K43" s="1727">
        <v>4.3775629922941039E-2</v>
      </c>
      <c r="L43" s="1726">
        <v>306.35224544040068</v>
      </c>
      <c r="M43" s="1672">
        <v>6</v>
      </c>
      <c r="N43" s="1672" t="str">
        <v>окупается с продажи</v>
      </c>
      <c r="O43" s="1681">
        <v>0.18149670109805527</v>
      </c>
      <c r="P43" s="1680">
        <v>-1004.2809398983732</v>
      </c>
      <c r="Q43" s="1672">
        <v>12</v>
      </c>
      <c r="R43" s="1672" t="str">
        <v>не окупается</v>
      </c>
      <c r="S43" s="1727">
        <v>0.10311036980822985</v>
      </c>
    </row>
    <row r="44" spans="2:19">
      <c r="B44" s="508">
        <f t="shared" si="6"/>
        <v>0.90000000000000013</v>
      </c>
      <c r="C44" s="1713">
        <v>0.58204798350210718</v>
      </c>
      <c r="D44" s="1726">
        <v>-364.42793211799346</v>
      </c>
      <c r="E44" s="1672">
        <v>6</v>
      </c>
      <c r="F44" s="1672" t="str">
        <v>не окупается</v>
      </c>
      <c r="G44" s="1681">
        <v>8.3840991060312398E-2</v>
      </c>
      <c r="H44" s="1680">
        <v>-2422.1058049672174</v>
      </c>
      <c r="I44" s="1672">
        <v>12</v>
      </c>
      <c r="J44" s="1672" t="str">
        <v>не окупается</v>
      </c>
      <c r="K44" s="1727">
        <v>4.9145819487024678E-2</v>
      </c>
      <c r="L44" s="1726">
        <v>444.73772711172796</v>
      </c>
      <c r="M44" s="1672">
        <v>6</v>
      </c>
      <c r="N44" s="1672" t="str">
        <v>окупается с продажи</v>
      </c>
      <c r="O44" s="1681">
        <v>0.19093680496796894</v>
      </c>
      <c r="P44" s="1680">
        <v>-789.63036089611433</v>
      </c>
      <c r="Q44" s="1672">
        <v>12</v>
      </c>
      <c r="R44" s="1672" t="str">
        <v>не окупается</v>
      </c>
      <c r="S44" s="1727">
        <v>0.10786873771567485</v>
      </c>
    </row>
    <row r="45" spans="2:19">
      <c r="B45" s="508">
        <f t="shared" si="6"/>
        <v>0.92500000000000016</v>
      </c>
      <c r="C45" s="1713">
        <v>0.59821598304383239</v>
      </c>
      <c r="D45" s="1726">
        <v>-256.36968523409058</v>
      </c>
      <c r="E45" s="1672">
        <v>6</v>
      </c>
      <c r="F45" s="1672" t="str">
        <v>не окупается</v>
      </c>
      <c r="G45" s="1681">
        <v>0.10069672061326695</v>
      </c>
      <c r="H45" s="1680">
        <v>-2268.6398122265382</v>
      </c>
      <c r="I45" s="1672">
        <v>11</v>
      </c>
      <c r="J45" s="1672" t="str">
        <v>не окупается</v>
      </c>
      <c r="K45" s="1727">
        <v>5.4401844443554337E-2</v>
      </c>
      <c r="L45" s="1726">
        <v>583.12320878305491</v>
      </c>
      <c r="M45" s="1672">
        <v>6</v>
      </c>
      <c r="N45" s="1672" t="str">
        <v>окупается с продажи</v>
      </c>
      <c r="O45" s="1681">
        <v>0.20009820588554739</v>
      </c>
      <c r="P45" s="1680">
        <v>-574.97978189385572</v>
      </c>
      <c r="Q45" s="1672">
        <v>11</v>
      </c>
      <c r="R45" s="1672" t="str">
        <v>не окупается</v>
      </c>
      <c r="S45" s="1727">
        <v>0.11251767563297954</v>
      </c>
    </row>
    <row r="46" spans="2:19">
      <c r="B46" s="508">
        <f t="shared" si="6"/>
        <v>0.95000000000000018</v>
      </c>
      <c r="C46" s="1713">
        <v>0.6143839825855576</v>
      </c>
      <c r="D46" s="1726">
        <v>-148.31143835018759</v>
      </c>
      <c r="E46" s="1672">
        <v>6</v>
      </c>
      <c r="F46" s="1672" t="str">
        <v>не окупается</v>
      </c>
      <c r="G46" s="1681">
        <v>0.11621251863987347</v>
      </c>
      <c r="H46" s="1680">
        <v>-2115.1738194858567</v>
      </c>
      <c r="I46" s="1672">
        <v>11</v>
      </c>
      <c r="J46" s="1672" t="str">
        <v>не окупается</v>
      </c>
      <c r="K46" s="1727">
        <v>5.9550820767436452E-2</v>
      </c>
      <c r="L46" s="1726">
        <v>721.50869045438321</v>
      </c>
      <c r="M46" s="1672">
        <v>6</v>
      </c>
      <c r="N46" s="1672" t="str">
        <v>окупается с продажи</v>
      </c>
      <c r="O46" s="1681">
        <v>0.20900390769935462</v>
      </c>
      <c r="P46" s="1680">
        <v>-360.32920289159233</v>
      </c>
      <c r="Q46" s="1672">
        <v>11</v>
      </c>
      <c r="R46" s="1672" t="str">
        <v>не окупается</v>
      </c>
      <c r="S46" s="1727">
        <v>0.11706449161703203</v>
      </c>
    </row>
    <row r="47" spans="2:19">
      <c r="B47" s="508">
        <f t="shared" si="6"/>
        <v>0.9750000000000002</v>
      </c>
      <c r="C47" s="1713">
        <v>0.6305519821272827</v>
      </c>
      <c r="D47" s="1726">
        <v>-40.253191466285337</v>
      </c>
      <c r="E47" s="1672">
        <v>6</v>
      </c>
      <c r="F47" s="1672" t="str">
        <v>не окупается</v>
      </c>
      <c r="G47" s="1681">
        <v>0.13064587920734017</v>
      </c>
      <c r="H47" s="1680">
        <v>-1961.7078267451766</v>
      </c>
      <c r="I47" s="1672">
        <v>11</v>
      </c>
      <c r="J47" s="1672" t="str">
        <v>не окупается</v>
      </c>
      <c r="K47" s="1727">
        <v>6.4599185888444044E-2</v>
      </c>
      <c r="L47" s="1726">
        <v>859.89417212570913</v>
      </c>
      <c r="M47" s="1672">
        <v>6</v>
      </c>
      <c r="N47" s="1672" t="str">
        <v>окупается с продажи</v>
      </c>
      <c r="O47" s="1681">
        <v>0.21767410214886418</v>
      </c>
      <c r="P47" s="1680">
        <v>-145.67862388933349</v>
      </c>
      <c r="Q47" s="1672">
        <v>11</v>
      </c>
      <c r="R47" s="1672" t="str">
        <v>не окупается</v>
      </c>
      <c r="S47" s="1727">
        <v>0.12151577559254734</v>
      </c>
    </row>
    <row r="48" spans="2:19">
      <c r="B48" s="1671">
        <f t="shared" si="6"/>
        <v>1.0000000000000002</v>
      </c>
      <c r="C48" s="1714">
        <v>0.6467199816690079</v>
      </c>
      <c r="D48" s="1728">
        <v>67.805055417617453</v>
      </c>
      <c r="E48" s="1673">
        <v>6</v>
      </c>
      <c r="F48" s="1673">
        <v>14</v>
      </c>
      <c r="G48" s="1679">
        <v>0.14418346312725339</v>
      </c>
      <c r="H48" s="1678">
        <v>-1808.2418340044958</v>
      </c>
      <c r="I48" s="1673">
        <v>11</v>
      </c>
      <c r="J48" s="1673" t="str">
        <v>не окупается</v>
      </c>
      <c r="K48" s="1729">
        <v>6.9552783334162038E-2</v>
      </c>
      <c r="L48" s="1728">
        <v>998.27965379703687</v>
      </c>
      <c r="M48" s="1673">
        <v>6</v>
      </c>
      <c r="N48" s="1673">
        <v>14</v>
      </c>
      <c r="O48" s="1679">
        <v>0.22612660540241714</v>
      </c>
      <c r="P48" s="1678">
        <v>68.971955112928299</v>
      </c>
      <c r="Q48" s="1673">
        <v>11</v>
      </c>
      <c r="R48" s="1673" t="str">
        <v>окупается с продажи</v>
      </c>
      <c r="S48" s="1729">
        <v>0.12587749107539414</v>
      </c>
    </row>
    <row r="49" spans="2:19">
      <c r="B49" s="508">
        <f t="shared" si="6"/>
        <v>1.0250000000000001</v>
      </c>
      <c r="C49" s="1713">
        <v>0.66288798121073311</v>
      </c>
      <c r="D49" s="1726">
        <v>175.86330230152046</v>
      </c>
      <c r="E49" s="1672">
        <v>6</v>
      </c>
      <c r="F49" s="1672">
        <v>11</v>
      </c>
      <c r="G49" s="1681">
        <v>0.15696530952808629</v>
      </c>
      <c r="H49" s="1680">
        <v>-1654.7758412638166</v>
      </c>
      <c r="I49" s="1672">
        <v>10</v>
      </c>
      <c r="J49" s="1672" t="str">
        <v>не окупается</v>
      </c>
      <c r="K49" s="1727">
        <v>7.4416934472461005E-2</v>
      </c>
      <c r="L49" s="1726">
        <v>1136.6651354683636</v>
      </c>
      <c r="M49" s="1672">
        <v>6</v>
      </c>
      <c r="N49" s="1672">
        <v>11</v>
      </c>
      <c r="O49" s="1681">
        <v>0.23437721390157984</v>
      </c>
      <c r="P49" s="1680">
        <v>283.62253411518668</v>
      </c>
      <c r="Q49" s="1672">
        <v>10</v>
      </c>
      <c r="R49" s="1672" t="str">
        <v>окупается с продажи</v>
      </c>
      <c r="S49" s="1727">
        <v>0.13015505261130844</v>
      </c>
    </row>
    <row r="50" spans="2:19">
      <c r="B50" s="508">
        <f t="shared" si="6"/>
        <v>1.05</v>
      </c>
      <c r="C50" s="1713">
        <v>0.67905598075245821</v>
      </c>
      <c r="D50" s="1726">
        <v>283.92154918542354</v>
      </c>
      <c r="E50" s="1672">
        <v>6</v>
      </c>
      <c r="F50" s="1672">
        <v>9</v>
      </c>
      <c r="G50" s="1681">
        <v>0.16909943196432553</v>
      </c>
      <c r="H50" s="1680">
        <v>-1501.3098485231355</v>
      </c>
      <c r="I50" s="1672">
        <v>10</v>
      </c>
      <c r="J50" s="1672" t="str">
        <v>не окупается</v>
      </c>
      <c r="K50" s="1727">
        <v>7.9196499652152585E-2</v>
      </c>
      <c r="L50" s="1726">
        <v>1275.0506171396908</v>
      </c>
      <c r="M50" s="1672">
        <v>6</v>
      </c>
      <c r="N50" s="1672">
        <v>9</v>
      </c>
      <c r="O50" s="1681">
        <v>0.24243999652207093</v>
      </c>
      <c r="P50" s="1680">
        <v>498.27311311744688</v>
      </c>
      <c r="Q50" s="1672">
        <v>10</v>
      </c>
      <c r="R50" s="1672" t="str">
        <v>окупается с продажи</v>
      </c>
      <c r="S50" s="1727">
        <v>0.13435339153628667</v>
      </c>
    </row>
    <row r="51" spans="2:19">
      <c r="B51" s="508">
        <f t="shared" si="6"/>
        <v>1.075</v>
      </c>
      <c r="C51" s="1713">
        <v>0.69522398029418342</v>
      </c>
      <c r="D51" s="1726">
        <v>391.97979606932489</v>
      </c>
      <c r="E51" s="1672">
        <v>6</v>
      </c>
      <c r="F51" s="1672">
        <v>8</v>
      </c>
      <c r="G51" s="1681">
        <v>0.1806710670898839</v>
      </c>
      <c r="H51" s="1680">
        <v>-1347.8438557824577</v>
      </c>
      <c r="I51" s="1672">
        <v>10</v>
      </c>
      <c r="J51" s="1672" t="str">
        <v>не окупается</v>
      </c>
      <c r="K51" s="1727">
        <v>8.3895930596402657E-2</v>
      </c>
      <c r="L51" s="1726">
        <v>1413.4360988110166</v>
      </c>
      <c r="M51" s="1672">
        <v>6</v>
      </c>
      <c r="N51" s="1672">
        <v>8</v>
      </c>
      <c r="O51" s="1681">
        <v>0.25032753622738113</v>
      </c>
      <c r="P51" s="1680">
        <v>712.92369211970504</v>
      </c>
      <c r="Q51" s="1672">
        <v>10</v>
      </c>
      <c r="R51" s="1672" t="str">
        <v>окупается с продажи</v>
      </c>
      <c r="S51" s="1727">
        <v>0.13847701211243191</v>
      </c>
    </row>
    <row r="52" spans="2:19">
      <c r="B52" s="508">
        <f t="shared" si="6"/>
        <v>1.0999999999999999</v>
      </c>
      <c r="C52" s="1713">
        <v>0.71139197983590841</v>
      </c>
      <c r="D52" s="1726">
        <v>500.03804295322846</v>
      </c>
      <c r="E52" s="1672">
        <v>6</v>
      </c>
      <c r="F52" s="1672">
        <v>7</v>
      </c>
      <c r="G52" s="1681">
        <v>0.19174877872167673</v>
      </c>
      <c r="H52" s="1680">
        <v>-1194.3778630417769</v>
      </c>
      <c r="I52" s="1672">
        <v>10</v>
      </c>
      <c r="J52" s="1672" t="str">
        <v>не окупается</v>
      </c>
      <c r="K52" s="1727">
        <v>8.8519315487927575E-2</v>
      </c>
      <c r="L52" s="1726">
        <v>1551.8215804823444</v>
      </c>
      <c r="M52" s="1672">
        <v>6</v>
      </c>
      <c r="N52" s="1672">
        <v>7</v>
      </c>
      <c r="O52" s="1681">
        <v>0.25805113124864087</v>
      </c>
      <c r="P52" s="1680">
        <v>927.57427112196592</v>
      </c>
      <c r="Q52" s="1672">
        <v>10</v>
      </c>
      <c r="R52" s="1672" t="str">
        <v>окупается с продажи</v>
      </c>
      <c r="S52" s="1727">
        <v>0.14253003969224332</v>
      </c>
    </row>
    <row r="53" spans="2:19">
      <c r="B53" s="508">
        <f t="shared" si="6"/>
        <v>1.1249999999999998</v>
      </c>
      <c r="C53" s="1713">
        <v>0.72755997937763361</v>
      </c>
      <c r="D53" s="1726">
        <v>608.09628983713117</v>
      </c>
      <c r="E53" s="1672">
        <v>5</v>
      </c>
      <c r="F53" s="1672">
        <v>6</v>
      </c>
      <c r="G53" s="1681">
        <v>0.20180066251650985</v>
      </c>
      <c r="H53" s="1680">
        <v>-1040.9118703010963</v>
      </c>
      <c r="I53" s="1672">
        <v>10</v>
      </c>
      <c r="J53" s="1672" t="str">
        <v>не окупается</v>
      </c>
      <c r="K53" s="1727">
        <v>9.3070417968923014E-2</v>
      </c>
      <c r="L53" s="1726">
        <v>1690.2070621536723</v>
      </c>
      <c r="M53" s="1672">
        <v>5</v>
      </c>
      <c r="N53" s="1672">
        <v>6</v>
      </c>
      <c r="O53" s="1681">
        <v>0.26511278200277388</v>
      </c>
      <c r="P53" s="1680">
        <v>1142.2248501242275</v>
      </c>
      <c r="Q53" s="1672">
        <v>10</v>
      </c>
      <c r="R53" s="1672" t="str">
        <v>окупается с продажи</v>
      </c>
      <c r="S53" s="1727">
        <v>0.14651626223670799</v>
      </c>
    </row>
    <row r="54" spans="2:19">
      <c r="B54" s="508">
        <f t="shared" si="6"/>
        <v>1.1499999999999997</v>
      </c>
      <c r="C54" s="1713">
        <v>0.74372797891935882</v>
      </c>
      <c r="D54" s="1726">
        <v>716.15453672103354</v>
      </c>
      <c r="E54" s="1672">
        <v>5</v>
      </c>
      <c r="F54" s="1672">
        <v>6</v>
      </c>
      <c r="G54" s="1681">
        <v>0.21122101480563082</v>
      </c>
      <c r="H54" s="1680">
        <v>-887.44587756041665</v>
      </c>
      <c r="I54" s="1672">
        <v>9</v>
      </c>
      <c r="J54" s="1672" t="str">
        <v>не окупается</v>
      </c>
      <c r="K54" s="1727">
        <v>9.7552711011007043E-2</v>
      </c>
      <c r="L54" s="1726">
        <v>1828.5925438249976</v>
      </c>
      <c r="M54" s="1672">
        <v>5</v>
      </c>
      <c r="N54" s="1672">
        <v>6</v>
      </c>
      <c r="O54" s="1681">
        <v>0.27182739251939436</v>
      </c>
      <c r="P54" s="1680">
        <v>1356.875429126485</v>
      </c>
      <c r="Q54" s="1672">
        <v>9</v>
      </c>
      <c r="R54" s="1672" t="str">
        <v>окупается с продажи</v>
      </c>
      <c r="S54" s="1727">
        <v>0.15043916626298248</v>
      </c>
    </row>
    <row r="55" spans="2:19">
      <c r="B55" s="508">
        <f t="shared" si="6"/>
        <v>1.1749999999999996</v>
      </c>
      <c r="C55" s="1713">
        <v>0.75989597846108381</v>
      </c>
      <c r="D55" s="1726">
        <v>824.21278360493602</v>
      </c>
      <c r="E55" s="1672">
        <v>5</v>
      </c>
      <c r="F55" s="1672">
        <v>6</v>
      </c>
      <c r="G55" s="1681">
        <v>0.22025283378319349</v>
      </c>
      <c r="H55" s="1680">
        <v>-733.97988481973766</v>
      </c>
      <c r="I55" s="1672">
        <v>9</v>
      </c>
      <c r="J55" s="1672" t="str">
        <v>не окупается</v>
      </c>
      <c r="K55" s="1727">
        <v>0.10196940643831875</v>
      </c>
      <c r="L55" s="1726">
        <v>1966.9780254963241</v>
      </c>
      <c r="M55" s="1672">
        <v>5</v>
      </c>
      <c r="N55" s="1672">
        <v>6</v>
      </c>
      <c r="O55" s="1681">
        <v>0.2783780674770715</v>
      </c>
      <c r="P55" s="1680">
        <v>1571.5260081287436</v>
      </c>
      <c r="Q55" s="1672">
        <v>9</v>
      </c>
      <c r="R55" s="1672" t="str">
        <v>окупается с продажи</v>
      </c>
      <c r="S55" s="1727">
        <v>0.15430196809887864</v>
      </c>
    </row>
    <row r="56" spans="2:19" ht="13.5" thickBot="1">
      <c r="B56" s="508">
        <f t="shared" si="6"/>
        <v>1.1999999999999995</v>
      </c>
      <c r="C56" s="1715">
        <v>0.77606397800280913</v>
      </c>
      <c r="D56" s="1730">
        <v>932.27103048883794</v>
      </c>
      <c r="E56" s="1731">
        <v>5</v>
      </c>
      <c r="F56" s="1731">
        <v>6</v>
      </c>
      <c r="G56" s="1732">
        <v>0.22893337224670218</v>
      </c>
      <c r="H56" s="1733">
        <v>-580.51389207905891</v>
      </c>
      <c r="I56" s="1731">
        <v>9</v>
      </c>
      <c r="J56" s="1731" t="str">
        <v>не окупается</v>
      </c>
      <c r="K56" s="1734">
        <v>0.10632348078254794</v>
      </c>
      <c r="L56" s="1730">
        <v>2105.3635071676504</v>
      </c>
      <c r="M56" s="1731">
        <v>5</v>
      </c>
      <c r="N56" s="1731">
        <v>6</v>
      </c>
      <c r="O56" s="1732">
        <v>0.28477401971915972</v>
      </c>
      <c r="P56" s="1733">
        <v>1786.1765871310024</v>
      </c>
      <c r="Q56" s="1731">
        <v>9</v>
      </c>
      <c r="R56" s="1731" t="str">
        <v>окупается с продажи</v>
      </c>
      <c r="S56" s="1734">
        <v>0.15810764116386888</v>
      </c>
    </row>
    <row r="59" spans="2:19">
      <c r="C59" s="1669" t="s">
        <v>1336</v>
      </c>
    </row>
    <row r="60" spans="2:19" ht="13.5" thickBot="1">
      <c r="C60" s="1669"/>
    </row>
    <row r="61" spans="2:19">
      <c r="B61" s="1669"/>
      <c r="D61" s="1716" t="str">
        <f>D36</f>
        <v>ПОКАЗАТЕЛИ ПРОЕКТА БЕЗ УЧЕТА ПРОДАЖИ В ТЕРМИНАЛЬНОМ ГОДУ</v>
      </c>
      <c r="E61" s="1717"/>
      <c r="F61" s="1717"/>
      <c r="G61" s="1717"/>
      <c r="H61" s="1717"/>
      <c r="I61" s="1718"/>
      <c r="J61" s="1717"/>
      <c r="K61" s="1719"/>
      <c r="L61" s="1716" t="str">
        <f>L36</f>
        <v>ПОКАЗАТЕЛИ ПРОЕКТА С УЧЕТОМ ПРОДАЖИ В ТЕРМИНАЛЬНОМ ГОДУ</v>
      </c>
      <c r="M61" s="1717"/>
      <c r="N61" s="1717"/>
      <c r="O61" s="1717"/>
      <c r="P61" s="1717"/>
      <c r="Q61" s="1718"/>
      <c r="R61" s="1717"/>
      <c r="S61" s="1719"/>
    </row>
    <row r="62" spans="2:19">
      <c r="B62" s="1703"/>
      <c r="C62" s="1682"/>
      <c r="D62" s="1720" t="str">
        <f>D37</f>
        <v>Показатели проекта на собственный капитал</v>
      </c>
      <c r="E62" s="1684"/>
      <c r="F62" s="1686"/>
      <c r="G62" s="1685"/>
      <c r="H62" s="1682" t="str">
        <f>H37</f>
        <v xml:space="preserve">Показатели проекта </v>
      </c>
      <c r="I62" s="1683"/>
      <c r="J62" s="1684"/>
      <c r="K62" s="1721"/>
      <c r="L62" s="1720" t="str">
        <f>L37</f>
        <v>Показатели проекта на собственный капитал</v>
      </c>
      <c r="M62" s="1684"/>
      <c r="N62" s="1686"/>
      <c r="O62" s="1685"/>
      <c r="P62" s="1682" t="str">
        <f>P37</f>
        <v xml:space="preserve">Показатели проекта </v>
      </c>
      <c r="Q62" s="1683"/>
      <c r="R62" s="1684"/>
      <c r="S62" s="1721"/>
    </row>
    <row r="63" spans="2:19" ht="38.25">
      <c r="B63" s="417">
        <v>1</v>
      </c>
      <c r="C63" s="1674" t="s">
        <v>1337</v>
      </c>
      <c r="D63" s="1722" t="s">
        <v>1333</v>
      </c>
      <c r="E63" s="1670" t="str">
        <f>E38</f>
        <v>PBP</v>
      </c>
      <c r="F63" s="1670" t="str">
        <f t="shared" ref="F63:G63" si="7">F38</f>
        <v>DPBP</v>
      </c>
      <c r="G63" s="1675" t="str">
        <f t="shared" si="7"/>
        <v>IRR</v>
      </c>
      <c r="H63" s="1674" t="str">
        <f>D63</f>
        <v>NPV, 
млн руб.</v>
      </c>
      <c r="I63" s="1670" t="str">
        <f>E63</f>
        <v>PBP</v>
      </c>
      <c r="J63" s="1670" t="str">
        <f>F63</f>
        <v>DPBP</v>
      </c>
      <c r="K63" s="1723" t="str">
        <f>G63</f>
        <v>IRR</v>
      </c>
      <c r="L63" s="1722" t="s">
        <v>1333</v>
      </c>
      <c r="M63" s="1670" t="str">
        <f>M38</f>
        <v>PBP</v>
      </c>
      <c r="N63" s="1670" t="str">
        <f t="shared" ref="N63:O63" si="8">N38</f>
        <v>DPBP</v>
      </c>
      <c r="O63" s="1675" t="str">
        <f t="shared" si="8"/>
        <v>IRR</v>
      </c>
      <c r="P63" s="1674" t="str">
        <f>L63</f>
        <v>NPV, 
млн руб.</v>
      </c>
      <c r="Q63" s="1670" t="str">
        <f>M63</f>
        <v>PBP</v>
      </c>
      <c r="R63" s="1670" t="str">
        <f>N63</f>
        <v>DPBP</v>
      </c>
      <c r="S63" s="1723" t="str">
        <f>O63</f>
        <v>IRR</v>
      </c>
    </row>
    <row r="64" spans="2:19" hidden="1" outlineLevel="1">
      <c r="B64" s="1691"/>
      <c r="C64" s="1676">
        <f>СВОД_PL!$I$147</f>
        <v>8401.9926520131812</v>
      </c>
      <c r="D64" s="1724">
        <f>D39</f>
        <v>67.805055417616614</v>
      </c>
      <c r="E64" s="1709">
        <f t="shared" ref="E64:K64" si="9">E39</f>
        <v>6</v>
      </c>
      <c r="F64" s="1709">
        <f t="shared" si="9"/>
        <v>14</v>
      </c>
      <c r="G64" s="1677">
        <f t="shared" si="9"/>
        <v>0.14418346312725339</v>
      </c>
      <c r="H64" s="1676">
        <f t="shared" si="9"/>
        <v>-1808.2418340044969</v>
      </c>
      <c r="I64" s="1709">
        <f t="shared" si="9"/>
        <v>11</v>
      </c>
      <c r="J64" s="1709" t="str">
        <f t="shared" si="9"/>
        <v>не окупается</v>
      </c>
      <c r="K64" s="1725">
        <f t="shared" si="9"/>
        <v>6.9552783334161816E-2</v>
      </c>
      <c r="L64" s="1724">
        <f>L39</f>
        <v>998.27965379703528</v>
      </c>
      <c r="M64" s="1709">
        <f t="shared" ref="M64:S64" si="10">M39</f>
        <v>6</v>
      </c>
      <c r="N64" s="1709">
        <f t="shared" si="10"/>
        <v>14</v>
      </c>
      <c r="O64" s="1677">
        <f t="shared" si="10"/>
        <v>0.22612660540241714</v>
      </c>
      <c r="P64" s="1676">
        <f t="shared" si="10"/>
        <v>68.971955112926025</v>
      </c>
      <c r="Q64" s="1709">
        <f t="shared" si="10"/>
        <v>11</v>
      </c>
      <c r="R64" s="1709" t="str">
        <f t="shared" si="10"/>
        <v>окупается с продажи</v>
      </c>
      <c r="S64" s="1725">
        <f t="shared" si="10"/>
        <v>0.12587749107539392</v>
      </c>
    </row>
    <row r="65" spans="2:19" collapsed="1">
      <c r="B65" s="1692">
        <v>0.8</v>
      </c>
      <c r="C65" s="1735">
        <f t="dataTable" ref="C65:S81" dt2D="0" dtr="0" r1="B63" ca="1"/>
        <v>6721.5941216105448</v>
      </c>
      <c r="D65" s="1726">
        <v>-955.82579467856533</v>
      </c>
      <c r="E65" s="1672" t="str">
        <v>не окупается</v>
      </c>
      <c r="F65" s="1672" t="str">
        <v>не окупается</v>
      </c>
      <c r="G65" s="1681" t="str">
        <v>не применимо</v>
      </c>
      <c r="H65" s="1680">
        <v>-3257.6023493012549</v>
      </c>
      <c r="I65" s="1672">
        <v>14</v>
      </c>
      <c r="J65" s="1672" t="str">
        <v>не окупается</v>
      </c>
      <c r="K65" s="1727">
        <v>1.8540638497121176E-2</v>
      </c>
      <c r="L65" s="1726">
        <v>-307.85112825246301</v>
      </c>
      <c r="M65" s="1672" t="str">
        <v>окупается с продажи</v>
      </c>
      <c r="N65" s="1672" t="str">
        <v>не окупается</v>
      </c>
      <c r="O65" s="1681">
        <v>0.13564090732005152</v>
      </c>
      <c r="P65" s="1680">
        <v>-1950.3264914407732</v>
      </c>
      <c r="Q65" s="1672">
        <v>14</v>
      </c>
      <c r="R65" s="1672" t="str">
        <v>не окупается</v>
      </c>
      <c r="S65" s="1727">
        <v>8.0708514457883629E-2</v>
      </c>
    </row>
    <row r="66" spans="2:19">
      <c r="B66" s="1692">
        <f t="shared" ref="B66:B81" si="11">B65+0.025</f>
        <v>0.82500000000000007</v>
      </c>
      <c r="C66" s="1735">
        <v>6931.6439379108751</v>
      </c>
      <c r="D66" s="1726">
        <v>-827.40065233689188</v>
      </c>
      <c r="E66" s="1672" t="str">
        <v>не окупается</v>
      </c>
      <c r="F66" s="1672" t="str">
        <v>не окупается</v>
      </c>
      <c r="G66" s="1681" t="str">
        <v>не применимо</v>
      </c>
      <c r="H66" s="1680">
        <v>-3076.432284889162</v>
      </c>
      <c r="I66" s="1672">
        <v>13</v>
      </c>
      <c r="J66" s="1672" t="str">
        <v>не окупается</v>
      </c>
      <c r="K66" s="1727">
        <v>2.5540925160496331E-2</v>
      </c>
      <c r="L66" s="1726">
        <v>-144.11349441662469</v>
      </c>
      <c r="M66" s="1672" t="str">
        <v>окупается с продажи</v>
      </c>
      <c r="N66" s="1672" t="str">
        <v>не окупается</v>
      </c>
      <c r="O66" s="1681">
        <v>0.14861661564960849</v>
      </c>
      <c r="P66" s="1680">
        <v>-1697.914185621562</v>
      </c>
      <c r="Q66" s="1672">
        <v>13</v>
      </c>
      <c r="R66" s="1672" t="str">
        <v>не окупается</v>
      </c>
      <c r="S66" s="1727">
        <v>8.6957914702289862E-2</v>
      </c>
    </row>
    <row r="67" spans="2:19">
      <c r="B67" s="1692">
        <f t="shared" si="11"/>
        <v>0.85000000000000009</v>
      </c>
      <c r="C67" s="1735">
        <v>7141.6937542112028</v>
      </c>
      <c r="D67" s="1726">
        <v>-699.09791086404755</v>
      </c>
      <c r="E67" s="1672">
        <v>10</v>
      </c>
      <c r="F67" s="1672" t="str">
        <v>не окупается</v>
      </c>
      <c r="G67" s="1681">
        <v>1.8976969154705703E-2</v>
      </c>
      <c r="H67" s="1680">
        <v>-2895.2622204770664</v>
      </c>
      <c r="I67" s="1672">
        <v>13</v>
      </c>
      <c r="J67" s="1672" t="str">
        <v>не окупается</v>
      </c>
      <c r="K67" s="1727">
        <v>3.23326044656429E-2</v>
      </c>
      <c r="L67" s="1726">
        <v>19.501738550383948</v>
      </c>
      <c r="M67" s="1672">
        <v>10</v>
      </c>
      <c r="N67" s="1672" t="str">
        <v>окупается с продажи</v>
      </c>
      <c r="O67" s="1681">
        <v>0.16102280274452063</v>
      </c>
      <c r="P67" s="1680">
        <v>-1445.5018798023493</v>
      </c>
      <c r="Q67" s="1672">
        <v>13</v>
      </c>
      <c r="R67" s="1672" t="str">
        <v>не окупается</v>
      </c>
      <c r="S67" s="1727">
        <v>9.3003437524941779E-2</v>
      </c>
    </row>
    <row r="68" spans="2:19">
      <c r="B68" s="1692">
        <f t="shared" si="11"/>
        <v>0.87500000000000011</v>
      </c>
      <c r="C68" s="1735">
        <v>7351.7435705115331</v>
      </c>
      <c r="D68" s="1726">
        <v>-571.28074981710415</v>
      </c>
      <c r="E68" s="1672">
        <v>6</v>
      </c>
      <c r="F68" s="1672" t="str">
        <v>не окупается</v>
      </c>
      <c r="G68" s="1681">
        <v>4.699820665269816E-2</v>
      </c>
      <c r="H68" s="1680">
        <v>-2714.0921560649708</v>
      </c>
      <c r="I68" s="1672">
        <v>12</v>
      </c>
      <c r="J68" s="1672" t="str">
        <v>не окупается</v>
      </c>
      <c r="K68" s="1727">
        <v>3.893334500913026E-2</v>
      </c>
      <c r="L68" s="1726">
        <v>182.63139109149199</v>
      </c>
      <c r="M68" s="1672">
        <v>6</v>
      </c>
      <c r="N68" s="1672" t="str">
        <v>окупается с продажи</v>
      </c>
      <c r="O68" s="1681">
        <v>0.1728489763454335</v>
      </c>
      <c r="P68" s="1680">
        <v>-1193.0895739831358</v>
      </c>
      <c r="Q68" s="1672">
        <v>12</v>
      </c>
      <c r="R68" s="1672" t="str">
        <v>не окупается</v>
      </c>
      <c r="S68" s="1727">
        <v>9.8863488596983018E-2</v>
      </c>
    </row>
    <row r="69" spans="2:19">
      <c r="B69" s="1692">
        <f t="shared" si="11"/>
        <v>0.90000000000000013</v>
      </c>
      <c r="C69" s="1735">
        <v>7561.7933868118616</v>
      </c>
      <c r="D69" s="1726">
        <v>-443.46358877015916</v>
      </c>
      <c r="E69" s="1672">
        <v>6</v>
      </c>
      <c r="F69" s="1672" t="str">
        <v>не окупается</v>
      </c>
      <c r="G69" s="1681">
        <v>7.0842800752531909E-2</v>
      </c>
      <c r="H69" s="1680">
        <v>-2532.9220916528752</v>
      </c>
      <c r="I69" s="1672">
        <v>12</v>
      </c>
      <c r="J69" s="1672" t="str">
        <v>не окупается</v>
      </c>
      <c r="K69" s="1727">
        <v>4.5358567004967876E-2</v>
      </c>
      <c r="L69" s="1726">
        <v>345.76104363260129</v>
      </c>
      <c r="M69" s="1672">
        <v>6</v>
      </c>
      <c r="N69" s="1672" t="str">
        <v>окупается с продажи</v>
      </c>
      <c r="O69" s="1681">
        <v>0.18423003857185916</v>
      </c>
      <c r="P69" s="1680">
        <v>-940.67726816392315</v>
      </c>
      <c r="Q69" s="1672">
        <v>12</v>
      </c>
      <c r="R69" s="1672" t="str">
        <v>не окупается</v>
      </c>
      <c r="S69" s="1727">
        <v>0.10455405877202617</v>
      </c>
    </row>
    <row r="70" spans="2:19">
      <c r="B70" s="1692">
        <f t="shared" si="11"/>
        <v>0.92500000000000016</v>
      </c>
      <c r="C70" s="1735">
        <v>7771.8432031121929</v>
      </c>
      <c r="D70" s="1726">
        <v>-315.64642772321548</v>
      </c>
      <c r="E70" s="1672">
        <v>6</v>
      </c>
      <c r="F70" s="1672" t="str">
        <v>не окупается</v>
      </c>
      <c r="G70" s="1681">
        <v>9.1847774625278156E-2</v>
      </c>
      <c r="H70" s="1680">
        <v>-2351.7520272407819</v>
      </c>
      <c r="I70" s="1672">
        <v>12</v>
      </c>
      <c r="J70" s="1672" t="str">
        <v>не окупается</v>
      </c>
      <c r="K70" s="1727">
        <v>5.1621812584065285E-2</v>
      </c>
      <c r="L70" s="1726">
        <v>508.89069617370961</v>
      </c>
      <c r="M70" s="1672">
        <v>6</v>
      </c>
      <c r="N70" s="1672" t="str">
        <v>окупается с продажи</v>
      </c>
      <c r="O70" s="1681">
        <v>0.19521197204944141</v>
      </c>
      <c r="P70" s="1680">
        <v>-688.26496234471188</v>
      </c>
      <c r="Q70" s="1672">
        <v>12</v>
      </c>
      <c r="R70" s="1672" t="str">
        <v>не окупается</v>
      </c>
      <c r="S70" s="1727">
        <v>0.11008913189720504</v>
      </c>
    </row>
    <row r="71" spans="2:19">
      <c r="B71" s="1692">
        <f t="shared" si="11"/>
        <v>0.95000000000000018</v>
      </c>
      <c r="C71" s="1735">
        <v>7981.8930194125205</v>
      </c>
      <c r="D71" s="1726">
        <v>-187.82926667626998</v>
      </c>
      <c r="E71" s="1672">
        <v>6</v>
      </c>
      <c r="F71" s="1672" t="str">
        <v>не окупается</v>
      </c>
      <c r="G71" s="1681">
        <v>0.1107777501693199</v>
      </c>
      <c r="H71" s="1680">
        <v>-2170.5819628286863</v>
      </c>
      <c r="I71" s="1672">
        <v>11</v>
      </c>
      <c r="J71" s="1672" t="str">
        <v>не окупается</v>
      </c>
      <c r="K71" s="1727">
        <v>5.7735042313605378E-2</v>
      </c>
      <c r="L71" s="1726">
        <v>672.02034871482033</v>
      </c>
      <c r="M71" s="1672">
        <v>6</v>
      </c>
      <c r="N71" s="1672" t="str">
        <v>окупается с продажи</v>
      </c>
      <c r="O71" s="1681">
        <v>0.2058338412367291</v>
      </c>
      <c r="P71" s="1680">
        <v>-435.85265652549742</v>
      </c>
      <c r="Q71" s="1672">
        <v>11</v>
      </c>
      <c r="R71" s="1672" t="str">
        <v>не окупается</v>
      </c>
      <c r="S71" s="1727">
        <v>0.11548100951916562</v>
      </c>
    </row>
    <row r="72" spans="2:19">
      <c r="B72" s="1692">
        <f t="shared" si="11"/>
        <v>0.9750000000000002</v>
      </c>
      <c r="C72" s="1735">
        <v>8191.9428357128527</v>
      </c>
      <c r="D72" s="1726">
        <v>-60.012105629325973</v>
      </c>
      <c r="E72" s="1672">
        <v>6</v>
      </c>
      <c r="F72" s="1672" t="str">
        <v>не окупается</v>
      </c>
      <c r="G72" s="1681">
        <v>0.12811462146158137</v>
      </c>
      <c r="H72" s="1680">
        <v>-1989.4118984165907</v>
      </c>
      <c r="I72" s="1672">
        <v>11</v>
      </c>
      <c r="J72" s="1672" t="str">
        <v>не окупается</v>
      </c>
      <c r="K72" s="1727">
        <v>6.3708874993839926E-2</v>
      </c>
      <c r="L72" s="1726">
        <v>835.15000125592871</v>
      </c>
      <c r="M72" s="1672">
        <v>6</v>
      </c>
      <c r="N72" s="1672" t="str">
        <v>окупается с продажи</v>
      </c>
      <c r="O72" s="1681">
        <v>0.2161290996801406</v>
      </c>
      <c r="P72" s="1680">
        <v>-183.44035070628433</v>
      </c>
      <c r="Q72" s="1672">
        <v>11</v>
      </c>
      <c r="R72" s="1672" t="str">
        <v>не окупается</v>
      </c>
      <c r="S72" s="1727">
        <v>0.12074057209112077</v>
      </c>
    </row>
    <row r="73" spans="2:19">
      <c r="B73" s="1693">
        <f t="shared" si="11"/>
        <v>1.0000000000000002</v>
      </c>
      <c r="C73" s="1736">
        <v>8401.992652013183</v>
      </c>
      <c r="D73" s="1739">
        <v>67.80505541761778</v>
      </c>
      <c r="E73" s="1710">
        <v>6</v>
      </c>
      <c r="F73" s="1710">
        <v>14</v>
      </c>
      <c r="G73" s="1695">
        <v>0.14418346312725339</v>
      </c>
      <c r="H73" s="1694">
        <v>-1808.2418340044956</v>
      </c>
      <c r="I73" s="1710">
        <v>11</v>
      </c>
      <c r="J73" s="1710" t="str">
        <v>не окупается</v>
      </c>
      <c r="K73" s="1740">
        <v>6.9552783334162038E-2</v>
      </c>
      <c r="L73" s="1739">
        <v>998.2796537970371</v>
      </c>
      <c r="M73" s="1710">
        <v>6</v>
      </c>
      <c r="N73" s="1710">
        <v>14</v>
      </c>
      <c r="O73" s="1695">
        <v>0.22612660540241736</v>
      </c>
      <c r="P73" s="1694">
        <v>68.971955112928526</v>
      </c>
      <c r="Q73" s="1710">
        <v>11</v>
      </c>
      <c r="R73" s="1710" t="str">
        <v>окупается с продажи</v>
      </c>
      <c r="S73" s="1740">
        <v>0.12587749107539414</v>
      </c>
    </row>
    <row r="74" spans="2:19">
      <c r="B74" s="1692">
        <f t="shared" si="11"/>
        <v>1.0250000000000001</v>
      </c>
      <c r="C74" s="1735">
        <v>8612.0424683135097</v>
      </c>
      <c r="D74" s="1726">
        <v>195.62221646456197</v>
      </c>
      <c r="E74" s="1672">
        <v>6</v>
      </c>
      <c r="F74" s="1672">
        <v>10</v>
      </c>
      <c r="G74" s="1681">
        <v>0.15921489614405426</v>
      </c>
      <c r="H74" s="1680">
        <v>-1627.0717695924006</v>
      </c>
      <c r="I74" s="1672">
        <v>10</v>
      </c>
      <c r="J74" s="1672" t="str">
        <v>не окупается</v>
      </c>
      <c r="K74" s="1727">
        <v>7.5275254960939675E-2</v>
      </c>
      <c r="L74" s="1726">
        <v>1161.4093063381458</v>
      </c>
      <c r="M74" s="1672">
        <v>6</v>
      </c>
      <c r="N74" s="1672">
        <v>10</v>
      </c>
      <c r="O74" s="1681">
        <v>0.2358514187418046</v>
      </c>
      <c r="P74" s="1680">
        <v>321.38426093214093</v>
      </c>
      <c r="Q74" s="1672">
        <v>10</v>
      </c>
      <c r="R74" s="1672" t="str">
        <v>окупается с продажи</v>
      </c>
      <c r="S74" s="1727">
        <v>0.13090040265941671</v>
      </c>
    </row>
    <row r="75" spans="2:19">
      <c r="B75" s="1692">
        <f t="shared" si="11"/>
        <v>1.05</v>
      </c>
      <c r="C75" s="1735">
        <v>8822.0922846138401</v>
      </c>
      <c r="D75" s="1726">
        <v>323.43937751150628</v>
      </c>
      <c r="E75" s="1672">
        <v>6</v>
      </c>
      <c r="F75" s="1672">
        <v>8</v>
      </c>
      <c r="G75" s="1681">
        <v>0.17337902311087205</v>
      </c>
      <c r="H75" s="1680">
        <v>-1445.9017051803078</v>
      </c>
      <c r="I75" s="1672">
        <v>10</v>
      </c>
      <c r="J75" s="1672" t="str">
        <v>не окупается</v>
      </c>
      <c r="K75" s="1727">
        <v>8.0883925906430454E-2</v>
      </c>
      <c r="L75" s="1726">
        <v>1324.5389588792543</v>
      </c>
      <c r="M75" s="1672">
        <v>6</v>
      </c>
      <c r="N75" s="1672">
        <v>8</v>
      </c>
      <c r="O75" s="1681">
        <v>0.24532543580607946</v>
      </c>
      <c r="P75" s="1680">
        <v>573.79656675135084</v>
      </c>
      <c r="Q75" s="1672">
        <v>10</v>
      </c>
      <c r="R75" s="1672" t="str">
        <v>окупается с продажи</v>
      </c>
      <c r="S75" s="1727">
        <v>0.13581705116689657</v>
      </c>
    </row>
    <row r="76" spans="2:19">
      <c r="B76" s="1692">
        <f t="shared" si="11"/>
        <v>1.075</v>
      </c>
      <c r="C76" s="1735">
        <v>9032.1421009141686</v>
      </c>
      <c r="D76" s="1726">
        <v>451.25653855844962</v>
      </c>
      <c r="E76" s="1672">
        <v>6</v>
      </c>
      <c r="F76" s="1672">
        <v>7</v>
      </c>
      <c r="G76" s="1681">
        <v>0.18680525630773737</v>
      </c>
      <c r="H76" s="1680">
        <v>-1264.7316407682126</v>
      </c>
      <c r="I76" s="1672">
        <v>10</v>
      </c>
      <c r="J76" s="1672" t="str">
        <v>не окупается</v>
      </c>
      <c r="K76" s="1727">
        <v>8.6385692078266851E-2</v>
      </c>
      <c r="L76" s="1726">
        <v>1487.6686114203617</v>
      </c>
      <c r="M76" s="1672">
        <v>6</v>
      </c>
      <c r="N76" s="1672">
        <v>7</v>
      </c>
      <c r="O76" s="1681">
        <v>0.25456789632923038</v>
      </c>
      <c r="P76" s="1680">
        <v>826.20887257056233</v>
      </c>
      <c r="Q76" s="1672">
        <v>10</v>
      </c>
      <c r="R76" s="1672" t="str">
        <v>окупается с продажи</v>
      </c>
      <c r="S76" s="1727">
        <v>0.14063440831540541</v>
      </c>
    </row>
    <row r="77" spans="2:19">
      <c r="B77" s="1692">
        <f t="shared" si="11"/>
        <v>1.0999999999999999</v>
      </c>
      <c r="C77" s="1735">
        <v>9242.1919172144953</v>
      </c>
      <c r="D77" s="1726">
        <v>579.07369960539336</v>
      </c>
      <c r="E77" s="1672">
        <v>5</v>
      </c>
      <c r="F77" s="1672">
        <v>6</v>
      </c>
      <c r="G77" s="1681">
        <v>0.19915308994307801</v>
      </c>
      <c r="H77" s="1680">
        <v>-1083.5615763561204</v>
      </c>
      <c r="I77" s="1672">
        <v>10</v>
      </c>
      <c r="J77" s="1672" t="str">
        <v>не окупается</v>
      </c>
      <c r="K77" s="1727">
        <v>9.1786802933297107E-2</v>
      </c>
      <c r="L77" s="1726">
        <v>1650.7982639614709</v>
      </c>
      <c r="M77" s="1672">
        <v>5</v>
      </c>
      <c r="N77" s="1672">
        <v>6</v>
      </c>
      <c r="O77" s="1681">
        <v>0.26321378943897722</v>
      </c>
      <c r="P77" s="1680">
        <v>1078.6211783897743</v>
      </c>
      <c r="Q77" s="1672">
        <v>10</v>
      </c>
      <c r="R77" s="1672" t="str">
        <v>окупается с продажи</v>
      </c>
      <c r="S77" s="1727">
        <v>0.14535877306486156</v>
      </c>
    </row>
    <row r="78" spans="2:19">
      <c r="B78" s="1692">
        <f t="shared" si="11"/>
        <v>1.1249999999999998</v>
      </c>
      <c r="C78" s="1735">
        <v>9452.2417335148257</v>
      </c>
      <c r="D78" s="1726">
        <v>706.89086065233801</v>
      </c>
      <c r="E78" s="1672">
        <v>5</v>
      </c>
      <c r="F78" s="1672">
        <v>6</v>
      </c>
      <c r="G78" s="1681">
        <v>0.21039283717446078</v>
      </c>
      <c r="H78" s="1680">
        <v>-902.39151194402473</v>
      </c>
      <c r="I78" s="1672">
        <v>9</v>
      </c>
      <c r="J78" s="1672" t="str">
        <v>не окупается</v>
      </c>
      <c r="K78" s="1727">
        <v>9.7092940694227581E-2</v>
      </c>
      <c r="L78" s="1726">
        <v>1813.9279165025791</v>
      </c>
      <c r="M78" s="1672">
        <v>5</v>
      </c>
      <c r="N78" s="1672">
        <v>6</v>
      </c>
      <c r="O78" s="1681">
        <v>0.27118942877986085</v>
      </c>
      <c r="P78" s="1680">
        <v>1331.0334842089856</v>
      </c>
      <c r="Q78" s="1672">
        <v>9</v>
      </c>
      <c r="R78" s="1672" t="str">
        <v>окупается с продажи</v>
      </c>
      <c r="S78" s="1727">
        <v>0.1499958557426857</v>
      </c>
    </row>
    <row r="79" spans="2:19">
      <c r="B79" s="1692">
        <f t="shared" si="11"/>
        <v>1.1499999999999997</v>
      </c>
      <c r="C79" s="1735">
        <v>9662.2915498151524</v>
      </c>
      <c r="D79" s="1726">
        <v>834.70802169928186</v>
      </c>
      <c r="E79" s="1672">
        <v>5</v>
      </c>
      <c r="F79" s="1672">
        <v>6</v>
      </c>
      <c r="G79" s="1681">
        <v>0.22108865723705007</v>
      </c>
      <c r="H79" s="1680">
        <v>-721.22144753192902</v>
      </c>
      <c r="I79" s="1672">
        <v>9</v>
      </c>
      <c r="J79" s="1672" t="str">
        <v>не окупается</v>
      </c>
      <c r="K79" s="1727">
        <v>0.1023092877108196</v>
      </c>
      <c r="L79" s="1726">
        <v>1977.0575690436881</v>
      </c>
      <c r="M79" s="1672">
        <v>5</v>
      </c>
      <c r="N79" s="1672">
        <v>6</v>
      </c>
      <c r="O79" s="1681">
        <v>0.27893874466486013</v>
      </c>
      <c r="P79" s="1680">
        <v>1583.4457900282002</v>
      </c>
      <c r="Q79" s="1672">
        <v>9</v>
      </c>
      <c r="R79" s="1672" t="str">
        <v>окупается с продажи</v>
      </c>
      <c r="S79" s="1727">
        <v>0.15455084933844887</v>
      </c>
    </row>
    <row r="80" spans="2:19">
      <c r="B80" s="1692">
        <f t="shared" si="11"/>
        <v>1.1749999999999996</v>
      </c>
      <c r="C80" s="1735">
        <v>9872.3413661154809</v>
      </c>
      <c r="D80" s="1726">
        <v>962.52518274622503</v>
      </c>
      <c r="E80" s="1672">
        <v>5</v>
      </c>
      <c r="F80" s="1672">
        <v>6</v>
      </c>
      <c r="G80" s="1681">
        <v>0.23130129079055117</v>
      </c>
      <c r="H80" s="1680">
        <v>-540.05138311983615</v>
      </c>
      <c r="I80" s="1672">
        <v>9</v>
      </c>
      <c r="J80" s="1672" t="str">
        <v>не окупается</v>
      </c>
      <c r="K80" s="1727">
        <v>0.10744058404582768</v>
      </c>
      <c r="L80" s="1726">
        <v>2140.1872215847948</v>
      </c>
      <c r="M80" s="1672">
        <v>5</v>
      </c>
      <c r="N80" s="1672">
        <v>6</v>
      </c>
      <c r="O80" s="1681">
        <v>0.28647647320147906</v>
      </c>
      <c r="P80" s="1680">
        <v>1835.8580958474088</v>
      </c>
      <c r="Q80" s="1672">
        <v>9</v>
      </c>
      <c r="R80" s="1672" t="str">
        <v>окупается с продажи</v>
      </c>
      <c r="S80" s="1727">
        <v>0.15902849025651022</v>
      </c>
    </row>
    <row r="81" spans="2:19" ht="13.5" thickBot="1">
      <c r="B81" s="1692">
        <f t="shared" si="11"/>
        <v>1.1999999999999995</v>
      </c>
      <c r="C81" s="1737">
        <v>10082.391182415811</v>
      </c>
      <c r="D81" s="1730">
        <v>1090.342343793169</v>
      </c>
      <c r="E81" s="1731">
        <v>5</v>
      </c>
      <c r="F81" s="1731">
        <v>6</v>
      </c>
      <c r="G81" s="1732">
        <v>0.24108130506069836</v>
      </c>
      <c r="H81" s="1733">
        <v>-358.88131870774055</v>
      </c>
      <c r="I81" s="1731">
        <v>9</v>
      </c>
      <c r="J81" s="1731" t="str">
        <v>не окупается</v>
      </c>
      <c r="K81" s="1734">
        <v>0.11249117695444366</v>
      </c>
      <c r="L81" s="1730">
        <v>2303.3168741259033</v>
      </c>
      <c r="M81" s="1731">
        <v>5</v>
      </c>
      <c r="N81" s="1731">
        <v>6</v>
      </c>
      <c r="O81" s="1732">
        <v>0.29381590908148381</v>
      </c>
      <c r="P81" s="1733">
        <v>2088.270401666623</v>
      </c>
      <c r="Q81" s="1731">
        <v>9</v>
      </c>
      <c r="R81" s="1731" t="str">
        <v>окупается с продажи</v>
      </c>
      <c r="S81" s="1734">
        <v>0.1634331103545823</v>
      </c>
    </row>
    <row r="86" spans="2:19">
      <c r="D86" s="140"/>
      <c r="I86" s="140"/>
    </row>
    <row r="87" spans="2:19">
      <c r="D87" s="140"/>
      <c r="I87" s="140"/>
    </row>
    <row r="88" spans="2:19">
      <c r="D88" s="140"/>
      <c r="I88" s="140"/>
    </row>
    <row r="89" spans="2:19">
      <c r="D89" s="140"/>
      <c r="I89" s="140"/>
    </row>
    <row r="90" spans="2:19">
      <c r="D90" s="140"/>
      <c r="I90" s="140"/>
    </row>
    <row r="91" spans="2:19">
      <c r="D91" s="140"/>
      <c r="I91" s="140"/>
    </row>
    <row r="92" spans="2:19">
      <c r="D92" s="140"/>
      <c r="I92" s="140"/>
    </row>
  </sheetData>
  <conditionalFormatting sqref="B20:B24 B28:B31 B26">
    <cfRule type="cellIs" dxfId="1355" priority="506" operator="equal">
      <formula>0</formula>
    </cfRule>
  </conditionalFormatting>
  <conditionalFormatting sqref="B20:B24 B28:B31 B26">
    <cfRule type="expression" dxfId="1354" priority="505">
      <formula>$A$1=1</formula>
    </cfRule>
  </conditionalFormatting>
  <conditionalFormatting sqref="B54">
    <cfRule type="expression" dxfId="1353" priority="485">
      <formula>$A$1=1</formula>
    </cfRule>
  </conditionalFormatting>
  <conditionalFormatting sqref="B40">
    <cfRule type="cellIs" dxfId="1352" priority="491" operator="equal">
      <formula>0</formula>
    </cfRule>
  </conditionalFormatting>
  <conditionalFormatting sqref="C65:C72 C78:C80 C76 C74">
    <cfRule type="cellIs" dxfId="1351" priority="441" operator="equal">
      <formula>0</formula>
    </cfRule>
  </conditionalFormatting>
  <conditionalFormatting sqref="B40">
    <cfRule type="expression" dxfId="1350" priority="489">
      <formula>$A$1=1</formula>
    </cfRule>
  </conditionalFormatting>
  <conditionalFormatting sqref="B41:B47 B49:B51">
    <cfRule type="cellIs" dxfId="1349" priority="497" operator="equal">
      <formula>0</formula>
    </cfRule>
  </conditionalFormatting>
  <conditionalFormatting sqref="B41:B47 B49:B51">
    <cfRule type="expression" dxfId="1348" priority="496">
      <formula>$A$1=1</formula>
    </cfRule>
  </conditionalFormatting>
  <conditionalFormatting sqref="C65:C72 C78:C80 C76 C74">
    <cfRule type="expression" dxfId="1347" priority="440">
      <formula>$A$1=1</formula>
    </cfRule>
  </conditionalFormatting>
  <conditionalFormatting sqref="B40">
    <cfRule type="expression" dxfId="1346" priority="492">
      <formula>$A$1=1</formula>
    </cfRule>
  </conditionalFormatting>
  <conditionalFormatting sqref="B40">
    <cfRule type="cellIs" dxfId="1345" priority="495" operator="equal">
      <formula>0</formula>
    </cfRule>
  </conditionalFormatting>
  <conditionalFormatting sqref="B40">
    <cfRule type="expression" dxfId="1344" priority="490">
      <formula>$A$1=1</formula>
    </cfRule>
  </conditionalFormatting>
  <conditionalFormatting sqref="B40">
    <cfRule type="cellIs" dxfId="1343" priority="494" operator="equal">
      <formula>0</formula>
    </cfRule>
  </conditionalFormatting>
  <conditionalFormatting sqref="B40">
    <cfRule type="expression" dxfId="1342" priority="493">
      <formula>$A$1=1</formula>
    </cfRule>
  </conditionalFormatting>
  <conditionalFormatting sqref="B53">
    <cfRule type="cellIs" dxfId="1341" priority="488" operator="equal">
      <formula>0</formula>
    </cfRule>
  </conditionalFormatting>
  <conditionalFormatting sqref="B53">
    <cfRule type="expression" dxfId="1340" priority="487">
      <formula>$A$1=1</formula>
    </cfRule>
  </conditionalFormatting>
  <conditionalFormatting sqref="B54">
    <cfRule type="cellIs" dxfId="1339" priority="486" operator="equal">
      <formula>0</formula>
    </cfRule>
  </conditionalFormatting>
  <conditionalFormatting sqref="C50">
    <cfRule type="expression" dxfId="1338" priority="436">
      <formula>$A$1=1</formula>
    </cfRule>
  </conditionalFormatting>
  <conditionalFormatting sqref="B55">
    <cfRule type="cellIs" dxfId="1337" priority="484" operator="equal">
      <formula>0</formula>
    </cfRule>
  </conditionalFormatting>
  <conditionalFormatting sqref="B55">
    <cfRule type="expression" dxfId="1336" priority="483">
      <formula>$A$1=1</formula>
    </cfRule>
  </conditionalFormatting>
  <conditionalFormatting sqref="C20:C24 C28:C31 C26">
    <cfRule type="cellIs" dxfId="1335" priority="447" operator="equal">
      <formula>0</formula>
    </cfRule>
  </conditionalFormatting>
  <conditionalFormatting sqref="C20:C24 C28:C31 C26">
    <cfRule type="expression" dxfId="1334" priority="446">
      <formula>$A$1=1</formula>
    </cfRule>
  </conditionalFormatting>
  <conditionalFormatting sqref="C53:C55 C40:C47 C49:C51">
    <cfRule type="cellIs" dxfId="1333" priority="443" operator="equal">
      <formula>0</formula>
    </cfRule>
  </conditionalFormatting>
  <conditionalFormatting sqref="C53:C55 C40:C47 C49:C51">
    <cfRule type="expression" dxfId="1332" priority="442">
      <formula>$A$1=1</formula>
    </cfRule>
  </conditionalFormatting>
  <conditionalFormatting sqref="B50">
    <cfRule type="cellIs" dxfId="1331" priority="439" operator="equal">
      <formula>0</formula>
    </cfRule>
  </conditionalFormatting>
  <conditionalFormatting sqref="B50">
    <cfRule type="expression" dxfId="1330" priority="438">
      <formula>$A$1=1</formula>
    </cfRule>
  </conditionalFormatting>
  <conditionalFormatting sqref="C50">
    <cfRule type="cellIs" dxfId="1329" priority="437" operator="equal">
      <formula>0</formula>
    </cfRule>
  </conditionalFormatting>
  <conditionalFormatting sqref="B24">
    <cfRule type="expression" dxfId="1328" priority="203">
      <formula>$A$1=1</formula>
    </cfRule>
  </conditionalFormatting>
  <conditionalFormatting sqref="B24">
    <cfRule type="cellIs" dxfId="1327" priority="205" operator="equal">
      <formula>0</formula>
    </cfRule>
  </conditionalFormatting>
  <conditionalFormatting sqref="B24">
    <cfRule type="expression" dxfId="1326" priority="206">
      <formula>$A$1=1</formula>
    </cfRule>
  </conditionalFormatting>
  <conditionalFormatting sqref="B24">
    <cfRule type="cellIs" dxfId="1325" priority="209" operator="equal">
      <formula>0</formula>
    </cfRule>
  </conditionalFormatting>
  <conditionalFormatting sqref="B24">
    <cfRule type="expression" dxfId="1324" priority="204">
      <formula>$A$1=1</formula>
    </cfRule>
  </conditionalFormatting>
  <conditionalFormatting sqref="B24">
    <cfRule type="cellIs" dxfId="1323" priority="208" operator="equal">
      <formula>0</formula>
    </cfRule>
  </conditionalFormatting>
  <conditionalFormatting sqref="B24">
    <cfRule type="expression" dxfId="1322" priority="207">
      <formula>$A$1=1</formula>
    </cfRule>
  </conditionalFormatting>
  <conditionalFormatting sqref="C24">
    <cfRule type="cellIs" dxfId="1321" priority="202" operator="equal">
      <formula>0</formula>
    </cfRule>
  </conditionalFormatting>
  <conditionalFormatting sqref="C24">
    <cfRule type="expression" dxfId="1320" priority="201">
      <formula>$A$1=1</formula>
    </cfRule>
  </conditionalFormatting>
  <conditionalFormatting sqref="B19">
    <cfRule type="cellIs" dxfId="1319" priority="200" operator="equal">
      <formula>0</formula>
    </cfRule>
  </conditionalFormatting>
  <conditionalFormatting sqref="B19">
    <cfRule type="expression" dxfId="1318" priority="199">
      <formula>$A$1=1</formula>
    </cfRule>
  </conditionalFormatting>
  <conditionalFormatting sqref="C19">
    <cfRule type="cellIs" dxfId="1317" priority="198" operator="equal">
      <formula>0</formula>
    </cfRule>
  </conditionalFormatting>
  <conditionalFormatting sqref="C19">
    <cfRule type="expression" dxfId="1316" priority="197">
      <formula>$A$1=1</formula>
    </cfRule>
  </conditionalFormatting>
  <conditionalFormatting sqref="B66:B72 B76 B74">
    <cfRule type="cellIs" dxfId="1315" priority="183" operator="equal">
      <formula>0</formula>
    </cfRule>
  </conditionalFormatting>
  <conditionalFormatting sqref="B65">
    <cfRule type="expression" dxfId="1314" priority="178">
      <formula>$A$1=1</formula>
    </cfRule>
  </conditionalFormatting>
  <conditionalFormatting sqref="B65">
    <cfRule type="expression" dxfId="1313" priority="175">
      <formula>$A$1=1</formula>
    </cfRule>
  </conditionalFormatting>
  <conditionalFormatting sqref="B79">
    <cfRule type="expression" dxfId="1312" priority="171">
      <formula>$A$1=1</formula>
    </cfRule>
  </conditionalFormatting>
  <conditionalFormatting sqref="B65">
    <cfRule type="cellIs" dxfId="1311" priority="177" operator="equal">
      <formula>0</formula>
    </cfRule>
  </conditionalFormatting>
  <conditionalFormatting sqref="B66:B72 B76 B74">
    <cfRule type="expression" dxfId="1310" priority="182">
      <formula>$A$1=1</formula>
    </cfRule>
  </conditionalFormatting>
  <conditionalFormatting sqref="B65">
    <cfRule type="cellIs" dxfId="1309" priority="181" operator="equal">
      <formula>0</formula>
    </cfRule>
  </conditionalFormatting>
  <conditionalFormatting sqref="B65">
    <cfRule type="expression" dxfId="1308" priority="176">
      <formula>$A$1=1</formula>
    </cfRule>
  </conditionalFormatting>
  <conditionalFormatting sqref="B65">
    <cfRule type="cellIs" dxfId="1307" priority="180" operator="equal">
      <formula>0</formula>
    </cfRule>
  </conditionalFormatting>
  <conditionalFormatting sqref="B65">
    <cfRule type="expression" dxfId="1306" priority="179">
      <formula>$A$1=1</formula>
    </cfRule>
  </conditionalFormatting>
  <conditionalFormatting sqref="B78">
    <cfRule type="cellIs" dxfId="1305" priority="174" operator="equal">
      <formula>0</formula>
    </cfRule>
  </conditionalFormatting>
  <conditionalFormatting sqref="B78">
    <cfRule type="expression" dxfId="1304" priority="173">
      <formula>$A$1=1</formula>
    </cfRule>
  </conditionalFormatting>
  <conditionalFormatting sqref="B79">
    <cfRule type="cellIs" dxfId="1303" priority="172" operator="equal">
      <formula>0</formula>
    </cfRule>
  </conditionalFormatting>
  <conditionalFormatting sqref="B80">
    <cfRule type="cellIs" dxfId="1302" priority="170" operator="equal">
      <formula>0</formula>
    </cfRule>
  </conditionalFormatting>
  <conditionalFormatting sqref="B80">
    <cfRule type="expression" dxfId="1301" priority="169">
      <formula>$A$1=1</formula>
    </cfRule>
  </conditionalFormatting>
  <conditionalFormatting sqref="B81">
    <cfRule type="cellIs" dxfId="1300" priority="168" operator="equal">
      <formula>0</formula>
    </cfRule>
  </conditionalFormatting>
  <conditionalFormatting sqref="B81">
    <cfRule type="expression" dxfId="1299" priority="167">
      <formula>$A$1=1</formula>
    </cfRule>
  </conditionalFormatting>
  <conditionalFormatting sqref="B27">
    <cfRule type="cellIs" dxfId="1298" priority="26" operator="equal">
      <formula>0</formula>
    </cfRule>
  </conditionalFormatting>
  <conditionalFormatting sqref="B27">
    <cfRule type="expression" dxfId="1297" priority="25">
      <formula>$A$1=1</formula>
    </cfRule>
  </conditionalFormatting>
  <conditionalFormatting sqref="C27">
    <cfRule type="cellIs" dxfId="1296" priority="24" operator="equal">
      <formula>0</formula>
    </cfRule>
  </conditionalFormatting>
  <conditionalFormatting sqref="C27">
    <cfRule type="expression" dxfId="1295" priority="23">
      <formula>$A$1=1</formula>
    </cfRule>
  </conditionalFormatting>
  <conditionalFormatting sqref="C75">
    <cfRule type="cellIs" dxfId="1294" priority="152" operator="equal">
      <formula>0</formula>
    </cfRule>
  </conditionalFormatting>
  <conditionalFormatting sqref="C75">
    <cfRule type="expression" dxfId="1293" priority="151">
      <formula>$A$1=1</formula>
    </cfRule>
  </conditionalFormatting>
  <conditionalFormatting sqref="C77">
    <cfRule type="cellIs" dxfId="1292" priority="144" operator="equal">
      <formula>0</formula>
    </cfRule>
  </conditionalFormatting>
  <conditionalFormatting sqref="C77">
    <cfRule type="expression" dxfId="1291" priority="143">
      <formula>$A$1=1</formula>
    </cfRule>
  </conditionalFormatting>
  <conditionalFormatting sqref="B75">
    <cfRule type="cellIs" dxfId="1290" priority="150" operator="equal">
      <formula>0</formula>
    </cfRule>
  </conditionalFormatting>
  <conditionalFormatting sqref="B75">
    <cfRule type="expression" dxfId="1289" priority="149">
      <formula>$A$1=1</formula>
    </cfRule>
  </conditionalFormatting>
  <conditionalFormatting sqref="B73">
    <cfRule type="cellIs" dxfId="1288" priority="148" operator="equal">
      <formula>0</formula>
    </cfRule>
  </conditionalFormatting>
  <conditionalFormatting sqref="B73">
    <cfRule type="expression" dxfId="1287" priority="147">
      <formula>$A$1=1</formula>
    </cfRule>
  </conditionalFormatting>
  <conditionalFormatting sqref="B27">
    <cfRule type="cellIs" dxfId="1286" priority="22" operator="equal">
      <formula>0</formula>
    </cfRule>
  </conditionalFormatting>
  <conditionalFormatting sqref="B77">
    <cfRule type="cellIs" dxfId="1285" priority="142" operator="equal">
      <formula>0</formula>
    </cfRule>
  </conditionalFormatting>
  <conditionalFormatting sqref="B77">
    <cfRule type="expression" dxfId="1284" priority="141">
      <formula>$A$1=1</formula>
    </cfRule>
  </conditionalFormatting>
  <conditionalFormatting sqref="C81">
    <cfRule type="cellIs" dxfId="1283" priority="140" operator="equal">
      <formula>0</formula>
    </cfRule>
  </conditionalFormatting>
  <conditionalFormatting sqref="C81">
    <cfRule type="expression" dxfId="1282" priority="139">
      <formula>$A$1=1</formula>
    </cfRule>
  </conditionalFormatting>
  <conditionalFormatting sqref="C73">
    <cfRule type="cellIs" dxfId="1281" priority="146" operator="equal">
      <formula>0</formula>
    </cfRule>
  </conditionalFormatting>
  <conditionalFormatting sqref="C73">
    <cfRule type="expression" dxfId="1280" priority="145">
      <formula>$A$1=1</formula>
    </cfRule>
  </conditionalFormatting>
  <conditionalFormatting sqref="C48">
    <cfRule type="cellIs" dxfId="1279" priority="136" operator="equal">
      <formula>0</formula>
    </cfRule>
  </conditionalFormatting>
  <conditionalFormatting sqref="C48">
    <cfRule type="expression" dxfId="1278" priority="135">
      <formula>$A$1=1</formula>
    </cfRule>
  </conditionalFormatting>
  <conditionalFormatting sqref="B48">
    <cfRule type="cellIs" dxfId="1277" priority="138" operator="equal">
      <formula>0</formula>
    </cfRule>
  </conditionalFormatting>
  <conditionalFormatting sqref="B48">
    <cfRule type="expression" dxfId="1276" priority="137">
      <formula>$A$1=1</formula>
    </cfRule>
  </conditionalFormatting>
  <conditionalFormatting sqref="B56">
    <cfRule type="cellIs" dxfId="1275" priority="134" operator="equal">
      <formula>0</formula>
    </cfRule>
  </conditionalFormatting>
  <conditionalFormatting sqref="B56">
    <cfRule type="expression" dxfId="1274" priority="133">
      <formula>$A$1=1</formula>
    </cfRule>
  </conditionalFormatting>
  <conditionalFormatting sqref="C56">
    <cfRule type="cellIs" dxfId="1273" priority="132" operator="equal">
      <formula>0</formula>
    </cfRule>
  </conditionalFormatting>
  <conditionalFormatting sqref="C56">
    <cfRule type="expression" dxfId="1272" priority="131">
      <formula>$A$1=1</formula>
    </cfRule>
  </conditionalFormatting>
  <conditionalFormatting sqref="B52">
    <cfRule type="cellIs" dxfId="1271" priority="130" operator="equal">
      <formula>0</formula>
    </cfRule>
  </conditionalFormatting>
  <conditionalFormatting sqref="B52">
    <cfRule type="expression" dxfId="1270" priority="129">
      <formula>$A$1=1</formula>
    </cfRule>
  </conditionalFormatting>
  <conditionalFormatting sqref="C52">
    <cfRule type="expression" dxfId="1269" priority="123">
      <formula>$A$1=1</formula>
    </cfRule>
  </conditionalFormatting>
  <conditionalFormatting sqref="C52">
    <cfRule type="cellIs" dxfId="1268" priority="128" operator="equal">
      <formula>0</formula>
    </cfRule>
  </conditionalFormatting>
  <conditionalFormatting sqref="C52">
    <cfRule type="expression" dxfId="1267" priority="127">
      <formula>$A$1=1</formula>
    </cfRule>
  </conditionalFormatting>
  <conditionalFormatting sqref="B52">
    <cfRule type="cellIs" dxfId="1266" priority="126" operator="equal">
      <formula>0</formula>
    </cfRule>
  </conditionalFormatting>
  <conditionalFormatting sqref="B52">
    <cfRule type="expression" dxfId="1265" priority="125">
      <formula>$A$1=1</formula>
    </cfRule>
  </conditionalFormatting>
  <conditionalFormatting sqref="C52">
    <cfRule type="cellIs" dxfId="1264" priority="124" operator="equal">
      <formula>0</formula>
    </cfRule>
  </conditionalFormatting>
  <conditionalFormatting sqref="B27">
    <cfRule type="expression" dxfId="1263" priority="16">
      <formula>$A$1=1</formula>
    </cfRule>
  </conditionalFormatting>
  <conditionalFormatting sqref="B27">
    <cfRule type="cellIs" dxfId="1262" priority="18" operator="equal">
      <formula>0</formula>
    </cfRule>
  </conditionalFormatting>
  <conditionalFormatting sqref="B27">
    <cfRule type="expression" dxfId="1261" priority="19">
      <formula>$A$1=1</formula>
    </cfRule>
  </conditionalFormatting>
  <conditionalFormatting sqref="B27">
    <cfRule type="expression" dxfId="1260" priority="17">
      <formula>$A$1=1</formula>
    </cfRule>
  </conditionalFormatting>
  <conditionalFormatting sqref="B27">
    <cfRule type="cellIs" dxfId="1259" priority="21" operator="equal">
      <formula>0</formula>
    </cfRule>
  </conditionalFormatting>
  <conditionalFormatting sqref="B27">
    <cfRule type="expression" dxfId="1258" priority="20">
      <formula>$A$1=1</formula>
    </cfRule>
  </conditionalFormatting>
  <conditionalFormatting sqref="C27">
    <cfRule type="cellIs" dxfId="1257" priority="15" operator="equal">
      <formula>0</formula>
    </cfRule>
  </conditionalFormatting>
  <conditionalFormatting sqref="C27">
    <cfRule type="expression" dxfId="1256" priority="14">
      <formula>$A$1=1</formula>
    </cfRule>
  </conditionalFormatting>
  <conditionalFormatting sqref="B25">
    <cfRule type="cellIs" dxfId="1255" priority="13" operator="equal">
      <formula>0</formula>
    </cfRule>
  </conditionalFormatting>
  <conditionalFormatting sqref="B25">
    <cfRule type="expression" dxfId="1254" priority="12">
      <formula>$A$1=1</formula>
    </cfRule>
  </conditionalFormatting>
  <conditionalFormatting sqref="C25">
    <cfRule type="cellIs" dxfId="1253" priority="11" operator="equal">
      <formula>0</formula>
    </cfRule>
  </conditionalFormatting>
  <conditionalFormatting sqref="C25">
    <cfRule type="expression" dxfId="1252" priority="10">
      <formula>$A$1=1</formula>
    </cfRule>
  </conditionalFormatting>
  <conditionalFormatting sqref="B25">
    <cfRule type="expression" dxfId="1251" priority="3">
      <formula>$A$1=1</formula>
    </cfRule>
  </conditionalFormatting>
  <conditionalFormatting sqref="B25">
    <cfRule type="cellIs" dxfId="1250" priority="5" operator="equal">
      <formula>0</formula>
    </cfRule>
  </conditionalFormatting>
  <conditionalFormatting sqref="B25">
    <cfRule type="expression" dxfId="1249" priority="6">
      <formula>$A$1=1</formula>
    </cfRule>
  </conditionalFormatting>
  <conditionalFormatting sqref="B25">
    <cfRule type="cellIs" dxfId="1248" priority="9" operator="equal">
      <formula>0</formula>
    </cfRule>
  </conditionalFormatting>
  <conditionalFormatting sqref="B25">
    <cfRule type="expression" dxfId="1247" priority="4">
      <formula>$A$1=1</formula>
    </cfRule>
  </conditionalFormatting>
  <conditionalFormatting sqref="B25">
    <cfRule type="cellIs" dxfId="1246" priority="8" operator="equal">
      <formula>0</formula>
    </cfRule>
  </conditionalFormatting>
  <conditionalFormatting sqref="B25">
    <cfRule type="expression" dxfId="1245" priority="7">
      <formula>$A$1=1</formula>
    </cfRule>
  </conditionalFormatting>
  <conditionalFormatting sqref="C25">
    <cfRule type="cellIs" dxfId="1244" priority="2" operator="equal">
      <formula>0</formula>
    </cfRule>
  </conditionalFormatting>
  <conditionalFormatting sqref="C25">
    <cfRule type="expression" dxfId="1243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1:R76"/>
  <sheetViews>
    <sheetView showGridLines="0" zoomScale="85" zoomScaleNormal="85" workbookViewId="0">
      <selection activeCell="I11" sqref="I11"/>
    </sheetView>
  </sheetViews>
  <sheetFormatPr defaultRowHeight="15" outlineLevelRow="2"/>
  <cols>
    <col min="2" max="2" width="22.5703125" customWidth="1"/>
    <col min="3" max="3" width="16.85546875" customWidth="1"/>
    <col min="4" max="4" width="13" style="1408" customWidth="1"/>
    <col min="5" max="5" width="14.5703125" customWidth="1"/>
    <col min="6" max="6" width="5.5703125" customWidth="1"/>
    <col min="7" max="7" width="33.42578125" style="19" customWidth="1"/>
    <col min="8" max="8" width="10.42578125" style="19" customWidth="1"/>
    <col min="9" max="9" width="15.42578125" style="1408" customWidth="1"/>
    <col min="10" max="10" width="17.85546875" style="19" customWidth="1"/>
    <col min="13" max="13" width="16.5703125" customWidth="1"/>
    <col min="14" max="14" width="23.42578125" customWidth="1"/>
    <col min="15" max="15" width="16.140625" customWidth="1"/>
    <col min="17" max="17" width="13.28515625" bestFit="1" customWidth="1"/>
  </cols>
  <sheetData>
    <row r="1" spans="2:11" s="19" customFormat="1">
      <c r="D1" s="1408"/>
    </row>
    <row r="2" spans="2:11">
      <c r="I2" s="19"/>
      <c r="K2" s="19"/>
    </row>
    <row r="3" spans="2:11">
      <c r="B3" s="1410" t="s">
        <v>986</v>
      </c>
      <c r="C3" s="1411"/>
      <c r="D3" s="1423" t="s">
        <v>96</v>
      </c>
      <c r="E3" s="1411"/>
      <c r="G3" s="1410" t="s">
        <v>988</v>
      </c>
      <c r="H3" s="1411"/>
      <c r="I3" s="1423" t="s">
        <v>92</v>
      </c>
      <c r="J3" s="1411"/>
      <c r="K3" s="19"/>
    </row>
    <row r="4" spans="2:11" s="19" customFormat="1">
      <c r="B4" s="101" t="s">
        <v>107</v>
      </c>
      <c r="C4" s="1406"/>
      <c r="D4" s="1406">
        <f>CF_mln!D65</f>
        <v>0.17289341739814601</v>
      </c>
      <c r="E4" s="1407"/>
      <c r="G4" s="101" t="s">
        <v>107</v>
      </c>
      <c r="H4" s="1406"/>
      <c r="I4" s="1406">
        <f>CF_mln!D121</f>
        <v>0.12229314111647401</v>
      </c>
      <c r="J4" s="1407"/>
    </row>
    <row r="5" spans="2:11" s="19" customFormat="1">
      <c r="B5" s="1416" t="s">
        <v>992</v>
      </c>
      <c r="C5" s="1415"/>
      <c r="D5" s="1424"/>
      <c r="E5" s="1415"/>
      <c r="G5" s="1416" t="s">
        <v>992</v>
      </c>
      <c r="H5" s="1415"/>
      <c r="I5" s="1424"/>
      <c r="J5" s="1415"/>
    </row>
    <row r="6" spans="2:11">
      <c r="B6" s="1475" t="s">
        <v>991</v>
      </c>
      <c r="C6" s="1476"/>
      <c r="D6" s="1627">
        <f>CF_mln!D91</f>
        <v>67.805055417616614</v>
      </c>
      <c r="E6" s="1405" t="s">
        <v>985</v>
      </c>
      <c r="G6" s="1475" t="s">
        <v>991</v>
      </c>
      <c r="H6" s="101"/>
      <c r="I6" s="1696">
        <f>CF_mln!D144</f>
        <v>-1808.2418340044969</v>
      </c>
      <c r="J6" s="1405" t="s">
        <v>985</v>
      </c>
      <c r="K6" s="19"/>
    </row>
    <row r="7" spans="2:11">
      <c r="B7" s="1476" t="s">
        <v>270</v>
      </c>
      <c r="C7" s="1478"/>
      <c r="D7" s="1478">
        <f>CF_mln!D92</f>
        <v>0.14418346312725339</v>
      </c>
      <c r="E7" s="1407"/>
      <c r="G7" s="1476" t="s">
        <v>270</v>
      </c>
      <c r="H7" s="1406"/>
      <c r="I7" s="1478">
        <f>CF_mln!D145</f>
        <v>6.9552783334161816E-2</v>
      </c>
      <c r="J7" s="1407"/>
      <c r="K7" s="19"/>
    </row>
    <row r="8" spans="2:11" s="19" customFormat="1">
      <c r="B8" s="101" t="s">
        <v>159</v>
      </c>
      <c r="C8" s="1417"/>
      <c r="D8" s="1409">
        <f>CF_mln!D93</f>
        <v>6</v>
      </c>
      <c r="E8" s="1405" t="str">
        <f>IF(OR(D8="окупается с продажи",D8="не окупается"),"","лет")</f>
        <v>лет</v>
      </c>
      <c r="G8" s="101" t="s">
        <v>159</v>
      </c>
      <c r="H8" s="1417"/>
      <c r="I8" s="1426">
        <f>CF_mln!D146</f>
        <v>11</v>
      </c>
      <c r="J8" s="1405" t="str">
        <f>IF(OR(I8="окупается с продажи",I8="не окупается"),"","лет")</f>
        <v>лет</v>
      </c>
    </row>
    <row r="9" spans="2:11" s="19" customFormat="1">
      <c r="B9" s="101" t="s">
        <v>449</v>
      </c>
      <c r="C9" s="1417"/>
      <c r="D9" s="1409">
        <f>CF_mln!D94</f>
        <v>14</v>
      </c>
      <c r="E9" s="1405" t="str">
        <f>IF(OR(D9="окупается с продажи",D9="не окупается"),"","лет")</f>
        <v>лет</v>
      </c>
      <c r="G9" s="101" t="s">
        <v>449</v>
      </c>
      <c r="H9" s="1417"/>
      <c r="I9" s="1409" t="str">
        <f>CF_mln!D147</f>
        <v>не окупается</v>
      </c>
      <c r="J9" s="1405" t="str">
        <f>IF(OR(I9="окупается с продажи",I9="не окупается"),"","лет")</f>
        <v/>
      </c>
    </row>
    <row r="10" spans="2:11" s="19" customFormat="1">
      <c r="B10" s="1416" t="s">
        <v>993</v>
      </c>
      <c r="C10" s="1415"/>
      <c r="D10" s="1415"/>
      <c r="E10" s="1415"/>
      <c r="G10" s="1416" t="s">
        <v>993</v>
      </c>
      <c r="H10" s="1415"/>
      <c r="I10" s="1415"/>
      <c r="J10" s="1415"/>
    </row>
    <row r="11" spans="2:11">
      <c r="B11" s="1475" t="s">
        <v>991</v>
      </c>
      <c r="C11" s="1476"/>
      <c r="D11" s="1627">
        <f>CF_mln!D96</f>
        <v>998.27965379703528</v>
      </c>
      <c r="E11" s="1405" t="s">
        <v>985</v>
      </c>
      <c r="G11" s="1475" t="s">
        <v>991</v>
      </c>
      <c r="H11" s="101"/>
      <c r="I11" s="1696">
        <f>CF_mln!D149</f>
        <v>68.971955112926025</v>
      </c>
      <c r="J11" s="1405" t="s">
        <v>985</v>
      </c>
      <c r="K11" s="19"/>
    </row>
    <row r="12" spans="2:11">
      <c r="B12" s="1476" t="s">
        <v>270</v>
      </c>
      <c r="C12" s="1476"/>
      <c r="D12" s="1478">
        <f>CF_mln!D97</f>
        <v>0.22612660540241714</v>
      </c>
      <c r="E12" s="1407"/>
      <c r="G12" s="1476" t="s">
        <v>270</v>
      </c>
      <c r="H12" s="101"/>
      <c r="I12" s="1478">
        <f>CF_mln!D150</f>
        <v>0.12587749107539392</v>
      </c>
      <c r="J12" s="1407"/>
      <c r="K12" s="19"/>
    </row>
    <row r="13" spans="2:11">
      <c r="B13" s="101" t="s">
        <v>159</v>
      </c>
      <c r="C13" s="101"/>
      <c r="D13" s="1426">
        <f>CF_mln!D98</f>
        <v>6</v>
      </c>
      <c r="E13" s="1405" t="str">
        <f>IF(OR(D13="окупается с продажи",D13="не окупается"),"","лет")</f>
        <v>лет</v>
      </c>
      <c r="G13" s="101" t="s">
        <v>159</v>
      </c>
      <c r="H13" s="101"/>
      <c r="I13" s="1426">
        <f>CF_mln!D151</f>
        <v>11</v>
      </c>
      <c r="J13" s="1405" t="str">
        <f>IF(OR(I13="окупается с продажи",I13="не окупается"),"","лет")</f>
        <v>лет</v>
      </c>
    </row>
    <row r="14" spans="2:11">
      <c r="B14" s="101" t="s">
        <v>449</v>
      </c>
      <c r="C14" s="101"/>
      <c r="D14" s="1426">
        <f>CF_mln!D99</f>
        <v>14</v>
      </c>
      <c r="E14" s="1405" t="str">
        <f>IF(OR(D14="окупается с продажи",D14="не окупается"),"","лет")</f>
        <v>лет</v>
      </c>
      <c r="G14" s="101" t="s">
        <v>449</v>
      </c>
      <c r="H14" s="101"/>
      <c r="I14" s="1426" t="str">
        <f>CF_mln!D152</f>
        <v>окупается с продажи</v>
      </c>
      <c r="J14" s="1405" t="str">
        <f>IF(OR(I14="окупается с продажи",I14="не окупается"),"","лет")</f>
        <v/>
      </c>
    </row>
    <row r="15" spans="2:11">
      <c r="B15" s="1416" t="s">
        <v>1363</v>
      </c>
      <c r="C15" s="1415"/>
      <c r="D15" s="1798">
        <f>CF_mln!C187</f>
        <v>0</v>
      </c>
      <c r="E15" s="1797" t="s">
        <v>985</v>
      </c>
    </row>
    <row r="17" spans="2:18" hidden="1" outlineLevel="1"/>
    <row r="18" spans="2:18" ht="51" hidden="1" outlineLevel="2">
      <c r="B18" s="1635" t="s">
        <v>1292</v>
      </c>
      <c r="C18" s="1423" t="s">
        <v>1287</v>
      </c>
      <c r="D18" s="1423" t="s">
        <v>1288</v>
      </c>
      <c r="E18" s="1423" t="s">
        <v>1291</v>
      </c>
      <c r="G18" s="1636" t="s">
        <v>1293</v>
      </c>
      <c r="H18" s="1637" t="s">
        <v>1287</v>
      </c>
      <c r="I18" s="1637" t="s">
        <v>1288</v>
      </c>
      <c r="J18" s="1637" t="s">
        <v>1291</v>
      </c>
    </row>
    <row r="19" spans="2:18" hidden="1" outlineLevel="2">
      <c r="B19" s="101" t="str">
        <f>Объекты!C5</f>
        <v>Гостиница 5*</v>
      </c>
      <c r="C19" s="1631">
        <f>Объекты!F5/Объекты!$F$11</f>
        <v>0.22361359570661896</v>
      </c>
      <c r="D19" s="1631">
        <f>Объекты!E5/Объекты!$E$11</f>
        <v>0.3301211509302045</v>
      </c>
      <c r="E19" s="1631">
        <f>СВОД_PL!I33/(СВОД_PL!$I$32-СВОД_PL!$I$39)</f>
        <v>0.32454342023386012</v>
      </c>
      <c r="G19" s="108" t="s">
        <v>1294</v>
      </c>
      <c r="H19" s="1631">
        <v>0.10344827586206896</v>
      </c>
      <c r="I19" s="1631">
        <v>0.18980608734058216</v>
      </c>
      <c r="J19" s="1631">
        <v>0.23062273259557761</v>
      </c>
    </row>
    <row r="20" spans="2:18" hidden="1" outlineLevel="2">
      <c r="B20" s="101" t="str">
        <f>Объекты!C6</f>
        <v>Гостиница 4*</v>
      </c>
      <c r="C20" s="1631">
        <f>Объекты!F6/Объекты!$F$11</f>
        <v>0.28622540250447226</v>
      </c>
      <c r="D20" s="1631">
        <f>Объекты!E6/Объекты!$E$11</f>
        <v>0.34469306393935401</v>
      </c>
      <c r="E20" s="1631">
        <f>СВОД_PL!I34/(СВОД_PL!$I$32-СВОД_PL!$I$39)</f>
        <v>0.26070729450581021</v>
      </c>
      <c r="G20" s="108" t="s">
        <v>1295</v>
      </c>
      <c r="H20" s="1631">
        <v>0.27586206896551724</v>
      </c>
      <c r="I20" s="1631">
        <v>0.35452492699254579</v>
      </c>
      <c r="J20" s="1631">
        <v>0.29716590979426466</v>
      </c>
    </row>
    <row r="21" spans="2:18" hidden="1" outlineLevel="2">
      <c r="B21" s="101" t="str">
        <f>Объекты!C7</f>
        <v>Гостиница 3*</v>
      </c>
      <c r="C21" s="1631">
        <f>Объекты!F7/Объекты!$F$11</f>
        <v>0.28622540250447226</v>
      </c>
      <c r="D21" s="1631">
        <f>Объекты!E7/Объекты!$E$11</f>
        <v>0.19145316553393057</v>
      </c>
      <c r="E21" s="1631">
        <f>СВОД_PL!I35/(СВОД_PL!$I$32-СВОД_PL!$I$39)</f>
        <v>0.21230970261420115</v>
      </c>
      <c r="G21" s="108" t="s">
        <v>1296</v>
      </c>
      <c r="H21" s="1631">
        <v>0.62068965517241381</v>
      </c>
      <c r="I21" s="1631">
        <v>0.45566898566687219</v>
      </c>
      <c r="J21" s="1631">
        <v>0.47221135761015776</v>
      </c>
    </row>
    <row r="22" spans="2:18" hidden="1" outlineLevel="2">
      <c r="B22" s="101" t="str">
        <f>Объекты!C8</f>
        <v>Гостиница 2*</v>
      </c>
      <c r="C22" s="1631">
        <f>Объекты!F8/Объекты!$F$11</f>
        <v>0</v>
      </c>
      <c r="D22" s="1631">
        <f>Объекты!E8/Объекты!$E$11</f>
        <v>0</v>
      </c>
      <c r="E22" s="1631">
        <f>СВОД_PL!I36/(СВОД_PL!$I$32-СВОД_PL!$I$39)</f>
        <v>0</v>
      </c>
      <c r="I22" s="19"/>
    </row>
    <row r="23" spans="2:18" hidden="1" outlineLevel="2">
      <c r="B23" s="101" t="str">
        <f>Объекты!C9</f>
        <v>Хостел в составе МФЦ</v>
      </c>
      <c r="C23" s="1631">
        <f>Объекты!F9/Объекты!$F$11</f>
        <v>0.18067978533094811</v>
      </c>
      <c r="D23" s="1631">
        <f>Объекты!E9/Объекты!$E$11</f>
        <v>6.9076766320511823E-2</v>
      </c>
      <c r="E23" s="1631">
        <f>СВОД_PL!I37/(СВОД_PL!$I$32-СВОД_PL!$I$39)</f>
        <v>7.8401992368500484E-2</v>
      </c>
      <c r="I23" s="19"/>
    </row>
    <row r="24" spans="2:18" hidden="1" outlineLevel="2">
      <c r="B24" s="101" t="str">
        <f>Объекты!C10</f>
        <v>Шале</v>
      </c>
      <c r="C24" s="1631">
        <f>Объекты!F10/Объекты!$F$11</f>
        <v>2.3255813953488372E-2</v>
      </c>
      <c r="D24" s="1631">
        <f>Объекты!E10/Объекты!$E$11</f>
        <v>6.465585327599907E-2</v>
      </c>
      <c r="E24" s="1631">
        <f>СВОД_PL!I38/(СВОД_PL!$I$32-СВОД_PL!$I$39)</f>
        <v>0.12403759027762791</v>
      </c>
      <c r="I24" s="19"/>
    </row>
    <row r="25" spans="2:18" hidden="1" outlineLevel="2">
      <c r="B25" s="101"/>
      <c r="I25" s="19"/>
    </row>
    <row r="26" spans="2:18" hidden="1" outlineLevel="2">
      <c r="B26" s="101" t="str">
        <f>Объекты!C13</f>
        <v>Туристские резиденции</v>
      </c>
      <c r="C26" s="1632" t="s">
        <v>1289</v>
      </c>
      <c r="D26" s="1632" t="s">
        <v>1289</v>
      </c>
      <c r="E26" s="1632" t="s">
        <v>1289</v>
      </c>
      <c r="G26" s="1638" t="s">
        <v>1297</v>
      </c>
      <c r="H26" s="1632" t="s">
        <v>1289</v>
      </c>
      <c r="I26" s="1632" t="s">
        <v>1289</v>
      </c>
      <c r="J26" s="1632" t="s">
        <v>1289</v>
      </c>
    </row>
    <row r="27" spans="2:18" hidden="1" outlineLevel="2">
      <c r="C27" s="1633">
        <f>Объекты!F13</f>
        <v>385</v>
      </c>
      <c r="D27" s="1634" t="s">
        <v>1290</v>
      </c>
      <c r="H27" s="1633">
        <v>1600</v>
      </c>
      <c r="I27" s="1634" t="s">
        <v>1290</v>
      </c>
    </row>
    <row r="28" spans="2:18" hidden="1" outlineLevel="1">
      <c r="M28" s="19"/>
      <c r="N28" s="19"/>
      <c r="O28" s="19"/>
      <c r="P28" s="19"/>
      <c r="Q28" s="19"/>
      <c r="R28" s="19"/>
    </row>
    <row r="29" spans="2:18" s="19" customFormat="1" hidden="1" outlineLevel="1">
      <c r="B29" s="1765" t="s">
        <v>1344</v>
      </c>
      <c r="C29" s="1765"/>
      <c r="D29" s="1765"/>
      <c r="E29" s="1648"/>
      <c r="G29" s="1765" t="s">
        <v>1308</v>
      </c>
      <c r="H29" s="1765"/>
      <c r="I29" s="1765"/>
      <c r="M29" s="1765" t="s">
        <v>1311</v>
      </c>
      <c r="N29" s="1765"/>
      <c r="O29" s="1765"/>
    </row>
    <row r="30" spans="2:18" hidden="1" outlineLevel="1">
      <c r="B30" s="19"/>
      <c r="C30" s="1642" t="s">
        <v>1312</v>
      </c>
      <c r="D30" s="1641"/>
      <c r="E30" s="19"/>
      <c r="H30" s="1642" t="s">
        <v>1312</v>
      </c>
      <c r="I30" s="1641"/>
      <c r="L30" s="19"/>
      <c r="M30" s="19"/>
      <c r="N30" s="1642" t="s">
        <v>1312</v>
      </c>
      <c r="O30" s="1641"/>
      <c r="P30" s="19"/>
      <c r="Q30" s="19"/>
      <c r="R30" s="19"/>
    </row>
    <row r="31" spans="2:18" hidden="1" outlineLevel="1">
      <c r="B31" s="19"/>
      <c r="C31" s="1408" t="s">
        <v>1298</v>
      </c>
      <c r="D31" s="1644">
        <f>СВОД_PL!E79*CF_15!H67</f>
        <v>5867497430.3972502</v>
      </c>
      <c r="E31" s="1648"/>
      <c r="F31" s="19"/>
      <c r="H31" s="1408" t="s">
        <v>1307</v>
      </c>
      <c r="I31" s="1644">
        <f>CF_15!V13</f>
        <v>3165404115.8929806</v>
      </c>
      <c r="J31" s="1648"/>
      <c r="L31" s="19"/>
      <c r="M31" s="19"/>
      <c r="N31" s="1408" t="s">
        <v>1310</v>
      </c>
      <c r="O31" s="1644">
        <v>11986016176.400803</v>
      </c>
      <c r="P31" s="19"/>
      <c r="Q31" s="19"/>
      <c r="R31" s="19"/>
    </row>
    <row r="32" spans="2:18" hidden="1" outlineLevel="1">
      <c r="B32" s="19"/>
      <c r="C32" s="1408" t="s">
        <v>1305</v>
      </c>
      <c r="D32" s="1644">
        <f>CF_15!V14</f>
        <v>1641669709.886663</v>
      </c>
      <c r="E32" s="1648"/>
      <c r="F32" s="19"/>
      <c r="H32" s="1408" t="s">
        <v>1305</v>
      </c>
      <c r="I32" s="1644">
        <f>D32</f>
        <v>1641669709.886663</v>
      </c>
      <c r="J32" s="1653"/>
      <c r="L32" s="19"/>
      <c r="M32" s="19"/>
      <c r="N32" s="1408" t="s">
        <v>1299</v>
      </c>
      <c r="O32" s="1644">
        <v>3708442715.8489056</v>
      </c>
      <c r="P32" s="19"/>
      <c r="Q32" s="19"/>
      <c r="R32" s="19"/>
    </row>
    <row r="33" spans="2:18" hidden="1" outlineLevel="1">
      <c r="B33" s="19"/>
      <c r="C33" s="1408" t="s">
        <v>1301</v>
      </c>
      <c r="D33" s="1644">
        <f>SUM(CF_15!T11:T13)/CF_15!T52*(1-CF_15!T54)*CF_15!T67</f>
        <v>100170176.44941136</v>
      </c>
      <c r="E33" s="1648"/>
      <c r="H33" s="1408" t="s">
        <v>1301</v>
      </c>
      <c r="I33" s="1644">
        <f>CF_15!T69</f>
        <v>930474598.37941849</v>
      </c>
      <c r="J33" s="1648"/>
      <c r="L33" s="19"/>
      <c r="M33" s="19"/>
      <c r="N33" s="1408" t="s">
        <v>1300</v>
      </c>
      <c r="O33" s="1644">
        <v>5376763464.2542448</v>
      </c>
      <c r="P33" s="19"/>
      <c r="Q33" s="19"/>
      <c r="R33" s="19"/>
    </row>
    <row r="34" spans="2:18" hidden="1" outlineLevel="1">
      <c r="B34" s="19"/>
      <c r="C34" s="1408" t="s">
        <v>1302</v>
      </c>
      <c r="D34" s="1644">
        <f>CF_15!V39</f>
        <v>1097560854.3868022</v>
      </c>
      <c r="E34" s="1653"/>
      <c r="H34" s="1408" t="s">
        <v>1302</v>
      </c>
      <c r="I34" s="1644">
        <f>D34</f>
        <v>1097560854.3868022</v>
      </c>
      <c r="J34" s="1653"/>
      <c r="L34" s="19"/>
      <c r="M34" s="19"/>
      <c r="N34" s="1408" t="s">
        <v>1317</v>
      </c>
      <c r="O34" s="1644">
        <v>3174463523.3591008</v>
      </c>
      <c r="P34" s="1648"/>
    </row>
    <row r="35" spans="2:18" hidden="1" outlineLevel="1">
      <c r="B35" s="19"/>
      <c r="C35" s="1408" t="s">
        <v>1314</v>
      </c>
      <c r="D35" s="1644">
        <f>CF_15!V43</f>
        <v>5403218264.3114748</v>
      </c>
      <c r="E35" s="19"/>
      <c r="H35" s="1408" t="s">
        <v>1314</v>
      </c>
      <c r="I35" s="1644">
        <f>D35</f>
        <v>5403218264.3114748</v>
      </c>
      <c r="L35" s="19"/>
      <c r="M35" s="19"/>
      <c r="N35" s="1408" t="s">
        <v>1301</v>
      </c>
      <c r="O35" s="1644">
        <v>239091385.0345017</v>
      </c>
      <c r="P35" s="1653"/>
    </row>
    <row r="36" spans="2:18" hidden="1" outlineLevel="1">
      <c r="B36" s="19"/>
      <c r="C36" s="1408"/>
      <c r="D36" s="1645">
        <f>SUM(D31:D35)</f>
        <v>14110116435.431602</v>
      </c>
      <c r="E36" s="1653"/>
      <c r="H36" s="1408"/>
      <c r="I36" s="1645">
        <f>SUM(I31:I35)</f>
        <v>12238327542.857338</v>
      </c>
      <c r="J36" s="1653"/>
      <c r="L36" s="19"/>
      <c r="M36" s="19"/>
      <c r="N36" s="1408" t="s">
        <v>1302</v>
      </c>
      <c r="O36" s="1644">
        <v>2045523524.2425609</v>
      </c>
    </row>
    <row r="37" spans="2:18" hidden="1" outlineLevel="1">
      <c r="B37" s="19"/>
      <c r="C37" s="1408" t="s">
        <v>1316</v>
      </c>
      <c r="D37" s="1426">
        <f>CF_15!V34</f>
        <v>-356355758.36993271</v>
      </c>
      <c r="E37" s="1653"/>
      <c r="H37" s="1408" t="s">
        <v>1316</v>
      </c>
      <c r="I37" s="1426">
        <f>D37</f>
        <v>-356355758.36993271</v>
      </c>
      <c r="J37" s="1653"/>
      <c r="L37" s="19"/>
      <c r="M37" s="19"/>
      <c r="N37" s="1408" t="s">
        <v>1314</v>
      </c>
      <c r="O37" s="1644">
        <v>14838806093.035851</v>
      </c>
      <c r="P37" s="1653"/>
    </row>
    <row r="38" spans="2:18" s="19" customFormat="1" hidden="1" outlineLevel="1">
      <c r="C38" s="1408" t="s">
        <v>1303</v>
      </c>
      <c r="D38" s="1426">
        <f>CF_15!V44</f>
        <v>-795350642.04208302</v>
      </c>
      <c r="E38" s="1653"/>
      <c r="H38" s="1408" t="s">
        <v>1303</v>
      </c>
      <c r="I38" s="1426">
        <f>D38</f>
        <v>-795350642.04208302</v>
      </c>
      <c r="J38" s="1653"/>
      <c r="O38" s="1643">
        <f>SUM(O31:O37)</f>
        <v>41369106882.175964</v>
      </c>
      <c r="P38" s="1653"/>
    </row>
    <row r="39" spans="2:18" hidden="1" outlineLevel="1">
      <c r="B39" s="19"/>
      <c r="C39" s="1408" t="s">
        <v>1315</v>
      </c>
      <c r="D39" s="1426">
        <f>CF_15!V45</f>
        <v>-1958605568.959631</v>
      </c>
      <c r="E39" s="19"/>
      <c r="H39" s="1408" t="s">
        <v>1315</v>
      </c>
      <c r="I39" s="1426">
        <f>D39</f>
        <v>-1958605568.959631</v>
      </c>
      <c r="L39" s="19"/>
      <c r="M39" s="19"/>
      <c r="N39" s="1408" t="s">
        <v>1318</v>
      </c>
      <c r="O39" s="1426">
        <v>-1501327834.5796678</v>
      </c>
      <c r="P39" s="1653"/>
    </row>
    <row r="40" spans="2:18" hidden="1" outlineLevel="1">
      <c r="B40" s="19"/>
      <c r="C40" s="1408" t="s">
        <v>1304</v>
      </c>
      <c r="D40" s="1426">
        <f>CF_15!V37+CF_15!V38</f>
        <v>-7723973072.77808</v>
      </c>
      <c r="E40" s="19"/>
      <c r="H40" s="1408" t="s">
        <v>1304</v>
      </c>
      <c r="I40" s="1426">
        <f>D40</f>
        <v>-7723973072.77808</v>
      </c>
      <c r="L40" s="19"/>
      <c r="M40" s="19"/>
      <c r="N40" s="1408" t="s">
        <v>1319</v>
      </c>
      <c r="O40" s="1426">
        <v>-2736872894.7073894</v>
      </c>
    </row>
    <row r="41" spans="2:18" hidden="1" outlineLevel="1">
      <c r="B41" s="19"/>
      <c r="C41" s="1408" t="s">
        <v>1306</v>
      </c>
      <c r="D41" s="1426">
        <f>CF_15!V23</f>
        <v>-405762846.91057712</v>
      </c>
      <c r="E41" s="19"/>
      <c r="H41" s="1408" t="s">
        <v>1306</v>
      </c>
      <c r="I41" s="1426">
        <f>D41</f>
        <v>-405762846.91057712</v>
      </c>
      <c r="N41" s="1408" t="s">
        <v>1303</v>
      </c>
      <c r="O41" s="1426">
        <v>-1728663098.9463854</v>
      </c>
    </row>
    <row r="42" spans="2:18" hidden="1" outlineLevel="1">
      <c r="B42" s="19"/>
      <c r="C42" s="19"/>
      <c r="D42" s="1477">
        <f>D36+SUM(D37:D41)</f>
        <v>2870068546.3712978</v>
      </c>
      <c r="E42" s="19"/>
      <c r="I42" s="1477">
        <f>I36+SUM(I37:I41)</f>
        <v>998279653.79703331</v>
      </c>
      <c r="N42" s="1408" t="s">
        <v>1315</v>
      </c>
      <c r="O42" s="1426">
        <v>-9426719948.3042145</v>
      </c>
      <c r="Q42" s="1647"/>
    </row>
    <row r="43" spans="2:18" hidden="1" outlineLevel="1">
      <c r="B43" s="19"/>
      <c r="C43" s="19"/>
      <c r="D43" s="19"/>
      <c r="E43" s="19"/>
      <c r="N43" s="1408" t="s">
        <v>1304</v>
      </c>
      <c r="O43" s="1426">
        <v>-21957678498.812138</v>
      </c>
    </row>
    <row r="44" spans="2:18" hidden="1" outlineLevel="1">
      <c r="G44" s="1649"/>
      <c r="H44" s="1658" t="str">
        <f>B6&amp;B10&amp;" - "&amp;D3</f>
        <v>NPV С учетом терминальной стоимости - FCFE</v>
      </c>
      <c r="I44" s="1650">
        <f>D11</f>
        <v>998.27965379703528</v>
      </c>
      <c r="N44" s="1408" t="s">
        <v>1320</v>
      </c>
      <c r="O44" s="1426">
        <v>-916002502.60368836</v>
      </c>
    </row>
    <row r="45" spans="2:18" hidden="1" outlineLevel="1">
      <c r="N45" s="1408" t="s">
        <v>1321</v>
      </c>
      <c r="O45" s="1477">
        <f>O38+SUM(O39:O44)</f>
        <v>3101842104.2224808</v>
      </c>
    </row>
    <row r="46" spans="2:18" hidden="1" outlineLevel="1">
      <c r="N46" s="19"/>
      <c r="O46" s="19"/>
      <c r="P46" s="19"/>
    </row>
    <row r="47" spans="2:18" hidden="1" outlineLevel="1">
      <c r="M47" s="1649"/>
      <c r="N47" s="1658" t="str">
        <f>H44</f>
        <v>NPV С учетом терминальной стоимости - FCFE</v>
      </c>
      <c r="O47" s="1651">
        <v>3101.8421042224859</v>
      </c>
      <c r="P47" s="19"/>
    </row>
    <row r="48" spans="2:18" hidden="1" outlineLevel="1">
      <c r="N48" s="19"/>
      <c r="O48" s="19"/>
      <c r="P48" s="19"/>
    </row>
    <row r="49" spans="2:15" collapsed="1">
      <c r="N49" s="19"/>
      <c r="O49" s="19"/>
    </row>
    <row r="53" spans="2:15" ht="51">
      <c r="B53" s="1410" t="s">
        <v>253</v>
      </c>
      <c r="C53" s="1410"/>
      <c r="D53" s="1411"/>
      <c r="E53" s="1411" t="s">
        <v>194</v>
      </c>
      <c r="F53" s="1423"/>
      <c r="G53" s="1423" t="s">
        <v>1356</v>
      </c>
      <c r="H53" s="1423" t="s">
        <v>1357</v>
      </c>
      <c r="I53" s="1423" t="s">
        <v>1358</v>
      </c>
      <c r="J53" s="1423" t="s">
        <v>1359</v>
      </c>
    </row>
    <row r="54" spans="2:15">
      <c r="B54" s="822" t="str">
        <f>Строительство!C33</f>
        <v>Гостиница 5*</v>
      </c>
      <c r="C54" s="1788"/>
      <c r="D54" s="1780"/>
      <c r="E54" s="1780">
        <f>Объекты!E5</f>
        <v>11947.618878048779</v>
      </c>
      <c r="F54" s="1788"/>
      <c r="G54" s="1789">
        <f>Строительство!F33/10^6</f>
        <v>2563.5972606198252</v>
      </c>
      <c r="H54" s="1789">
        <f>SUM(Отель5_PL!D47:M47)/10^6</f>
        <v>3990.4885985665624</v>
      </c>
      <c r="I54" s="1790">
        <f>G54/$E54*10^6</f>
        <v>214569.72194935783</v>
      </c>
      <c r="J54" s="1790">
        <f>H54/$E54*10^6</f>
        <v>333998.65189023066</v>
      </c>
    </row>
    <row r="55" spans="2:15">
      <c r="B55" s="1781" t="str">
        <f>Строительство!C38</f>
        <v>Шале</v>
      </c>
      <c r="C55" s="1781"/>
      <c r="D55" s="1780"/>
      <c r="E55" s="1780">
        <f>Объекты!E10</f>
        <v>2340</v>
      </c>
      <c r="F55" s="1781"/>
      <c r="G55" s="1789">
        <f>Строительство!F38/10^6</f>
        <v>263.42638191719141</v>
      </c>
      <c r="H55" s="1789">
        <f>SUM(Шале_PL!D47:M47)/10^6</f>
        <v>2017.9770573748749</v>
      </c>
      <c r="I55" s="1790">
        <f>G55/$E55*10^6</f>
        <v>112575.37688768863</v>
      </c>
      <c r="J55" s="1790">
        <f t="shared" ref="J55:J69" si="0">H55/$E55*10^6</f>
        <v>862383.35785251064</v>
      </c>
    </row>
    <row r="56" spans="2:15">
      <c r="B56" s="307" t="str">
        <f>Строительство!C34</f>
        <v>Гостиница 4*</v>
      </c>
      <c r="C56" s="1788"/>
      <c r="D56" s="1780"/>
      <c r="E56" s="1780">
        <f>Объекты!E6</f>
        <v>12475</v>
      </c>
      <c r="F56" s="1788"/>
      <c r="G56" s="1789">
        <f>Строительство!F34/10^6</f>
        <v>2427.6455119237185</v>
      </c>
      <c r="H56" s="1789">
        <f>SUM(Отель4_PL!D47:M47)/10^6</f>
        <v>3367.3509669867722</v>
      </c>
      <c r="I56" s="1790">
        <f t="shared" ref="I56:J69" si="1">G56/$E56*10^6</f>
        <v>194600.84263917583</v>
      </c>
      <c r="J56" s="1790">
        <f t="shared" si="0"/>
        <v>269927.93322539254</v>
      </c>
    </row>
    <row r="57" spans="2:15">
      <c r="B57" s="307" t="str">
        <f>Строительство!C35</f>
        <v>Гостиница 3*</v>
      </c>
      <c r="C57" s="1788"/>
      <c r="D57" s="1780"/>
      <c r="E57" s="1780">
        <f>Объекты!E7</f>
        <v>6929</v>
      </c>
      <c r="F57" s="1788"/>
      <c r="G57" s="1789">
        <f>Строительство!F35/10^6</f>
        <v>959.71083610966809</v>
      </c>
      <c r="H57" s="1789">
        <f>SUM(Отель3_PL!D47:M47)/10^6-SUM(Отель3_PL!D37:M37)/10^6</f>
        <v>2577.3557160891978</v>
      </c>
      <c r="I57" s="1790">
        <f t="shared" si="1"/>
        <v>138506.39863034608</v>
      </c>
      <c r="J57" s="1790">
        <f t="shared" si="0"/>
        <v>371966.47656071553</v>
      </c>
    </row>
    <row r="58" spans="2:15">
      <c r="B58" s="1781" t="str">
        <f>Строительство!C36</f>
        <v>Гостиница 2*</v>
      </c>
      <c r="C58" s="1791"/>
      <c r="D58" s="1780"/>
      <c r="E58" s="1887">
        <f>Объекты!E8</f>
        <v>0</v>
      </c>
      <c r="F58" s="1791"/>
      <c r="G58" s="1789">
        <f>Строительство!F36/10^6</f>
        <v>0</v>
      </c>
      <c r="H58" s="1789">
        <f>SUM(Отель2_PL!D47:M47)/10^6</f>
        <v>0</v>
      </c>
      <c r="I58" s="1790">
        <f>IFERROR(G58/$E58*10^6,)</f>
        <v>0</v>
      </c>
      <c r="J58" s="1790" t="str">
        <f>IFERROR(H58/$E58*10^6,"")</f>
        <v/>
      </c>
    </row>
    <row r="59" spans="2:15">
      <c r="B59" s="1781" t="str">
        <f>Строительство!C37</f>
        <v>МФЦ, в том числе хостел Jo&amp;JOE</v>
      </c>
      <c r="C59" s="1781"/>
      <c r="D59" s="1792"/>
      <c r="E59" s="1780">
        <f>Объекты!E54</f>
        <v>10800</v>
      </c>
      <c r="F59" s="1781"/>
      <c r="G59" s="1789">
        <f>Строительство!F37/10^6</f>
        <v>1098.5054185090926</v>
      </c>
      <c r="H59" s="1789">
        <f>SUM(H60:H63)</f>
        <v>1539.3365263272094</v>
      </c>
      <c r="I59" s="1790">
        <f t="shared" si="1"/>
        <v>101713.46467676782</v>
      </c>
      <c r="J59" s="1790">
        <f t="shared" si="0"/>
        <v>142531.15984511198</v>
      </c>
    </row>
    <row r="60" spans="2:15" s="19" customFormat="1" outlineLevel="1">
      <c r="B60" s="1775" t="str">
        <f>Бюджет_Синара!A214</f>
        <v>Хостел</v>
      </c>
      <c r="C60" s="135"/>
      <c r="D60" s="141"/>
      <c r="E60" s="1777">
        <f>Объекты!E9</f>
        <v>2500</v>
      </c>
      <c r="F60" s="135"/>
      <c r="G60" s="1772"/>
      <c r="H60" s="1793">
        <f>SUM(Хостел_PL!D47:M47)/10^6</f>
        <v>1296.5883791998942</v>
      </c>
      <c r="I60" s="1772"/>
      <c r="J60" s="1794">
        <f t="shared" si="0"/>
        <v>518635.35167995765</v>
      </c>
    </row>
    <row r="61" spans="2:15" s="19" customFormat="1" outlineLevel="1">
      <c r="B61" s="1775" t="str">
        <f>Бюджет_Синара!A215</f>
        <v>Рестораны</v>
      </c>
      <c r="C61" s="135"/>
      <c r="D61" s="141"/>
      <c r="E61" s="1777">
        <f>Объекты!E55</f>
        <v>150</v>
      </c>
      <c r="F61" s="135"/>
      <c r="G61" s="1772"/>
      <c r="H61" s="1793">
        <f>SUM(Retail!D46:M46)/10^6</f>
        <v>36.098291033721566</v>
      </c>
      <c r="I61" s="1772"/>
      <c r="J61" s="1794">
        <f t="shared" si="0"/>
        <v>240655.27355814379</v>
      </c>
    </row>
    <row r="62" spans="2:15" s="19" customFormat="1" outlineLevel="1">
      <c r="B62" s="1775" t="str">
        <f>Бюджет_Синара!A218</f>
        <v>Торговая зона</v>
      </c>
      <c r="C62" s="135"/>
      <c r="D62" s="141"/>
      <c r="E62" s="1777">
        <f>Объекты!E58</f>
        <v>4000</v>
      </c>
      <c r="F62" s="135"/>
      <c r="G62" s="1772"/>
      <c r="H62" s="1793">
        <f>SUM(Retail!D45:M45)/10^6</f>
        <v>169.4651563872543</v>
      </c>
      <c r="I62" s="1772"/>
      <c r="J62" s="1794">
        <f t="shared" si="0"/>
        <v>42366.289096813569</v>
      </c>
    </row>
    <row r="63" spans="2:15" s="19" customFormat="1" outlineLevel="1">
      <c r="B63" s="1775" t="str">
        <f>Бюджет_Синара!A220</f>
        <v xml:space="preserve">Парковка крытая </v>
      </c>
      <c r="C63" s="135"/>
      <c r="D63" s="141"/>
      <c r="E63" s="1777">
        <f>Бюджет_Синара!B220</f>
        <v>1200</v>
      </c>
      <c r="F63" s="135"/>
      <c r="G63" s="1772"/>
      <c r="H63" s="1793">
        <f>SUM(Паркинг_PL!D42:M42)/10^6</f>
        <v>37.184699706339394</v>
      </c>
      <c r="I63" s="1772"/>
      <c r="J63" s="1794">
        <f t="shared" si="0"/>
        <v>30987.249755282828</v>
      </c>
    </row>
    <row r="64" spans="2:15">
      <c r="B64" s="1781" t="str">
        <f>Строительство!C39</f>
        <v>Туристские резиденции</v>
      </c>
      <c r="C64" s="1781"/>
      <c r="D64" s="1780"/>
      <c r="E64" s="1780">
        <f>Объекты!E13</f>
        <v>21950</v>
      </c>
      <c r="F64" s="1781"/>
      <c r="G64" s="1789">
        <f>Строительство!F39/10^6</f>
        <v>3057.8930761247802</v>
      </c>
      <c r="H64" s="1789">
        <f>SUM(H65:H67)</f>
        <v>8183.9644628372216</v>
      </c>
      <c r="I64" s="1790">
        <f t="shared" si="1"/>
        <v>139311.75745443188</v>
      </c>
      <c r="J64" s="1790">
        <f t="shared" si="0"/>
        <v>372845.7614048848</v>
      </c>
    </row>
    <row r="65" spans="2:10" s="19" customFormat="1" outlineLevel="1">
      <c r="B65" s="1779" t="s">
        <v>1372</v>
      </c>
      <c r="C65" s="135"/>
      <c r="D65" s="141"/>
      <c r="E65" s="1777">
        <f>SUM(Бюджет_Синара!B174:B178)</f>
        <v>16452</v>
      </c>
      <c r="F65" s="135"/>
      <c r="G65" s="1772"/>
      <c r="H65" s="1793">
        <f>SUM(ПРОДАЖА_lease_back!CT40:DP40)+(SUM(Резиденции_PL!D79:M79)+SUM(Резиденции_PL!D87:M87))/10^6</f>
        <v>7911.1442810292992</v>
      </c>
      <c r="I65" s="1772"/>
      <c r="J65" s="1794">
        <f t="shared" si="0"/>
        <v>480862.16150190245</v>
      </c>
    </row>
    <row r="66" spans="2:10" s="19" customFormat="1" outlineLevel="1">
      <c r="B66" s="1779" t="str">
        <f>Объекты!C52</f>
        <v>Торговая зона тур.резиденций</v>
      </c>
      <c r="C66" s="135"/>
      <c r="D66" s="141"/>
      <c r="E66" s="1777">
        <f>Объекты!E52</f>
        <v>3400</v>
      </c>
      <c r="F66" s="135"/>
      <c r="G66" s="1772"/>
      <c r="H66" s="1793">
        <f>SUM(Retail!D47:M47)/10^6</f>
        <v>251.08606383216474</v>
      </c>
      <c r="I66" s="1772"/>
      <c r="J66" s="1794">
        <f t="shared" si="0"/>
        <v>73848.842303577869</v>
      </c>
    </row>
    <row r="67" spans="2:10" s="19" customFormat="1" outlineLevel="1">
      <c r="B67" s="1779" t="str">
        <f>Объекты!C53</f>
        <v>Лыжная школа</v>
      </c>
      <c r="C67" s="135"/>
      <c r="D67" s="141"/>
      <c r="E67" s="1777">
        <f>Объекты!E53</f>
        <v>200</v>
      </c>
      <c r="F67" s="135"/>
      <c r="G67" s="1772"/>
      <c r="H67" s="1793">
        <f>SUM(Retail!D48:M48)/10^6</f>
        <v>21.734117975757719</v>
      </c>
      <c r="I67" s="1772"/>
      <c r="J67" s="1794">
        <f t="shared" si="0"/>
        <v>108670.5898787886</v>
      </c>
    </row>
    <row r="68" spans="2:10">
      <c r="B68" s="1781" t="str">
        <f>Строительство!C40</f>
        <v>Ресторан в зоне катания</v>
      </c>
      <c r="C68" s="1781"/>
      <c r="D68" s="1780"/>
      <c r="E68" s="1780">
        <f>Объекты!E60</f>
        <v>900</v>
      </c>
      <c r="F68" s="1781"/>
      <c r="G68" s="1789">
        <f>Строительство!F40/10^6</f>
        <v>217.93673927768646</v>
      </c>
      <c r="H68" s="1789">
        <f>SUM(Ресторан!F76:O76)/10^6</f>
        <v>314.64096805474315</v>
      </c>
      <c r="I68" s="1790">
        <f t="shared" si="1"/>
        <v>242151.93253076272</v>
      </c>
      <c r="J68" s="1790">
        <f t="shared" si="1"/>
        <v>349601.07561638125</v>
      </c>
    </row>
    <row r="69" spans="2:10">
      <c r="B69" s="1781" t="str">
        <f>Строительство!C41</f>
        <v>SPA-комплекс</v>
      </c>
      <c r="C69" s="1781"/>
      <c r="D69" s="1780"/>
      <c r="E69" s="1780">
        <f>Объекты!E47</f>
        <v>1900</v>
      </c>
      <c r="F69" s="1781"/>
      <c r="G69" s="1789">
        <f>Строительство!F41/10^6</f>
        <v>376.83578438684071</v>
      </c>
      <c r="H69" s="1789">
        <f>SUM(Отель3_PL!D37:M37)/10^6</f>
        <v>152.52582596104833</v>
      </c>
      <c r="I69" s="1790">
        <f t="shared" si="1"/>
        <v>198334.62336149509</v>
      </c>
      <c r="J69" s="1790">
        <f t="shared" si="0"/>
        <v>80276.750505814911</v>
      </c>
    </row>
    <row r="70" spans="2:10" hidden="1" outlineLevel="1">
      <c r="B70" s="1781" t="str">
        <f>Строительство!C42</f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C70" s="1781"/>
      <c r="D70" s="1780"/>
      <c r="E70" s="1782"/>
      <c r="F70" s="1781"/>
      <c r="G70" s="1789">
        <f>Строительство!F42/10^6</f>
        <v>23.139039392174432</v>
      </c>
      <c r="H70" s="1782"/>
      <c r="I70" s="1782"/>
      <c r="J70" s="1782"/>
    </row>
    <row r="71" spans="2:10" hidden="1" outlineLevel="1">
      <c r="B71" s="1781" t="str">
        <f>Строительство!C43</f>
        <v>Наземный паркинг</v>
      </c>
      <c r="C71" s="1781"/>
      <c r="D71" s="1780"/>
      <c r="E71" s="1782"/>
      <c r="F71" s="1781"/>
      <c r="G71" s="1789">
        <f>Строительство!F43/10^6</f>
        <v>16.858442985727081</v>
      </c>
      <c r="H71" s="1782"/>
      <c r="I71" s="1782"/>
      <c r="J71" s="1782"/>
    </row>
    <row r="72" spans="2:10" hidden="1" outlineLevel="1">
      <c r="B72" s="1781" t="str">
        <f>Строительство!C44</f>
        <v>Организация набережных</v>
      </c>
      <c r="C72" s="1781"/>
      <c r="D72" s="1780"/>
      <c r="E72" s="1782"/>
      <c r="F72" s="1781"/>
      <c r="G72" s="1789">
        <f>Строительство!F44/10^6</f>
        <v>158.66769868919604</v>
      </c>
      <c r="H72" s="1782"/>
      <c r="I72" s="1782"/>
      <c r="J72" s="1782"/>
    </row>
    <row r="73" spans="2:10" hidden="1" outlineLevel="1">
      <c r="B73" s="1781" t="str">
        <f>Строительство!C45</f>
        <v>Трансформаторная подстанция</v>
      </c>
      <c r="C73" s="1781"/>
      <c r="D73" s="1780"/>
      <c r="E73" s="1782"/>
      <c r="F73" s="1781"/>
      <c r="G73" s="1789">
        <f>Строительство!F45/10^6</f>
        <v>15.866769868919608</v>
      </c>
      <c r="H73" s="1782"/>
      <c r="I73" s="1782"/>
      <c r="J73" s="1782"/>
    </row>
    <row r="74" spans="2:10" hidden="1" outlineLevel="1">
      <c r="B74" s="1781" t="str">
        <f>Строительство!C46</f>
        <v>Канализационная насосная станция</v>
      </c>
      <c r="C74" s="1781"/>
      <c r="D74" s="1780"/>
      <c r="E74" s="1782"/>
      <c r="F74" s="1781"/>
      <c r="G74" s="1789">
        <f>Строительство!F46/10^6</f>
        <v>6.0293725501894517</v>
      </c>
      <c r="H74" s="1782"/>
      <c r="I74" s="1782"/>
      <c r="J74" s="1782"/>
    </row>
    <row r="75" spans="2:10" hidden="1" outlineLevel="1">
      <c r="B75" s="1781" t="str">
        <f>Строительство!C47</f>
        <v>Стоимость проектных работ - 4% от СМР (мебель и технологическое оборудование не учитываются)</v>
      </c>
      <c r="C75" s="1783"/>
      <c r="D75" s="1780"/>
      <c r="E75" s="1782"/>
      <c r="F75" s="1783"/>
      <c r="G75" s="1789">
        <f>Строительство!F47/10^6</f>
        <v>286.09092587739411</v>
      </c>
      <c r="H75" s="1782"/>
      <c r="I75" s="1782"/>
      <c r="J75" s="1782"/>
    </row>
    <row r="76" spans="2:10" collapsed="1">
      <c r="B76" s="1784" t="s">
        <v>0</v>
      </c>
      <c r="C76" s="1785"/>
      <c r="D76" s="1786"/>
      <c r="E76" s="1786">
        <f>SUM(E54:E59)+E64+E68+E69</f>
        <v>69241.618878048786</v>
      </c>
      <c r="F76" s="1785"/>
      <c r="G76" s="1787">
        <f>SUM(G54:G75)</f>
        <v>11472.203258232401</v>
      </c>
      <c r="H76" s="1787">
        <f>SUM(H54:H75)</f>
        <v>31866.941111362063</v>
      </c>
      <c r="I76" s="1787">
        <f>G76/E76*10^6</f>
        <v>165683.63715524506</v>
      </c>
      <c r="J76" s="1787">
        <f>H76/E76*10^6</f>
        <v>460228.13486622035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73"/>
  <sheetViews>
    <sheetView showGridLines="0" zoomScaleNormal="100" workbookViewId="0">
      <selection activeCell="C7" sqref="C7"/>
    </sheetView>
  </sheetViews>
  <sheetFormatPr defaultRowHeight="15"/>
  <cols>
    <col min="1" max="2" width="4.140625" customWidth="1"/>
    <col min="3" max="3" width="25.140625" customWidth="1"/>
    <col min="4" max="4" width="25.42578125" style="19" customWidth="1"/>
    <col min="5" max="5" width="13.85546875" customWidth="1"/>
    <col min="6" max="6" width="10" customWidth="1"/>
    <col min="7" max="7" width="9.5703125" customWidth="1"/>
    <col min="8" max="8" width="3.85546875" customWidth="1"/>
    <col min="9" max="9" width="9.140625" customWidth="1"/>
    <col min="10" max="10" width="12.7109375" customWidth="1"/>
    <col min="11" max="11" width="14.42578125" customWidth="1"/>
    <col min="12" max="12" width="8.7109375" customWidth="1"/>
    <col min="13" max="13" width="41.42578125" customWidth="1"/>
    <col min="14" max="14" width="5.42578125" customWidth="1"/>
    <col min="18" max="18" width="12" customWidth="1"/>
  </cols>
  <sheetData>
    <row r="1" spans="1:18" ht="15.75" thickBot="1">
      <c r="A1" s="14">
        <v>1</v>
      </c>
    </row>
    <row r="2" spans="1:18" s="19" customFormat="1"/>
    <row r="3" spans="1:18" s="19" customFormat="1">
      <c r="C3" s="12" t="s">
        <v>404</v>
      </c>
    </row>
    <row r="4" spans="1:18" ht="31.5" customHeight="1">
      <c r="A4" s="19"/>
      <c r="C4" s="15" t="s">
        <v>400</v>
      </c>
      <c r="D4" s="15" t="s">
        <v>401</v>
      </c>
      <c r="E4" s="15" t="s">
        <v>403</v>
      </c>
      <c r="F4" s="15" t="s">
        <v>398</v>
      </c>
      <c r="G4" s="15" t="s">
        <v>399</v>
      </c>
      <c r="I4" s="15" t="s">
        <v>409</v>
      </c>
      <c r="J4" s="15" t="s">
        <v>408</v>
      </c>
      <c r="K4" s="15" t="s">
        <v>145</v>
      </c>
      <c r="M4" s="191" t="s">
        <v>632</v>
      </c>
      <c r="N4" s="19"/>
      <c r="R4" s="19"/>
    </row>
    <row r="5" spans="1:18">
      <c r="C5" s="17" t="str">
        <f>Отель5!E2</f>
        <v>Гостиница 5*</v>
      </c>
      <c r="D5" s="145" t="str">
        <f>Отель5!F2</f>
        <v xml:space="preserve">Mövenpick </v>
      </c>
      <c r="E5" s="279">
        <f>Отель5!F4</f>
        <v>11947.618878048779</v>
      </c>
      <c r="F5" s="279">
        <f>Отель5!F6</f>
        <v>125</v>
      </c>
      <c r="G5" s="279">
        <f>Отель5!F10</f>
        <v>276</v>
      </c>
      <c r="I5" s="137">
        <f>G5/F5</f>
        <v>2.2080000000000002</v>
      </c>
      <c r="J5" s="137">
        <f>E5/F5</f>
        <v>95.580951024390231</v>
      </c>
      <c r="K5" s="318">
        <f>Вводные!D10</f>
        <v>46204</v>
      </c>
      <c r="M5" s="795" t="s">
        <v>633</v>
      </c>
    </row>
    <row r="6" spans="1:18">
      <c r="C6" s="17" t="str">
        <f>Отель4!E2</f>
        <v>Гостиница 4*</v>
      </c>
      <c r="D6" s="145" t="str">
        <f>Отель4!F2</f>
        <v>Mercure</v>
      </c>
      <c r="E6" s="279">
        <f>Отель4!F4</f>
        <v>12475</v>
      </c>
      <c r="F6" s="279">
        <f>Отель4!F6</f>
        <v>160</v>
      </c>
      <c r="G6" s="279">
        <f>Отель4!F9</f>
        <v>346</v>
      </c>
      <c r="I6" s="137">
        <f t="shared" ref="I6:I14" si="0">G6/F6</f>
        <v>2.1625000000000001</v>
      </c>
      <c r="J6" s="137">
        <f t="shared" ref="J6:J14" si="1">E6/F6</f>
        <v>77.96875</v>
      </c>
      <c r="K6" s="318">
        <f>Вводные!D11</f>
        <v>46204</v>
      </c>
      <c r="M6" s="795" t="s">
        <v>633</v>
      </c>
    </row>
    <row r="7" spans="1:18" ht="29.45" customHeight="1">
      <c r="C7" s="1894" t="str">
        <f>Отель3!E2</f>
        <v>Гостиница 3*</v>
      </c>
      <c r="D7" s="1895" t="s">
        <v>1392</v>
      </c>
      <c r="E7" s="279">
        <f>Отель3!F4</f>
        <v>6929</v>
      </c>
      <c r="F7" s="279">
        <f>Отель3!F6</f>
        <v>160</v>
      </c>
      <c r="G7" s="279">
        <f>Отель3!F9</f>
        <v>380</v>
      </c>
      <c r="I7" s="137">
        <f t="shared" si="0"/>
        <v>2.375</v>
      </c>
      <c r="J7" s="137">
        <f t="shared" si="1"/>
        <v>43.306249999999999</v>
      </c>
      <c r="K7" s="318">
        <f>Вводные!D12</f>
        <v>45839</v>
      </c>
      <c r="M7" s="795" t="s">
        <v>633</v>
      </c>
    </row>
    <row r="8" spans="1:18" hidden="1">
      <c r="C8" s="17" t="str">
        <f>Отель2!E2</f>
        <v>Гостиница 2*</v>
      </c>
      <c r="D8" s="1886" t="str">
        <f>Отель2!F2</f>
        <v>Ibis Budget</v>
      </c>
      <c r="E8" s="1888">
        <v>0</v>
      </c>
      <c r="F8" s="1888">
        <v>0</v>
      </c>
      <c r="G8" s="1888">
        <v>0</v>
      </c>
      <c r="I8" s="137"/>
      <c r="J8" s="137"/>
      <c r="K8" s="318"/>
      <c r="M8" s="795" t="s">
        <v>633</v>
      </c>
    </row>
    <row r="9" spans="1:18">
      <c r="C9" s="17" t="str">
        <f>Хостел!E2</f>
        <v>Хостел в составе МФЦ</v>
      </c>
      <c r="D9" s="141" t="str">
        <f>Хостел!F12</f>
        <v>Jo&amp;JOE</v>
      </c>
      <c r="E9" s="279">
        <f>Хостел!F6</f>
        <v>2500</v>
      </c>
      <c r="F9" s="279">
        <f>Хостел!F7</f>
        <v>101</v>
      </c>
      <c r="G9" s="279">
        <f>Хостел!J12</f>
        <v>412</v>
      </c>
      <c r="I9" s="137">
        <f>G9/F9</f>
        <v>4.0792079207920793</v>
      </c>
      <c r="J9" s="137">
        <f t="shared" si="1"/>
        <v>24.752475247524753</v>
      </c>
      <c r="K9" s="318">
        <f>Вводные!D14</f>
        <v>45839</v>
      </c>
      <c r="M9" s="795" t="s">
        <v>633</v>
      </c>
    </row>
    <row r="10" spans="1:18" ht="27" customHeight="1">
      <c r="C10" s="1403" t="str">
        <f>Шале!E2</f>
        <v>Шале</v>
      </c>
      <c r="D10" s="141" t="str">
        <f>Шале!F2</f>
        <v>Не брендируется
(номерной фонд отеля 5*)</v>
      </c>
      <c r="E10" s="279">
        <f>Шале!F4</f>
        <v>2340</v>
      </c>
      <c r="F10" s="279">
        <f>Шале!F6</f>
        <v>13</v>
      </c>
      <c r="G10" s="279">
        <f>Шале!F7</f>
        <v>78</v>
      </c>
      <c r="I10" s="137">
        <f t="shared" si="0"/>
        <v>6</v>
      </c>
      <c r="J10" s="137">
        <f t="shared" si="1"/>
        <v>180</v>
      </c>
      <c r="K10" s="318">
        <f>Вводные!D15</f>
        <v>46204</v>
      </c>
      <c r="M10" s="795" t="s">
        <v>633</v>
      </c>
    </row>
    <row r="11" spans="1:18" s="19" customFormat="1" ht="25.5">
      <c r="C11" s="130" t="s">
        <v>422</v>
      </c>
      <c r="D11" s="133"/>
      <c r="E11" s="132">
        <f>SUM(E5:E10)</f>
        <v>36191.618878048779</v>
      </c>
      <c r="F11" s="801">
        <f>SUM(F5:F10)</f>
        <v>559</v>
      </c>
      <c r="G11" s="132">
        <f>SUM(G5:G10)</f>
        <v>1492</v>
      </c>
      <c r="I11" s="299">
        <f t="shared" si="0"/>
        <v>2.6690518783542041</v>
      </c>
      <c r="J11" s="299">
        <f t="shared" si="1"/>
        <v>64.74350425411231</v>
      </c>
      <c r="K11" s="131"/>
    </row>
    <row r="12" spans="1:18" s="19" customFormat="1">
      <c r="C12" s="15"/>
      <c r="D12" s="15"/>
      <c r="E12" s="15"/>
      <c r="F12" s="15"/>
      <c r="G12" s="15"/>
      <c r="I12" s="15"/>
      <c r="J12" s="15"/>
      <c r="K12" s="15"/>
      <c r="M12" s="15"/>
    </row>
    <row r="13" spans="1:18">
      <c r="C13" s="17" t="str">
        <f>Резиденции!E2</f>
        <v>Туристские резиденции</v>
      </c>
      <c r="D13" s="141" t="str">
        <f>Резиденции!F2</f>
        <v>Не брендируется</v>
      </c>
      <c r="E13" s="279">
        <f>Резиденции!F4</f>
        <v>21950</v>
      </c>
      <c r="F13" s="279">
        <f>Резиденции!F6</f>
        <v>385</v>
      </c>
      <c r="G13" s="279">
        <f>Резиденции!F11</f>
        <v>980</v>
      </c>
      <c r="I13" s="137">
        <f t="shared" si="0"/>
        <v>2.5454545454545454</v>
      </c>
      <c r="J13" s="137">
        <f t="shared" si="1"/>
        <v>57.012987012987011</v>
      </c>
      <c r="K13" s="317">
        <f>Вводные!D16</f>
        <v>45839</v>
      </c>
      <c r="M13" s="795" t="s">
        <v>661</v>
      </c>
    </row>
    <row r="14" spans="1:18" ht="15.6" customHeight="1">
      <c r="C14" s="130" t="s">
        <v>175</v>
      </c>
      <c r="D14" s="145"/>
      <c r="E14" s="133">
        <f>E13+E11</f>
        <v>58141.618878048779</v>
      </c>
      <c r="F14" s="133">
        <f>F13+F11</f>
        <v>944</v>
      </c>
      <c r="G14" s="133">
        <f>G13+G11</f>
        <v>2472</v>
      </c>
      <c r="H14" s="116"/>
      <c r="I14" s="299">
        <f t="shared" si="0"/>
        <v>2.6186440677966103</v>
      </c>
      <c r="J14" s="299">
        <f t="shared" si="1"/>
        <v>61.590697964034725</v>
      </c>
    </row>
    <row r="15" spans="1:18" s="19" customFormat="1">
      <c r="E15" s="131"/>
    </row>
    <row r="16" spans="1:18" s="19" customFormat="1" ht="25.5">
      <c r="C16" s="15" t="str">
        <f>C30</f>
        <v>Функциональная составляющая</v>
      </c>
      <c r="D16" s="15"/>
      <c r="E16" s="15"/>
      <c r="F16" s="15"/>
      <c r="G16" s="15"/>
      <c r="H16" s="15"/>
      <c r="I16" s="15"/>
      <c r="J16" s="15"/>
      <c r="K16" s="15"/>
      <c r="L16" s="15"/>
      <c r="M16" s="15" t="str">
        <f>M4</f>
        <v>Извлечение прибыли</v>
      </c>
    </row>
    <row r="17" spans="3:15" s="19" customFormat="1" ht="25.5">
      <c r="C17" s="307" t="str">
        <f>C54</f>
        <v>Многофункциональный центр</v>
      </c>
      <c r="D17" s="307"/>
      <c r="E17" s="307"/>
      <c r="F17" s="307"/>
      <c r="G17" s="307"/>
      <c r="H17" s="307"/>
      <c r="I17" s="307"/>
      <c r="J17" s="307"/>
      <c r="K17" s="307"/>
      <c r="L17" s="307"/>
      <c r="M17" s="307"/>
    </row>
    <row r="18" spans="3:15" s="19" customFormat="1">
      <c r="C18" s="17" t="str">
        <f>C55</f>
        <v>Ресторан МФЦ</v>
      </c>
      <c r="D18" s="17"/>
      <c r="E18" s="796">
        <f>E55</f>
        <v>150</v>
      </c>
      <c r="F18" s="796">
        <f>F55</f>
        <v>70</v>
      </c>
      <c r="G18" s="17"/>
      <c r="H18" s="17"/>
      <c r="I18" s="17"/>
      <c r="J18" s="17"/>
      <c r="K18" s="1147">
        <f>$K$13</f>
        <v>45839</v>
      </c>
      <c r="L18" s="17"/>
      <c r="M18" s="795" t="s">
        <v>662</v>
      </c>
      <c r="O18" s="1148" t="s">
        <v>821</v>
      </c>
    </row>
    <row r="19" spans="3:15" s="19" customFormat="1">
      <c r="C19" s="17" t="str">
        <f>C57</f>
        <v>Общежитие служебное</v>
      </c>
      <c r="D19" s="17"/>
      <c r="E19" s="796">
        <f>E57</f>
        <v>1800</v>
      </c>
      <c r="F19" s="796">
        <f>F57</f>
        <v>300</v>
      </c>
      <c r="G19" s="17"/>
      <c r="H19" s="17"/>
      <c r="I19" s="17"/>
      <c r="J19" s="17"/>
      <c r="K19" s="1147">
        <f>$K$13</f>
        <v>45839</v>
      </c>
      <c r="L19" s="17"/>
      <c r="M19" s="795" t="s">
        <v>644</v>
      </c>
    </row>
    <row r="20" spans="3:15" s="19" customFormat="1">
      <c r="C20" s="17" t="str">
        <f>C58</f>
        <v>Торговая зона МФЦ</v>
      </c>
      <c r="D20" s="17"/>
      <c r="E20" s="796">
        <f>E58</f>
        <v>4000</v>
      </c>
      <c r="F20" s="309"/>
      <c r="G20" s="17"/>
      <c r="H20" s="17"/>
      <c r="I20" s="17"/>
      <c r="J20" s="17"/>
      <c r="K20" s="1147">
        <f>$K$13</f>
        <v>45839</v>
      </c>
      <c r="L20" s="17"/>
      <c r="M20" s="795" t="s">
        <v>634</v>
      </c>
      <c r="O20" s="1148" t="s">
        <v>821</v>
      </c>
    </row>
    <row r="21" spans="3:15" s="19" customFormat="1">
      <c r="C21" s="307" t="s">
        <v>635</v>
      </c>
      <c r="D21" s="307"/>
      <c r="E21" s="307"/>
      <c r="F21" s="307"/>
      <c r="G21" s="307"/>
      <c r="H21" s="307"/>
      <c r="I21" s="307"/>
      <c r="J21" s="307"/>
      <c r="K21" s="1458"/>
      <c r="L21" s="307"/>
      <c r="M21" s="307"/>
    </row>
    <row r="22" spans="3:15" s="19" customFormat="1" ht="25.5">
      <c r="C22" s="17" t="str">
        <f>C52</f>
        <v>Торговая зона тур.резиденций</v>
      </c>
      <c r="D22" s="17" t="s">
        <v>636</v>
      </c>
      <c r="E22" s="796">
        <f>E52</f>
        <v>3400</v>
      </c>
      <c r="F22" s="309"/>
      <c r="G22" s="17"/>
      <c r="H22" s="17"/>
      <c r="I22" s="17"/>
      <c r="J22" s="17"/>
      <c r="K22" s="1459">
        <f>K13</f>
        <v>45839</v>
      </c>
      <c r="L22" s="17"/>
      <c r="M22" s="795" t="s">
        <v>634</v>
      </c>
      <c r="O22" s="1148" t="s">
        <v>821</v>
      </c>
    </row>
    <row r="23" spans="3:15" s="19" customFormat="1">
      <c r="C23" s="17" t="str">
        <f>Резиденции!D21</f>
        <v>Лыжная школа</v>
      </c>
      <c r="D23" s="17" t="str">
        <f>D22</f>
        <v>территория тур.резиденций</v>
      </c>
      <c r="E23" s="796">
        <f>Резиденции!F21</f>
        <v>200</v>
      </c>
      <c r="F23" s="309"/>
      <c r="G23" s="17"/>
      <c r="H23" s="17"/>
      <c r="I23" s="17"/>
      <c r="J23" s="17"/>
      <c r="K23" s="1459">
        <f>K22</f>
        <v>45839</v>
      </c>
      <c r="L23" s="17"/>
      <c r="M23" s="795" t="s">
        <v>662</v>
      </c>
      <c r="O23" s="1148" t="s">
        <v>821</v>
      </c>
    </row>
    <row r="24" spans="3:15" s="19" customFormat="1">
      <c r="C24" s="17" t="str">
        <f>C42</f>
        <v>Торговая зона отеля 4*</v>
      </c>
      <c r="D24" s="17" t="str">
        <f>D42</f>
        <v>с южной стороны отеля 4*</v>
      </c>
      <c r="E24" s="796">
        <f>E42</f>
        <v>1000</v>
      </c>
      <c r="F24" s="309"/>
      <c r="G24" s="17"/>
      <c r="H24" s="17"/>
      <c r="I24" s="17"/>
      <c r="J24" s="17"/>
      <c r="K24" s="1459">
        <f>K6</f>
        <v>46204</v>
      </c>
      <c r="L24" s="17"/>
      <c r="M24" s="795" t="s">
        <v>634</v>
      </c>
      <c r="O24" s="1148" t="s">
        <v>822</v>
      </c>
    </row>
    <row r="25" spans="3:15" s="19" customFormat="1">
      <c r="C25" s="307" t="str">
        <f>C60</f>
        <v>Ресторан в зоне катания</v>
      </c>
      <c r="D25" s="307"/>
      <c r="E25" s="797">
        <f>E60</f>
        <v>900</v>
      </c>
      <c r="F25" s="1096">
        <f>F60</f>
        <v>350</v>
      </c>
      <c r="G25" s="307"/>
      <c r="H25" s="307"/>
      <c r="I25" s="307"/>
      <c r="J25" s="307"/>
      <c r="K25" s="307"/>
      <c r="L25" s="307"/>
      <c r="M25" s="836" t="s">
        <v>633</v>
      </c>
    </row>
    <row r="26" spans="3:15" s="19" customFormat="1" ht="25.5">
      <c r="C26" s="307" t="str">
        <f>C47</f>
        <v>SPA-комплекс (отдельно стоящий)</v>
      </c>
      <c r="D26" s="307"/>
      <c r="E26" s="797">
        <f>E47</f>
        <v>1900</v>
      </c>
      <c r="F26" s="798"/>
      <c r="G26" s="307"/>
      <c r="H26" s="307"/>
      <c r="I26" s="307"/>
      <c r="J26" s="307"/>
      <c r="K26" s="307"/>
      <c r="L26" s="307"/>
      <c r="M26" s="836" t="s">
        <v>663</v>
      </c>
    </row>
    <row r="27" spans="3:15" s="19" customFormat="1"/>
    <row r="28" spans="3:15" s="19" customFormat="1">
      <c r="M28" s="1561">
        <f>Строительство!F53</f>
        <v>11472203258.232403</v>
      </c>
    </row>
    <row r="29" spans="3:15" s="19" customFormat="1">
      <c r="C29" s="12" t="s">
        <v>411</v>
      </c>
      <c r="D29" s="834" t="s">
        <v>655</v>
      </c>
    </row>
    <row r="30" spans="3:15" ht="63.75">
      <c r="C30" s="15" t="s">
        <v>410</v>
      </c>
      <c r="D30" s="15" t="s">
        <v>111</v>
      </c>
      <c r="E30" s="15" t="s">
        <v>403</v>
      </c>
      <c r="F30" s="15" t="s">
        <v>413</v>
      </c>
      <c r="I30" s="15" t="s">
        <v>412</v>
      </c>
    </row>
    <row r="31" spans="3:15">
      <c r="C31" s="822" t="str">
        <f>C5&amp;" - "&amp;D5</f>
        <v xml:space="preserve">Гостиница 5* - Mövenpick </v>
      </c>
      <c r="D31" s="307"/>
      <c r="E31" s="308">
        <f>Бюджет_Синара!B41</f>
        <v>11947.618878048779</v>
      </c>
      <c r="F31" s="308"/>
    </row>
    <row r="32" spans="3:15">
      <c r="C32" s="17" t="s">
        <v>290</v>
      </c>
      <c r="D32" s="17"/>
      <c r="E32" s="131">
        <f>Бюджет_Синара!B13</f>
        <v>327</v>
      </c>
      <c r="F32" s="279">
        <f>Отель5!F15</f>
        <v>100</v>
      </c>
      <c r="I32" s="137">
        <f>E32/F32</f>
        <v>3.27</v>
      </c>
    </row>
    <row r="33" spans="3:10" s="19" customFormat="1">
      <c r="C33" s="17" t="str">
        <f>Отель5!D17</f>
        <v>Залы и переговорные</v>
      </c>
      <c r="D33" s="145"/>
      <c r="E33" s="279">
        <f>Отель5!F17</f>
        <v>175</v>
      </c>
      <c r="F33" s="309"/>
    </row>
    <row r="34" spans="3:10" s="19" customFormat="1">
      <c r="C34" s="17" t="str">
        <f>Отель5!D18</f>
        <v>Фойе</v>
      </c>
      <c r="D34" s="145"/>
      <c r="E34" s="131">
        <f>Отель5!F18</f>
        <v>135</v>
      </c>
      <c r="F34" s="309"/>
    </row>
    <row r="35" spans="3:10" ht="25.5">
      <c r="C35" s="17" t="str">
        <f>Бюджет_Синара!A18</f>
        <v>Оздоровительный центр/ СПА / фитнес</v>
      </c>
      <c r="D35" s="17"/>
      <c r="E35" s="131">
        <f>Отель5!F13</f>
        <v>1943</v>
      </c>
      <c r="F35" s="309"/>
    </row>
    <row r="36" spans="3:10" s="19" customFormat="1">
      <c r="C36" s="822" t="str">
        <f>C10</f>
        <v>Шале</v>
      </c>
      <c r="D36" s="307"/>
      <c r="E36" s="308">
        <f>E10</f>
        <v>2340</v>
      </c>
      <c r="F36" s="308"/>
    </row>
    <row r="37" spans="3:10">
      <c r="C37" s="822" t="str">
        <f>C6&amp;" - "&amp;D6</f>
        <v>Гостиница 4* - Mercure</v>
      </c>
      <c r="D37" s="307"/>
      <c r="E37" s="308">
        <f>Бюджет_Синара!B84</f>
        <v>12475</v>
      </c>
      <c r="F37" s="308"/>
      <c r="J37" s="19"/>
    </row>
    <row r="38" spans="3:10">
      <c r="C38" s="17" t="s">
        <v>290</v>
      </c>
      <c r="D38" s="17"/>
      <c r="E38" s="131">
        <f>Отель4!F16</f>
        <v>313</v>
      </c>
      <c r="F38" s="279">
        <f>Отель4!F15</f>
        <v>150</v>
      </c>
      <c r="I38" s="137">
        <f>E38/F38</f>
        <v>2.0866666666666664</v>
      </c>
      <c r="J38" s="19"/>
    </row>
    <row r="39" spans="3:10">
      <c r="C39" s="17" t="str">
        <f>Отель4!D17</f>
        <v>Залы и переговорные</v>
      </c>
      <c r="D39" s="145"/>
      <c r="E39" s="131">
        <f>Отель4!F17</f>
        <v>520</v>
      </c>
      <c r="F39" s="309"/>
      <c r="I39" s="830" t="s">
        <v>726</v>
      </c>
    </row>
    <row r="40" spans="3:10">
      <c r="C40" s="17" t="str">
        <f>Отель4!D18</f>
        <v>Фойе</v>
      </c>
      <c r="D40" s="145"/>
      <c r="E40" s="131">
        <f>Отель4!F18</f>
        <v>135</v>
      </c>
      <c r="F40" s="309"/>
    </row>
    <row r="41" spans="3:10" s="19" customFormat="1" ht="25.5">
      <c r="C41" s="17" t="str">
        <f>Бюджет_Синара!A61</f>
        <v>Оздоровительный центр/ СПА / фитнес</v>
      </c>
      <c r="D41" s="17"/>
      <c r="E41" s="131">
        <f>Бюджет_Синара!B62</f>
        <v>3561</v>
      </c>
      <c r="F41" s="309"/>
    </row>
    <row r="42" spans="3:10" s="19" customFormat="1">
      <c r="C42" s="289" t="s">
        <v>659</v>
      </c>
      <c r="D42" s="145" t="s">
        <v>427</v>
      </c>
      <c r="E42" s="279">
        <f>Отель4!F22</f>
        <v>1000</v>
      </c>
      <c r="F42" s="309"/>
    </row>
    <row r="43" spans="3:10" s="19" customFormat="1" ht="38.25">
      <c r="C43" s="822" t="str">
        <f>C7&amp;" - "&amp;D7</f>
        <v>Гостиница 3* - Возможный бренд:
Ibis Styles</v>
      </c>
      <c r="D43" s="307"/>
      <c r="E43" s="308">
        <f>Бюджет_Синара!B124</f>
        <v>6929</v>
      </c>
      <c r="F43" s="308"/>
    </row>
    <row r="44" spans="3:10" s="19" customFormat="1">
      <c r="C44" s="17" t="s">
        <v>290</v>
      </c>
      <c r="D44" s="17"/>
      <c r="E44" s="279">
        <f>Отель3!F14</f>
        <v>300</v>
      </c>
      <c r="F44" s="279">
        <f>Отель3!F13</f>
        <v>160</v>
      </c>
      <c r="I44" s="137">
        <f>E44/F44</f>
        <v>1.875</v>
      </c>
    </row>
    <row r="45" spans="3:10" s="19" customFormat="1" ht="15.6" customHeight="1">
      <c r="C45" s="17" t="str">
        <f>Отель3!D15</f>
        <v>Залы и переговорные</v>
      </c>
      <c r="D45" s="145"/>
      <c r="E45" s="131">
        <f>Отель3!F15</f>
        <v>100</v>
      </c>
      <c r="F45" s="309"/>
    </row>
    <row r="46" spans="3:10" s="19" customFormat="1" ht="15.6" customHeight="1">
      <c r="C46" s="17" t="str">
        <f>Отель3!D16</f>
        <v>Фойе</v>
      </c>
      <c r="D46" s="145"/>
      <c r="E46" s="131">
        <f>Отель3!F16</f>
        <v>35</v>
      </c>
      <c r="F46" s="309"/>
    </row>
    <row r="47" spans="3:10" s="19" customFormat="1">
      <c r="C47" s="290" t="s">
        <v>657</v>
      </c>
      <c r="D47" s="144"/>
      <c r="E47" s="279">
        <f>Бюджет_Синара!B233</f>
        <v>1900</v>
      </c>
      <c r="F47" s="309"/>
    </row>
    <row r="48" spans="3:10" s="19" customFormat="1">
      <c r="C48" s="822" t="str">
        <f>C8&amp;" - "&amp;D8</f>
        <v>Гостиница 2* - Ibis Budget</v>
      </c>
      <c r="D48" s="307"/>
      <c r="E48" s="1888"/>
      <c r="F48" s="308"/>
    </row>
    <row r="49" spans="3:9" s="19" customFormat="1">
      <c r="C49" s="17" t="s">
        <v>290</v>
      </c>
      <c r="D49" s="17"/>
      <c r="E49" s="1888"/>
      <c r="F49" s="1888"/>
      <c r="I49" s="136"/>
    </row>
    <row r="50" spans="3:9">
      <c r="C50" s="307" t="str">
        <f>C13</f>
        <v>Туристские резиденции</v>
      </c>
      <c r="D50" s="307"/>
      <c r="E50" s="308">
        <f>Бюджет_Синара!B206</f>
        <v>21950</v>
      </c>
      <c r="F50" s="308"/>
      <c r="I50" s="19"/>
    </row>
    <row r="51" spans="3:9">
      <c r="C51" s="17" t="s">
        <v>1360</v>
      </c>
      <c r="D51" s="17"/>
      <c r="E51" s="279">
        <f>Резиденции!F19</f>
        <v>400</v>
      </c>
      <c r="F51" s="131">
        <f>Резиденции!F18</f>
        <v>200</v>
      </c>
      <c r="I51" s="136">
        <f>E51/F51</f>
        <v>2</v>
      </c>
    </row>
    <row r="52" spans="3:9" ht="25.5">
      <c r="C52" s="17" t="s">
        <v>658</v>
      </c>
      <c r="D52" s="17"/>
      <c r="E52" s="279">
        <f>Резиденции!F20</f>
        <v>3400</v>
      </c>
      <c r="F52" s="309"/>
    </row>
    <row r="53" spans="3:9">
      <c r="C53" s="17" t="s">
        <v>415</v>
      </c>
      <c r="D53" s="17"/>
      <c r="E53" s="279">
        <f>Резиденции!F21</f>
        <v>200</v>
      </c>
      <c r="F53" s="309"/>
    </row>
    <row r="54" spans="3:9" s="19" customFormat="1" ht="25.5">
      <c r="C54" s="307" t="s">
        <v>553</v>
      </c>
      <c r="D54" s="307"/>
      <c r="E54" s="1773">
        <f>Бюджет_Синара!B221</f>
        <v>10800</v>
      </c>
      <c r="F54" s="308"/>
    </row>
    <row r="55" spans="3:9" s="19" customFormat="1">
      <c r="C55" s="17" t="s">
        <v>829</v>
      </c>
      <c r="D55" s="17"/>
      <c r="E55" s="279">
        <f>Бюджет_Синара!B215</f>
        <v>150</v>
      </c>
      <c r="F55" s="279">
        <f>Хостел!F13</f>
        <v>70</v>
      </c>
      <c r="I55" s="137">
        <f>E55/F55</f>
        <v>2.1428571428571428</v>
      </c>
    </row>
    <row r="56" spans="3:9" s="19" customFormat="1">
      <c r="C56" s="17" t="s">
        <v>368</v>
      </c>
      <c r="D56" s="17"/>
      <c r="E56" s="131"/>
      <c r="F56" s="131"/>
      <c r="I56" s="306"/>
    </row>
    <row r="57" spans="3:9" s="19" customFormat="1">
      <c r="C57" s="17" t="str">
        <f>Хостел!D15</f>
        <v>Общежитие служебное</v>
      </c>
      <c r="D57" s="17"/>
      <c r="E57" s="279">
        <f>Хостел!F15</f>
        <v>1800</v>
      </c>
      <c r="F57" s="279">
        <f>Хостел!F16</f>
        <v>300</v>
      </c>
    </row>
    <row r="58" spans="3:9" s="19" customFormat="1" ht="25.5">
      <c r="C58" s="17" t="str">
        <f>Хостел!D18</f>
        <v>Торговая зона МФЦ</v>
      </c>
      <c r="D58" s="145" t="s">
        <v>414</v>
      </c>
      <c r="E58" s="279">
        <f>Хостел!F18</f>
        <v>4000</v>
      </c>
      <c r="F58" s="131"/>
    </row>
    <row r="59" spans="3:9" s="19" customFormat="1">
      <c r="C59" s="576" t="s">
        <v>554</v>
      </c>
      <c r="D59" s="574"/>
      <c r="E59" s="575"/>
      <c r="F59" s="575"/>
    </row>
    <row r="60" spans="3:9" s="19" customFormat="1">
      <c r="C60" s="290" t="s">
        <v>555</v>
      </c>
      <c r="D60" s="144"/>
      <c r="E60" s="279">
        <f>Бюджет_Синара!B232</f>
        <v>900</v>
      </c>
      <c r="F60" s="279">
        <v>350</v>
      </c>
      <c r="I60" s="137">
        <f>E60/F60</f>
        <v>2.5714285714285716</v>
      </c>
    </row>
    <row r="61" spans="3:9">
      <c r="C61" s="1624" t="s">
        <v>403</v>
      </c>
      <c r="D61" s="574"/>
      <c r="E61" s="575">
        <f>E31+E37+E43+E48+E50+E54+E60+E47+E36</f>
        <v>69241.618878048786</v>
      </c>
      <c r="F61" s="575"/>
    </row>
    <row r="63" spans="3:9" s="19" customFormat="1"/>
    <row r="64" spans="3:9">
      <c r="C64" s="12" t="s">
        <v>416</v>
      </c>
    </row>
    <row r="65" spans="3:7" ht="25.5">
      <c r="C65" s="15" t="s">
        <v>253</v>
      </c>
      <c r="D65" s="15" t="s">
        <v>418</v>
      </c>
      <c r="E65" s="15" t="s">
        <v>417</v>
      </c>
      <c r="F65" s="15" t="s">
        <v>194</v>
      </c>
      <c r="G65" s="15" t="s">
        <v>1364</v>
      </c>
    </row>
    <row r="66" spans="3:7">
      <c r="C66" s="17" t="str">
        <f>C31</f>
        <v xml:space="preserve">Гостиница 5* - Mövenpick </v>
      </c>
      <c r="D66" s="1969" t="s">
        <v>419</v>
      </c>
      <c r="E66" s="1969">
        <f>F66/G66</f>
        <v>37.037037037037038</v>
      </c>
      <c r="F66" s="1969">
        <f>Бюджет_Синара!B40</f>
        <v>1200</v>
      </c>
      <c r="G66" s="1971">
        <v>32.4</v>
      </c>
    </row>
    <row r="67" spans="3:7">
      <c r="C67" s="17" t="str">
        <f>C37</f>
        <v>Гостиница 4* - Mercure</v>
      </c>
      <c r="D67" s="1970"/>
      <c r="E67" s="1970"/>
      <c r="F67" s="1970"/>
      <c r="G67" s="1972"/>
    </row>
    <row r="68" spans="3:7" ht="38.25">
      <c r="C68" s="17" t="str">
        <f>C43</f>
        <v>Гостиница 3* - Возможный бренд:
Ibis Styles</v>
      </c>
      <c r="D68" s="145" t="s">
        <v>342</v>
      </c>
      <c r="E68" s="145" t="s">
        <v>342</v>
      </c>
      <c r="F68" s="1799" t="s">
        <v>342</v>
      </c>
      <c r="G68" s="1799" t="s">
        <v>342</v>
      </c>
    </row>
    <row r="69" spans="3:7">
      <c r="C69" s="17" t="str">
        <f>C48</f>
        <v>Гостиница 2* - Ibis Budget</v>
      </c>
      <c r="D69" s="1889"/>
      <c r="E69" s="1889"/>
      <c r="F69" s="1889"/>
      <c r="G69" s="1889"/>
    </row>
    <row r="70" spans="3:7">
      <c r="C70" s="17" t="s">
        <v>420</v>
      </c>
      <c r="D70" s="142" t="s">
        <v>419</v>
      </c>
      <c r="E70" s="279">
        <f>F70/G70</f>
        <v>37.037037037037038</v>
      </c>
      <c r="F70" s="131">
        <f>Бюджет_Синара!B220</f>
        <v>1200</v>
      </c>
      <c r="G70" s="136">
        <v>32.4</v>
      </c>
    </row>
    <row r="71" spans="3:7">
      <c r="C71" s="17" t="s">
        <v>407</v>
      </c>
      <c r="D71" s="310"/>
      <c r="E71" s="309"/>
      <c r="F71" s="309"/>
      <c r="G71" s="309"/>
    </row>
    <row r="72" spans="3:7">
      <c r="C72" s="17" t="str">
        <f>C50</f>
        <v>Туристские резиденции</v>
      </c>
      <c r="D72" s="310"/>
      <c r="E72" s="309"/>
      <c r="F72" s="309"/>
      <c r="G72" s="309"/>
    </row>
    <row r="73" spans="3:7">
      <c r="C73" s="130" t="s">
        <v>0</v>
      </c>
      <c r="D73" s="145"/>
      <c r="E73" s="801">
        <f>SUM(E66:E72)</f>
        <v>74.074074074074076</v>
      </c>
      <c r="F73" s="801">
        <f>SUM(F66:F72)</f>
        <v>2400</v>
      </c>
      <c r="G73" s="299">
        <f>F73/E73</f>
        <v>32.4</v>
      </c>
    </row>
  </sheetData>
  <mergeCells count="4">
    <mergeCell ref="E66:E67"/>
    <mergeCell ref="D66:D67"/>
    <mergeCell ref="F66:F67"/>
    <mergeCell ref="G66:G67"/>
  </mergeCells>
  <conditionalFormatting sqref="E4">
    <cfRule type="cellIs" dxfId="1242" priority="47" operator="equal">
      <formula>0</formula>
    </cfRule>
  </conditionalFormatting>
  <conditionalFormatting sqref="F4">
    <cfRule type="cellIs" dxfId="1241" priority="46" operator="equal">
      <formula>0</formula>
    </cfRule>
  </conditionalFormatting>
  <conditionalFormatting sqref="G4">
    <cfRule type="cellIs" dxfId="1240" priority="45" operator="equal">
      <formula>0</formula>
    </cfRule>
  </conditionalFormatting>
  <conditionalFormatting sqref="C4:D4">
    <cfRule type="cellIs" dxfId="1239" priority="44" operator="equal">
      <formula>0</formula>
    </cfRule>
  </conditionalFormatting>
  <conditionalFormatting sqref="I4">
    <cfRule type="cellIs" dxfId="1238" priority="43" operator="equal">
      <formula>0</formula>
    </cfRule>
  </conditionalFormatting>
  <conditionalFormatting sqref="J4">
    <cfRule type="cellIs" dxfId="1237" priority="42" operator="equal">
      <formula>0</formula>
    </cfRule>
  </conditionalFormatting>
  <conditionalFormatting sqref="C30">
    <cfRule type="cellIs" dxfId="1236" priority="41" operator="equal">
      <formula>0</formula>
    </cfRule>
  </conditionalFormatting>
  <conditionalFormatting sqref="D30">
    <cfRule type="cellIs" dxfId="1235" priority="40" operator="equal">
      <formula>0</formula>
    </cfRule>
  </conditionalFormatting>
  <conditionalFormatting sqref="E30">
    <cfRule type="cellIs" dxfId="1234" priority="39" operator="equal">
      <formula>0</formula>
    </cfRule>
  </conditionalFormatting>
  <conditionalFormatting sqref="F30">
    <cfRule type="cellIs" dxfId="1233" priority="38" operator="equal">
      <formula>0</formula>
    </cfRule>
  </conditionalFormatting>
  <conditionalFormatting sqref="I30">
    <cfRule type="cellIs" dxfId="1232" priority="37" operator="equal">
      <formula>0</formula>
    </cfRule>
  </conditionalFormatting>
  <conditionalFormatting sqref="C65">
    <cfRule type="cellIs" dxfId="1231" priority="36" operator="equal">
      <formula>0</formula>
    </cfRule>
  </conditionalFormatting>
  <conditionalFormatting sqref="D65">
    <cfRule type="cellIs" dxfId="1230" priority="35" operator="equal">
      <formula>0</formula>
    </cfRule>
  </conditionalFormatting>
  <conditionalFormatting sqref="E65">
    <cfRule type="cellIs" dxfId="1229" priority="32" operator="equal">
      <formula>0</formula>
    </cfRule>
  </conditionalFormatting>
  <conditionalFormatting sqref="K4">
    <cfRule type="cellIs" dxfId="1228" priority="31" operator="equal">
      <formula>0</formula>
    </cfRule>
  </conditionalFormatting>
  <conditionalFormatting sqref="E12">
    <cfRule type="cellIs" dxfId="1227" priority="30" operator="equal">
      <formula>0</formula>
    </cfRule>
  </conditionalFormatting>
  <conditionalFormatting sqref="F12">
    <cfRule type="cellIs" dxfId="1226" priority="29" operator="equal">
      <formula>0</formula>
    </cfRule>
  </conditionalFormatting>
  <conditionalFormatting sqref="G12">
    <cfRule type="cellIs" dxfId="1225" priority="28" operator="equal">
      <formula>0</formula>
    </cfRule>
  </conditionalFormatting>
  <conditionalFormatting sqref="C12:D12">
    <cfRule type="cellIs" dxfId="1224" priority="27" operator="equal">
      <formula>0</formula>
    </cfRule>
  </conditionalFormatting>
  <conditionalFormatting sqref="I12">
    <cfRule type="cellIs" dxfId="1223" priority="26" operator="equal">
      <formula>0</formula>
    </cfRule>
  </conditionalFormatting>
  <conditionalFormatting sqref="J12">
    <cfRule type="cellIs" dxfId="1222" priority="25" operator="equal">
      <formula>0</formula>
    </cfRule>
  </conditionalFormatting>
  <conditionalFormatting sqref="K12">
    <cfRule type="cellIs" dxfId="1221" priority="24" operator="equal">
      <formula>0</formula>
    </cfRule>
  </conditionalFormatting>
  <conditionalFormatting sqref="F60">
    <cfRule type="expression" dxfId="1220" priority="19">
      <formula>$A$1=1</formula>
    </cfRule>
  </conditionalFormatting>
  <conditionalFormatting sqref="M4">
    <cfRule type="cellIs" dxfId="1219" priority="15" operator="equal">
      <formula>0</formula>
    </cfRule>
  </conditionalFormatting>
  <conditionalFormatting sqref="M12">
    <cfRule type="cellIs" dxfId="1218" priority="13" operator="equal">
      <formula>0</formula>
    </cfRule>
  </conditionalFormatting>
  <conditionalFormatting sqref="D16:M16">
    <cfRule type="cellIs" dxfId="1217" priority="11" operator="equal">
      <formula>0</formula>
    </cfRule>
  </conditionalFormatting>
  <conditionalFormatting sqref="C16">
    <cfRule type="cellIs" dxfId="1216" priority="12" operator="equal">
      <formula>0</formula>
    </cfRule>
  </conditionalFormatting>
  <conditionalFormatting sqref="F65">
    <cfRule type="cellIs" dxfId="1215" priority="4" operator="equal">
      <formula>0</formula>
    </cfRule>
  </conditionalFormatting>
  <conditionalFormatting sqref="G65">
    <cfRule type="cellIs" dxfId="1214" priority="3" operator="equal">
      <formula>0</formula>
    </cfRule>
  </conditionalFormatting>
  <conditionalFormatting sqref="G66">
    <cfRule type="expression" dxfId="1213" priority="2">
      <formula>$A$1=1</formula>
    </cfRule>
  </conditionalFormatting>
  <conditionalFormatting sqref="G70">
    <cfRule type="expression" dxfId="1212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outlinePr summaryBelow="0"/>
  </sheetPr>
  <dimension ref="A1:Y26"/>
  <sheetViews>
    <sheetView showGridLines="0" zoomScale="85" zoomScaleNormal="85" workbookViewId="0">
      <selection activeCell="G19" sqref="G19"/>
    </sheetView>
  </sheetViews>
  <sheetFormatPr defaultColWidth="9.140625" defaultRowHeight="12.75" outlineLevelRow="1"/>
  <cols>
    <col min="1" max="1" width="4.28515625" style="747" customWidth="1"/>
    <col min="2" max="2" width="4" style="747" customWidth="1"/>
    <col min="3" max="3" width="29.140625" style="747" customWidth="1"/>
    <col min="4" max="4" width="15.5703125" style="747" customWidth="1"/>
    <col min="5" max="5" width="7.5703125" style="748" customWidth="1"/>
    <col min="6" max="6" width="14.5703125" style="748" customWidth="1"/>
    <col min="7" max="7" width="13.5703125" style="171" customWidth="1"/>
    <col min="8" max="8" width="14.140625" style="171" bestFit="1" customWidth="1"/>
    <col min="9" max="9" width="13" style="747" customWidth="1"/>
    <col min="10" max="10" width="2.42578125" style="747" customWidth="1"/>
    <col min="11" max="14" width="13.42578125" style="747" customWidth="1"/>
    <col min="15" max="15" width="2.140625" style="747" customWidth="1"/>
    <col min="16" max="16" width="29.42578125" style="747" hidden="1" customWidth="1"/>
    <col min="17" max="17" width="16.7109375" style="747" customWidth="1"/>
    <col min="18" max="18" width="11" style="747" customWidth="1"/>
    <col min="19" max="19" width="14.5703125" style="749" customWidth="1"/>
    <col min="20" max="22" width="15" style="747" customWidth="1"/>
    <col min="23" max="23" width="2.5703125" style="747" customWidth="1"/>
    <col min="24" max="25" width="15.42578125" style="747" customWidth="1"/>
    <col min="26" max="16384" width="9.140625" style="747"/>
  </cols>
  <sheetData>
    <row r="1" spans="1:25" ht="13.5" thickBot="1">
      <c r="A1" s="189">
        <v>0</v>
      </c>
      <c r="B1" s="746"/>
      <c r="G1" s="748"/>
      <c r="H1" s="748"/>
      <c r="I1" s="748"/>
      <c r="J1" s="748"/>
      <c r="Q1" s="1974" t="s">
        <v>1322</v>
      </c>
      <c r="R1" s="1974"/>
      <c r="S1" s="1974"/>
      <c r="T1" s="1974"/>
      <c r="U1" s="1974"/>
      <c r="V1" s="1974"/>
    </row>
    <row r="2" spans="1:25">
      <c r="A2" s="746"/>
      <c r="B2" s="746"/>
      <c r="C2" s="749"/>
      <c r="G2" s="750" t="s">
        <v>214</v>
      </c>
      <c r="H2" s="748"/>
      <c r="I2" s="748"/>
      <c r="J2" s="748"/>
      <c r="S2" s="747"/>
    </row>
    <row r="3" spans="1:25" s="753" customFormat="1">
      <c r="A3" s="751"/>
      <c r="B3" s="751"/>
      <c r="C3" s="752"/>
      <c r="E3" s="754"/>
      <c r="F3" s="1689">
        <f>Sensitivity!B17</f>
        <v>1</v>
      </c>
      <c r="G3" s="755"/>
      <c r="H3" s="753" t="s">
        <v>1323</v>
      </c>
      <c r="I3" s="754"/>
      <c r="J3" s="754"/>
      <c r="L3" s="1973" t="s">
        <v>1325</v>
      </c>
      <c r="M3" s="1973"/>
      <c r="N3" s="1973"/>
      <c r="T3" s="753" t="s">
        <v>1323</v>
      </c>
      <c r="X3" s="753" t="s">
        <v>1326</v>
      </c>
    </row>
    <row r="4" spans="1:25" ht="51">
      <c r="A4" s="746"/>
      <c r="B4" s="746"/>
      <c r="C4" s="418"/>
      <c r="D4" s="418" t="s">
        <v>213</v>
      </c>
      <c r="E4" s="418" t="s">
        <v>13</v>
      </c>
      <c r="F4" s="418" t="s">
        <v>622</v>
      </c>
      <c r="G4" s="756" t="s">
        <v>623</v>
      </c>
      <c r="H4" s="756" t="s">
        <v>624</v>
      </c>
      <c r="I4" s="418" t="s">
        <v>474</v>
      </c>
      <c r="K4" s="418" t="s">
        <v>621</v>
      </c>
      <c r="L4" s="418" t="s">
        <v>622</v>
      </c>
      <c r="M4" s="418" t="s">
        <v>621</v>
      </c>
      <c r="N4" s="418" t="s">
        <v>1324</v>
      </c>
      <c r="P4" s="1398" t="s">
        <v>979</v>
      </c>
      <c r="Q4" s="418" t="s">
        <v>213</v>
      </c>
      <c r="R4" s="418" t="s">
        <v>13</v>
      </c>
      <c r="S4" s="756" t="s">
        <v>624</v>
      </c>
      <c r="T4" s="418" t="s">
        <v>622</v>
      </c>
      <c r="U4" s="418" t="s">
        <v>621</v>
      </c>
      <c r="V4" s="418" t="s">
        <v>1324</v>
      </c>
      <c r="X4" s="418" t="s">
        <v>622</v>
      </c>
      <c r="Y4" s="418" t="s">
        <v>621</v>
      </c>
    </row>
    <row r="5" spans="1:25">
      <c r="A5" s="746"/>
      <c r="B5" s="746"/>
      <c r="C5" s="757" t="str">
        <f>Объекты!C5</f>
        <v>Гостиница 5*</v>
      </c>
      <c r="D5" s="758">
        <f>Объекты!E5</f>
        <v>11947.618878048779</v>
      </c>
      <c r="E5" s="758">
        <f>Объекты!F5</f>
        <v>125</v>
      </c>
      <c r="F5" s="28">
        <f>Бюджет_Синара!N45*$F$3</f>
        <v>158849.83005716739</v>
      </c>
      <c r="G5" s="766">
        <f>F5*D5</f>
        <v>1897877228.3658535</v>
      </c>
      <c r="H5" s="759">
        <f>G5*1.2</f>
        <v>2277452674.0390244</v>
      </c>
      <c r="I5" s="767" t="s">
        <v>620</v>
      </c>
      <c r="K5" s="1372">
        <f>G5/E5</f>
        <v>15183017.826926829</v>
      </c>
      <c r="L5" s="758">
        <f>(H5-Бюджет_Синара!M40*1.2)/(D5-Бюджет_Синара!B40)</f>
        <v>205069.8577096512</v>
      </c>
      <c r="M5" s="758">
        <f>(H5-Бюджет_Синара!M40*1.2)/E5</f>
        <v>17632101.392312195</v>
      </c>
      <c r="N5" s="758">
        <f>D5/E5</f>
        <v>95.580951024390231</v>
      </c>
      <c r="P5" s="760"/>
      <c r="Q5" s="758">
        <v>14306</v>
      </c>
      <c r="R5" s="758">
        <v>150</v>
      </c>
      <c r="S5" s="758">
        <f>[4]Инвестиции_КСР!$H$9</f>
        <v>1808467973.197072</v>
      </c>
      <c r="T5" s="758">
        <f>S5/Q5</f>
        <v>126413.25130693919</v>
      </c>
      <c r="U5" s="758">
        <f>S5/R5</f>
        <v>12056453.154647147</v>
      </c>
      <c r="V5" s="758">
        <f>Q5/R5</f>
        <v>95.373333333333335</v>
      </c>
      <c r="X5" s="1657">
        <f>(L5-T5)/T5</f>
        <v>0.62221804747137555</v>
      </c>
      <c r="Y5" s="1657">
        <f>(M5-U5)/U5</f>
        <v>0.46246173448746991</v>
      </c>
    </row>
    <row r="6" spans="1:25">
      <c r="A6" s="746"/>
      <c r="B6" s="746"/>
      <c r="C6" s="757" t="str">
        <f>Объекты!C6</f>
        <v>Гостиница 4*</v>
      </c>
      <c r="D6" s="758">
        <f>Объекты!E6</f>
        <v>12475</v>
      </c>
      <c r="E6" s="758">
        <f>Объекты!F6</f>
        <v>160</v>
      </c>
      <c r="F6" s="28">
        <f>Бюджет_Синара!N88*$F$3</f>
        <v>144066.50901803607</v>
      </c>
      <c r="G6" s="759">
        <f>F6*D6</f>
        <v>1797229700</v>
      </c>
      <c r="H6" s="759">
        <f t="shared" ref="H6:H19" si="0">G6*1.2</f>
        <v>2156675640</v>
      </c>
      <c r="I6" s="767" t="s">
        <v>620</v>
      </c>
      <c r="K6" s="1372">
        <f t="shared" ref="K6:K11" si="1">G6/E6</f>
        <v>11232685.625</v>
      </c>
      <c r="L6" s="758">
        <f>H6/D6</f>
        <v>172879.81082164327</v>
      </c>
      <c r="M6" s="758">
        <f>H6/E6</f>
        <v>13479222.75</v>
      </c>
      <c r="N6" s="758">
        <f t="shared" ref="N6:N11" si="2">D6/E6</f>
        <v>77.96875</v>
      </c>
      <c r="P6" s="1399" t="s">
        <v>980</v>
      </c>
      <c r="Q6" s="758">
        <v>26720</v>
      </c>
      <c r="R6" s="758">
        <v>400</v>
      </c>
      <c r="S6" s="758">
        <f>[4]Инвестиции_КСР!$H$15</f>
        <v>2813924599.2270608</v>
      </c>
      <c r="T6" s="758">
        <f t="shared" ref="T6:T7" si="3">S6/Q6</f>
        <v>105311.54937227024</v>
      </c>
      <c r="U6" s="758">
        <f t="shared" ref="U6:U7" si="4">S6/R6</f>
        <v>7034811.4980676519</v>
      </c>
      <c r="V6" s="758">
        <f>Q6/R6</f>
        <v>66.8</v>
      </c>
      <c r="X6" s="1657">
        <f t="shared" ref="X6:X11" si="5">(L6-T6)/T6</f>
        <v>0.64160352641402263</v>
      </c>
      <c r="Y6" s="1657">
        <f t="shared" ref="Y6:Y11" si="6">(M6-U6)/U6</f>
        <v>0.91607447530079844</v>
      </c>
    </row>
    <row r="7" spans="1:25" collapsed="1">
      <c r="A7" s="746"/>
      <c r="B7" s="746"/>
      <c r="C7" s="757" t="str">
        <f>Объекты!C7</f>
        <v>Гостиница 3*</v>
      </c>
      <c r="D7" s="758">
        <f>Объекты!E7</f>
        <v>6929</v>
      </c>
      <c r="E7" s="758">
        <f>Объекты!F7</f>
        <v>160</v>
      </c>
      <c r="F7" s="28">
        <f>Бюджет_Синара!N128*$F$3</f>
        <v>104720.91210852937</v>
      </c>
      <c r="G7" s="766">
        <f>F7*D7</f>
        <v>725611200</v>
      </c>
      <c r="H7" s="759">
        <f t="shared" si="0"/>
        <v>870733440</v>
      </c>
      <c r="I7" s="767" t="s">
        <v>620</v>
      </c>
      <c r="K7" s="759">
        <f t="shared" si="1"/>
        <v>4535070</v>
      </c>
      <c r="L7" s="758">
        <f t="shared" ref="L7:L11" si="7">H7/D7</f>
        <v>125665.09453023525</v>
      </c>
      <c r="M7" s="758">
        <f t="shared" ref="M7:M11" si="8">H7/E7</f>
        <v>5442084</v>
      </c>
      <c r="N7" s="758">
        <f t="shared" si="2"/>
        <v>43.306249999999999</v>
      </c>
      <c r="P7" s="1400"/>
      <c r="Q7" s="758">
        <v>34343</v>
      </c>
      <c r="R7" s="758">
        <v>900</v>
      </c>
      <c r="S7" s="758">
        <f>[4]Инвестиции_КСР!$H$21</f>
        <v>3888911031.4487777</v>
      </c>
      <c r="T7" s="758">
        <f t="shared" si="3"/>
        <v>113237.37097658264</v>
      </c>
      <c r="U7" s="758">
        <f t="shared" si="4"/>
        <v>4321012.2571653081</v>
      </c>
      <c r="V7" s="758">
        <f>Q7/R7</f>
        <v>38.158888888888889</v>
      </c>
      <c r="X7" s="1657">
        <f t="shared" si="5"/>
        <v>0.1097493119671831</v>
      </c>
      <c r="Y7" s="1657">
        <f t="shared" si="6"/>
        <v>0.25944655467608946</v>
      </c>
    </row>
    <row r="8" spans="1:25" hidden="1" outlineLevel="1">
      <c r="A8" s="746"/>
      <c r="B8" s="746"/>
      <c r="C8" s="757" t="str">
        <f>Объекты!C8</f>
        <v>Гостиница 2*</v>
      </c>
      <c r="D8" s="1891">
        <f>Объекты!E8</f>
        <v>0</v>
      </c>
      <c r="E8" s="1891">
        <f>Объекты!F8</f>
        <v>0</v>
      </c>
      <c r="F8" s="1892">
        <f>Бюджет_Синара!N168*$F$3</f>
        <v>99678.380397430155</v>
      </c>
      <c r="G8" s="1372">
        <f>F8*D8</f>
        <v>0</v>
      </c>
      <c r="H8" s="1372">
        <f t="shared" si="0"/>
        <v>0</v>
      </c>
      <c r="I8" s="767" t="s">
        <v>620</v>
      </c>
      <c r="K8" s="759" t="e">
        <f t="shared" si="1"/>
        <v>#DIV/0!</v>
      </c>
      <c r="L8" s="758" t="e">
        <f t="shared" si="7"/>
        <v>#DIV/0!</v>
      </c>
      <c r="M8" s="758" t="e">
        <f t="shared" si="8"/>
        <v>#DIV/0!</v>
      </c>
      <c r="N8" s="758" t="e">
        <f t="shared" si="2"/>
        <v>#DIV/0!</v>
      </c>
      <c r="P8" s="1400"/>
      <c r="Q8" s="758"/>
      <c r="R8" s="758"/>
      <c r="S8" s="758"/>
      <c r="T8" s="758"/>
      <c r="U8" s="758"/>
      <c r="V8" s="758"/>
      <c r="X8" s="1657"/>
      <c r="Y8" s="1657"/>
    </row>
    <row r="9" spans="1:25">
      <c r="A9" s="746"/>
      <c r="B9" s="746"/>
      <c r="C9" s="757" t="s">
        <v>616</v>
      </c>
      <c r="D9" s="758">
        <f>Бюджет_Синара!B221</f>
        <v>10800</v>
      </c>
      <c r="E9" s="758">
        <f>Объекты!F9</f>
        <v>101</v>
      </c>
      <c r="F9" s="28">
        <f>Бюджет_Синара!N223*$F$3</f>
        <v>76902.777777777781</v>
      </c>
      <c r="G9" s="759">
        <f>F9*D9</f>
        <v>830550000</v>
      </c>
      <c r="H9" s="759">
        <f t="shared" si="0"/>
        <v>996660000</v>
      </c>
      <c r="I9" s="767" t="s">
        <v>620</v>
      </c>
      <c r="K9" s="759">
        <f t="shared" si="1"/>
        <v>8223267.3267326737</v>
      </c>
      <c r="L9" s="758">
        <f t="shared" si="7"/>
        <v>92283.333333333328</v>
      </c>
      <c r="M9" s="758">
        <f t="shared" si="8"/>
        <v>9867920.7920792084</v>
      </c>
      <c r="N9" s="758">
        <f t="shared" si="2"/>
        <v>106.93069306930693</v>
      </c>
      <c r="P9" s="1399"/>
      <c r="Q9" s="758"/>
      <c r="R9" s="758"/>
      <c r="S9" s="758"/>
      <c r="T9" s="758"/>
      <c r="U9" s="758"/>
      <c r="V9" s="758"/>
      <c r="X9" s="1657"/>
      <c r="Y9" s="1657"/>
    </row>
    <row r="10" spans="1:25">
      <c r="A10" s="746"/>
      <c r="B10" s="746"/>
      <c r="C10" s="757" t="str">
        <f>Объекты!C10</f>
        <v>Шале</v>
      </c>
      <c r="D10" s="758">
        <f>Объекты!E10</f>
        <v>2340</v>
      </c>
      <c r="E10" s="758">
        <f>Объекты!F10</f>
        <v>13</v>
      </c>
      <c r="F10" s="28">
        <f>Бюджет_Синара!N229*$F$3</f>
        <v>15000000</v>
      </c>
      <c r="G10" s="759">
        <f>F10*E10</f>
        <v>195000000</v>
      </c>
      <c r="H10" s="759">
        <f t="shared" si="0"/>
        <v>234000000</v>
      </c>
      <c r="I10" s="767" t="s">
        <v>620</v>
      </c>
      <c r="K10" s="759">
        <f t="shared" si="1"/>
        <v>15000000</v>
      </c>
      <c r="L10" s="758">
        <f t="shared" si="7"/>
        <v>100000</v>
      </c>
      <c r="M10" s="758">
        <f t="shared" si="8"/>
        <v>18000000</v>
      </c>
      <c r="N10" s="758">
        <f t="shared" si="2"/>
        <v>180</v>
      </c>
      <c r="P10" s="1400"/>
      <c r="Q10" s="758"/>
      <c r="R10" s="758"/>
      <c r="S10" s="758"/>
      <c r="T10" s="758"/>
      <c r="U10" s="758"/>
      <c r="V10" s="758"/>
      <c r="X10" s="1657"/>
      <c r="Y10" s="1657"/>
    </row>
    <row r="11" spans="1:25">
      <c r="A11" s="746"/>
      <c r="B11" s="746"/>
      <c r="C11" s="761" t="str">
        <f>Объекты!C13</f>
        <v>Туристские резиденции</v>
      </c>
      <c r="D11" s="758">
        <f>Объекты!E13</f>
        <v>21950</v>
      </c>
      <c r="E11" s="758">
        <f>Объекты!F13</f>
        <v>385</v>
      </c>
      <c r="F11" s="28">
        <f>Бюджет_Синара!N210*$F$3</f>
        <v>105361.14806378132</v>
      </c>
      <c r="G11" s="759">
        <f>F11*D11</f>
        <v>2312677200</v>
      </c>
      <c r="H11" s="759">
        <f t="shared" si="0"/>
        <v>2775212640</v>
      </c>
      <c r="I11" s="767" t="s">
        <v>620</v>
      </c>
      <c r="K11" s="1372">
        <f t="shared" si="1"/>
        <v>6006953.7662337665</v>
      </c>
      <c r="L11" s="758">
        <f t="shared" si="7"/>
        <v>126433.37767653758</v>
      </c>
      <c r="M11" s="758">
        <f t="shared" si="8"/>
        <v>7208344.5194805199</v>
      </c>
      <c r="N11" s="758">
        <f t="shared" si="2"/>
        <v>57.012987012987011</v>
      </c>
      <c r="P11" s="1399" t="s">
        <v>982</v>
      </c>
      <c r="Q11" s="758">
        <v>91188</v>
      </c>
      <c r="R11" s="758">
        <v>1600</v>
      </c>
      <c r="S11" s="758">
        <f>[4]Инвестиции_КСР!$H$27</f>
        <v>8231119981.7002354</v>
      </c>
      <c r="T11" s="758">
        <f t="shared" ref="T11" si="9">S11/Q11</f>
        <v>90265.385595694999</v>
      </c>
      <c r="U11" s="758">
        <f t="shared" ref="U11" si="10">S11/R11</f>
        <v>5144449.9885626473</v>
      </c>
      <c r="V11" s="758">
        <f>Q11/R11</f>
        <v>56.9925</v>
      </c>
      <c r="X11" s="1657">
        <f t="shared" si="5"/>
        <v>0.40068506706260093</v>
      </c>
      <c r="Y11" s="1657">
        <f t="shared" si="6"/>
        <v>0.40118856933324415</v>
      </c>
    </row>
    <row r="12" spans="1:25">
      <c r="A12" s="746"/>
      <c r="B12" s="746"/>
      <c r="C12" s="761" t="str">
        <f>Бюджет_Синара!A232</f>
        <v>Ресторан в зоне катания</v>
      </c>
      <c r="D12" s="758">
        <f>Бюджет_Синара!B232</f>
        <v>900</v>
      </c>
      <c r="E12" s="1848"/>
      <c r="F12" s="28">
        <f>Бюджет_Синара!G232*$F$3</f>
        <v>183138.9258415591</v>
      </c>
      <c r="G12" s="759">
        <f>F12*D12</f>
        <v>164825033.25740319</v>
      </c>
      <c r="H12" s="759">
        <f t="shared" si="0"/>
        <v>197790039.90888384</v>
      </c>
      <c r="I12" s="767" t="s">
        <v>620</v>
      </c>
      <c r="P12" s="1399" t="s">
        <v>981</v>
      </c>
      <c r="S12" s="747"/>
    </row>
    <row r="13" spans="1:25">
      <c r="A13" s="746"/>
      <c r="B13" s="746"/>
      <c r="C13" s="1846" t="str">
        <f>Бюджет_Синара!A233</f>
        <v>SPA-комплекс</v>
      </c>
      <c r="D13" s="1847">
        <f>Бюджет_Синара!B233</f>
        <v>1900</v>
      </c>
      <c r="E13" s="1848"/>
      <c r="F13" s="1849">
        <f>Бюджет_Синара!G233*$F$3</f>
        <v>150000</v>
      </c>
      <c r="G13" s="759">
        <f>F13*D13</f>
        <v>285000000</v>
      </c>
      <c r="H13" s="759">
        <f t="shared" si="0"/>
        <v>342000000</v>
      </c>
      <c r="I13" s="767" t="s">
        <v>620</v>
      </c>
      <c r="P13" s="1400"/>
      <c r="S13" s="747"/>
    </row>
    <row r="14" spans="1:25" ht="41.45" customHeight="1">
      <c r="A14" s="746"/>
      <c r="B14" s="746"/>
      <c r="C14" s="1975" t="str">
        <f>Бюджет_Синара!A237</f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14" s="1975"/>
      <c r="E14" s="1975"/>
      <c r="F14" s="1975"/>
      <c r="G14" s="28">
        <f>Бюджет_Синара!E237*$F$3</f>
        <v>17500000</v>
      </c>
      <c r="H14" s="759">
        <f t="shared" si="0"/>
        <v>21000000</v>
      </c>
      <c r="I14" s="767" t="s">
        <v>620</v>
      </c>
      <c r="P14" s="1400"/>
      <c r="S14" s="747"/>
    </row>
    <row r="15" spans="1:25">
      <c r="A15" s="746"/>
      <c r="B15" s="746"/>
      <c r="C15" s="762" t="str">
        <f>Бюджет_Синара!A238</f>
        <v>Наземный паркинг</v>
      </c>
      <c r="D15" s="1850"/>
      <c r="E15" s="1850"/>
      <c r="F15" s="1850"/>
      <c r="G15" s="28">
        <f>Бюджет_Синара!E238*$F$3</f>
        <v>12750000</v>
      </c>
      <c r="H15" s="766">
        <f t="shared" si="0"/>
        <v>15300000</v>
      </c>
      <c r="I15" s="767" t="s">
        <v>620</v>
      </c>
      <c r="S15" s="747"/>
    </row>
    <row r="16" spans="1:25">
      <c r="A16" s="746"/>
      <c r="B16" s="746"/>
      <c r="C16" s="762" t="str">
        <f>Бюджет_Синара!A239</f>
        <v>Организация набережных</v>
      </c>
      <c r="D16" s="309"/>
      <c r="E16" s="309"/>
      <c r="F16" s="309"/>
      <c r="G16" s="28">
        <f>Бюджет_Синара!E239*$F$3</f>
        <v>120000000</v>
      </c>
      <c r="H16" s="759">
        <f t="shared" si="0"/>
        <v>144000000</v>
      </c>
      <c r="I16" s="767" t="s">
        <v>620</v>
      </c>
      <c r="S16" s="747"/>
    </row>
    <row r="17" spans="3:9">
      <c r="C17" s="762" t="str">
        <f>Бюджет_Синара!A240</f>
        <v>Трансформаторная подстанция</v>
      </c>
      <c r="D17" s="309"/>
      <c r="E17" s="309"/>
      <c r="F17" s="309"/>
      <c r="G17" s="28">
        <f>Бюджет_Синара!E240*$F$3</f>
        <v>12000000</v>
      </c>
      <c r="H17" s="759">
        <f t="shared" si="0"/>
        <v>14400000</v>
      </c>
      <c r="I17" s="767" t="s">
        <v>620</v>
      </c>
    </row>
    <row r="18" spans="3:9">
      <c r="C18" s="762" t="str">
        <f>Бюджет_Синара!A241</f>
        <v>Канализационная насосная станция</v>
      </c>
      <c r="D18" s="309"/>
      <c r="E18" s="309"/>
      <c r="F18" s="309"/>
      <c r="G18" s="28">
        <f>Бюджет_Синара!E241*$F$3</f>
        <v>4560000</v>
      </c>
      <c r="H18" s="759">
        <f t="shared" si="0"/>
        <v>5472000</v>
      </c>
      <c r="I18" s="767" t="s">
        <v>620</v>
      </c>
    </row>
    <row r="19" spans="3:9" ht="24.6" customHeight="1">
      <c r="C19" s="1976" t="str">
        <f>Бюджет_Синара!A242</f>
        <v>Стоимость проектных работ - 4% от СМР (мебель и технологическое оборудование не учитываются)</v>
      </c>
      <c r="D19" s="1976"/>
      <c r="E19" s="1976"/>
      <c r="F19" s="1976"/>
      <c r="G19" s="28">
        <f>Бюджет_Синара!E242*$F$3</f>
        <v>216369881.13463414</v>
      </c>
      <c r="H19" s="766">
        <f t="shared" si="0"/>
        <v>259643857.36156094</v>
      </c>
      <c r="I19" s="767" t="s">
        <v>620</v>
      </c>
    </row>
    <row r="20" spans="3:9" ht="15.95" customHeight="1">
      <c r="C20" s="763" t="s">
        <v>0</v>
      </c>
      <c r="D20" s="764">
        <f>SUM(D5:D19)</f>
        <v>69241.618878048786</v>
      </c>
      <c r="E20" s="764">
        <f>SUM(E5:E19)</f>
        <v>944</v>
      </c>
      <c r="F20" s="1850"/>
      <c r="G20" s="764">
        <f>SUM(G5:G19)</f>
        <v>8591950242.7578907</v>
      </c>
      <c r="H20" s="764">
        <f>SUM(H5:H19)</f>
        <v>10310340291.309469</v>
      </c>
      <c r="I20" s="765"/>
    </row>
    <row r="26" spans="3:9">
      <c r="E26" s="747"/>
      <c r="F26" s="747"/>
      <c r="G26" s="747"/>
      <c r="H26" s="747"/>
    </row>
  </sheetData>
  <mergeCells count="4">
    <mergeCell ref="L3:N3"/>
    <mergeCell ref="Q1:V1"/>
    <mergeCell ref="C14:F14"/>
    <mergeCell ref="C19:F19"/>
  </mergeCells>
  <conditionalFormatting sqref="F13">
    <cfRule type="expression" dxfId="1211" priority="21">
      <formula>$A$1=1</formula>
    </cfRule>
  </conditionalFormatting>
  <conditionalFormatting sqref="F5">
    <cfRule type="expression" dxfId="1210" priority="24">
      <formula>$A$1=1</formula>
    </cfRule>
  </conditionalFormatting>
  <conditionalFormatting sqref="F6:F11">
    <cfRule type="expression" dxfId="1209" priority="23">
      <formula>$A$1=1</formula>
    </cfRule>
  </conditionalFormatting>
  <conditionalFormatting sqref="G14:G19">
    <cfRule type="expression" dxfId="1208" priority="20">
      <formula>$A$1=1</formula>
    </cfRule>
  </conditionalFormatting>
  <conditionalFormatting sqref="F12">
    <cfRule type="expression" dxfId="1207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A72"/>
  <sheetViews>
    <sheetView showGridLines="0" zoomScale="85" zoomScaleNormal="85" workbookViewId="0">
      <pane xSplit="6" ySplit="10" topLeftCell="J11" activePane="bottomRight" state="frozen"/>
      <selection activeCell="I13" sqref="I13"/>
      <selection pane="topRight" activeCell="I13" sqref="I13"/>
      <selection pane="bottomLeft" activeCell="I13" sqref="I13"/>
      <selection pane="bottomRight" activeCell="F44" sqref="F44"/>
    </sheetView>
  </sheetViews>
  <sheetFormatPr defaultColWidth="9.140625" defaultRowHeight="12.75" outlineLevelCol="1"/>
  <cols>
    <col min="1" max="1" width="3.7109375" style="140" customWidth="1"/>
    <col min="2" max="2" width="8.7109375" style="140" customWidth="1"/>
    <col min="3" max="3" width="40" style="140" customWidth="1"/>
    <col min="4" max="4" width="14.28515625" style="140" customWidth="1"/>
    <col min="5" max="5" width="16.5703125" style="140" customWidth="1"/>
    <col min="6" max="6" width="16.85546875" style="140" customWidth="1" outlineLevel="1"/>
    <col min="7" max="7" width="17.140625" style="140" customWidth="1"/>
    <col min="8" max="8" width="14.5703125" style="140" customWidth="1"/>
    <col min="9" max="9" width="14.42578125" style="140" customWidth="1"/>
    <col min="10" max="10" width="14.5703125" style="140" customWidth="1"/>
    <col min="11" max="11" width="14.140625" style="140" customWidth="1"/>
    <col min="12" max="31" width="13" style="140" customWidth="1"/>
    <col min="32" max="88" width="11.140625" style="140" bestFit="1" customWidth="1"/>
    <col min="89" max="105" width="12.28515625" style="140" customWidth="1"/>
    <col min="106" max="16384" width="9.140625" style="140"/>
  </cols>
  <sheetData>
    <row r="1" spans="1:105" ht="15" thickBot="1">
      <c r="A1" s="415">
        <v>1</v>
      </c>
      <c r="B1" s="13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</row>
    <row r="2" spans="1:105">
      <c r="A2" s="139"/>
      <c r="B2" s="139"/>
      <c r="C2" s="30"/>
      <c r="D2" s="30"/>
      <c r="E2" s="30"/>
      <c r="F2" s="30"/>
      <c r="G2" s="30"/>
      <c r="H2" s="30"/>
      <c r="I2" s="30"/>
      <c r="J2" s="422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</row>
    <row r="3" spans="1:105" ht="15.75">
      <c r="A3" s="40"/>
      <c r="B3" s="139"/>
      <c r="C3" s="22" t="s">
        <v>64</v>
      </c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30"/>
      <c r="Q3" s="24"/>
      <c r="R3" s="24"/>
      <c r="S3" s="24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</row>
    <row r="4" spans="1:105" ht="25.5">
      <c r="A4" s="139"/>
      <c r="B4" s="139"/>
      <c r="C4" s="423" t="s">
        <v>65</v>
      </c>
      <c r="D4" s="423" t="str">
        <f>Бюджет!H4</f>
        <v>Ст-ть стр-ва, 
руб. с НДС</v>
      </c>
      <c r="E4" s="423" t="s">
        <v>475</v>
      </c>
      <c r="F4" s="423" t="s">
        <v>66</v>
      </c>
      <c r="G4" s="423">
        <f>YEAR(G7)</f>
        <v>2022</v>
      </c>
      <c r="H4" s="423">
        <f t="shared" ref="H4:AE4" si="0">YEAR(H7)</f>
        <v>2022</v>
      </c>
      <c r="I4" s="423">
        <f t="shared" si="0"/>
        <v>2022</v>
      </c>
      <c r="J4" s="423">
        <f t="shared" si="0"/>
        <v>2022</v>
      </c>
      <c r="K4" s="423">
        <f t="shared" si="0"/>
        <v>2023</v>
      </c>
      <c r="L4" s="423">
        <f t="shared" si="0"/>
        <v>2023</v>
      </c>
      <c r="M4" s="423">
        <f>YEAR(M7)</f>
        <v>2023</v>
      </c>
      <c r="N4" s="423">
        <f t="shared" si="0"/>
        <v>2023</v>
      </c>
      <c r="O4" s="423">
        <f t="shared" si="0"/>
        <v>2024</v>
      </c>
      <c r="P4" s="423">
        <f t="shared" si="0"/>
        <v>2024</v>
      </c>
      <c r="Q4" s="423">
        <f t="shared" si="0"/>
        <v>2024</v>
      </c>
      <c r="R4" s="423">
        <f t="shared" si="0"/>
        <v>2024</v>
      </c>
      <c r="S4" s="423">
        <f>YEAR(S7)</f>
        <v>2025</v>
      </c>
      <c r="T4" s="423">
        <f t="shared" si="0"/>
        <v>2025</v>
      </c>
      <c r="U4" s="423">
        <f>YEAR(U7)</f>
        <v>2025</v>
      </c>
      <c r="V4" s="423">
        <f t="shared" si="0"/>
        <v>2025</v>
      </c>
      <c r="W4" s="423">
        <f t="shared" si="0"/>
        <v>2026</v>
      </c>
      <c r="X4" s="423">
        <f t="shared" si="0"/>
        <v>2026</v>
      </c>
      <c r="Y4" s="423">
        <f t="shared" si="0"/>
        <v>2026</v>
      </c>
      <c r="Z4" s="423">
        <f t="shared" si="0"/>
        <v>2026</v>
      </c>
      <c r="AA4" s="423">
        <f t="shared" si="0"/>
        <v>2027</v>
      </c>
      <c r="AB4" s="423">
        <f t="shared" si="0"/>
        <v>2027</v>
      </c>
      <c r="AC4" s="423">
        <f t="shared" si="0"/>
        <v>2027</v>
      </c>
      <c r="AD4" s="423">
        <f t="shared" si="0"/>
        <v>2027</v>
      </c>
      <c r="AE4" s="423">
        <f t="shared" si="0"/>
        <v>2028</v>
      </c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</row>
    <row r="5" spans="1:105">
      <c r="A5" s="424"/>
      <c r="B5" s="425"/>
      <c r="C5" s="327" t="s">
        <v>67</v>
      </c>
      <c r="D5" s="328"/>
      <c r="E5" s="328"/>
      <c r="F5" s="426"/>
      <c r="G5" s="329">
        <v>1</v>
      </c>
      <c r="H5" s="329">
        <v>2</v>
      </c>
      <c r="I5" s="329">
        <v>3</v>
      </c>
      <c r="J5" s="329">
        <v>4</v>
      </c>
      <c r="K5" s="329">
        <v>5</v>
      </c>
      <c r="L5" s="329">
        <v>6</v>
      </c>
      <c r="M5" s="329">
        <v>7</v>
      </c>
      <c r="N5" s="329">
        <v>8</v>
      </c>
      <c r="O5" s="329">
        <v>9</v>
      </c>
      <c r="P5" s="329">
        <v>10</v>
      </c>
      <c r="Q5" s="329">
        <v>11</v>
      </c>
      <c r="R5" s="329">
        <v>12</v>
      </c>
      <c r="S5" s="329">
        <v>13</v>
      </c>
      <c r="T5" s="329">
        <v>14</v>
      </c>
      <c r="U5" s="329">
        <v>15</v>
      </c>
      <c r="V5" s="329">
        <v>16</v>
      </c>
      <c r="W5" s="329">
        <v>17</v>
      </c>
      <c r="X5" s="329">
        <v>18</v>
      </c>
      <c r="Y5" s="329">
        <v>19</v>
      </c>
      <c r="Z5" s="329">
        <v>20</v>
      </c>
      <c r="AA5" s="329">
        <v>21</v>
      </c>
      <c r="AB5" s="329">
        <v>22</v>
      </c>
      <c r="AC5" s="329">
        <v>23</v>
      </c>
      <c r="AD5" s="329">
        <v>24</v>
      </c>
      <c r="AE5" s="329">
        <v>25</v>
      </c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  <c r="CO5" s="424"/>
      <c r="CP5" s="424"/>
      <c r="CQ5" s="424"/>
      <c r="CR5" s="424"/>
      <c r="CS5" s="424"/>
      <c r="CT5" s="424"/>
      <c r="CU5" s="424"/>
      <c r="CV5" s="424"/>
      <c r="CW5" s="424"/>
      <c r="CX5" s="424"/>
      <c r="CY5" s="424"/>
      <c r="CZ5" s="424"/>
      <c r="DA5" s="424"/>
    </row>
    <row r="6" spans="1:105">
      <c r="A6" s="424"/>
      <c r="B6" s="425"/>
      <c r="C6" s="330" t="s">
        <v>8</v>
      </c>
      <c r="D6" s="331"/>
      <c r="E6" s="331"/>
      <c r="F6" s="426"/>
      <c r="G6" s="329">
        <f>IF(G7&lt;&gt;"",TRUNC((MONTH(G8)-1)/3, 0)+1,"")</f>
        <v>1</v>
      </c>
      <c r="H6" s="329">
        <f>IF(H7&lt;&gt;"",TRUNC((MONTH(H8)-1)/3, 0)+1,"")</f>
        <v>2</v>
      </c>
      <c r="I6" s="329">
        <f t="shared" ref="I6:AE6" si="1">IF(I7&lt;&gt;"",TRUNC((MONTH(I8)-1)/3, 0)+1,"")</f>
        <v>3</v>
      </c>
      <c r="J6" s="329">
        <f t="shared" si="1"/>
        <v>4</v>
      </c>
      <c r="K6" s="329">
        <f t="shared" si="1"/>
        <v>1</v>
      </c>
      <c r="L6" s="329">
        <f t="shared" si="1"/>
        <v>2</v>
      </c>
      <c r="M6" s="329">
        <f t="shared" si="1"/>
        <v>3</v>
      </c>
      <c r="N6" s="329">
        <f t="shared" si="1"/>
        <v>4</v>
      </c>
      <c r="O6" s="329">
        <f t="shared" si="1"/>
        <v>1</v>
      </c>
      <c r="P6" s="329">
        <f t="shared" si="1"/>
        <v>2</v>
      </c>
      <c r="Q6" s="329">
        <f t="shared" si="1"/>
        <v>3</v>
      </c>
      <c r="R6" s="329">
        <f t="shared" si="1"/>
        <v>4</v>
      </c>
      <c r="S6" s="329">
        <f t="shared" si="1"/>
        <v>1</v>
      </c>
      <c r="T6" s="329">
        <f t="shared" si="1"/>
        <v>2</v>
      </c>
      <c r="U6" s="329">
        <f t="shared" si="1"/>
        <v>3</v>
      </c>
      <c r="V6" s="329">
        <f t="shared" si="1"/>
        <v>4</v>
      </c>
      <c r="W6" s="329">
        <f t="shared" si="1"/>
        <v>1</v>
      </c>
      <c r="X6" s="329">
        <f t="shared" si="1"/>
        <v>2</v>
      </c>
      <c r="Y6" s="329">
        <f t="shared" si="1"/>
        <v>3</v>
      </c>
      <c r="Z6" s="329">
        <f t="shared" si="1"/>
        <v>4</v>
      </c>
      <c r="AA6" s="329">
        <f t="shared" si="1"/>
        <v>1</v>
      </c>
      <c r="AB6" s="329">
        <f t="shared" si="1"/>
        <v>2</v>
      </c>
      <c r="AC6" s="329">
        <f t="shared" si="1"/>
        <v>3</v>
      </c>
      <c r="AD6" s="329">
        <f t="shared" si="1"/>
        <v>4</v>
      </c>
      <c r="AE6" s="329">
        <f t="shared" si="1"/>
        <v>1</v>
      </c>
      <c r="AF6" s="424"/>
      <c r="AG6" s="424"/>
      <c r="AH6" s="424"/>
      <c r="AI6" s="424"/>
      <c r="AJ6" s="424"/>
      <c r="AK6" s="424"/>
      <c r="AL6" s="424"/>
      <c r="AM6" s="424"/>
      <c r="AN6" s="424"/>
      <c r="AO6" s="424"/>
      <c r="AP6" s="424"/>
      <c r="AQ6" s="424"/>
      <c r="AR6" s="424"/>
      <c r="AS6" s="424"/>
      <c r="AT6" s="424"/>
      <c r="AU6" s="424"/>
      <c r="AV6" s="424"/>
      <c r="AW6" s="424"/>
      <c r="AX6" s="424"/>
      <c r="AY6" s="424"/>
      <c r="AZ6" s="424"/>
      <c r="BA6" s="424"/>
      <c r="BB6" s="424"/>
      <c r="BC6" s="424"/>
      <c r="BD6" s="424"/>
      <c r="BE6" s="424"/>
      <c r="BF6" s="424"/>
      <c r="BG6" s="424"/>
      <c r="BH6" s="424"/>
      <c r="BI6" s="424"/>
      <c r="BJ6" s="424"/>
      <c r="BK6" s="424"/>
      <c r="BL6" s="424"/>
      <c r="BM6" s="424"/>
      <c r="BN6" s="424"/>
      <c r="BO6" s="424"/>
      <c r="BP6" s="424"/>
      <c r="BQ6" s="424"/>
      <c r="BR6" s="424"/>
      <c r="BS6" s="424"/>
      <c r="BT6" s="424"/>
      <c r="BU6" s="424"/>
      <c r="BV6" s="424"/>
      <c r="BW6" s="424"/>
      <c r="BX6" s="424"/>
      <c r="BY6" s="424"/>
      <c r="BZ6" s="424"/>
      <c r="CA6" s="424"/>
      <c r="CB6" s="424"/>
      <c r="CC6" s="424"/>
      <c r="CD6" s="424"/>
      <c r="CE6" s="424"/>
      <c r="CF6" s="424"/>
      <c r="CG6" s="424"/>
      <c r="CH6" s="424"/>
      <c r="CI6" s="424"/>
      <c r="CJ6" s="424"/>
      <c r="CK6" s="424"/>
      <c r="CL6" s="424"/>
      <c r="CM6" s="424"/>
      <c r="CN6" s="424"/>
      <c r="CO6" s="424"/>
      <c r="CP6" s="424"/>
      <c r="CQ6" s="424"/>
      <c r="CR6" s="424"/>
      <c r="CS6" s="424"/>
      <c r="CT6" s="424"/>
      <c r="CU6" s="424"/>
      <c r="CV6" s="424"/>
      <c r="CW6" s="424"/>
      <c r="CX6" s="424"/>
      <c r="CY6" s="424"/>
      <c r="CZ6" s="424"/>
      <c r="DA6" s="424"/>
    </row>
    <row r="7" spans="1:105">
      <c r="A7" s="424"/>
      <c r="B7" s="425"/>
      <c r="C7" s="330" t="s">
        <v>1</v>
      </c>
      <c r="D7" s="331"/>
      <c r="E7" s="331"/>
      <c r="F7" s="426"/>
      <c r="G7" s="427">
        <f>Вводные!D4</f>
        <v>44593</v>
      </c>
      <c r="H7" s="427">
        <f>DATE(YEAR(G7),(TRUNC((MONTH(G7)-1)/3,0)+1)*3+1,1)</f>
        <v>44652</v>
      </c>
      <c r="I7" s="427">
        <f t="shared" ref="I7:AE7" si="2">DATE(YEAR(H7),(TRUNC((MONTH(H7)-1)/3,0)+1)*3+1,1)</f>
        <v>44743</v>
      </c>
      <c r="J7" s="427">
        <f t="shared" si="2"/>
        <v>44835</v>
      </c>
      <c r="K7" s="427">
        <f t="shared" si="2"/>
        <v>44927</v>
      </c>
      <c r="L7" s="427">
        <f t="shared" si="2"/>
        <v>45017</v>
      </c>
      <c r="M7" s="427">
        <f t="shared" si="2"/>
        <v>45108</v>
      </c>
      <c r="N7" s="427">
        <f t="shared" si="2"/>
        <v>45200</v>
      </c>
      <c r="O7" s="427">
        <f t="shared" si="2"/>
        <v>45292</v>
      </c>
      <c r="P7" s="427">
        <f t="shared" si="2"/>
        <v>45383</v>
      </c>
      <c r="Q7" s="427">
        <f t="shared" si="2"/>
        <v>45474</v>
      </c>
      <c r="R7" s="427">
        <f t="shared" si="2"/>
        <v>45566</v>
      </c>
      <c r="S7" s="427">
        <f t="shared" si="2"/>
        <v>45658</v>
      </c>
      <c r="T7" s="427">
        <f t="shared" si="2"/>
        <v>45748</v>
      </c>
      <c r="U7" s="427">
        <f t="shared" si="2"/>
        <v>45839</v>
      </c>
      <c r="V7" s="427">
        <f t="shared" si="2"/>
        <v>45931</v>
      </c>
      <c r="W7" s="427">
        <f t="shared" si="2"/>
        <v>46023</v>
      </c>
      <c r="X7" s="427">
        <f t="shared" si="2"/>
        <v>46113</v>
      </c>
      <c r="Y7" s="427">
        <f t="shared" si="2"/>
        <v>46204</v>
      </c>
      <c r="Z7" s="427">
        <f t="shared" si="2"/>
        <v>46296</v>
      </c>
      <c r="AA7" s="427">
        <f t="shared" si="2"/>
        <v>46388</v>
      </c>
      <c r="AB7" s="427">
        <f t="shared" si="2"/>
        <v>46478</v>
      </c>
      <c r="AC7" s="427">
        <f t="shared" si="2"/>
        <v>46569</v>
      </c>
      <c r="AD7" s="427">
        <f t="shared" si="2"/>
        <v>46661</v>
      </c>
      <c r="AE7" s="427">
        <f t="shared" si="2"/>
        <v>46753</v>
      </c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</row>
    <row r="8" spans="1:105">
      <c r="A8" s="424"/>
      <c r="B8" s="425"/>
      <c r="C8" s="330" t="s">
        <v>2</v>
      </c>
      <c r="D8" s="331"/>
      <c r="E8" s="331"/>
      <c r="F8" s="426"/>
      <c r="G8" s="427">
        <f>DATE(YEAR(G7),((TRUNC((MONTH(G7)-1),0)+1)+2),1)-1</f>
        <v>44651</v>
      </c>
      <c r="H8" s="427">
        <f>DATE(YEAR(H7),((TRUNC((MONTH(H7)-1),0)+1)+1)+2,1)-1</f>
        <v>44742</v>
      </c>
      <c r="I8" s="427">
        <f t="shared" ref="I8:AE8" si="3">DATE(YEAR(I7),((TRUNC((MONTH(I7)-1),0)+1)+1)+2,1)-1</f>
        <v>44834</v>
      </c>
      <c r="J8" s="427">
        <f t="shared" si="3"/>
        <v>44926</v>
      </c>
      <c r="K8" s="427">
        <f t="shared" si="3"/>
        <v>45016</v>
      </c>
      <c r="L8" s="427">
        <f t="shared" si="3"/>
        <v>45107</v>
      </c>
      <c r="M8" s="427">
        <f t="shared" si="3"/>
        <v>45199</v>
      </c>
      <c r="N8" s="427">
        <f t="shared" si="3"/>
        <v>45291</v>
      </c>
      <c r="O8" s="427">
        <f t="shared" si="3"/>
        <v>45382</v>
      </c>
      <c r="P8" s="427">
        <f t="shared" si="3"/>
        <v>45473</v>
      </c>
      <c r="Q8" s="427">
        <f t="shared" si="3"/>
        <v>45565</v>
      </c>
      <c r="R8" s="427">
        <f t="shared" si="3"/>
        <v>45657</v>
      </c>
      <c r="S8" s="427">
        <f t="shared" si="3"/>
        <v>45747</v>
      </c>
      <c r="T8" s="427">
        <f t="shared" si="3"/>
        <v>45838</v>
      </c>
      <c r="U8" s="427">
        <f t="shared" si="3"/>
        <v>45930</v>
      </c>
      <c r="V8" s="427">
        <f t="shared" si="3"/>
        <v>46022</v>
      </c>
      <c r="W8" s="427">
        <f t="shared" si="3"/>
        <v>46112</v>
      </c>
      <c r="X8" s="427">
        <f t="shared" si="3"/>
        <v>46203</v>
      </c>
      <c r="Y8" s="427">
        <f t="shared" si="3"/>
        <v>46295</v>
      </c>
      <c r="Z8" s="427">
        <f t="shared" si="3"/>
        <v>46387</v>
      </c>
      <c r="AA8" s="427">
        <f t="shared" si="3"/>
        <v>46477</v>
      </c>
      <c r="AB8" s="427">
        <f t="shared" si="3"/>
        <v>46568</v>
      </c>
      <c r="AC8" s="427">
        <f t="shared" si="3"/>
        <v>46660</v>
      </c>
      <c r="AD8" s="427">
        <f t="shared" si="3"/>
        <v>46752</v>
      </c>
      <c r="AE8" s="427">
        <f t="shared" si="3"/>
        <v>46843</v>
      </c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</row>
    <row r="9" spans="1:105">
      <c r="A9" s="424"/>
      <c r="B9" s="425"/>
      <c r="C9" s="330" t="s">
        <v>8</v>
      </c>
      <c r="D9" s="331"/>
      <c r="E9" s="331"/>
      <c r="F9" s="426"/>
      <c r="G9" s="329" t="str">
        <f t="shared" ref="G9:AE9" si="4">CONCATENATE(G6," кв. ",G29)</f>
        <v>1 кв. 2022</v>
      </c>
      <c r="H9" s="329" t="str">
        <f t="shared" si="4"/>
        <v>2 кв. 2022</v>
      </c>
      <c r="I9" s="329" t="str">
        <f t="shared" si="4"/>
        <v>3 кв. 2022</v>
      </c>
      <c r="J9" s="329" t="str">
        <f t="shared" si="4"/>
        <v>4 кв. 2022</v>
      </c>
      <c r="K9" s="329" t="str">
        <f t="shared" si="4"/>
        <v>1 кв. 2023</v>
      </c>
      <c r="L9" s="329" t="str">
        <f t="shared" si="4"/>
        <v>2 кв. 2023</v>
      </c>
      <c r="M9" s="329" t="str">
        <f t="shared" si="4"/>
        <v>3 кв. 2023</v>
      </c>
      <c r="N9" s="329" t="str">
        <f t="shared" si="4"/>
        <v>4 кв. 2023</v>
      </c>
      <c r="O9" s="329" t="str">
        <f t="shared" si="4"/>
        <v>1 кв. 2024</v>
      </c>
      <c r="P9" s="329" t="str">
        <f t="shared" si="4"/>
        <v>2 кв. 2024</v>
      </c>
      <c r="Q9" s="329" t="str">
        <f t="shared" si="4"/>
        <v>3 кв. 2024</v>
      </c>
      <c r="R9" s="329" t="str">
        <f t="shared" si="4"/>
        <v>4 кв. 2024</v>
      </c>
      <c r="S9" s="329" t="str">
        <f t="shared" si="4"/>
        <v>1 кв. 2025</v>
      </c>
      <c r="T9" s="329" t="str">
        <f t="shared" si="4"/>
        <v>2 кв. 2025</v>
      </c>
      <c r="U9" s="329" t="str">
        <f t="shared" si="4"/>
        <v>3 кв. 2025</v>
      </c>
      <c r="V9" s="329" t="str">
        <f t="shared" si="4"/>
        <v>4 кв. 2025</v>
      </c>
      <c r="W9" s="329" t="str">
        <f t="shared" si="4"/>
        <v>1 кв. 2026</v>
      </c>
      <c r="X9" s="329" t="str">
        <f t="shared" si="4"/>
        <v>2 кв. 2026</v>
      </c>
      <c r="Y9" s="329" t="str">
        <f t="shared" si="4"/>
        <v>3 кв. 2026</v>
      </c>
      <c r="Z9" s="329" t="str">
        <f t="shared" si="4"/>
        <v>4 кв. 2026</v>
      </c>
      <c r="AA9" s="329" t="str">
        <f t="shared" si="4"/>
        <v>1 кв. 2027</v>
      </c>
      <c r="AB9" s="329" t="str">
        <f t="shared" si="4"/>
        <v>2 кв. 2027</v>
      </c>
      <c r="AC9" s="329" t="str">
        <f t="shared" si="4"/>
        <v>3 кв. 2027</v>
      </c>
      <c r="AD9" s="329" t="str">
        <f t="shared" si="4"/>
        <v>4 кв. 2027</v>
      </c>
      <c r="AE9" s="329" t="str">
        <f t="shared" si="4"/>
        <v>1 кв. 2028</v>
      </c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</row>
    <row r="10" spans="1:105">
      <c r="A10" s="424"/>
      <c r="B10" s="425"/>
      <c r="C10" s="330" t="s">
        <v>68</v>
      </c>
      <c r="D10" s="331"/>
      <c r="E10" s="331"/>
      <c r="F10" s="426"/>
      <c r="G10" s="329">
        <f>G8-G7+1</f>
        <v>59</v>
      </c>
      <c r="H10" s="329">
        <f>H8-H7+1</f>
        <v>91</v>
      </c>
      <c r="I10" s="329">
        <f t="shared" ref="I10:AE10" si="5">I8-I7+1</f>
        <v>92</v>
      </c>
      <c r="J10" s="329">
        <f t="shared" si="5"/>
        <v>92</v>
      </c>
      <c r="K10" s="329">
        <f t="shared" si="5"/>
        <v>90</v>
      </c>
      <c r="L10" s="329">
        <f t="shared" si="5"/>
        <v>91</v>
      </c>
      <c r="M10" s="329">
        <f t="shared" si="5"/>
        <v>92</v>
      </c>
      <c r="N10" s="329">
        <f t="shared" si="5"/>
        <v>92</v>
      </c>
      <c r="O10" s="329">
        <f t="shared" si="5"/>
        <v>91</v>
      </c>
      <c r="P10" s="329">
        <f t="shared" si="5"/>
        <v>91</v>
      </c>
      <c r="Q10" s="329">
        <f t="shared" si="5"/>
        <v>92</v>
      </c>
      <c r="R10" s="329">
        <f t="shared" si="5"/>
        <v>92</v>
      </c>
      <c r="S10" s="329">
        <f t="shared" si="5"/>
        <v>90</v>
      </c>
      <c r="T10" s="329">
        <f t="shared" si="5"/>
        <v>91</v>
      </c>
      <c r="U10" s="329">
        <f t="shared" si="5"/>
        <v>92</v>
      </c>
      <c r="V10" s="329">
        <f t="shared" si="5"/>
        <v>92</v>
      </c>
      <c r="W10" s="329">
        <f t="shared" si="5"/>
        <v>90</v>
      </c>
      <c r="X10" s="329">
        <f t="shared" si="5"/>
        <v>91</v>
      </c>
      <c r="Y10" s="329">
        <f t="shared" si="5"/>
        <v>92</v>
      </c>
      <c r="Z10" s="329">
        <f t="shared" si="5"/>
        <v>92</v>
      </c>
      <c r="AA10" s="329">
        <f t="shared" si="5"/>
        <v>90</v>
      </c>
      <c r="AB10" s="329">
        <f t="shared" si="5"/>
        <v>91</v>
      </c>
      <c r="AC10" s="329">
        <f t="shared" si="5"/>
        <v>92</v>
      </c>
      <c r="AD10" s="329">
        <f t="shared" si="5"/>
        <v>92</v>
      </c>
      <c r="AE10" s="329">
        <f t="shared" si="5"/>
        <v>91</v>
      </c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</row>
    <row r="11" spans="1:105">
      <c r="A11" s="428"/>
      <c r="B11" s="139"/>
      <c r="C11" s="429" t="str">
        <f>Бюджет!C5</f>
        <v>Гостиница 5*</v>
      </c>
      <c r="D11" s="28">
        <f>Бюджет!H5</f>
        <v>2277452674.0390244</v>
      </c>
      <c r="E11" s="430">
        <f>Вводные!D10</f>
        <v>46204</v>
      </c>
      <c r="F11" s="431">
        <f t="shared" ref="F11:F25" si="6">SUM(G11:CX11)</f>
        <v>0.99999999999999978</v>
      </c>
      <c r="G11" s="1460"/>
      <c r="H11" s="119">
        <v>0</v>
      </c>
      <c r="I11" s="119">
        <v>5.0000000000000001E-3</v>
      </c>
      <c r="J11" s="119">
        <v>0.01</v>
      </c>
      <c r="K11" s="119">
        <v>0.03</v>
      </c>
      <c r="L11" s="119">
        <v>0.05</v>
      </c>
      <c r="M11" s="119">
        <v>7.0000000000000007E-2</v>
      </c>
      <c r="N11" s="119">
        <v>7.0000000000000007E-2</v>
      </c>
      <c r="O11" s="119">
        <v>7.0000000000000007E-2</v>
      </c>
      <c r="P11" s="119">
        <v>7.0000000000000007E-2</v>
      </c>
      <c r="Q11" s="119">
        <v>7.0000000000000007E-2</v>
      </c>
      <c r="R11" s="119">
        <v>7.4999999999999997E-2</v>
      </c>
      <c r="S11" s="119">
        <v>0.08</v>
      </c>
      <c r="T11" s="119">
        <v>0.08</v>
      </c>
      <c r="U11" s="119">
        <v>0.08</v>
      </c>
      <c r="V11" s="119">
        <v>0.08</v>
      </c>
      <c r="W11" s="119">
        <v>0.08</v>
      </c>
      <c r="X11" s="119">
        <v>0.08</v>
      </c>
      <c r="Y11" s="432"/>
      <c r="Z11" s="432"/>
      <c r="AA11" s="432"/>
      <c r="AB11" s="432"/>
      <c r="AC11" s="432"/>
      <c r="AD11" s="432"/>
      <c r="AE11" s="432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</row>
    <row r="12" spans="1:105">
      <c r="A12" s="428"/>
      <c r="B12" s="139"/>
      <c r="C12" s="429" t="str">
        <f>Бюджет!C6</f>
        <v>Гостиница 4*</v>
      </c>
      <c r="D12" s="28">
        <f>Бюджет!H6</f>
        <v>2156675640</v>
      </c>
      <c r="E12" s="430">
        <f>Вводные!D11</f>
        <v>46204</v>
      </c>
      <c r="F12" s="431">
        <f t="shared" si="6"/>
        <v>0.99999999999999978</v>
      </c>
      <c r="G12" s="1460"/>
      <c r="H12" s="119">
        <v>0</v>
      </c>
      <c r="I12" s="119">
        <v>5.0000000000000001E-3</v>
      </c>
      <c r="J12" s="119">
        <v>0.01</v>
      </c>
      <c r="K12" s="119">
        <v>0.03</v>
      </c>
      <c r="L12" s="119">
        <v>0.05</v>
      </c>
      <c r="M12" s="119">
        <v>7.0000000000000007E-2</v>
      </c>
      <c r="N12" s="119">
        <v>7.0000000000000007E-2</v>
      </c>
      <c r="O12" s="119">
        <v>7.0000000000000007E-2</v>
      </c>
      <c r="P12" s="119">
        <v>7.0000000000000007E-2</v>
      </c>
      <c r="Q12" s="119">
        <v>7.0000000000000007E-2</v>
      </c>
      <c r="R12" s="119">
        <v>7.4999999999999997E-2</v>
      </c>
      <c r="S12" s="119">
        <v>0.08</v>
      </c>
      <c r="T12" s="119">
        <v>0.08</v>
      </c>
      <c r="U12" s="119">
        <v>0.08</v>
      </c>
      <c r="V12" s="119">
        <v>0.08</v>
      </c>
      <c r="W12" s="119">
        <v>0.08</v>
      </c>
      <c r="X12" s="119">
        <v>0.08</v>
      </c>
      <c r="Y12" s="119"/>
      <c r="Z12" s="119"/>
      <c r="AA12" s="432"/>
      <c r="AB12" s="432"/>
      <c r="AC12" s="432"/>
      <c r="AD12" s="432"/>
      <c r="AE12" s="432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</row>
    <row r="13" spans="1:105">
      <c r="A13" s="428"/>
      <c r="B13" s="139"/>
      <c r="C13" s="429" t="str">
        <f>Бюджет!C7</f>
        <v>Гостиница 3*</v>
      </c>
      <c r="D13" s="28">
        <f>Бюджет!H7</f>
        <v>870733440</v>
      </c>
      <c r="E13" s="430">
        <f>Вводные!D12</f>
        <v>45839</v>
      </c>
      <c r="F13" s="431">
        <f t="shared" si="6"/>
        <v>1</v>
      </c>
      <c r="G13" s="1460"/>
      <c r="H13" s="119">
        <v>0</v>
      </c>
      <c r="I13" s="119">
        <v>5.0000000000000001E-3</v>
      </c>
      <c r="J13" s="119">
        <v>0.01</v>
      </c>
      <c r="K13" s="119">
        <v>0.05</v>
      </c>
      <c r="L13" s="119">
        <v>7.0000000000000007E-2</v>
      </c>
      <c r="M13" s="119">
        <v>0.1</v>
      </c>
      <c r="N13" s="119">
        <v>0.1</v>
      </c>
      <c r="O13" s="119">
        <v>0.11</v>
      </c>
      <c r="P13" s="119">
        <v>0.11</v>
      </c>
      <c r="Q13" s="119">
        <v>0.11</v>
      </c>
      <c r="R13" s="119">
        <v>0.11</v>
      </c>
      <c r="S13" s="119">
        <v>0.11</v>
      </c>
      <c r="T13" s="119">
        <v>0.115</v>
      </c>
      <c r="U13" s="119"/>
      <c r="V13" s="119"/>
      <c r="W13" s="432"/>
      <c r="X13" s="432"/>
      <c r="Y13" s="432"/>
      <c r="Z13" s="432"/>
      <c r="AA13" s="432"/>
      <c r="AB13" s="432"/>
      <c r="AC13" s="432"/>
      <c r="AD13" s="432"/>
      <c r="AE13" s="432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</row>
    <row r="14" spans="1:105">
      <c r="A14" s="428"/>
      <c r="B14" s="139"/>
      <c r="C14" s="429" t="str">
        <f>Бюджет!C8</f>
        <v>Гостиница 2*</v>
      </c>
      <c r="D14" s="28">
        <f>Бюджет!H8</f>
        <v>0</v>
      </c>
      <c r="E14" s="430">
        <f>Вводные!D13</f>
        <v>0</v>
      </c>
      <c r="F14" s="431">
        <f t="shared" si="6"/>
        <v>1</v>
      </c>
      <c r="G14" s="1460"/>
      <c r="H14" s="119">
        <v>0</v>
      </c>
      <c r="I14" s="119">
        <v>5.0000000000000001E-3</v>
      </c>
      <c r="J14" s="119">
        <v>0.01</v>
      </c>
      <c r="K14" s="119">
        <v>0.05</v>
      </c>
      <c r="L14" s="119">
        <v>7.0000000000000007E-2</v>
      </c>
      <c r="M14" s="119">
        <v>0.1</v>
      </c>
      <c r="N14" s="119">
        <v>0.1</v>
      </c>
      <c r="O14" s="119">
        <v>0.11</v>
      </c>
      <c r="P14" s="119">
        <v>0.11</v>
      </c>
      <c r="Q14" s="119">
        <v>0.11</v>
      </c>
      <c r="R14" s="119">
        <v>0.11</v>
      </c>
      <c r="S14" s="119">
        <v>0.11</v>
      </c>
      <c r="T14" s="119">
        <v>0.115</v>
      </c>
      <c r="U14" s="119"/>
      <c r="V14" s="119"/>
      <c r="W14" s="432"/>
      <c r="X14" s="432"/>
      <c r="Y14" s="432"/>
      <c r="Z14" s="432"/>
      <c r="AA14" s="432"/>
      <c r="AB14" s="432"/>
      <c r="AC14" s="432"/>
      <c r="AD14" s="432"/>
      <c r="AE14" s="432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</row>
    <row r="15" spans="1:105">
      <c r="A15" s="428"/>
      <c r="B15" s="139"/>
      <c r="C15" s="429" t="str">
        <f>Бюджет!C9</f>
        <v>МФЦ, в том числе хостел Jo&amp;JOE</v>
      </c>
      <c r="D15" s="28">
        <f>Бюджет!H9</f>
        <v>996660000</v>
      </c>
      <c r="E15" s="430">
        <f>Вводные!D14</f>
        <v>45839</v>
      </c>
      <c r="F15" s="431">
        <f t="shared" si="6"/>
        <v>1</v>
      </c>
      <c r="G15" s="1460"/>
      <c r="H15" s="119">
        <v>0</v>
      </c>
      <c r="I15" s="119">
        <v>5.0000000000000001E-3</v>
      </c>
      <c r="J15" s="119">
        <v>0.01</v>
      </c>
      <c r="K15" s="119">
        <v>0.05</v>
      </c>
      <c r="L15" s="119">
        <v>7.0000000000000007E-2</v>
      </c>
      <c r="M15" s="119">
        <v>0.1</v>
      </c>
      <c r="N15" s="119">
        <v>0.1</v>
      </c>
      <c r="O15" s="119">
        <v>0.11</v>
      </c>
      <c r="P15" s="119">
        <v>0.11</v>
      </c>
      <c r="Q15" s="119">
        <v>0.11</v>
      </c>
      <c r="R15" s="119">
        <v>0.11</v>
      </c>
      <c r="S15" s="119">
        <v>0.11</v>
      </c>
      <c r="T15" s="119">
        <v>0.115</v>
      </c>
      <c r="U15" s="119"/>
      <c r="V15" s="119"/>
      <c r="W15" s="432"/>
      <c r="X15" s="432"/>
      <c r="Y15" s="432"/>
      <c r="Z15" s="432"/>
      <c r="AA15" s="432"/>
      <c r="AB15" s="432"/>
      <c r="AC15" s="432"/>
      <c r="AD15" s="432"/>
      <c r="AE15" s="432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</row>
    <row r="16" spans="1:105">
      <c r="A16" s="428"/>
      <c r="B16" s="139"/>
      <c r="C16" s="429" t="str">
        <f>Бюджет!C10</f>
        <v>Шале</v>
      </c>
      <c r="D16" s="28">
        <f>Бюджет!H10</f>
        <v>234000000</v>
      </c>
      <c r="E16" s="430">
        <f>Вводные!D15</f>
        <v>46204</v>
      </c>
      <c r="F16" s="431">
        <f t="shared" si="6"/>
        <v>0.99999999999999989</v>
      </c>
      <c r="G16" s="1460"/>
      <c r="H16" s="119">
        <v>0</v>
      </c>
      <c r="I16" s="119">
        <v>5.0000000000000001E-3</v>
      </c>
      <c r="J16" s="119">
        <v>0.01</v>
      </c>
      <c r="K16" s="119">
        <v>0.03</v>
      </c>
      <c r="L16" s="119">
        <v>0.05</v>
      </c>
      <c r="M16" s="119">
        <v>7.0000000000000007E-2</v>
      </c>
      <c r="N16" s="119">
        <v>7.0000000000000007E-2</v>
      </c>
      <c r="O16" s="119">
        <v>7.0000000000000007E-2</v>
      </c>
      <c r="P16" s="119">
        <v>7.0000000000000007E-2</v>
      </c>
      <c r="Q16" s="119">
        <v>7.0000000000000007E-2</v>
      </c>
      <c r="R16" s="119">
        <v>7.0000000000000007E-2</v>
      </c>
      <c r="S16" s="119">
        <v>0.08</v>
      </c>
      <c r="T16" s="119">
        <v>8.5000000000000006E-2</v>
      </c>
      <c r="U16" s="119">
        <v>0.08</v>
      </c>
      <c r="V16" s="119">
        <v>0.08</v>
      </c>
      <c r="W16" s="119">
        <v>0.08</v>
      </c>
      <c r="X16" s="119">
        <v>0.08</v>
      </c>
      <c r="Y16" s="432"/>
      <c r="Z16" s="432"/>
      <c r="AA16" s="432"/>
      <c r="AB16" s="432"/>
      <c r="AC16" s="432"/>
      <c r="AD16" s="432"/>
      <c r="AE16" s="432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</row>
    <row r="17" spans="1:105">
      <c r="A17" s="428"/>
      <c r="B17" s="139"/>
      <c r="C17" s="429" t="str">
        <f>Бюджет!C11</f>
        <v>Туристские резиденции</v>
      </c>
      <c r="D17" s="28">
        <f>Бюджет!H11</f>
        <v>2775212640</v>
      </c>
      <c r="E17" s="430">
        <f>Вводные!D16</f>
        <v>45839</v>
      </c>
      <c r="F17" s="431">
        <f t="shared" si="6"/>
        <v>1</v>
      </c>
      <c r="G17" s="1460"/>
      <c r="H17" s="119">
        <v>0</v>
      </c>
      <c r="I17" s="119">
        <v>5.0000000000000001E-3</v>
      </c>
      <c r="J17" s="119">
        <v>0.01</v>
      </c>
      <c r="K17" s="119">
        <v>0.05</v>
      </c>
      <c r="L17" s="119">
        <v>7.0000000000000007E-2</v>
      </c>
      <c r="M17" s="119">
        <v>0.1</v>
      </c>
      <c r="N17" s="119">
        <v>0.105</v>
      </c>
      <c r="O17" s="119">
        <v>0.11</v>
      </c>
      <c r="P17" s="119">
        <v>0.11</v>
      </c>
      <c r="Q17" s="119">
        <v>0.11</v>
      </c>
      <c r="R17" s="119">
        <v>0.11</v>
      </c>
      <c r="S17" s="119">
        <v>0.11</v>
      </c>
      <c r="T17" s="119">
        <v>0.11</v>
      </c>
      <c r="U17" s="119"/>
      <c r="V17" s="119"/>
      <c r="W17" s="119"/>
      <c r="X17" s="119"/>
      <c r="Y17" s="119"/>
      <c r="Z17" s="119"/>
      <c r="AA17" s="119"/>
      <c r="AB17" s="119"/>
      <c r="AC17" s="432"/>
      <c r="AD17" s="432"/>
      <c r="AE17" s="432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</row>
    <row r="18" spans="1:105">
      <c r="A18" s="428"/>
      <c r="B18" s="139"/>
      <c r="C18" s="429" t="str">
        <f>Бюджет!C12</f>
        <v>Ресторан в зоне катания</v>
      </c>
      <c r="D18" s="28">
        <f>Бюджет!H12</f>
        <v>197790039.90888384</v>
      </c>
      <c r="E18" s="430">
        <f t="shared" ref="E18:E25" si="7">E17</f>
        <v>45839</v>
      </c>
      <c r="F18" s="431">
        <f t="shared" si="6"/>
        <v>1</v>
      </c>
      <c r="G18" s="1460"/>
      <c r="H18" s="119">
        <v>0</v>
      </c>
      <c r="I18" s="119">
        <v>5.0000000000000001E-3</v>
      </c>
      <c r="J18" s="119">
        <v>0.01</v>
      </c>
      <c r="K18" s="119">
        <v>0.05</v>
      </c>
      <c r="L18" s="119">
        <v>7.0000000000000007E-2</v>
      </c>
      <c r="M18" s="119">
        <v>0.1</v>
      </c>
      <c r="N18" s="119">
        <v>0.105</v>
      </c>
      <c r="O18" s="119">
        <v>0.11</v>
      </c>
      <c r="P18" s="119">
        <v>0.11</v>
      </c>
      <c r="Q18" s="119">
        <v>0.11</v>
      </c>
      <c r="R18" s="119">
        <v>0.11</v>
      </c>
      <c r="S18" s="119">
        <v>0.11</v>
      </c>
      <c r="T18" s="119">
        <v>0.11</v>
      </c>
      <c r="U18" s="119"/>
      <c r="V18" s="119"/>
      <c r="W18" s="119"/>
      <c r="X18" s="119"/>
      <c r="Y18" s="119"/>
      <c r="Z18" s="119"/>
      <c r="AA18" s="119"/>
      <c r="AB18" s="119"/>
      <c r="AC18" s="432"/>
      <c r="AD18" s="432"/>
      <c r="AE18" s="432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</row>
    <row r="19" spans="1:105">
      <c r="A19" s="428"/>
      <c r="B19" s="139"/>
      <c r="C19" s="429" t="str">
        <f>Бюджет!C13</f>
        <v>SPA-комплекс</v>
      </c>
      <c r="D19" s="28">
        <f>Бюджет!H13</f>
        <v>342000000</v>
      </c>
      <c r="E19" s="430">
        <f t="shared" si="7"/>
        <v>45839</v>
      </c>
      <c r="F19" s="431">
        <f t="shared" si="6"/>
        <v>1</v>
      </c>
      <c r="G19" s="1460"/>
      <c r="H19" s="119">
        <v>0</v>
      </c>
      <c r="I19" s="119">
        <v>5.0000000000000001E-3</v>
      </c>
      <c r="J19" s="119">
        <v>0.01</v>
      </c>
      <c r="K19" s="119">
        <v>0.05</v>
      </c>
      <c r="L19" s="119">
        <v>7.0000000000000007E-2</v>
      </c>
      <c r="M19" s="119">
        <v>0.1</v>
      </c>
      <c r="N19" s="119">
        <v>0.105</v>
      </c>
      <c r="O19" s="119">
        <v>0.11</v>
      </c>
      <c r="P19" s="119">
        <v>0.11</v>
      </c>
      <c r="Q19" s="119">
        <v>0.11</v>
      </c>
      <c r="R19" s="119">
        <v>0.11</v>
      </c>
      <c r="S19" s="119">
        <v>0.11</v>
      </c>
      <c r="T19" s="119">
        <v>0.11</v>
      </c>
      <c r="U19" s="119"/>
      <c r="V19" s="119"/>
      <c r="W19" s="119"/>
      <c r="X19" s="119"/>
      <c r="Y19" s="119"/>
      <c r="Z19" s="119"/>
      <c r="AA19" s="119"/>
      <c r="AB19" s="119"/>
      <c r="AC19" s="432"/>
      <c r="AD19" s="432"/>
      <c r="AE19" s="432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</row>
    <row r="20" spans="1:105">
      <c r="A20" s="428"/>
      <c r="B20" s="139"/>
      <c r="C20" s="429" t="str">
        <f>Бюджет!C14</f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0" s="28">
        <f>Бюджет!H14</f>
        <v>21000000</v>
      </c>
      <c r="E20" s="430">
        <f t="shared" si="7"/>
        <v>45839</v>
      </c>
      <c r="F20" s="431">
        <f t="shared" si="6"/>
        <v>1</v>
      </c>
      <c r="G20" s="1460"/>
      <c r="H20" s="119">
        <v>0</v>
      </c>
      <c r="I20" s="119">
        <v>5.0000000000000001E-3</v>
      </c>
      <c r="J20" s="119">
        <v>0.01</v>
      </c>
      <c r="K20" s="119">
        <v>0.05</v>
      </c>
      <c r="L20" s="119">
        <v>7.0000000000000007E-2</v>
      </c>
      <c r="M20" s="119">
        <v>0.1</v>
      </c>
      <c r="N20" s="119">
        <v>0.105</v>
      </c>
      <c r="O20" s="119">
        <v>0.11</v>
      </c>
      <c r="P20" s="119">
        <v>0.11</v>
      </c>
      <c r="Q20" s="119">
        <v>0.11</v>
      </c>
      <c r="R20" s="119">
        <v>0.11</v>
      </c>
      <c r="S20" s="119">
        <v>0.11</v>
      </c>
      <c r="T20" s="119">
        <v>0.11</v>
      </c>
      <c r="U20" s="119"/>
      <c r="V20" s="119"/>
      <c r="W20" s="119"/>
      <c r="X20" s="119"/>
      <c r="Y20" s="119"/>
      <c r="Z20" s="119"/>
      <c r="AA20" s="119"/>
      <c r="AB20" s="119"/>
      <c r="AC20" s="432"/>
      <c r="AD20" s="432"/>
      <c r="AE20" s="432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</row>
    <row r="21" spans="1:105">
      <c r="A21" s="428"/>
      <c r="B21" s="139"/>
      <c r="C21" s="429" t="str">
        <f>Бюджет!C15</f>
        <v>Наземный паркинг</v>
      </c>
      <c r="D21" s="28">
        <f>Бюджет!H15</f>
        <v>15300000</v>
      </c>
      <c r="E21" s="430">
        <f t="shared" si="7"/>
        <v>45839</v>
      </c>
      <c r="F21" s="431">
        <f t="shared" si="6"/>
        <v>1</v>
      </c>
      <c r="G21" s="1460"/>
      <c r="H21" s="119">
        <v>0</v>
      </c>
      <c r="I21" s="119">
        <v>5.0000000000000001E-3</v>
      </c>
      <c r="J21" s="119">
        <v>0.01</v>
      </c>
      <c r="K21" s="119">
        <v>0.05</v>
      </c>
      <c r="L21" s="119">
        <v>7.0000000000000007E-2</v>
      </c>
      <c r="M21" s="119">
        <v>0.1</v>
      </c>
      <c r="N21" s="119">
        <v>0.105</v>
      </c>
      <c r="O21" s="119">
        <v>0.11</v>
      </c>
      <c r="P21" s="119">
        <v>0.11</v>
      </c>
      <c r="Q21" s="119">
        <v>0.11</v>
      </c>
      <c r="R21" s="119">
        <v>0.11</v>
      </c>
      <c r="S21" s="119">
        <v>0.11</v>
      </c>
      <c r="T21" s="119">
        <v>0.11</v>
      </c>
      <c r="U21" s="119"/>
      <c r="V21" s="119"/>
      <c r="W21" s="119"/>
      <c r="X21" s="119"/>
      <c r="Y21" s="119"/>
      <c r="Z21" s="119"/>
      <c r="AA21" s="119"/>
      <c r="AB21" s="119"/>
      <c r="AC21" s="432"/>
      <c r="AD21" s="432"/>
      <c r="AE21" s="432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</row>
    <row r="22" spans="1:105">
      <c r="A22" s="428"/>
      <c r="B22" s="139"/>
      <c r="C22" s="429" t="str">
        <f>Бюджет!C16</f>
        <v>Организация набережных</v>
      </c>
      <c r="D22" s="28">
        <f>Бюджет!H16</f>
        <v>144000000</v>
      </c>
      <c r="E22" s="430">
        <f t="shared" si="7"/>
        <v>45839</v>
      </c>
      <c r="F22" s="431">
        <f t="shared" si="6"/>
        <v>1</v>
      </c>
      <c r="G22" s="1460"/>
      <c r="H22" s="119">
        <v>0</v>
      </c>
      <c r="I22" s="119">
        <v>5.0000000000000001E-3</v>
      </c>
      <c r="J22" s="119">
        <v>0.01</v>
      </c>
      <c r="K22" s="119">
        <v>0.05</v>
      </c>
      <c r="L22" s="119">
        <v>7.0000000000000007E-2</v>
      </c>
      <c r="M22" s="119">
        <v>0.1</v>
      </c>
      <c r="N22" s="119">
        <v>0.105</v>
      </c>
      <c r="O22" s="119">
        <v>0.11</v>
      </c>
      <c r="P22" s="119">
        <v>0.11</v>
      </c>
      <c r="Q22" s="119">
        <v>0.11</v>
      </c>
      <c r="R22" s="119">
        <v>0.11</v>
      </c>
      <c r="S22" s="119">
        <v>0.11</v>
      </c>
      <c r="T22" s="119">
        <v>0.11</v>
      </c>
      <c r="U22" s="119"/>
      <c r="V22" s="119"/>
      <c r="W22" s="119"/>
      <c r="X22" s="119"/>
      <c r="Y22" s="119"/>
      <c r="Z22" s="119"/>
      <c r="AA22" s="119"/>
      <c r="AB22" s="119"/>
      <c r="AC22" s="432"/>
      <c r="AD22" s="432"/>
      <c r="AE22" s="432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</row>
    <row r="23" spans="1:105">
      <c r="A23" s="428"/>
      <c r="B23" s="139"/>
      <c r="C23" s="429" t="str">
        <f>Бюджет!C17</f>
        <v>Трансформаторная подстанция</v>
      </c>
      <c r="D23" s="28">
        <f>Бюджет!H17</f>
        <v>14400000</v>
      </c>
      <c r="E23" s="430">
        <f t="shared" si="7"/>
        <v>45839</v>
      </c>
      <c r="F23" s="431">
        <f t="shared" si="6"/>
        <v>1</v>
      </c>
      <c r="G23" s="1460"/>
      <c r="H23" s="119">
        <v>0</v>
      </c>
      <c r="I23" s="119">
        <v>5.0000000000000001E-3</v>
      </c>
      <c r="J23" s="119">
        <v>0.01</v>
      </c>
      <c r="K23" s="119">
        <v>0.05</v>
      </c>
      <c r="L23" s="119">
        <v>7.0000000000000007E-2</v>
      </c>
      <c r="M23" s="119">
        <v>0.1</v>
      </c>
      <c r="N23" s="119">
        <v>0.105</v>
      </c>
      <c r="O23" s="119">
        <v>0.11</v>
      </c>
      <c r="P23" s="119">
        <v>0.11</v>
      </c>
      <c r="Q23" s="119">
        <v>0.11</v>
      </c>
      <c r="R23" s="119">
        <v>0.11</v>
      </c>
      <c r="S23" s="119">
        <v>0.11</v>
      </c>
      <c r="T23" s="119">
        <v>0.11</v>
      </c>
      <c r="U23" s="119"/>
      <c r="V23" s="119"/>
      <c r="W23" s="119"/>
      <c r="X23" s="119"/>
      <c r="Y23" s="119"/>
      <c r="Z23" s="119"/>
      <c r="AA23" s="119"/>
      <c r="AB23" s="119"/>
      <c r="AC23" s="432"/>
      <c r="AD23" s="432"/>
      <c r="AE23" s="432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</row>
    <row r="24" spans="1:105">
      <c r="A24" s="428"/>
      <c r="B24" s="139"/>
      <c r="C24" s="429" t="str">
        <f>Бюджет!C18</f>
        <v>Канализационная насосная станция</v>
      </c>
      <c r="D24" s="28">
        <f>Бюджет!H18</f>
        <v>5472000</v>
      </c>
      <c r="E24" s="430">
        <f t="shared" si="7"/>
        <v>45839</v>
      </c>
      <c r="F24" s="431">
        <f t="shared" si="6"/>
        <v>1</v>
      </c>
      <c r="G24" s="1460"/>
      <c r="H24" s="119">
        <v>0</v>
      </c>
      <c r="I24" s="119">
        <v>5.0000000000000001E-3</v>
      </c>
      <c r="J24" s="119">
        <v>0.01</v>
      </c>
      <c r="K24" s="119">
        <v>0.05</v>
      </c>
      <c r="L24" s="119">
        <v>7.0000000000000007E-2</v>
      </c>
      <c r="M24" s="119">
        <v>0.1</v>
      </c>
      <c r="N24" s="119">
        <v>0.105</v>
      </c>
      <c r="O24" s="119">
        <v>0.11</v>
      </c>
      <c r="P24" s="119">
        <v>0.11</v>
      </c>
      <c r="Q24" s="119">
        <v>0.11</v>
      </c>
      <c r="R24" s="119">
        <v>0.11</v>
      </c>
      <c r="S24" s="119">
        <v>0.11</v>
      </c>
      <c r="T24" s="119">
        <v>0.11</v>
      </c>
      <c r="U24" s="119"/>
      <c r="V24" s="119"/>
      <c r="W24" s="432"/>
      <c r="X24" s="432"/>
      <c r="Y24" s="432"/>
      <c r="Z24" s="432"/>
      <c r="AA24" s="432"/>
      <c r="AB24" s="432"/>
      <c r="AC24" s="432"/>
      <c r="AD24" s="432"/>
      <c r="AE24" s="432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</row>
    <row r="25" spans="1:105">
      <c r="A25" s="428"/>
      <c r="B25" s="139"/>
      <c r="C25" s="429" t="str">
        <f>Бюджет!C19</f>
        <v>Стоимость проектных работ - 4% от СМР (мебель и технологическое оборудование не учитываются)</v>
      </c>
      <c r="D25" s="28">
        <f>Бюджет!H19</f>
        <v>259643857.36156094</v>
      </c>
      <c r="E25" s="430">
        <f t="shared" si="7"/>
        <v>45839</v>
      </c>
      <c r="F25" s="431">
        <f t="shared" si="6"/>
        <v>1</v>
      </c>
      <c r="G25" s="1460"/>
      <c r="H25" s="119">
        <v>0</v>
      </c>
      <c r="I25" s="119">
        <v>5.0000000000000001E-3</v>
      </c>
      <c r="J25" s="119">
        <v>0.01</v>
      </c>
      <c r="K25" s="119">
        <v>0.05</v>
      </c>
      <c r="L25" s="119">
        <v>7.0000000000000007E-2</v>
      </c>
      <c r="M25" s="119">
        <v>0.1</v>
      </c>
      <c r="N25" s="119">
        <v>0.105</v>
      </c>
      <c r="O25" s="119">
        <v>0.11</v>
      </c>
      <c r="P25" s="119">
        <v>0.11</v>
      </c>
      <c r="Q25" s="119">
        <v>0.11</v>
      </c>
      <c r="R25" s="119">
        <v>0.11</v>
      </c>
      <c r="S25" s="119">
        <v>0.11</v>
      </c>
      <c r="T25" s="119">
        <v>0.11</v>
      </c>
      <c r="U25" s="119"/>
      <c r="V25" s="119"/>
      <c r="W25" s="432"/>
      <c r="X25" s="432"/>
      <c r="Y25" s="432"/>
      <c r="Z25" s="432"/>
      <c r="AA25" s="432"/>
      <c r="AB25" s="432"/>
      <c r="AC25" s="432"/>
      <c r="AD25" s="432"/>
      <c r="AE25" s="432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</row>
    <row r="26" spans="1:105">
      <c r="A26" s="40"/>
      <c r="B26" s="40"/>
      <c r="C26" s="134"/>
      <c r="D26" s="419" t="b">
        <f>ROUND(SUM(D11:D25),2)=ROUND(Бюджет!H20,2)</f>
        <v>1</v>
      </c>
      <c r="E26" s="433"/>
      <c r="F26" s="29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</row>
    <row r="27" spans="1:105">
      <c r="A27" s="40"/>
      <c r="B27" s="40"/>
      <c r="C27" s="31"/>
      <c r="D27" s="31"/>
      <c r="E27" s="31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</row>
    <row r="28" spans="1:105">
      <c r="A28" s="40"/>
      <c r="B28" s="139"/>
      <c r="C28" s="1" t="s">
        <v>476</v>
      </c>
      <c r="D28" s="2"/>
      <c r="E28" s="2"/>
      <c r="F28" s="32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</row>
    <row r="29" spans="1:105" ht="17.100000000000001" customHeight="1">
      <c r="A29" s="40"/>
      <c r="B29" s="139"/>
      <c r="C29" s="3" t="str">
        <f>C4</f>
        <v>Статьи расходов</v>
      </c>
      <c r="D29" s="4"/>
      <c r="E29" s="4"/>
      <c r="F29" s="4" t="s">
        <v>69</v>
      </c>
      <c r="G29" s="4">
        <f t="shared" ref="G29:AE29" si="8">G4</f>
        <v>2022</v>
      </c>
      <c r="H29" s="4">
        <f t="shared" si="8"/>
        <v>2022</v>
      </c>
      <c r="I29" s="4">
        <f t="shared" si="8"/>
        <v>2022</v>
      </c>
      <c r="J29" s="4">
        <f t="shared" si="8"/>
        <v>2022</v>
      </c>
      <c r="K29" s="4">
        <f t="shared" si="8"/>
        <v>2023</v>
      </c>
      <c r="L29" s="4">
        <f t="shared" si="8"/>
        <v>2023</v>
      </c>
      <c r="M29" s="4">
        <f t="shared" si="8"/>
        <v>2023</v>
      </c>
      <c r="N29" s="4">
        <f t="shared" si="8"/>
        <v>2023</v>
      </c>
      <c r="O29" s="4">
        <f t="shared" si="8"/>
        <v>2024</v>
      </c>
      <c r="P29" s="4">
        <f t="shared" si="8"/>
        <v>2024</v>
      </c>
      <c r="Q29" s="4">
        <f t="shared" si="8"/>
        <v>2024</v>
      </c>
      <c r="R29" s="4">
        <f t="shared" si="8"/>
        <v>2024</v>
      </c>
      <c r="S29" s="4">
        <f t="shared" si="8"/>
        <v>2025</v>
      </c>
      <c r="T29" s="4">
        <f t="shared" si="8"/>
        <v>2025</v>
      </c>
      <c r="U29" s="4">
        <f t="shared" si="8"/>
        <v>2025</v>
      </c>
      <c r="V29" s="4">
        <f t="shared" si="8"/>
        <v>2025</v>
      </c>
      <c r="W29" s="4">
        <f t="shared" si="8"/>
        <v>2026</v>
      </c>
      <c r="X29" s="4">
        <f t="shared" si="8"/>
        <v>2026</v>
      </c>
      <c r="Y29" s="4">
        <f t="shared" si="8"/>
        <v>2026</v>
      </c>
      <c r="Z29" s="4">
        <f t="shared" si="8"/>
        <v>2026</v>
      </c>
      <c r="AA29" s="4">
        <f t="shared" si="8"/>
        <v>2027</v>
      </c>
      <c r="AB29" s="4">
        <f t="shared" si="8"/>
        <v>2027</v>
      </c>
      <c r="AC29" s="4">
        <f t="shared" si="8"/>
        <v>2027</v>
      </c>
      <c r="AD29" s="4">
        <f t="shared" si="8"/>
        <v>2027</v>
      </c>
      <c r="AE29" s="4">
        <f t="shared" si="8"/>
        <v>2028</v>
      </c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</row>
    <row r="30" spans="1:105">
      <c r="A30" s="434"/>
      <c r="B30" s="434"/>
      <c r="C30" s="435" t="s">
        <v>70</v>
      </c>
      <c r="D30" s="436"/>
      <c r="E30" s="436"/>
      <c r="F30" s="437"/>
      <c r="G30" s="112">
        <f>LOOKUP(G8,CPI!16:16,CPI!24:24)</f>
        <v>1.0098534065489688</v>
      </c>
      <c r="H30" s="112">
        <f>LOOKUP(H8,CPI!16:16,CPI!24:24)</f>
        <v>1.0198039027185568</v>
      </c>
      <c r="I30" s="112">
        <f>LOOKUP(I8,CPI!16:16,CPI!24:24)</f>
        <v>1.0298524451722677</v>
      </c>
      <c r="J30" s="112">
        <f>LOOKUP(J8,CPI!16:16,CPI!24:24)</f>
        <v>1.0399999999999996</v>
      </c>
      <c r="K30" s="112">
        <f>LOOKUP(K8,CPI!16:16,CPI!24:24)</f>
        <v>1.0502475428109272</v>
      </c>
      <c r="L30" s="112">
        <f>LOOKUP(L8,CPI!16:16,CPI!24:24)</f>
        <v>1.0605960588272989</v>
      </c>
      <c r="M30" s="112">
        <f>LOOKUP(M8,CPI!16:16,CPI!24:24)</f>
        <v>1.0710465429791582</v>
      </c>
      <c r="N30" s="112">
        <f>LOOKUP(N8,CPI!16:16,CPI!24:24)</f>
        <v>1.0815999999999995</v>
      </c>
      <c r="O30" s="112">
        <f>LOOKUP(O8,CPI!16:16,CPI!24:24)</f>
        <v>1.0922574445233642</v>
      </c>
      <c r="P30" s="112">
        <f>LOOKUP(P8,CPI!16:16,CPI!24:24)</f>
        <v>1.1030199011803907</v>
      </c>
      <c r="Q30" s="112">
        <f>LOOKUP(Q8,CPI!16:16,CPI!24:24)</f>
        <v>1.1138884046983246</v>
      </c>
      <c r="R30" s="112">
        <f>LOOKUP(R8,CPI!16:16,CPI!24:24)</f>
        <v>1.1248639999999994</v>
      </c>
      <c r="S30" s="112">
        <f>LOOKUP(S8,CPI!16:16,CPI!24:24)</f>
        <v>1.1359477423042987</v>
      </c>
      <c r="T30" s="112">
        <f>LOOKUP(T8,CPI!16:16,CPI!24:24)</f>
        <v>1.1471406972276064</v>
      </c>
      <c r="U30" s="112">
        <f>LOOKUP(U8,CPI!16:16,CPI!24:24)</f>
        <v>1.1584439408862575</v>
      </c>
      <c r="V30" s="112">
        <f>LOOKUP(V8,CPI!16:16,CPI!24:24)</f>
        <v>1.1698585599999993</v>
      </c>
      <c r="W30" s="112">
        <f>LOOKUP(W8,CPI!16:16,CPI!24:24)</f>
        <v>1.1813856519964705</v>
      </c>
      <c r="X30" s="112">
        <f>LOOKUP(X8,CPI!16:16,CPI!24:24)</f>
        <v>1.1930263251167104</v>
      </c>
      <c r="Y30" s="112">
        <f>LOOKUP(Y8,CPI!16:16,CPI!24:24)</f>
        <v>1.2047816985217075</v>
      </c>
      <c r="Z30" s="112">
        <f>LOOKUP(Z8,CPI!16:16,CPI!24:24)</f>
        <v>1.216652902399999</v>
      </c>
      <c r="AA30" s="112">
        <f>LOOKUP(AA8,CPI!16:16,CPI!24:24)</f>
        <v>1.2286410780763291</v>
      </c>
      <c r="AB30" s="112">
        <f>LOOKUP(AB8,CPI!16:16,CPI!24:24)</f>
        <v>1.2407473781213785</v>
      </c>
      <c r="AC30" s="112">
        <f>LOOKUP(AC8,CPI!16:16,CPI!24:24)</f>
        <v>1.2529729664625755</v>
      </c>
      <c r="AD30" s="112">
        <f>LOOKUP(AD8,CPI!16:16,CPI!24:24)</f>
        <v>1.2653190184959988</v>
      </c>
      <c r="AE30" s="112">
        <f>LOOKUP(AE8,CPI!16:16,CPI!24:24)</f>
        <v>1.2777867211993821</v>
      </c>
      <c r="AF30" s="434"/>
      <c r="AG30" s="434"/>
      <c r="AH30" s="434"/>
      <c r="AI30" s="434"/>
      <c r="AJ30" s="434"/>
      <c r="AK30" s="434"/>
      <c r="AL30" s="434"/>
      <c r="AM30" s="434"/>
      <c r="AN30" s="434"/>
      <c r="AO30" s="434"/>
      <c r="AP30" s="434"/>
      <c r="AQ30" s="434"/>
      <c r="AR30" s="434"/>
      <c r="AS30" s="434"/>
      <c r="AT30" s="434"/>
      <c r="AU30" s="434"/>
      <c r="AV30" s="434"/>
      <c r="AW30" s="434"/>
      <c r="AX30" s="434"/>
      <c r="AY30" s="434"/>
      <c r="AZ30" s="434"/>
      <c r="BA30" s="434"/>
      <c r="BB30" s="434"/>
      <c r="BC30" s="434"/>
      <c r="BD30" s="434"/>
      <c r="BE30" s="434"/>
      <c r="BF30" s="434"/>
      <c r="BG30" s="434"/>
      <c r="BH30" s="434"/>
      <c r="BI30" s="434"/>
      <c r="BJ30" s="434"/>
      <c r="BK30" s="434"/>
      <c r="BL30" s="434"/>
      <c r="BM30" s="434"/>
      <c r="BN30" s="434"/>
      <c r="BO30" s="434"/>
      <c r="BP30" s="434"/>
      <c r="BQ30" s="434"/>
      <c r="BR30" s="434"/>
      <c r="BS30" s="434"/>
      <c r="BT30" s="434"/>
      <c r="BU30" s="434"/>
      <c r="BV30" s="434"/>
      <c r="BW30" s="434"/>
      <c r="BX30" s="434"/>
      <c r="BY30" s="434"/>
      <c r="BZ30" s="434"/>
      <c r="CA30" s="434"/>
      <c r="CB30" s="434"/>
      <c r="CC30" s="434"/>
      <c r="CD30" s="434"/>
      <c r="CE30" s="434"/>
      <c r="CF30" s="434"/>
      <c r="CG30" s="434"/>
      <c r="CH30" s="434"/>
      <c r="CI30" s="434"/>
      <c r="CJ30" s="434"/>
      <c r="CK30" s="434"/>
      <c r="CL30" s="434"/>
      <c r="CM30" s="434"/>
      <c r="CN30" s="434"/>
      <c r="CO30" s="434"/>
      <c r="CP30" s="434"/>
      <c r="CQ30" s="434"/>
      <c r="CR30" s="434"/>
      <c r="CS30" s="434"/>
      <c r="CT30" s="434"/>
      <c r="CU30" s="434"/>
      <c r="CV30" s="434"/>
      <c r="CW30" s="434"/>
      <c r="CX30" s="434"/>
      <c r="CY30" s="434"/>
      <c r="CZ30" s="434"/>
      <c r="DA30" s="434"/>
    </row>
    <row r="31" spans="1:105">
      <c r="A31" s="434"/>
      <c r="B31" s="434"/>
      <c r="C31" s="435" t="str">
        <f>C7</f>
        <v>Начало периода</v>
      </c>
      <c r="D31" s="436"/>
      <c r="E31" s="436"/>
      <c r="F31" s="437"/>
      <c r="G31" s="34">
        <f t="shared" ref="G31:AE31" si="9">G7</f>
        <v>44593</v>
      </c>
      <c r="H31" s="34">
        <f t="shared" si="9"/>
        <v>44652</v>
      </c>
      <c r="I31" s="34">
        <f t="shared" si="9"/>
        <v>44743</v>
      </c>
      <c r="J31" s="34">
        <f t="shared" si="9"/>
        <v>44835</v>
      </c>
      <c r="K31" s="34">
        <f t="shared" si="9"/>
        <v>44927</v>
      </c>
      <c r="L31" s="34">
        <f t="shared" si="9"/>
        <v>45017</v>
      </c>
      <c r="M31" s="34">
        <f t="shared" si="9"/>
        <v>45108</v>
      </c>
      <c r="N31" s="34">
        <f t="shared" si="9"/>
        <v>45200</v>
      </c>
      <c r="O31" s="34">
        <f t="shared" si="9"/>
        <v>45292</v>
      </c>
      <c r="P31" s="34">
        <f t="shared" si="9"/>
        <v>45383</v>
      </c>
      <c r="Q31" s="34">
        <f t="shared" si="9"/>
        <v>45474</v>
      </c>
      <c r="R31" s="34">
        <f t="shared" si="9"/>
        <v>45566</v>
      </c>
      <c r="S31" s="34">
        <f t="shared" si="9"/>
        <v>45658</v>
      </c>
      <c r="T31" s="34">
        <f t="shared" si="9"/>
        <v>45748</v>
      </c>
      <c r="U31" s="34">
        <f t="shared" si="9"/>
        <v>45839</v>
      </c>
      <c r="V31" s="34">
        <f t="shared" si="9"/>
        <v>45931</v>
      </c>
      <c r="W31" s="34">
        <f t="shared" si="9"/>
        <v>46023</v>
      </c>
      <c r="X31" s="34">
        <f t="shared" si="9"/>
        <v>46113</v>
      </c>
      <c r="Y31" s="34">
        <f t="shared" si="9"/>
        <v>46204</v>
      </c>
      <c r="Z31" s="34">
        <f t="shared" si="9"/>
        <v>46296</v>
      </c>
      <c r="AA31" s="34">
        <f t="shared" si="9"/>
        <v>46388</v>
      </c>
      <c r="AB31" s="34">
        <f t="shared" si="9"/>
        <v>46478</v>
      </c>
      <c r="AC31" s="34">
        <f t="shared" si="9"/>
        <v>46569</v>
      </c>
      <c r="AD31" s="34">
        <f t="shared" si="9"/>
        <v>46661</v>
      </c>
      <c r="AE31" s="34">
        <f t="shared" si="9"/>
        <v>46753</v>
      </c>
      <c r="AF31" s="434"/>
      <c r="AG31" s="434"/>
      <c r="AH31" s="434"/>
      <c r="AI31" s="434"/>
      <c r="AJ31" s="434"/>
      <c r="AK31" s="434"/>
      <c r="AL31" s="434"/>
      <c r="AM31" s="434"/>
      <c r="AN31" s="434"/>
      <c r="AO31" s="434"/>
      <c r="AP31" s="434"/>
      <c r="AQ31" s="434"/>
      <c r="AR31" s="434"/>
      <c r="AS31" s="434"/>
      <c r="AT31" s="434"/>
      <c r="AU31" s="434"/>
      <c r="AV31" s="434"/>
      <c r="AW31" s="434"/>
      <c r="AX31" s="434"/>
      <c r="AY31" s="434"/>
      <c r="AZ31" s="434"/>
      <c r="BA31" s="434"/>
      <c r="BB31" s="434"/>
      <c r="BC31" s="434"/>
      <c r="BD31" s="434"/>
      <c r="BE31" s="434"/>
      <c r="BF31" s="434"/>
      <c r="BG31" s="434"/>
      <c r="BH31" s="434"/>
      <c r="BI31" s="434"/>
      <c r="BJ31" s="434"/>
      <c r="BK31" s="434"/>
      <c r="BL31" s="434"/>
      <c r="BM31" s="434"/>
      <c r="BN31" s="434"/>
      <c r="BO31" s="434"/>
      <c r="BP31" s="434"/>
      <c r="BQ31" s="434"/>
      <c r="BR31" s="434"/>
      <c r="BS31" s="434"/>
      <c r="BT31" s="434"/>
      <c r="BU31" s="434"/>
      <c r="BV31" s="434"/>
      <c r="BW31" s="434"/>
      <c r="BX31" s="434"/>
      <c r="BY31" s="434"/>
      <c r="BZ31" s="434"/>
      <c r="CA31" s="434"/>
      <c r="CB31" s="434"/>
      <c r="CC31" s="434"/>
      <c r="CD31" s="434"/>
      <c r="CE31" s="434"/>
      <c r="CF31" s="434"/>
      <c r="CG31" s="434"/>
      <c r="CH31" s="434"/>
      <c r="CI31" s="434"/>
      <c r="CJ31" s="434"/>
      <c r="CK31" s="434"/>
      <c r="CL31" s="434"/>
      <c r="CM31" s="434"/>
      <c r="CN31" s="434"/>
      <c r="CO31" s="434"/>
      <c r="CP31" s="434"/>
      <c r="CQ31" s="434"/>
      <c r="CR31" s="434"/>
      <c r="CS31" s="434"/>
      <c r="CT31" s="434"/>
      <c r="CU31" s="434"/>
      <c r="CV31" s="434"/>
      <c r="CW31" s="434"/>
      <c r="CX31" s="434"/>
      <c r="CY31" s="434"/>
      <c r="CZ31" s="434"/>
      <c r="DA31" s="434"/>
    </row>
    <row r="32" spans="1:105">
      <c r="A32" s="434"/>
      <c r="B32" s="434"/>
      <c r="C32" s="435" t="str">
        <f>C8</f>
        <v>Конец периода</v>
      </c>
      <c r="D32" s="436"/>
      <c r="E32" s="436"/>
      <c r="F32" s="437"/>
      <c r="G32" s="34">
        <f t="shared" ref="G32:AE32" si="10">G8</f>
        <v>44651</v>
      </c>
      <c r="H32" s="34">
        <f t="shared" si="10"/>
        <v>44742</v>
      </c>
      <c r="I32" s="34">
        <f t="shared" si="10"/>
        <v>44834</v>
      </c>
      <c r="J32" s="34">
        <f t="shared" si="10"/>
        <v>44926</v>
      </c>
      <c r="K32" s="34">
        <f t="shared" si="10"/>
        <v>45016</v>
      </c>
      <c r="L32" s="34">
        <f t="shared" si="10"/>
        <v>45107</v>
      </c>
      <c r="M32" s="34">
        <f t="shared" si="10"/>
        <v>45199</v>
      </c>
      <c r="N32" s="34">
        <f t="shared" si="10"/>
        <v>45291</v>
      </c>
      <c r="O32" s="34">
        <f t="shared" si="10"/>
        <v>45382</v>
      </c>
      <c r="P32" s="34">
        <f t="shared" si="10"/>
        <v>45473</v>
      </c>
      <c r="Q32" s="34">
        <f t="shared" si="10"/>
        <v>45565</v>
      </c>
      <c r="R32" s="34">
        <f t="shared" si="10"/>
        <v>45657</v>
      </c>
      <c r="S32" s="34">
        <f t="shared" si="10"/>
        <v>45747</v>
      </c>
      <c r="T32" s="34">
        <f t="shared" si="10"/>
        <v>45838</v>
      </c>
      <c r="U32" s="34">
        <f t="shared" si="10"/>
        <v>45930</v>
      </c>
      <c r="V32" s="34">
        <f t="shared" si="10"/>
        <v>46022</v>
      </c>
      <c r="W32" s="34">
        <f t="shared" si="10"/>
        <v>46112</v>
      </c>
      <c r="X32" s="34">
        <f t="shared" si="10"/>
        <v>46203</v>
      </c>
      <c r="Y32" s="34">
        <f t="shared" si="10"/>
        <v>46295</v>
      </c>
      <c r="Z32" s="34">
        <f t="shared" si="10"/>
        <v>46387</v>
      </c>
      <c r="AA32" s="34">
        <f t="shared" si="10"/>
        <v>46477</v>
      </c>
      <c r="AB32" s="34">
        <f t="shared" si="10"/>
        <v>46568</v>
      </c>
      <c r="AC32" s="34">
        <f t="shared" si="10"/>
        <v>46660</v>
      </c>
      <c r="AD32" s="34">
        <f t="shared" si="10"/>
        <v>46752</v>
      </c>
      <c r="AE32" s="34">
        <f t="shared" si="10"/>
        <v>46843</v>
      </c>
      <c r="AF32" s="434"/>
      <c r="AG32" s="434"/>
      <c r="AH32" s="434"/>
      <c r="AI32" s="434"/>
      <c r="AJ32" s="434"/>
      <c r="AK32" s="434"/>
      <c r="AL32" s="434"/>
      <c r="AM32" s="434"/>
      <c r="AN32" s="434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4"/>
      <c r="BB32" s="434"/>
      <c r="BC32" s="434"/>
      <c r="BD32" s="434"/>
      <c r="BE32" s="434"/>
      <c r="BF32" s="434"/>
      <c r="BG32" s="434"/>
      <c r="BH32" s="434"/>
      <c r="BI32" s="434"/>
      <c r="BJ32" s="434"/>
      <c r="BK32" s="434"/>
      <c r="BL32" s="434"/>
      <c r="BM32" s="434"/>
      <c r="BN32" s="434"/>
      <c r="BO32" s="434"/>
      <c r="BP32" s="434"/>
      <c r="BQ32" s="434"/>
      <c r="BR32" s="434"/>
      <c r="BS32" s="434"/>
      <c r="BT32" s="434"/>
      <c r="BU32" s="434"/>
      <c r="BV32" s="434"/>
      <c r="BW32" s="434"/>
      <c r="BX32" s="434"/>
      <c r="BY32" s="434"/>
      <c r="BZ32" s="434"/>
      <c r="CA32" s="434"/>
      <c r="CB32" s="434"/>
      <c r="CC32" s="434"/>
      <c r="CD32" s="434"/>
      <c r="CE32" s="434"/>
      <c r="CF32" s="434"/>
      <c r="CG32" s="434"/>
      <c r="CH32" s="434"/>
      <c r="CI32" s="434"/>
      <c r="CJ32" s="434"/>
      <c r="CK32" s="434"/>
      <c r="CL32" s="434"/>
      <c r="CM32" s="434"/>
      <c r="CN32" s="434"/>
      <c r="CO32" s="434"/>
      <c r="CP32" s="434"/>
      <c r="CQ32" s="434"/>
      <c r="CR32" s="434"/>
      <c r="CS32" s="434"/>
      <c r="CT32" s="434"/>
      <c r="CU32" s="434"/>
      <c r="CV32" s="434"/>
      <c r="CW32" s="434"/>
      <c r="CX32" s="434"/>
      <c r="CY32" s="434"/>
      <c r="CZ32" s="434"/>
      <c r="DA32" s="434"/>
    </row>
    <row r="33" spans="1:105">
      <c r="A33" s="434"/>
      <c r="B33" s="434"/>
      <c r="C33" s="209" t="str">
        <f t="shared" ref="C33:C47" si="11">C11</f>
        <v>Гостиница 5*</v>
      </c>
      <c r="D33" s="436"/>
      <c r="E33" s="436"/>
      <c r="F33" s="438">
        <f t="shared" ref="F33:F47" si="12">SUM(G33:AE33)</f>
        <v>2563597260.6198254</v>
      </c>
      <c r="G33" s="439">
        <f t="shared" ref="G33:AE33" si="13">G11*$D11*G$30</f>
        <v>0</v>
      </c>
      <c r="H33" s="439">
        <f t="shared" si="13"/>
        <v>0</v>
      </c>
      <c r="I33" s="439">
        <f t="shared" si="13"/>
        <v>11727201.025616044</v>
      </c>
      <c r="J33" s="439">
        <f t="shared" si="13"/>
        <v>23685507.810005844</v>
      </c>
      <c r="K33" s="439">
        <f t="shared" si="13"/>
        <v>71756672.243329823</v>
      </c>
      <c r="L33" s="439">
        <f t="shared" si="13"/>
        <v>120772866.51257412</v>
      </c>
      <c r="M33" s="439">
        <f t="shared" si="13"/>
        <v>170748046.9329696</v>
      </c>
      <c r="N33" s="439">
        <f t="shared" si="13"/>
        <v>172430496.85684255</v>
      </c>
      <c r="O33" s="439">
        <f t="shared" si="13"/>
        <v>174129524.6438137</v>
      </c>
      <c r="P33" s="439">
        <f t="shared" si="13"/>
        <v>175845293.64230791</v>
      </c>
      <c r="Q33" s="439">
        <f t="shared" si="13"/>
        <v>177577968.81028837</v>
      </c>
      <c r="R33" s="439">
        <f t="shared" si="13"/>
        <v>192136839.35476735</v>
      </c>
      <c r="S33" s="439">
        <f t="shared" si="13"/>
        <v>206965377.86236143</v>
      </c>
      <c r="T33" s="439">
        <f t="shared" si="13"/>
        <v>209004691.87200025</v>
      </c>
      <c r="U33" s="439">
        <f t="shared" si="13"/>
        <v>211064100.071657</v>
      </c>
      <c r="V33" s="439">
        <f t="shared" si="13"/>
        <v>213143800.45755529</v>
      </c>
      <c r="W33" s="439">
        <f t="shared" si="13"/>
        <v>215243992.97685584</v>
      </c>
      <c r="X33" s="439">
        <f t="shared" si="13"/>
        <v>217364879.54688022</v>
      </c>
      <c r="Y33" s="439">
        <f t="shared" si="13"/>
        <v>0</v>
      </c>
      <c r="Z33" s="439">
        <f t="shared" si="13"/>
        <v>0</v>
      </c>
      <c r="AA33" s="439">
        <f t="shared" si="13"/>
        <v>0</v>
      </c>
      <c r="AB33" s="439">
        <f t="shared" si="13"/>
        <v>0</v>
      </c>
      <c r="AC33" s="439">
        <f t="shared" si="13"/>
        <v>0</v>
      </c>
      <c r="AD33" s="439">
        <f t="shared" si="13"/>
        <v>0</v>
      </c>
      <c r="AE33" s="439">
        <f t="shared" si="13"/>
        <v>0</v>
      </c>
      <c r="AF33" s="434"/>
      <c r="AG33" s="434"/>
      <c r="AH33" s="434"/>
      <c r="AI33" s="434"/>
      <c r="AJ33" s="434"/>
      <c r="AK33" s="434"/>
      <c r="AL33" s="434"/>
      <c r="AM33" s="434"/>
      <c r="AN33" s="434"/>
      <c r="AO33" s="434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4"/>
      <c r="BA33" s="434"/>
      <c r="BB33" s="434"/>
      <c r="BC33" s="434"/>
      <c r="BD33" s="434"/>
      <c r="BE33" s="434"/>
      <c r="BF33" s="434"/>
      <c r="BG33" s="434"/>
      <c r="BH33" s="434"/>
      <c r="BI33" s="434"/>
      <c r="BJ33" s="434"/>
      <c r="BK33" s="434"/>
      <c r="BL33" s="434"/>
      <c r="BM33" s="434"/>
      <c r="BN33" s="434"/>
      <c r="BO33" s="434"/>
      <c r="BP33" s="434"/>
      <c r="BQ33" s="434"/>
      <c r="BR33" s="434"/>
      <c r="BS33" s="434"/>
      <c r="BT33" s="434"/>
      <c r="BU33" s="434"/>
      <c r="BV33" s="434"/>
      <c r="BW33" s="434"/>
      <c r="BX33" s="434"/>
      <c r="BY33" s="434"/>
      <c r="BZ33" s="434"/>
      <c r="CA33" s="434"/>
      <c r="CB33" s="434"/>
      <c r="CC33" s="434"/>
      <c r="CD33" s="434"/>
      <c r="CE33" s="434"/>
      <c r="CF33" s="434"/>
      <c r="CG33" s="434"/>
      <c r="CH33" s="434"/>
      <c r="CI33" s="434"/>
      <c r="CJ33" s="434"/>
      <c r="CK33" s="434"/>
      <c r="CL33" s="434"/>
      <c r="CM33" s="434"/>
      <c r="CN33" s="434"/>
      <c r="CO33" s="434"/>
      <c r="CP33" s="434"/>
      <c r="CQ33" s="434"/>
      <c r="CR33" s="434"/>
      <c r="CS33" s="434"/>
      <c r="CT33" s="434"/>
      <c r="CU33" s="434"/>
      <c r="CV33" s="434"/>
      <c r="CW33" s="434"/>
      <c r="CX33" s="434"/>
      <c r="CY33" s="434"/>
      <c r="CZ33" s="434"/>
      <c r="DA33" s="434"/>
    </row>
    <row r="34" spans="1:105">
      <c r="A34" s="434"/>
      <c r="B34" s="434"/>
      <c r="C34" s="209" t="str">
        <f t="shared" si="11"/>
        <v>Гостиница 4*</v>
      </c>
      <c r="D34" s="436"/>
      <c r="E34" s="436"/>
      <c r="F34" s="438">
        <f t="shared" si="12"/>
        <v>2427645511.9237185</v>
      </c>
      <c r="G34" s="439">
        <f t="shared" ref="G34:AE34" si="14">G12*$D12*G$30</f>
        <v>0</v>
      </c>
      <c r="H34" s="439">
        <f t="shared" si="14"/>
        <v>0</v>
      </c>
      <c r="I34" s="439">
        <f t="shared" si="14"/>
        <v>11105288.406487327</v>
      </c>
      <c r="J34" s="439">
        <f t="shared" si="14"/>
        <v>22429426.655999992</v>
      </c>
      <c r="K34" s="439">
        <f t="shared" si="14"/>
        <v>67951298.746505514</v>
      </c>
      <c r="L34" s="439">
        <f t="shared" si="14"/>
        <v>114368084.19764213</v>
      </c>
      <c r="M34" s="439">
        <f t="shared" si="14"/>
        <v>161692999.19845545</v>
      </c>
      <c r="N34" s="439">
        <f t="shared" si="14"/>
        <v>163286226.05567992</v>
      </c>
      <c r="O34" s="439">
        <f t="shared" si="14"/>
        <v>164895151.62485337</v>
      </c>
      <c r="P34" s="439">
        <f t="shared" si="14"/>
        <v>166519930.59176692</v>
      </c>
      <c r="Q34" s="439">
        <f t="shared" si="14"/>
        <v>168160719.1663937</v>
      </c>
      <c r="R34" s="439">
        <f t="shared" si="14"/>
        <v>181947509.03347191</v>
      </c>
      <c r="S34" s="439">
        <f t="shared" si="14"/>
        <v>195989665.9312543</v>
      </c>
      <c r="T34" s="439">
        <f t="shared" si="14"/>
        <v>197920831.78907156</v>
      </c>
      <c r="U34" s="439">
        <f t="shared" si="14"/>
        <v>199871026.20919934</v>
      </c>
      <c r="V34" s="439">
        <f t="shared" si="14"/>
        <v>201840436.68779817</v>
      </c>
      <c r="W34" s="439">
        <f t="shared" si="14"/>
        <v>203829252.56850445</v>
      </c>
      <c r="X34" s="439">
        <f t="shared" si="14"/>
        <v>205837665.06063437</v>
      </c>
      <c r="Y34" s="439">
        <f t="shared" si="14"/>
        <v>0</v>
      </c>
      <c r="Z34" s="439">
        <f t="shared" si="14"/>
        <v>0</v>
      </c>
      <c r="AA34" s="439">
        <f t="shared" si="14"/>
        <v>0</v>
      </c>
      <c r="AB34" s="439">
        <f t="shared" si="14"/>
        <v>0</v>
      </c>
      <c r="AC34" s="439">
        <f t="shared" si="14"/>
        <v>0</v>
      </c>
      <c r="AD34" s="439">
        <f t="shared" si="14"/>
        <v>0</v>
      </c>
      <c r="AE34" s="439">
        <f t="shared" si="14"/>
        <v>0</v>
      </c>
      <c r="AF34" s="434"/>
      <c r="AG34" s="434"/>
      <c r="AH34" s="434"/>
      <c r="AI34" s="434"/>
      <c r="AJ34" s="434"/>
      <c r="AK34" s="434"/>
      <c r="AL34" s="434"/>
      <c r="AM34" s="434"/>
      <c r="AN34" s="434"/>
      <c r="AO34" s="434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4"/>
      <c r="BA34" s="434"/>
      <c r="BB34" s="434"/>
      <c r="BC34" s="434"/>
      <c r="BD34" s="434"/>
      <c r="BE34" s="434"/>
      <c r="BF34" s="434"/>
      <c r="BG34" s="434"/>
      <c r="BH34" s="434"/>
      <c r="BI34" s="434"/>
      <c r="BJ34" s="434"/>
      <c r="BK34" s="434"/>
      <c r="BL34" s="434"/>
      <c r="BM34" s="434"/>
      <c r="BN34" s="434"/>
      <c r="BO34" s="434"/>
      <c r="BP34" s="434"/>
      <c r="BQ34" s="434"/>
      <c r="BR34" s="434"/>
      <c r="BS34" s="434"/>
      <c r="BT34" s="434"/>
      <c r="BU34" s="434"/>
      <c r="BV34" s="434"/>
      <c r="BW34" s="434"/>
      <c r="BX34" s="434"/>
      <c r="BY34" s="434"/>
      <c r="BZ34" s="434"/>
      <c r="CA34" s="434"/>
      <c r="CB34" s="434"/>
      <c r="CC34" s="434"/>
      <c r="CD34" s="434"/>
      <c r="CE34" s="434"/>
      <c r="CF34" s="434"/>
      <c r="CG34" s="434"/>
      <c r="CH34" s="434"/>
      <c r="CI34" s="434"/>
      <c r="CJ34" s="434"/>
      <c r="CK34" s="434"/>
      <c r="CL34" s="434"/>
      <c r="CM34" s="434"/>
      <c r="CN34" s="434"/>
      <c r="CO34" s="434"/>
      <c r="CP34" s="434"/>
      <c r="CQ34" s="434"/>
      <c r="CR34" s="434"/>
      <c r="CS34" s="434"/>
      <c r="CT34" s="434"/>
      <c r="CU34" s="434"/>
      <c r="CV34" s="434"/>
      <c r="CW34" s="434"/>
      <c r="CX34" s="434"/>
      <c r="CY34" s="434"/>
      <c r="CZ34" s="434"/>
      <c r="DA34" s="434"/>
    </row>
    <row r="35" spans="1:105">
      <c r="A35" s="434"/>
      <c r="B35" s="434"/>
      <c r="C35" s="209" t="str">
        <f t="shared" si="11"/>
        <v>Гостиница 3*</v>
      </c>
      <c r="D35" s="436"/>
      <c r="E35" s="436"/>
      <c r="F35" s="438">
        <f t="shared" si="12"/>
        <v>959710836.10966814</v>
      </c>
      <c r="G35" s="439">
        <f t="shared" ref="G35:AE35" si="15">G13*$D13*G$30</f>
        <v>0</v>
      </c>
      <c r="H35" s="439">
        <f t="shared" si="15"/>
        <v>0</v>
      </c>
      <c r="I35" s="439">
        <f t="shared" si="15"/>
        <v>4483634.8113863003</v>
      </c>
      <c r="J35" s="439">
        <f t="shared" si="15"/>
        <v>9055627.7759999968</v>
      </c>
      <c r="K35" s="439">
        <f t="shared" si="15"/>
        <v>45724282.790165298</v>
      </c>
      <c r="L35" s="439">
        <f t="shared" si="15"/>
        <v>64644751.83271955</v>
      </c>
      <c r="M35" s="439">
        <f t="shared" si="15"/>
        <v>93259604.076835036</v>
      </c>
      <c r="N35" s="439">
        <f t="shared" si="15"/>
        <v>94178528.870399952</v>
      </c>
      <c r="O35" s="439">
        <f t="shared" si="15"/>
        <v>104617159.02389818</v>
      </c>
      <c r="P35" s="439">
        <f t="shared" si="15"/>
        <v>105647994.42375879</v>
      </c>
      <c r="Q35" s="439">
        <f t="shared" si="15"/>
        <v>106688987.06389928</v>
      </c>
      <c r="R35" s="439">
        <f t="shared" si="15"/>
        <v>107740237.02773756</v>
      </c>
      <c r="S35" s="439">
        <f t="shared" si="15"/>
        <v>108801845.38485412</v>
      </c>
      <c r="T35" s="439">
        <f t="shared" si="15"/>
        <v>114868183.02801411</v>
      </c>
      <c r="U35" s="439">
        <f t="shared" si="15"/>
        <v>0</v>
      </c>
      <c r="V35" s="439">
        <f t="shared" si="15"/>
        <v>0</v>
      </c>
      <c r="W35" s="439">
        <f t="shared" si="15"/>
        <v>0</v>
      </c>
      <c r="X35" s="439">
        <f t="shared" si="15"/>
        <v>0</v>
      </c>
      <c r="Y35" s="439">
        <f t="shared" si="15"/>
        <v>0</v>
      </c>
      <c r="Z35" s="439">
        <f t="shared" si="15"/>
        <v>0</v>
      </c>
      <c r="AA35" s="439">
        <f t="shared" si="15"/>
        <v>0</v>
      </c>
      <c r="AB35" s="439">
        <f t="shared" si="15"/>
        <v>0</v>
      </c>
      <c r="AC35" s="439">
        <f t="shared" si="15"/>
        <v>0</v>
      </c>
      <c r="AD35" s="439">
        <f t="shared" si="15"/>
        <v>0</v>
      </c>
      <c r="AE35" s="439">
        <f t="shared" si="15"/>
        <v>0</v>
      </c>
      <c r="AF35" s="434"/>
      <c r="AG35" s="434"/>
      <c r="AH35" s="434"/>
      <c r="AI35" s="434"/>
      <c r="AJ35" s="434"/>
      <c r="AK35" s="434"/>
      <c r="AL35" s="434"/>
      <c r="AM35" s="434"/>
      <c r="AN35" s="434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4"/>
      <c r="BA35" s="434"/>
      <c r="BB35" s="434"/>
      <c r="BC35" s="434"/>
      <c r="BD35" s="434"/>
      <c r="BE35" s="434"/>
      <c r="BF35" s="434"/>
      <c r="BG35" s="434"/>
      <c r="BH35" s="434"/>
      <c r="BI35" s="434"/>
      <c r="BJ35" s="434"/>
      <c r="BK35" s="434"/>
      <c r="BL35" s="434"/>
      <c r="BM35" s="434"/>
      <c r="BN35" s="434"/>
      <c r="BO35" s="434"/>
      <c r="BP35" s="434"/>
      <c r="BQ35" s="434"/>
      <c r="BR35" s="434"/>
      <c r="BS35" s="434"/>
      <c r="BT35" s="434"/>
      <c r="BU35" s="434"/>
      <c r="BV35" s="434"/>
      <c r="BW35" s="434"/>
      <c r="BX35" s="434"/>
      <c r="BY35" s="434"/>
      <c r="BZ35" s="434"/>
      <c r="CA35" s="434"/>
      <c r="CB35" s="434"/>
      <c r="CC35" s="434"/>
      <c r="CD35" s="434"/>
      <c r="CE35" s="434"/>
      <c r="CF35" s="434"/>
      <c r="CG35" s="434"/>
      <c r="CH35" s="434"/>
      <c r="CI35" s="434"/>
      <c r="CJ35" s="434"/>
      <c r="CK35" s="434"/>
      <c r="CL35" s="434"/>
      <c r="CM35" s="434"/>
      <c r="CN35" s="434"/>
      <c r="CO35" s="434"/>
      <c r="CP35" s="434"/>
      <c r="CQ35" s="434"/>
      <c r="CR35" s="434"/>
      <c r="CS35" s="434"/>
      <c r="CT35" s="434"/>
      <c r="CU35" s="434"/>
      <c r="CV35" s="434"/>
      <c r="CW35" s="434"/>
      <c r="CX35" s="434"/>
      <c r="CY35" s="434"/>
      <c r="CZ35" s="434"/>
      <c r="DA35" s="434"/>
    </row>
    <row r="36" spans="1:105">
      <c r="A36" s="434"/>
      <c r="B36" s="434"/>
      <c r="C36" s="209" t="str">
        <f t="shared" si="11"/>
        <v>Гостиница 2*</v>
      </c>
      <c r="D36" s="436"/>
      <c r="E36" s="436"/>
      <c r="F36" s="438">
        <f t="shared" si="12"/>
        <v>0</v>
      </c>
      <c r="G36" s="439">
        <f t="shared" ref="G36:AE36" si="16">G14*$D14*G$30</f>
        <v>0</v>
      </c>
      <c r="H36" s="439">
        <f t="shared" si="16"/>
        <v>0</v>
      </c>
      <c r="I36" s="439">
        <f t="shared" si="16"/>
        <v>0</v>
      </c>
      <c r="J36" s="439">
        <f t="shared" si="16"/>
        <v>0</v>
      </c>
      <c r="K36" s="439">
        <f t="shared" si="16"/>
        <v>0</v>
      </c>
      <c r="L36" s="439">
        <f t="shared" si="16"/>
        <v>0</v>
      </c>
      <c r="M36" s="439">
        <f t="shared" si="16"/>
        <v>0</v>
      </c>
      <c r="N36" s="439">
        <f t="shared" si="16"/>
        <v>0</v>
      </c>
      <c r="O36" s="439">
        <f t="shared" si="16"/>
        <v>0</v>
      </c>
      <c r="P36" s="439">
        <f t="shared" si="16"/>
        <v>0</v>
      </c>
      <c r="Q36" s="439">
        <f t="shared" si="16"/>
        <v>0</v>
      </c>
      <c r="R36" s="439">
        <f t="shared" si="16"/>
        <v>0</v>
      </c>
      <c r="S36" s="439">
        <f t="shared" si="16"/>
        <v>0</v>
      </c>
      <c r="T36" s="439">
        <f t="shared" si="16"/>
        <v>0</v>
      </c>
      <c r="U36" s="439">
        <f t="shared" si="16"/>
        <v>0</v>
      </c>
      <c r="V36" s="439">
        <f t="shared" si="16"/>
        <v>0</v>
      </c>
      <c r="W36" s="439">
        <f t="shared" si="16"/>
        <v>0</v>
      </c>
      <c r="X36" s="439">
        <f t="shared" si="16"/>
        <v>0</v>
      </c>
      <c r="Y36" s="439">
        <f t="shared" si="16"/>
        <v>0</v>
      </c>
      <c r="Z36" s="439">
        <f t="shared" si="16"/>
        <v>0</v>
      </c>
      <c r="AA36" s="439">
        <f t="shared" si="16"/>
        <v>0</v>
      </c>
      <c r="AB36" s="439">
        <f t="shared" si="16"/>
        <v>0</v>
      </c>
      <c r="AC36" s="439">
        <f t="shared" si="16"/>
        <v>0</v>
      </c>
      <c r="AD36" s="439">
        <f t="shared" si="16"/>
        <v>0</v>
      </c>
      <c r="AE36" s="439">
        <f t="shared" si="16"/>
        <v>0</v>
      </c>
      <c r="AF36" s="434"/>
      <c r="AG36" s="434"/>
      <c r="AH36" s="434"/>
      <c r="AI36" s="434"/>
      <c r="AJ36" s="434"/>
      <c r="AK36" s="434"/>
      <c r="AL36" s="434"/>
      <c r="AM36" s="434"/>
      <c r="AN36" s="434"/>
      <c r="AO36" s="434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4"/>
      <c r="BA36" s="434"/>
      <c r="BB36" s="434"/>
      <c r="BC36" s="434"/>
      <c r="BD36" s="434"/>
      <c r="BE36" s="434"/>
      <c r="BF36" s="434"/>
      <c r="BG36" s="434"/>
      <c r="BH36" s="434"/>
      <c r="BI36" s="434"/>
      <c r="BJ36" s="434"/>
      <c r="BK36" s="434"/>
      <c r="BL36" s="434"/>
      <c r="BM36" s="434"/>
      <c r="BN36" s="434"/>
      <c r="BO36" s="434"/>
      <c r="BP36" s="434"/>
      <c r="BQ36" s="434"/>
      <c r="BR36" s="434"/>
      <c r="BS36" s="434"/>
      <c r="BT36" s="434"/>
      <c r="BU36" s="434"/>
      <c r="BV36" s="434"/>
      <c r="BW36" s="434"/>
      <c r="BX36" s="434"/>
      <c r="BY36" s="434"/>
      <c r="BZ36" s="434"/>
      <c r="CA36" s="434"/>
      <c r="CB36" s="434"/>
      <c r="CC36" s="434"/>
      <c r="CD36" s="434"/>
      <c r="CE36" s="434"/>
      <c r="CF36" s="434"/>
      <c r="CG36" s="434"/>
      <c r="CH36" s="434"/>
      <c r="CI36" s="434"/>
      <c r="CJ36" s="434"/>
      <c r="CK36" s="434"/>
      <c r="CL36" s="434"/>
      <c r="CM36" s="434"/>
      <c r="CN36" s="434"/>
      <c r="CO36" s="434"/>
      <c r="CP36" s="434"/>
      <c r="CQ36" s="434"/>
      <c r="CR36" s="434"/>
      <c r="CS36" s="434"/>
      <c r="CT36" s="434"/>
      <c r="CU36" s="434"/>
      <c r="CV36" s="434"/>
      <c r="CW36" s="434"/>
      <c r="CX36" s="434"/>
      <c r="CY36" s="434"/>
      <c r="CZ36" s="434"/>
      <c r="DA36" s="434"/>
    </row>
    <row r="37" spans="1:105">
      <c r="A37" s="434"/>
      <c r="B37" s="434"/>
      <c r="C37" s="209" t="str">
        <f t="shared" si="11"/>
        <v>МФЦ, в том числе хостел Jo&amp;JOE</v>
      </c>
      <c r="D37" s="436"/>
      <c r="E37" s="436"/>
      <c r="F37" s="438">
        <f t="shared" si="12"/>
        <v>1098505418.5090926</v>
      </c>
      <c r="G37" s="439">
        <f t="shared" ref="G37:AE37" si="17">G15*$D15*G$30</f>
        <v>0</v>
      </c>
      <c r="H37" s="439">
        <f t="shared" si="17"/>
        <v>0</v>
      </c>
      <c r="I37" s="439">
        <f t="shared" si="17"/>
        <v>5132063.6900269613</v>
      </c>
      <c r="J37" s="439">
        <f t="shared" si="17"/>
        <v>10365263.999999996</v>
      </c>
      <c r="K37" s="439">
        <f t="shared" si="17"/>
        <v>52336985.800896935</v>
      </c>
      <c r="L37" s="439">
        <f t="shared" si="17"/>
        <v>73993756.759357095</v>
      </c>
      <c r="M37" s="439">
        <f t="shared" si="17"/>
        <v>106746924.75256078</v>
      </c>
      <c r="N37" s="439">
        <f t="shared" si="17"/>
        <v>107798745.59999995</v>
      </c>
      <c r="O37" s="439">
        <f t="shared" si="17"/>
        <v>119747023.51245217</v>
      </c>
      <c r="P37" s="439">
        <f t="shared" si="17"/>
        <v>120926939.61814931</v>
      </c>
      <c r="Q37" s="439">
        <f t="shared" si="17"/>
        <v>122118481.91692954</v>
      </c>
      <c r="R37" s="439">
        <f t="shared" si="17"/>
        <v>123321764.96639994</v>
      </c>
      <c r="S37" s="439">
        <f t="shared" si="17"/>
        <v>124536904.45295027</v>
      </c>
      <c r="T37" s="439">
        <f t="shared" si="17"/>
        <v>131480563.4393696</v>
      </c>
      <c r="U37" s="439">
        <f t="shared" si="17"/>
        <v>0</v>
      </c>
      <c r="V37" s="439">
        <f t="shared" si="17"/>
        <v>0</v>
      </c>
      <c r="W37" s="439">
        <f t="shared" si="17"/>
        <v>0</v>
      </c>
      <c r="X37" s="439">
        <f t="shared" si="17"/>
        <v>0</v>
      </c>
      <c r="Y37" s="439">
        <f t="shared" si="17"/>
        <v>0</v>
      </c>
      <c r="Z37" s="439">
        <f t="shared" si="17"/>
        <v>0</v>
      </c>
      <c r="AA37" s="439">
        <f t="shared" si="17"/>
        <v>0</v>
      </c>
      <c r="AB37" s="439">
        <f t="shared" si="17"/>
        <v>0</v>
      </c>
      <c r="AC37" s="439">
        <f t="shared" si="17"/>
        <v>0</v>
      </c>
      <c r="AD37" s="439">
        <f t="shared" si="17"/>
        <v>0</v>
      </c>
      <c r="AE37" s="439">
        <f t="shared" si="17"/>
        <v>0</v>
      </c>
      <c r="AF37" s="434"/>
      <c r="AG37" s="434"/>
      <c r="AH37" s="434"/>
      <c r="AI37" s="434"/>
      <c r="AJ37" s="434"/>
      <c r="AK37" s="434"/>
      <c r="AL37" s="434"/>
      <c r="AM37" s="434"/>
      <c r="AN37" s="434"/>
      <c r="AO37" s="434"/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4"/>
      <c r="BA37" s="434"/>
      <c r="BB37" s="434"/>
      <c r="BC37" s="434"/>
      <c r="BD37" s="434"/>
      <c r="BE37" s="434"/>
      <c r="BF37" s="434"/>
      <c r="BG37" s="434"/>
      <c r="BH37" s="434"/>
      <c r="BI37" s="434"/>
      <c r="BJ37" s="434"/>
      <c r="BK37" s="434"/>
      <c r="BL37" s="434"/>
      <c r="BM37" s="434"/>
      <c r="BN37" s="434"/>
      <c r="BO37" s="434"/>
      <c r="BP37" s="434"/>
      <c r="BQ37" s="434"/>
      <c r="BR37" s="434"/>
      <c r="BS37" s="434"/>
      <c r="BT37" s="434"/>
      <c r="BU37" s="434"/>
      <c r="BV37" s="434"/>
      <c r="BW37" s="434"/>
      <c r="BX37" s="434"/>
      <c r="BY37" s="434"/>
      <c r="BZ37" s="434"/>
      <c r="CA37" s="434"/>
      <c r="CB37" s="434"/>
      <c r="CC37" s="434"/>
      <c r="CD37" s="434"/>
      <c r="CE37" s="434"/>
      <c r="CF37" s="434"/>
      <c r="CG37" s="434"/>
      <c r="CH37" s="434"/>
      <c r="CI37" s="434"/>
      <c r="CJ37" s="434"/>
      <c r="CK37" s="434"/>
      <c r="CL37" s="434"/>
      <c r="CM37" s="434"/>
      <c r="CN37" s="434"/>
      <c r="CO37" s="434"/>
      <c r="CP37" s="434"/>
      <c r="CQ37" s="434"/>
      <c r="CR37" s="434"/>
      <c r="CS37" s="434"/>
      <c r="CT37" s="434"/>
      <c r="CU37" s="434"/>
      <c r="CV37" s="434"/>
      <c r="CW37" s="434"/>
      <c r="CX37" s="434"/>
      <c r="CY37" s="434"/>
      <c r="CZ37" s="434"/>
      <c r="DA37" s="434"/>
    </row>
    <row r="38" spans="1:105">
      <c r="A38" s="434"/>
      <c r="B38" s="434"/>
      <c r="C38" s="209" t="str">
        <f t="shared" si="11"/>
        <v>Шале</v>
      </c>
      <c r="D38" s="436"/>
      <c r="E38" s="436"/>
      <c r="F38" s="438">
        <f t="shared" si="12"/>
        <v>263426381.91719139</v>
      </c>
      <c r="G38" s="439">
        <f t="shared" ref="G38:AE38" si="18">G16*$D16*G$30</f>
        <v>0</v>
      </c>
      <c r="H38" s="439">
        <f t="shared" si="18"/>
        <v>0</v>
      </c>
      <c r="I38" s="439">
        <f t="shared" si="18"/>
        <v>1204927.3608515533</v>
      </c>
      <c r="J38" s="439">
        <f t="shared" si="18"/>
        <v>2433599.9999999991</v>
      </c>
      <c r="K38" s="439">
        <f t="shared" si="18"/>
        <v>7372737.7505327091</v>
      </c>
      <c r="L38" s="439">
        <f t="shared" si="18"/>
        <v>12408973.888279397</v>
      </c>
      <c r="M38" s="439">
        <f t="shared" si="18"/>
        <v>17543742.373998616</v>
      </c>
      <c r="N38" s="439">
        <f t="shared" si="18"/>
        <v>17716607.999999993</v>
      </c>
      <c r="O38" s="439">
        <f t="shared" si="18"/>
        <v>17891176.941292707</v>
      </c>
      <c r="P38" s="439">
        <f t="shared" si="18"/>
        <v>18067465.981334802</v>
      </c>
      <c r="Q38" s="439">
        <f t="shared" si="18"/>
        <v>18245492.068958558</v>
      </c>
      <c r="R38" s="439">
        <f t="shared" si="18"/>
        <v>18425272.319999993</v>
      </c>
      <c r="S38" s="439">
        <f t="shared" si="18"/>
        <v>21264941.735936474</v>
      </c>
      <c r="T38" s="439">
        <f t="shared" si="18"/>
        <v>22816628.467857089</v>
      </c>
      <c r="U38" s="439">
        <f t="shared" si="18"/>
        <v>21686070.573390741</v>
      </c>
      <c r="V38" s="439">
        <f t="shared" si="18"/>
        <v>21899752.243199989</v>
      </c>
      <c r="W38" s="439">
        <f t="shared" si="18"/>
        <v>22115539.405373927</v>
      </c>
      <c r="X38" s="439">
        <f t="shared" si="18"/>
        <v>22333452.806184817</v>
      </c>
      <c r="Y38" s="439">
        <f t="shared" si="18"/>
        <v>0</v>
      </c>
      <c r="Z38" s="439">
        <f t="shared" si="18"/>
        <v>0</v>
      </c>
      <c r="AA38" s="439">
        <f t="shared" si="18"/>
        <v>0</v>
      </c>
      <c r="AB38" s="439">
        <f t="shared" si="18"/>
        <v>0</v>
      </c>
      <c r="AC38" s="439">
        <f t="shared" si="18"/>
        <v>0</v>
      </c>
      <c r="AD38" s="439">
        <f t="shared" si="18"/>
        <v>0</v>
      </c>
      <c r="AE38" s="439">
        <f t="shared" si="18"/>
        <v>0</v>
      </c>
      <c r="AF38" s="434"/>
      <c r="AG38" s="434"/>
      <c r="AH38" s="434"/>
      <c r="AI38" s="434"/>
      <c r="AJ38" s="434"/>
      <c r="AK38" s="434"/>
      <c r="AL38" s="434"/>
      <c r="AM38" s="434"/>
      <c r="AN38" s="434"/>
      <c r="AO38" s="434"/>
      <c r="AP38" s="434"/>
      <c r="AQ38" s="434"/>
      <c r="AR38" s="434"/>
      <c r="AS38" s="434"/>
      <c r="AT38" s="434"/>
      <c r="AU38" s="434"/>
      <c r="AV38" s="434"/>
      <c r="AW38" s="434"/>
      <c r="AX38" s="434"/>
      <c r="AY38" s="434"/>
      <c r="AZ38" s="434"/>
      <c r="BA38" s="434"/>
      <c r="BB38" s="434"/>
      <c r="BC38" s="434"/>
      <c r="BD38" s="434"/>
      <c r="BE38" s="434"/>
      <c r="BF38" s="434"/>
      <c r="BG38" s="434"/>
      <c r="BH38" s="434"/>
      <c r="BI38" s="434"/>
      <c r="BJ38" s="434"/>
      <c r="BK38" s="434"/>
      <c r="BL38" s="434"/>
      <c r="BM38" s="434"/>
      <c r="BN38" s="434"/>
      <c r="BO38" s="434"/>
      <c r="BP38" s="434"/>
      <c r="BQ38" s="434"/>
      <c r="BR38" s="434"/>
      <c r="BS38" s="434"/>
      <c r="BT38" s="434"/>
      <c r="BU38" s="434"/>
      <c r="BV38" s="434"/>
      <c r="BW38" s="434"/>
      <c r="BX38" s="434"/>
      <c r="BY38" s="434"/>
      <c r="BZ38" s="434"/>
      <c r="CA38" s="434"/>
      <c r="CB38" s="434"/>
      <c r="CC38" s="434"/>
      <c r="CD38" s="434"/>
      <c r="CE38" s="434"/>
      <c r="CF38" s="434"/>
      <c r="CG38" s="434"/>
      <c r="CH38" s="434"/>
      <c r="CI38" s="434"/>
      <c r="CJ38" s="434"/>
      <c r="CK38" s="434"/>
      <c r="CL38" s="434"/>
      <c r="CM38" s="434"/>
      <c r="CN38" s="434"/>
      <c r="CO38" s="434"/>
      <c r="CP38" s="434"/>
      <c r="CQ38" s="434"/>
      <c r="CR38" s="434"/>
      <c r="CS38" s="434"/>
      <c r="CT38" s="434"/>
      <c r="CU38" s="434"/>
      <c r="CV38" s="434"/>
      <c r="CW38" s="434"/>
      <c r="CX38" s="434"/>
      <c r="CY38" s="434"/>
      <c r="CZ38" s="434"/>
      <c r="DA38" s="434"/>
    </row>
    <row r="39" spans="1:105">
      <c r="A39" s="434"/>
      <c r="B39" s="434"/>
      <c r="C39" s="209" t="str">
        <f t="shared" si="11"/>
        <v>Туристские резиденции</v>
      </c>
      <c r="D39" s="436"/>
      <c r="E39" s="436"/>
      <c r="F39" s="438">
        <f>SUM(G39:AE39)</f>
        <v>3057893076.1247802</v>
      </c>
      <c r="G39" s="439">
        <f t="shared" ref="G39:AE39" si="19">G17*$D17*G$30</f>
        <v>0</v>
      </c>
      <c r="H39" s="439">
        <f t="shared" si="19"/>
        <v>0</v>
      </c>
      <c r="I39" s="439">
        <f t="shared" si="19"/>
        <v>14290297.615884922</v>
      </c>
      <c r="J39" s="439">
        <f t="shared" si="19"/>
        <v>28862211.455999993</v>
      </c>
      <c r="K39" s="439">
        <f t="shared" si="19"/>
        <v>145733012.79689133</v>
      </c>
      <c r="L39" s="439">
        <f t="shared" si="19"/>
        <v>206036571.18741927</v>
      </c>
      <c r="M39" s="439">
        <f t="shared" si="19"/>
        <v>297238190.41040635</v>
      </c>
      <c r="N39" s="439">
        <f t="shared" si="19"/>
        <v>315175349.09951985</v>
      </c>
      <c r="O39" s="439">
        <f t="shared" si="19"/>
        <v>333437133.27928728</v>
      </c>
      <c r="P39" s="439">
        <f t="shared" si="19"/>
        <v>336722624.91201079</v>
      </c>
      <c r="Q39" s="439">
        <f t="shared" si="19"/>
        <v>340040489.82950485</v>
      </c>
      <c r="R39" s="439">
        <f t="shared" si="19"/>
        <v>343391047.0189054</v>
      </c>
      <c r="S39" s="439">
        <f t="shared" si="19"/>
        <v>346774618.61045873</v>
      </c>
      <c r="T39" s="439">
        <f t="shared" si="19"/>
        <v>350191529.90849125</v>
      </c>
      <c r="U39" s="439">
        <f t="shared" si="19"/>
        <v>0</v>
      </c>
      <c r="V39" s="439">
        <f t="shared" si="19"/>
        <v>0</v>
      </c>
      <c r="W39" s="439">
        <f t="shared" si="19"/>
        <v>0</v>
      </c>
      <c r="X39" s="439">
        <f t="shared" si="19"/>
        <v>0</v>
      </c>
      <c r="Y39" s="439">
        <f t="shared" si="19"/>
        <v>0</v>
      </c>
      <c r="Z39" s="439">
        <f t="shared" si="19"/>
        <v>0</v>
      </c>
      <c r="AA39" s="439">
        <f t="shared" si="19"/>
        <v>0</v>
      </c>
      <c r="AB39" s="439">
        <f t="shared" si="19"/>
        <v>0</v>
      </c>
      <c r="AC39" s="439">
        <f t="shared" si="19"/>
        <v>0</v>
      </c>
      <c r="AD39" s="439">
        <f t="shared" si="19"/>
        <v>0</v>
      </c>
      <c r="AE39" s="439">
        <f t="shared" si="19"/>
        <v>0</v>
      </c>
      <c r="AF39" s="434"/>
      <c r="AG39" s="434"/>
      <c r="AH39" s="434"/>
      <c r="AI39" s="434"/>
      <c r="AJ39" s="434"/>
      <c r="AK39" s="434"/>
      <c r="AL39" s="434"/>
      <c r="AM39" s="434"/>
      <c r="AN39" s="434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4"/>
      <c r="BB39" s="434"/>
      <c r="BC39" s="434"/>
      <c r="BD39" s="434"/>
      <c r="BE39" s="434"/>
      <c r="BF39" s="434"/>
      <c r="BG39" s="434"/>
      <c r="BH39" s="434"/>
      <c r="BI39" s="434"/>
      <c r="BJ39" s="434"/>
      <c r="BK39" s="434"/>
      <c r="BL39" s="434"/>
      <c r="BM39" s="434"/>
      <c r="BN39" s="434"/>
      <c r="BO39" s="434"/>
      <c r="BP39" s="434"/>
      <c r="BQ39" s="434"/>
      <c r="BR39" s="434"/>
      <c r="BS39" s="434"/>
      <c r="BT39" s="434"/>
      <c r="BU39" s="434"/>
      <c r="BV39" s="434"/>
      <c r="BW39" s="434"/>
      <c r="BX39" s="434"/>
      <c r="BY39" s="434"/>
      <c r="BZ39" s="434"/>
      <c r="CA39" s="434"/>
      <c r="CB39" s="434"/>
      <c r="CC39" s="434"/>
      <c r="CD39" s="434"/>
      <c r="CE39" s="434"/>
      <c r="CF39" s="434"/>
      <c r="CG39" s="434"/>
      <c r="CH39" s="434"/>
      <c r="CI39" s="434"/>
      <c r="CJ39" s="434"/>
      <c r="CK39" s="434"/>
      <c r="CL39" s="434"/>
      <c r="CM39" s="434"/>
      <c r="CN39" s="434"/>
      <c r="CO39" s="434"/>
      <c r="CP39" s="434"/>
      <c r="CQ39" s="434"/>
      <c r="CR39" s="434"/>
      <c r="CS39" s="434"/>
      <c r="CT39" s="434"/>
      <c r="CU39" s="434"/>
      <c r="CV39" s="434"/>
      <c r="CW39" s="434"/>
      <c r="CX39" s="434"/>
      <c r="CY39" s="434"/>
      <c r="CZ39" s="434"/>
      <c r="DA39" s="434"/>
    </row>
    <row r="40" spans="1:105">
      <c r="A40" s="434"/>
      <c r="B40" s="434"/>
      <c r="C40" s="209" t="str">
        <f t="shared" si="11"/>
        <v>Ресторан в зоне катания</v>
      </c>
      <c r="D40" s="436"/>
      <c r="E40" s="436"/>
      <c r="F40" s="438">
        <f>SUM(G40:AE40)</f>
        <v>217936739.27768645</v>
      </c>
      <c r="G40" s="439">
        <f t="shared" ref="G40:AE40" si="20">G18*$D18*G$30</f>
        <v>0</v>
      </c>
      <c r="H40" s="439">
        <f t="shared" si="20"/>
        <v>0</v>
      </c>
      <c r="I40" s="439">
        <f t="shared" si="20"/>
        <v>1018472.7811544222</v>
      </c>
      <c r="J40" s="439">
        <f t="shared" si="20"/>
        <v>2057016.4150523911</v>
      </c>
      <c r="K40" s="439">
        <f t="shared" si="20"/>
        <v>10386425.170339024</v>
      </c>
      <c r="L40" s="439">
        <f t="shared" si="20"/>
        <v>14684273.576185947</v>
      </c>
      <c r="M40" s="439">
        <f t="shared" si="20"/>
        <v>21184233.848011978</v>
      </c>
      <c r="N40" s="439">
        <f t="shared" si="20"/>
        <v>22462619.252372108</v>
      </c>
      <c r="O40" s="439">
        <f t="shared" si="20"/>
        <v>23764140.789735686</v>
      </c>
      <c r="P40" s="439">
        <f t="shared" si="20"/>
        <v>23998298.530223887</v>
      </c>
      <c r="Q40" s="439">
        <f t="shared" si="20"/>
        <v>24234763.522125706</v>
      </c>
      <c r="R40" s="439">
        <f t="shared" si="20"/>
        <v>24473558.499727327</v>
      </c>
      <c r="S40" s="439">
        <f t="shared" si="20"/>
        <v>24714706.421325114</v>
      </c>
      <c r="T40" s="439">
        <f t="shared" si="20"/>
        <v>24958230.471432842</v>
      </c>
      <c r="U40" s="439">
        <f t="shared" si="20"/>
        <v>0</v>
      </c>
      <c r="V40" s="439">
        <f t="shared" si="20"/>
        <v>0</v>
      </c>
      <c r="W40" s="439">
        <f t="shared" si="20"/>
        <v>0</v>
      </c>
      <c r="X40" s="439">
        <f t="shared" si="20"/>
        <v>0</v>
      </c>
      <c r="Y40" s="439">
        <f t="shared" si="20"/>
        <v>0</v>
      </c>
      <c r="Z40" s="439">
        <f t="shared" si="20"/>
        <v>0</v>
      </c>
      <c r="AA40" s="439">
        <f t="shared" si="20"/>
        <v>0</v>
      </c>
      <c r="AB40" s="439">
        <f t="shared" si="20"/>
        <v>0</v>
      </c>
      <c r="AC40" s="439">
        <f t="shared" si="20"/>
        <v>0</v>
      </c>
      <c r="AD40" s="439">
        <f t="shared" si="20"/>
        <v>0</v>
      </c>
      <c r="AE40" s="439">
        <f t="shared" si="20"/>
        <v>0</v>
      </c>
      <c r="AF40" s="434"/>
      <c r="AG40" s="434"/>
      <c r="AH40" s="434"/>
      <c r="AI40" s="434"/>
      <c r="AJ40" s="434"/>
      <c r="AK40" s="434"/>
      <c r="AL40" s="434"/>
      <c r="AM40" s="434"/>
      <c r="AN40" s="434"/>
      <c r="AO40" s="434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4"/>
      <c r="BA40" s="434"/>
      <c r="BB40" s="434"/>
      <c r="BC40" s="434"/>
      <c r="BD40" s="434"/>
      <c r="BE40" s="434"/>
      <c r="BF40" s="434"/>
      <c r="BG40" s="434"/>
      <c r="BH40" s="434"/>
      <c r="BI40" s="434"/>
      <c r="BJ40" s="434"/>
      <c r="BK40" s="434"/>
      <c r="BL40" s="434"/>
      <c r="BM40" s="434"/>
      <c r="BN40" s="434"/>
      <c r="BO40" s="434"/>
      <c r="BP40" s="434"/>
      <c r="BQ40" s="434"/>
      <c r="BR40" s="434"/>
      <c r="BS40" s="434"/>
      <c r="BT40" s="434"/>
      <c r="BU40" s="434"/>
      <c r="BV40" s="434"/>
      <c r="BW40" s="434"/>
      <c r="BX40" s="434"/>
      <c r="BY40" s="434"/>
      <c r="BZ40" s="434"/>
      <c r="CA40" s="434"/>
      <c r="CB40" s="434"/>
      <c r="CC40" s="434"/>
      <c r="CD40" s="434"/>
      <c r="CE40" s="434"/>
      <c r="CF40" s="434"/>
      <c r="CG40" s="434"/>
      <c r="CH40" s="434"/>
      <c r="CI40" s="434"/>
      <c r="CJ40" s="434"/>
      <c r="CK40" s="434"/>
      <c r="CL40" s="434"/>
      <c r="CM40" s="434"/>
      <c r="CN40" s="434"/>
      <c r="CO40" s="434"/>
      <c r="CP40" s="434"/>
      <c r="CQ40" s="434"/>
      <c r="CR40" s="434"/>
      <c r="CS40" s="434"/>
      <c r="CT40" s="434"/>
      <c r="CU40" s="434"/>
      <c r="CV40" s="434"/>
      <c r="CW40" s="434"/>
      <c r="CX40" s="434"/>
      <c r="CY40" s="434"/>
      <c r="CZ40" s="434"/>
      <c r="DA40" s="434"/>
    </row>
    <row r="41" spans="1:105">
      <c r="A41" s="434"/>
      <c r="B41" s="434"/>
      <c r="C41" s="209" t="str">
        <f t="shared" si="11"/>
        <v>SPA-комплекс</v>
      </c>
      <c r="D41" s="436"/>
      <c r="E41" s="436"/>
      <c r="F41" s="438">
        <f t="shared" si="12"/>
        <v>376835784.3868407</v>
      </c>
      <c r="G41" s="439">
        <f>G19*$D19*G$30</f>
        <v>0</v>
      </c>
      <c r="H41" s="439">
        <f t="shared" ref="H41:AE41" si="21">H19*$D19*H$30</f>
        <v>0</v>
      </c>
      <c r="I41" s="439">
        <f t="shared" si="21"/>
        <v>1761047.6812445777</v>
      </c>
      <c r="J41" s="439">
        <f t="shared" si="21"/>
        <v>3556799.9999999986</v>
      </c>
      <c r="K41" s="439">
        <f t="shared" si="21"/>
        <v>17959232.982066855</v>
      </c>
      <c r="L41" s="439">
        <f t="shared" si="21"/>
        <v>25390669.64832554</v>
      </c>
      <c r="M41" s="439">
        <f t="shared" si="21"/>
        <v>36629791.769887209</v>
      </c>
      <c r="N41" s="439">
        <f t="shared" si="21"/>
        <v>38840255.999999978</v>
      </c>
      <c r="O41" s="439">
        <f t="shared" si="21"/>
        <v>41090725.062968962</v>
      </c>
      <c r="P41" s="439">
        <f t="shared" si="21"/>
        <v>41495608.682406299</v>
      </c>
      <c r="Q41" s="439">
        <f t="shared" si="21"/>
        <v>41904481.784750976</v>
      </c>
      <c r="R41" s="439">
        <f t="shared" si="21"/>
        <v>42317383.679999977</v>
      </c>
      <c r="S41" s="439">
        <f t="shared" si="21"/>
        <v>42734354.06548772</v>
      </c>
      <c r="T41" s="439">
        <f t="shared" si="21"/>
        <v>43155433.029702552</v>
      </c>
      <c r="U41" s="439">
        <f t="shared" si="21"/>
        <v>0</v>
      </c>
      <c r="V41" s="439">
        <f t="shared" si="21"/>
        <v>0</v>
      </c>
      <c r="W41" s="439">
        <f t="shared" si="21"/>
        <v>0</v>
      </c>
      <c r="X41" s="439">
        <f t="shared" si="21"/>
        <v>0</v>
      </c>
      <c r="Y41" s="439">
        <f t="shared" si="21"/>
        <v>0</v>
      </c>
      <c r="Z41" s="439">
        <f t="shared" si="21"/>
        <v>0</v>
      </c>
      <c r="AA41" s="439">
        <f t="shared" si="21"/>
        <v>0</v>
      </c>
      <c r="AB41" s="439">
        <f t="shared" si="21"/>
        <v>0</v>
      </c>
      <c r="AC41" s="439">
        <f t="shared" si="21"/>
        <v>0</v>
      </c>
      <c r="AD41" s="439">
        <f t="shared" si="21"/>
        <v>0</v>
      </c>
      <c r="AE41" s="439">
        <f t="shared" si="21"/>
        <v>0</v>
      </c>
      <c r="AF41" s="434"/>
      <c r="AG41" s="434"/>
      <c r="AH41" s="434"/>
      <c r="AI41" s="434"/>
      <c r="AJ41" s="434"/>
      <c r="AK41" s="434"/>
      <c r="AL41" s="434"/>
      <c r="AM41" s="434"/>
      <c r="AN41" s="434"/>
      <c r="AO41" s="434"/>
      <c r="AP41" s="434"/>
      <c r="AQ41" s="434"/>
      <c r="AR41" s="434"/>
      <c r="AS41" s="434"/>
      <c r="AT41" s="434"/>
      <c r="AU41" s="434"/>
      <c r="AV41" s="434"/>
      <c r="AW41" s="434"/>
      <c r="AX41" s="434"/>
      <c r="AY41" s="434"/>
      <c r="AZ41" s="434"/>
      <c r="BA41" s="434"/>
      <c r="BB41" s="434"/>
      <c r="BC41" s="434"/>
      <c r="BD41" s="434"/>
      <c r="BE41" s="434"/>
      <c r="BF41" s="434"/>
      <c r="BG41" s="434"/>
      <c r="BH41" s="434"/>
      <c r="BI41" s="434"/>
      <c r="BJ41" s="434"/>
      <c r="BK41" s="434"/>
      <c r="BL41" s="434"/>
      <c r="BM41" s="434"/>
      <c r="BN41" s="434"/>
      <c r="BO41" s="434"/>
      <c r="BP41" s="434"/>
      <c r="BQ41" s="434"/>
      <c r="BR41" s="434"/>
      <c r="BS41" s="434"/>
      <c r="BT41" s="434"/>
      <c r="BU41" s="434"/>
      <c r="BV41" s="434"/>
      <c r="BW41" s="434"/>
      <c r="BX41" s="434"/>
      <c r="BY41" s="434"/>
      <c r="BZ41" s="434"/>
      <c r="CA41" s="434"/>
      <c r="CB41" s="434"/>
      <c r="CC41" s="434"/>
      <c r="CD41" s="434"/>
      <c r="CE41" s="434"/>
      <c r="CF41" s="434"/>
      <c r="CG41" s="434"/>
      <c r="CH41" s="434"/>
      <c r="CI41" s="434"/>
      <c r="CJ41" s="434"/>
      <c r="CK41" s="434"/>
      <c r="CL41" s="434"/>
      <c r="CM41" s="434"/>
      <c r="CN41" s="434"/>
      <c r="CO41" s="434"/>
      <c r="CP41" s="434"/>
      <c r="CQ41" s="434"/>
      <c r="CR41" s="434"/>
      <c r="CS41" s="434"/>
      <c r="CT41" s="434"/>
      <c r="CU41" s="434"/>
      <c r="CV41" s="434"/>
      <c r="CW41" s="434"/>
      <c r="CX41" s="434"/>
      <c r="CY41" s="434"/>
      <c r="CZ41" s="434"/>
      <c r="DA41" s="434"/>
    </row>
    <row r="42" spans="1:105">
      <c r="A42" s="434"/>
      <c r="B42" s="434"/>
      <c r="C42" s="209" t="str">
        <f t="shared" si="11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42" s="436"/>
      <c r="E42" s="436"/>
      <c r="F42" s="438">
        <f>SUM(G42:AE42)</f>
        <v>23139039.39217443</v>
      </c>
      <c r="G42" s="439">
        <f t="shared" ref="G42:AE42" si="22">G20*$D20*G$30</f>
        <v>0</v>
      </c>
      <c r="H42" s="439">
        <f t="shared" si="22"/>
        <v>0</v>
      </c>
      <c r="I42" s="439">
        <f t="shared" si="22"/>
        <v>108134.5067430881</v>
      </c>
      <c r="J42" s="439">
        <f t="shared" si="22"/>
        <v>218399.99999999991</v>
      </c>
      <c r="K42" s="439">
        <f t="shared" si="22"/>
        <v>1102759.9199514736</v>
      </c>
      <c r="L42" s="439">
        <f t="shared" si="22"/>
        <v>1559076.2064761296</v>
      </c>
      <c r="M42" s="439">
        <f t="shared" si="22"/>
        <v>2249197.7402562322</v>
      </c>
      <c r="N42" s="439">
        <f t="shared" si="22"/>
        <v>2384927.9999999986</v>
      </c>
      <c r="O42" s="439">
        <f t="shared" si="22"/>
        <v>2523114.6968489713</v>
      </c>
      <c r="P42" s="439">
        <f t="shared" si="22"/>
        <v>2547975.9717267025</v>
      </c>
      <c r="Q42" s="439">
        <f t="shared" si="22"/>
        <v>2573082.2148531298</v>
      </c>
      <c r="R42" s="439">
        <f t="shared" si="22"/>
        <v>2598435.8399999985</v>
      </c>
      <c r="S42" s="439">
        <f t="shared" si="22"/>
        <v>2624039.2847229303</v>
      </c>
      <c r="T42" s="439">
        <f t="shared" si="22"/>
        <v>2649895.0105957706</v>
      </c>
      <c r="U42" s="439">
        <f t="shared" si="22"/>
        <v>0</v>
      </c>
      <c r="V42" s="439">
        <f t="shared" si="22"/>
        <v>0</v>
      </c>
      <c r="W42" s="439">
        <f t="shared" si="22"/>
        <v>0</v>
      </c>
      <c r="X42" s="439">
        <f t="shared" si="22"/>
        <v>0</v>
      </c>
      <c r="Y42" s="439">
        <f t="shared" si="22"/>
        <v>0</v>
      </c>
      <c r="Z42" s="439">
        <f t="shared" si="22"/>
        <v>0</v>
      </c>
      <c r="AA42" s="439">
        <f t="shared" si="22"/>
        <v>0</v>
      </c>
      <c r="AB42" s="439">
        <f t="shared" si="22"/>
        <v>0</v>
      </c>
      <c r="AC42" s="439">
        <f t="shared" si="22"/>
        <v>0</v>
      </c>
      <c r="AD42" s="439">
        <f t="shared" si="22"/>
        <v>0</v>
      </c>
      <c r="AE42" s="439">
        <f t="shared" si="22"/>
        <v>0</v>
      </c>
      <c r="AF42" s="434"/>
      <c r="AG42" s="434"/>
      <c r="AH42" s="434"/>
      <c r="AI42" s="434"/>
      <c r="AJ42" s="434"/>
      <c r="AK42" s="434"/>
      <c r="AL42" s="434"/>
      <c r="AM42" s="434"/>
      <c r="AN42" s="434"/>
      <c r="AO42" s="434"/>
      <c r="AP42" s="434"/>
      <c r="AQ42" s="434"/>
      <c r="AR42" s="434"/>
      <c r="AS42" s="434"/>
      <c r="AT42" s="434"/>
      <c r="AU42" s="434"/>
      <c r="AV42" s="434"/>
      <c r="AW42" s="434"/>
      <c r="AX42" s="434"/>
      <c r="AY42" s="434"/>
      <c r="AZ42" s="434"/>
      <c r="BA42" s="434"/>
      <c r="BB42" s="434"/>
      <c r="BC42" s="434"/>
      <c r="BD42" s="434"/>
      <c r="BE42" s="434"/>
      <c r="BF42" s="434"/>
      <c r="BG42" s="434"/>
      <c r="BH42" s="434"/>
      <c r="BI42" s="434"/>
      <c r="BJ42" s="434"/>
      <c r="BK42" s="434"/>
      <c r="BL42" s="434"/>
      <c r="BM42" s="434"/>
      <c r="BN42" s="434"/>
      <c r="BO42" s="434"/>
      <c r="BP42" s="434"/>
      <c r="BQ42" s="434"/>
      <c r="BR42" s="434"/>
      <c r="BS42" s="434"/>
      <c r="BT42" s="434"/>
      <c r="BU42" s="434"/>
      <c r="BV42" s="434"/>
      <c r="BW42" s="434"/>
      <c r="BX42" s="434"/>
      <c r="BY42" s="434"/>
      <c r="BZ42" s="434"/>
      <c r="CA42" s="434"/>
      <c r="CB42" s="434"/>
      <c r="CC42" s="434"/>
      <c r="CD42" s="434"/>
      <c r="CE42" s="434"/>
      <c r="CF42" s="434"/>
      <c r="CG42" s="434"/>
      <c r="CH42" s="434"/>
      <c r="CI42" s="434"/>
      <c r="CJ42" s="434"/>
      <c r="CK42" s="434"/>
      <c r="CL42" s="434"/>
      <c r="CM42" s="434"/>
      <c r="CN42" s="434"/>
      <c r="CO42" s="434"/>
      <c r="CP42" s="434"/>
      <c r="CQ42" s="434"/>
      <c r="CR42" s="434"/>
      <c r="CS42" s="434"/>
      <c r="CT42" s="434"/>
      <c r="CU42" s="434"/>
      <c r="CV42" s="434"/>
      <c r="CW42" s="434"/>
      <c r="CX42" s="434"/>
      <c r="CY42" s="434"/>
      <c r="CZ42" s="434"/>
      <c r="DA42" s="434"/>
    </row>
    <row r="43" spans="1:105">
      <c r="A43" s="434"/>
      <c r="B43" s="434"/>
      <c r="C43" s="209" t="str">
        <f t="shared" si="11"/>
        <v>Наземный паркинг</v>
      </c>
      <c r="D43" s="436"/>
      <c r="E43" s="436"/>
      <c r="F43" s="438">
        <f t="shared" si="12"/>
        <v>16858442.985727079</v>
      </c>
      <c r="G43" s="779">
        <f t="shared" ref="G43:AE43" si="23">G21*$D21*G$30</f>
        <v>0</v>
      </c>
      <c r="H43" s="779">
        <f t="shared" si="23"/>
        <v>0</v>
      </c>
      <c r="I43" s="779">
        <f t="shared" si="23"/>
        <v>78783.712055678479</v>
      </c>
      <c r="J43" s="779">
        <f t="shared" si="23"/>
        <v>159119.99999999994</v>
      </c>
      <c r="K43" s="779">
        <f t="shared" si="23"/>
        <v>803439.37025035929</v>
      </c>
      <c r="L43" s="779">
        <f t="shared" si="23"/>
        <v>1135898.3790040372</v>
      </c>
      <c r="M43" s="779">
        <f t="shared" si="23"/>
        <v>1638701.2107581121</v>
      </c>
      <c r="N43" s="779">
        <f t="shared" si="23"/>
        <v>1737590.3999999992</v>
      </c>
      <c r="O43" s="779">
        <f t="shared" si="23"/>
        <v>1838269.2791328218</v>
      </c>
      <c r="P43" s="779">
        <f t="shared" si="23"/>
        <v>1856382.4936865976</v>
      </c>
      <c r="Q43" s="779">
        <f t="shared" si="23"/>
        <v>1874674.1851072803</v>
      </c>
      <c r="R43" s="779">
        <f t="shared" si="23"/>
        <v>1893146.111999999</v>
      </c>
      <c r="S43" s="779">
        <f t="shared" si="23"/>
        <v>1911800.0502981348</v>
      </c>
      <c r="T43" s="779">
        <f t="shared" si="23"/>
        <v>1930637.7934340616</v>
      </c>
      <c r="U43" s="779">
        <f t="shared" si="23"/>
        <v>0</v>
      </c>
      <c r="V43" s="779">
        <f t="shared" si="23"/>
        <v>0</v>
      </c>
      <c r="W43" s="779">
        <f t="shared" si="23"/>
        <v>0</v>
      </c>
      <c r="X43" s="779">
        <f t="shared" si="23"/>
        <v>0</v>
      </c>
      <c r="Y43" s="779">
        <f t="shared" si="23"/>
        <v>0</v>
      </c>
      <c r="Z43" s="779">
        <f t="shared" si="23"/>
        <v>0</v>
      </c>
      <c r="AA43" s="779">
        <f t="shared" si="23"/>
        <v>0</v>
      </c>
      <c r="AB43" s="779">
        <f t="shared" si="23"/>
        <v>0</v>
      </c>
      <c r="AC43" s="779">
        <f t="shared" si="23"/>
        <v>0</v>
      </c>
      <c r="AD43" s="779">
        <f t="shared" si="23"/>
        <v>0</v>
      </c>
      <c r="AE43" s="779">
        <f t="shared" si="23"/>
        <v>0</v>
      </c>
      <c r="AF43" s="434"/>
      <c r="AG43" s="434"/>
      <c r="AH43" s="434"/>
      <c r="AI43" s="434"/>
      <c r="AJ43" s="434"/>
      <c r="AK43" s="434"/>
      <c r="AL43" s="434"/>
      <c r="AM43" s="434"/>
      <c r="AN43" s="434"/>
      <c r="AO43" s="434"/>
      <c r="AP43" s="434"/>
      <c r="AQ43" s="434"/>
      <c r="AR43" s="434"/>
      <c r="AS43" s="434"/>
      <c r="AT43" s="434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4"/>
      <c r="BF43" s="434"/>
      <c r="BG43" s="434"/>
      <c r="BH43" s="434"/>
      <c r="BI43" s="434"/>
      <c r="BJ43" s="434"/>
      <c r="BK43" s="434"/>
      <c r="BL43" s="434"/>
      <c r="BM43" s="434"/>
      <c r="BN43" s="434"/>
      <c r="BO43" s="434"/>
      <c r="BP43" s="434"/>
      <c r="BQ43" s="434"/>
      <c r="BR43" s="434"/>
      <c r="BS43" s="434"/>
      <c r="BT43" s="434"/>
      <c r="BU43" s="434"/>
      <c r="BV43" s="434"/>
      <c r="BW43" s="434"/>
      <c r="BX43" s="434"/>
      <c r="BY43" s="434"/>
      <c r="BZ43" s="434"/>
      <c r="CA43" s="434"/>
      <c r="CB43" s="434"/>
      <c r="CC43" s="434"/>
      <c r="CD43" s="434"/>
      <c r="CE43" s="434"/>
      <c r="CF43" s="434"/>
      <c r="CG43" s="434"/>
      <c r="CH43" s="434"/>
      <c r="CI43" s="434"/>
      <c r="CJ43" s="434"/>
      <c r="CK43" s="434"/>
      <c r="CL43" s="434"/>
      <c r="CM43" s="434"/>
      <c r="CN43" s="434"/>
      <c r="CO43" s="434"/>
      <c r="CP43" s="434"/>
      <c r="CQ43" s="434"/>
      <c r="CR43" s="434"/>
      <c r="CS43" s="434"/>
      <c r="CT43" s="434"/>
      <c r="CU43" s="434"/>
      <c r="CV43" s="434"/>
      <c r="CW43" s="434"/>
      <c r="CX43" s="434"/>
      <c r="CY43" s="434"/>
      <c r="CZ43" s="434"/>
      <c r="DA43" s="434"/>
    </row>
    <row r="44" spans="1:105">
      <c r="A44" s="434"/>
      <c r="B44" s="434"/>
      <c r="C44" s="209" t="str">
        <f t="shared" si="11"/>
        <v>Организация набережных</v>
      </c>
      <c r="D44" s="436"/>
      <c r="E44" s="436"/>
      <c r="F44" s="438">
        <f t="shared" si="12"/>
        <v>158667698.68919605</v>
      </c>
      <c r="G44" s="439">
        <f t="shared" ref="G44:AE44" si="24">G22*$D22*G$30</f>
        <v>0</v>
      </c>
      <c r="H44" s="439">
        <f t="shared" si="24"/>
        <v>0</v>
      </c>
      <c r="I44" s="439">
        <f t="shared" si="24"/>
        <v>741493.76052403275</v>
      </c>
      <c r="J44" s="439">
        <f t="shared" si="24"/>
        <v>1497599.9999999993</v>
      </c>
      <c r="K44" s="439">
        <f t="shared" si="24"/>
        <v>7561782.3082386758</v>
      </c>
      <c r="L44" s="439">
        <f t="shared" si="24"/>
        <v>10690808.272979176</v>
      </c>
      <c r="M44" s="439">
        <f t="shared" si="24"/>
        <v>15423070.21889988</v>
      </c>
      <c r="N44" s="439">
        <f t="shared" si="24"/>
        <v>16353791.999999993</v>
      </c>
      <c r="O44" s="439">
        <f t="shared" si="24"/>
        <v>17301357.92125009</v>
      </c>
      <c r="P44" s="439">
        <f t="shared" si="24"/>
        <v>17471835.23469739</v>
      </c>
      <c r="Q44" s="439">
        <f t="shared" si="24"/>
        <v>17643992.330421463</v>
      </c>
      <c r="R44" s="439">
        <f t="shared" si="24"/>
        <v>17817845.75999999</v>
      </c>
      <c r="S44" s="439">
        <f t="shared" si="24"/>
        <v>17993412.238100093</v>
      </c>
      <c r="T44" s="439">
        <f t="shared" si="24"/>
        <v>18170708.644085284</v>
      </c>
      <c r="U44" s="439">
        <f t="shared" si="24"/>
        <v>0</v>
      </c>
      <c r="V44" s="439">
        <f t="shared" si="24"/>
        <v>0</v>
      </c>
      <c r="W44" s="439">
        <f t="shared" si="24"/>
        <v>0</v>
      </c>
      <c r="X44" s="439">
        <f t="shared" si="24"/>
        <v>0</v>
      </c>
      <c r="Y44" s="439">
        <f t="shared" si="24"/>
        <v>0</v>
      </c>
      <c r="Z44" s="439">
        <f t="shared" si="24"/>
        <v>0</v>
      </c>
      <c r="AA44" s="439">
        <f t="shared" si="24"/>
        <v>0</v>
      </c>
      <c r="AB44" s="439">
        <f t="shared" si="24"/>
        <v>0</v>
      </c>
      <c r="AC44" s="439">
        <f t="shared" si="24"/>
        <v>0</v>
      </c>
      <c r="AD44" s="439">
        <f t="shared" si="24"/>
        <v>0</v>
      </c>
      <c r="AE44" s="439">
        <f t="shared" si="24"/>
        <v>0</v>
      </c>
      <c r="AF44" s="434"/>
      <c r="AG44" s="434"/>
      <c r="AH44" s="434"/>
      <c r="AI44" s="434"/>
      <c r="AJ44" s="434"/>
      <c r="AK44" s="434"/>
      <c r="AL44" s="434"/>
      <c r="AM44" s="434"/>
      <c r="AN44" s="434"/>
      <c r="AO44" s="434"/>
      <c r="AP44" s="434"/>
      <c r="AQ44" s="434"/>
      <c r="AR44" s="434"/>
      <c r="AS44" s="434"/>
      <c r="AT44" s="434"/>
      <c r="AU44" s="434"/>
      <c r="AV44" s="434"/>
      <c r="AW44" s="434"/>
      <c r="AX44" s="434"/>
      <c r="AY44" s="434"/>
      <c r="AZ44" s="434"/>
      <c r="BA44" s="434"/>
      <c r="BB44" s="434"/>
      <c r="BC44" s="434"/>
      <c r="BD44" s="434"/>
      <c r="BE44" s="434"/>
      <c r="BF44" s="434"/>
      <c r="BG44" s="434"/>
      <c r="BH44" s="434"/>
      <c r="BI44" s="434"/>
      <c r="BJ44" s="434"/>
      <c r="BK44" s="434"/>
      <c r="BL44" s="434"/>
      <c r="BM44" s="434"/>
      <c r="BN44" s="434"/>
      <c r="BO44" s="434"/>
      <c r="BP44" s="434"/>
      <c r="BQ44" s="434"/>
      <c r="BR44" s="434"/>
      <c r="BS44" s="434"/>
      <c r="BT44" s="434"/>
      <c r="BU44" s="434"/>
      <c r="BV44" s="434"/>
      <c r="BW44" s="434"/>
      <c r="BX44" s="434"/>
      <c r="BY44" s="434"/>
      <c r="BZ44" s="434"/>
      <c r="CA44" s="434"/>
      <c r="CB44" s="434"/>
      <c r="CC44" s="434"/>
      <c r="CD44" s="434"/>
      <c r="CE44" s="434"/>
      <c r="CF44" s="434"/>
      <c r="CG44" s="434"/>
      <c r="CH44" s="434"/>
      <c r="CI44" s="434"/>
      <c r="CJ44" s="434"/>
      <c r="CK44" s="434"/>
      <c r="CL44" s="434"/>
      <c r="CM44" s="434"/>
      <c r="CN44" s="434"/>
      <c r="CO44" s="434"/>
      <c r="CP44" s="434"/>
      <c r="CQ44" s="434"/>
      <c r="CR44" s="434"/>
      <c r="CS44" s="434"/>
      <c r="CT44" s="434"/>
      <c r="CU44" s="434"/>
      <c r="CV44" s="434"/>
      <c r="CW44" s="434"/>
      <c r="CX44" s="434"/>
      <c r="CY44" s="434"/>
      <c r="CZ44" s="434"/>
      <c r="DA44" s="434"/>
    </row>
    <row r="45" spans="1:105">
      <c r="A45" s="434"/>
      <c r="B45" s="434"/>
      <c r="C45" s="209" t="str">
        <f t="shared" si="11"/>
        <v>Трансформаторная подстанция</v>
      </c>
      <c r="D45" s="436"/>
      <c r="E45" s="436"/>
      <c r="F45" s="438">
        <f t="shared" si="12"/>
        <v>15866769.868919607</v>
      </c>
      <c r="G45" s="439">
        <f t="shared" ref="G45:AE45" si="25">G23*$D23*G$30</f>
        <v>0</v>
      </c>
      <c r="H45" s="439">
        <f t="shared" si="25"/>
        <v>0</v>
      </c>
      <c r="I45" s="439">
        <f t="shared" si="25"/>
        <v>74149.37605240327</v>
      </c>
      <c r="J45" s="439">
        <f t="shared" si="25"/>
        <v>149759.99999999994</v>
      </c>
      <c r="K45" s="439">
        <f t="shared" si="25"/>
        <v>756178.23082386761</v>
      </c>
      <c r="L45" s="439">
        <f t="shared" si="25"/>
        <v>1069080.8272979173</v>
      </c>
      <c r="M45" s="439">
        <f t="shared" si="25"/>
        <v>1542307.0218899879</v>
      </c>
      <c r="N45" s="439">
        <f t="shared" si="25"/>
        <v>1635379.1999999993</v>
      </c>
      <c r="O45" s="439">
        <f t="shared" si="25"/>
        <v>1730135.7921250088</v>
      </c>
      <c r="P45" s="439">
        <f t="shared" si="25"/>
        <v>1747183.5234697389</v>
      </c>
      <c r="Q45" s="439">
        <f t="shared" si="25"/>
        <v>1764399.2330421463</v>
      </c>
      <c r="R45" s="439">
        <f t="shared" si="25"/>
        <v>1781784.5759999992</v>
      </c>
      <c r="S45" s="439">
        <f t="shared" si="25"/>
        <v>1799341.2238100092</v>
      </c>
      <c r="T45" s="439">
        <f t="shared" si="25"/>
        <v>1817070.8644085284</v>
      </c>
      <c r="U45" s="439">
        <f t="shared" si="25"/>
        <v>0</v>
      </c>
      <c r="V45" s="439">
        <f t="shared" si="25"/>
        <v>0</v>
      </c>
      <c r="W45" s="439">
        <f t="shared" si="25"/>
        <v>0</v>
      </c>
      <c r="X45" s="439">
        <f t="shared" si="25"/>
        <v>0</v>
      </c>
      <c r="Y45" s="439">
        <f t="shared" si="25"/>
        <v>0</v>
      </c>
      <c r="Z45" s="439">
        <f t="shared" si="25"/>
        <v>0</v>
      </c>
      <c r="AA45" s="439">
        <f t="shared" si="25"/>
        <v>0</v>
      </c>
      <c r="AB45" s="439">
        <f t="shared" si="25"/>
        <v>0</v>
      </c>
      <c r="AC45" s="439">
        <f t="shared" si="25"/>
        <v>0</v>
      </c>
      <c r="AD45" s="439">
        <f t="shared" si="25"/>
        <v>0</v>
      </c>
      <c r="AE45" s="439">
        <f t="shared" si="25"/>
        <v>0</v>
      </c>
      <c r="AF45" s="434"/>
      <c r="AG45" s="434"/>
      <c r="AH45" s="434"/>
      <c r="AI45" s="434"/>
      <c r="AJ45" s="434"/>
      <c r="AK45" s="434"/>
      <c r="AL45" s="434"/>
      <c r="AM45" s="434"/>
      <c r="AN45" s="434"/>
      <c r="AO45" s="434"/>
      <c r="AP45" s="434"/>
      <c r="AQ45" s="434"/>
      <c r="AR45" s="434"/>
      <c r="AS45" s="434"/>
      <c r="AT45" s="434"/>
      <c r="AU45" s="434"/>
      <c r="AV45" s="434"/>
      <c r="AW45" s="434"/>
      <c r="AX45" s="434"/>
      <c r="AY45" s="434"/>
      <c r="AZ45" s="434"/>
      <c r="BA45" s="434"/>
      <c r="BB45" s="434"/>
      <c r="BC45" s="434"/>
      <c r="BD45" s="434"/>
      <c r="BE45" s="434"/>
      <c r="BF45" s="434"/>
      <c r="BG45" s="434"/>
      <c r="BH45" s="434"/>
      <c r="BI45" s="434"/>
      <c r="BJ45" s="434"/>
      <c r="BK45" s="434"/>
      <c r="BL45" s="434"/>
      <c r="BM45" s="434"/>
      <c r="BN45" s="434"/>
      <c r="BO45" s="434"/>
      <c r="BP45" s="434"/>
      <c r="BQ45" s="434"/>
      <c r="BR45" s="434"/>
      <c r="BS45" s="434"/>
      <c r="BT45" s="434"/>
      <c r="BU45" s="434"/>
      <c r="BV45" s="434"/>
      <c r="BW45" s="434"/>
      <c r="BX45" s="434"/>
      <c r="BY45" s="434"/>
      <c r="BZ45" s="434"/>
      <c r="CA45" s="434"/>
      <c r="CB45" s="434"/>
      <c r="CC45" s="434"/>
      <c r="CD45" s="434"/>
      <c r="CE45" s="434"/>
      <c r="CF45" s="434"/>
      <c r="CG45" s="434"/>
      <c r="CH45" s="434"/>
      <c r="CI45" s="434"/>
      <c r="CJ45" s="434"/>
      <c r="CK45" s="434"/>
      <c r="CL45" s="434"/>
      <c r="CM45" s="434"/>
      <c r="CN45" s="434"/>
      <c r="CO45" s="434"/>
      <c r="CP45" s="434"/>
      <c r="CQ45" s="434"/>
      <c r="CR45" s="434"/>
      <c r="CS45" s="434"/>
      <c r="CT45" s="434"/>
      <c r="CU45" s="434"/>
      <c r="CV45" s="434"/>
      <c r="CW45" s="434"/>
      <c r="CX45" s="434"/>
      <c r="CY45" s="434"/>
      <c r="CZ45" s="434"/>
      <c r="DA45" s="434"/>
    </row>
    <row r="46" spans="1:105">
      <c r="A46" s="434"/>
      <c r="B46" s="434"/>
      <c r="C46" s="209" t="str">
        <f t="shared" si="11"/>
        <v>Канализационная насосная станция</v>
      </c>
      <c r="D46" s="436"/>
      <c r="E46" s="436"/>
      <c r="F46" s="438">
        <f t="shared" si="12"/>
        <v>6029372.5501894513</v>
      </c>
      <c r="G46" s="439">
        <f t="shared" ref="G46:AE46" si="26">G24*$D24*G$30</f>
        <v>0</v>
      </c>
      <c r="H46" s="439">
        <f t="shared" si="26"/>
        <v>0</v>
      </c>
      <c r="I46" s="439">
        <f t="shared" si="26"/>
        <v>28176.762899913243</v>
      </c>
      <c r="J46" s="439">
        <f t="shared" si="26"/>
        <v>56908.799999999981</v>
      </c>
      <c r="K46" s="439">
        <f t="shared" si="26"/>
        <v>287347.7277130697</v>
      </c>
      <c r="L46" s="439">
        <f t="shared" si="26"/>
        <v>406250.71437320864</v>
      </c>
      <c r="M46" s="439">
        <f t="shared" si="26"/>
        <v>586076.66831819538</v>
      </c>
      <c r="N46" s="439">
        <f t="shared" si="26"/>
        <v>621444.09599999967</v>
      </c>
      <c r="O46" s="439">
        <f t="shared" si="26"/>
        <v>657451.60100750334</v>
      </c>
      <c r="P46" s="439">
        <f t="shared" si="26"/>
        <v>663929.73891850084</v>
      </c>
      <c r="Q46" s="439">
        <f t="shared" si="26"/>
        <v>670471.70855601551</v>
      </c>
      <c r="R46" s="439">
        <f t="shared" si="26"/>
        <v>677078.13887999963</v>
      </c>
      <c r="S46" s="439">
        <f t="shared" si="26"/>
        <v>683749.66504780354</v>
      </c>
      <c r="T46" s="439">
        <f t="shared" si="26"/>
        <v>690486.92847524083</v>
      </c>
      <c r="U46" s="439">
        <f t="shared" si="26"/>
        <v>0</v>
      </c>
      <c r="V46" s="439">
        <f t="shared" si="26"/>
        <v>0</v>
      </c>
      <c r="W46" s="439">
        <f t="shared" si="26"/>
        <v>0</v>
      </c>
      <c r="X46" s="439">
        <f t="shared" si="26"/>
        <v>0</v>
      </c>
      <c r="Y46" s="439">
        <f t="shared" si="26"/>
        <v>0</v>
      </c>
      <c r="Z46" s="439">
        <f t="shared" si="26"/>
        <v>0</v>
      </c>
      <c r="AA46" s="439">
        <f t="shared" si="26"/>
        <v>0</v>
      </c>
      <c r="AB46" s="439">
        <f t="shared" si="26"/>
        <v>0</v>
      </c>
      <c r="AC46" s="439">
        <f t="shared" si="26"/>
        <v>0</v>
      </c>
      <c r="AD46" s="439">
        <f t="shared" si="26"/>
        <v>0</v>
      </c>
      <c r="AE46" s="439">
        <f t="shared" si="26"/>
        <v>0</v>
      </c>
      <c r="AF46" s="434"/>
      <c r="AG46" s="434"/>
      <c r="AH46" s="434"/>
      <c r="AI46" s="434"/>
      <c r="AJ46" s="434"/>
      <c r="AK46" s="434"/>
      <c r="AL46" s="434"/>
      <c r="AM46" s="434"/>
      <c r="AN46" s="434"/>
      <c r="AO46" s="434"/>
      <c r="AP46" s="434"/>
      <c r="AQ46" s="434"/>
      <c r="AR46" s="434"/>
      <c r="AS46" s="434"/>
      <c r="AT46" s="434"/>
      <c r="AU46" s="434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4"/>
      <c r="BG46" s="434"/>
      <c r="BH46" s="434"/>
      <c r="BI46" s="434"/>
      <c r="BJ46" s="434"/>
      <c r="BK46" s="434"/>
      <c r="BL46" s="434"/>
      <c r="BM46" s="434"/>
      <c r="BN46" s="434"/>
      <c r="BO46" s="434"/>
      <c r="BP46" s="434"/>
      <c r="BQ46" s="434"/>
      <c r="BR46" s="434"/>
      <c r="BS46" s="434"/>
      <c r="BT46" s="434"/>
      <c r="BU46" s="434"/>
      <c r="BV46" s="434"/>
      <c r="BW46" s="434"/>
      <c r="BX46" s="434"/>
      <c r="BY46" s="434"/>
      <c r="BZ46" s="434"/>
      <c r="CA46" s="434"/>
      <c r="CB46" s="434"/>
      <c r="CC46" s="434"/>
      <c r="CD46" s="434"/>
      <c r="CE46" s="434"/>
      <c r="CF46" s="434"/>
      <c r="CG46" s="434"/>
      <c r="CH46" s="434"/>
      <c r="CI46" s="434"/>
      <c r="CJ46" s="434"/>
      <c r="CK46" s="434"/>
      <c r="CL46" s="434"/>
      <c r="CM46" s="434"/>
      <c r="CN46" s="434"/>
      <c r="CO46" s="434"/>
      <c r="CP46" s="434"/>
      <c r="CQ46" s="434"/>
      <c r="CR46" s="434"/>
      <c r="CS46" s="434"/>
      <c r="CT46" s="434"/>
      <c r="CU46" s="434"/>
      <c r="CV46" s="434"/>
      <c r="CW46" s="434"/>
      <c r="CX46" s="434"/>
      <c r="CY46" s="434"/>
      <c r="CZ46" s="434"/>
      <c r="DA46" s="434"/>
    </row>
    <row r="47" spans="1:105">
      <c r="A47" s="434"/>
      <c r="B47" s="434"/>
      <c r="C47" s="209" t="str">
        <f t="shared" si="11"/>
        <v>Стоимость проектных работ - 4% от СМР (мебель и технологическое оборудование не учитываются)</v>
      </c>
      <c r="D47" s="436"/>
      <c r="E47" s="436"/>
      <c r="F47" s="438">
        <f t="shared" si="12"/>
        <v>286090925.87739414</v>
      </c>
      <c r="G47" s="439">
        <f t="shared" ref="G47:AE47" si="27">G25*$D25*G$30</f>
        <v>0</v>
      </c>
      <c r="H47" s="439">
        <f t="shared" si="27"/>
        <v>0</v>
      </c>
      <c r="I47" s="439">
        <f t="shared" si="27"/>
        <v>1336974.3068888152</v>
      </c>
      <c r="J47" s="439">
        <f t="shared" si="27"/>
        <v>2700296.1165602328</v>
      </c>
      <c r="K47" s="439">
        <f t="shared" si="27"/>
        <v>13634516.159996513</v>
      </c>
      <c r="L47" s="439">
        <f t="shared" si="27"/>
        <v>19276407.627147224</v>
      </c>
      <c r="M47" s="439">
        <f t="shared" si="27"/>
        <v>27809065.583287351</v>
      </c>
      <c r="N47" s="439">
        <f t="shared" si="27"/>
        <v>29487233.592837736</v>
      </c>
      <c r="O47" s="439">
        <f t="shared" si="27"/>
        <v>31195772.974072021</v>
      </c>
      <c r="P47" s="439">
        <f t="shared" si="27"/>
        <v>31503157.607794888</v>
      </c>
      <c r="Q47" s="439">
        <f t="shared" si="27"/>
        <v>31813571.027280733</v>
      </c>
      <c r="R47" s="439">
        <f t="shared" si="27"/>
        <v>32127043.076387022</v>
      </c>
      <c r="S47" s="439">
        <f t="shared" si="27"/>
        <v>32443603.893034901</v>
      </c>
      <c r="T47" s="439">
        <f t="shared" si="27"/>
        <v>32763283.912106682</v>
      </c>
      <c r="U47" s="439">
        <f t="shared" si="27"/>
        <v>0</v>
      </c>
      <c r="V47" s="439">
        <f t="shared" si="27"/>
        <v>0</v>
      </c>
      <c r="W47" s="439">
        <f t="shared" si="27"/>
        <v>0</v>
      </c>
      <c r="X47" s="439">
        <f t="shared" si="27"/>
        <v>0</v>
      </c>
      <c r="Y47" s="439">
        <f t="shared" si="27"/>
        <v>0</v>
      </c>
      <c r="Z47" s="439">
        <f t="shared" si="27"/>
        <v>0</v>
      </c>
      <c r="AA47" s="439">
        <f t="shared" si="27"/>
        <v>0</v>
      </c>
      <c r="AB47" s="439">
        <f t="shared" si="27"/>
        <v>0</v>
      </c>
      <c r="AC47" s="439">
        <f t="shared" si="27"/>
        <v>0</v>
      </c>
      <c r="AD47" s="439">
        <f t="shared" si="27"/>
        <v>0</v>
      </c>
      <c r="AE47" s="439">
        <f t="shared" si="27"/>
        <v>0</v>
      </c>
      <c r="AF47" s="434"/>
      <c r="AG47" s="434"/>
      <c r="AH47" s="434"/>
      <c r="AI47" s="434"/>
      <c r="AJ47" s="434"/>
      <c r="AK47" s="434"/>
      <c r="AL47" s="434"/>
      <c r="AM47" s="434"/>
      <c r="AN47" s="434"/>
      <c r="AO47" s="434"/>
      <c r="AP47" s="434"/>
      <c r="AQ47" s="434"/>
      <c r="AR47" s="434"/>
      <c r="AS47" s="434"/>
      <c r="AT47" s="434"/>
      <c r="AU47" s="434"/>
      <c r="AV47" s="434"/>
      <c r="AW47" s="434"/>
      <c r="AX47" s="434"/>
      <c r="AY47" s="434"/>
      <c r="AZ47" s="434"/>
      <c r="BA47" s="434"/>
      <c r="BB47" s="434"/>
      <c r="BC47" s="434"/>
      <c r="BD47" s="434"/>
      <c r="BE47" s="434"/>
      <c r="BF47" s="434"/>
      <c r="BG47" s="434"/>
      <c r="BH47" s="434"/>
      <c r="BI47" s="434"/>
      <c r="BJ47" s="434"/>
      <c r="BK47" s="434"/>
      <c r="BL47" s="434"/>
      <c r="BM47" s="434"/>
      <c r="BN47" s="434"/>
      <c r="BO47" s="434"/>
      <c r="BP47" s="434"/>
      <c r="BQ47" s="434"/>
      <c r="BR47" s="434"/>
      <c r="BS47" s="434"/>
      <c r="BT47" s="434"/>
      <c r="BU47" s="434"/>
      <c r="BV47" s="434"/>
      <c r="BW47" s="434"/>
      <c r="BX47" s="434"/>
      <c r="BY47" s="434"/>
      <c r="BZ47" s="434"/>
      <c r="CA47" s="434"/>
      <c r="CB47" s="434"/>
      <c r="CC47" s="434"/>
      <c r="CD47" s="434"/>
      <c r="CE47" s="434"/>
      <c r="CF47" s="434"/>
      <c r="CG47" s="434"/>
      <c r="CH47" s="434"/>
      <c r="CI47" s="434"/>
      <c r="CJ47" s="434"/>
      <c r="CK47" s="434"/>
      <c r="CL47" s="434"/>
      <c r="CM47" s="434"/>
      <c r="CN47" s="434"/>
      <c r="CO47" s="434"/>
      <c r="CP47" s="434"/>
      <c r="CQ47" s="434"/>
      <c r="CR47" s="434"/>
      <c r="CS47" s="434"/>
      <c r="CT47" s="434"/>
      <c r="CU47" s="434"/>
      <c r="CV47" s="434"/>
      <c r="CW47" s="434"/>
      <c r="CX47" s="434"/>
      <c r="CY47" s="434"/>
      <c r="CZ47" s="434"/>
      <c r="DA47" s="434"/>
    </row>
    <row r="48" spans="1:105" s="445" customFormat="1">
      <c r="A48" s="440"/>
      <c r="B48" s="441" t="s">
        <v>477</v>
      </c>
      <c r="C48" s="442" t="s">
        <v>478</v>
      </c>
      <c r="D48" s="443"/>
      <c r="E48" s="443"/>
      <c r="F48" s="444">
        <f>SUM(G48:AE48)</f>
        <v>11472203258.232405</v>
      </c>
      <c r="G48" s="36">
        <f t="shared" ref="G48:AE48" si="28">SUM(G33:G47)</f>
        <v>0</v>
      </c>
      <c r="H48" s="36">
        <f t="shared" si="28"/>
        <v>0</v>
      </c>
      <c r="I48" s="36">
        <f t="shared" si="28"/>
        <v>53090645.797816046</v>
      </c>
      <c r="J48" s="36">
        <f t="shared" si="28"/>
        <v>107227539.02961844</v>
      </c>
      <c r="K48" s="36">
        <f t="shared" si="28"/>
        <v>443366671.99770153</v>
      </c>
      <c r="L48" s="36">
        <f t="shared" si="28"/>
        <v>666437469.62978065</v>
      </c>
      <c r="M48" s="36">
        <f t="shared" si="28"/>
        <v>954291951.80653465</v>
      </c>
      <c r="N48" s="36">
        <f t="shared" si="28"/>
        <v>984109197.02365196</v>
      </c>
      <c r="O48" s="36">
        <f t="shared" si="28"/>
        <v>1034818137.1427386</v>
      </c>
      <c r="P48" s="36">
        <f t="shared" si="28"/>
        <v>1045014620.9522524</v>
      </c>
      <c r="Q48" s="36">
        <f t="shared" si="28"/>
        <v>1055311574.8621117</v>
      </c>
      <c r="R48" s="36">
        <f t="shared" si="28"/>
        <v>1090648945.4042766</v>
      </c>
      <c r="S48" s="36">
        <f t="shared" si="28"/>
        <v>1129238360.8196423</v>
      </c>
      <c r="T48" s="36">
        <f t="shared" si="28"/>
        <v>1152418175.1590447</v>
      </c>
      <c r="U48" s="36">
        <f t="shared" si="28"/>
        <v>432621196.85424709</v>
      </c>
      <c r="V48" s="36">
        <f t="shared" si="28"/>
        <v>436883989.38855344</v>
      </c>
      <c r="W48" s="36">
        <f t="shared" si="28"/>
        <v>441188784.95073426</v>
      </c>
      <c r="X48" s="36">
        <f t="shared" si="28"/>
        <v>445535997.41369945</v>
      </c>
      <c r="Y48" s="36">
        <f t="shared" si="28"/>
        <v>0</v>
      </c>
      <c r="Z48" s="36">
        <f t="shared" si="28"/>
        <v>0</v>
      </c>
      <c r="AA48" s="36">
        <f t="shared" si="28"/>
        <v>0</v>
      </c>
      <c r="AB48" s="36">
        <f t="shared" si="28"/>
        <v>0</v>
      </c>
      <c r="AC48" s="36">
        <f t="shared" si="28"/>
        <v>0</v>
      </c>
      <c r="AD48" s="36">
        <f t="shared" si="28"/>
        <v>0</v>
      </c>
      <c r="AE48" s="36">
        <f t="shared" si="28"/>
        <v>0</v>
      </c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  <c r="BB48" s="440"/>
      <c r="BC48" s="440"/>
      <c r="BD48" s="440"/>
      <c r="BE48" s="440"/>
      <c r="BF48" s="440"/>
      <c r="BG48" s="440"/>
      <c r="BH48" s="440"/>
      <c r="BI48" s="440"/>
      <c r="BJ48" s="440"/>
      <c r="BK48" s="440"/>
      <c r="BL48" s="440"/>
      <c r="BM48" s="440"/>
      <c r="BN48" s="440"/>
      <c r="BO48" s="440"/>
      <c r="BP48" s="440"/>
      <c r="BQ48" s="440"/>
      <c r="BR48" s="440"/>
      <c r="BS48" s="440"/>
      <c r="BT48" s="440"/>
      <c r="BU48" s="440"/>
      <c r="BV48" s="440"/>
      <c r="BW48" s="440"/>
      <c r="BX48" s="440"/>
      <c r="BY48" s="440"/>
      <c r="BZ48" s="440"/>
      <c r="CA48" s="440"/>
      <c r="CB48" s="440"/>
      <c r="CC48" s="440"/>
      <c r="CD48" s="440"/>
      <c r="CE48" s="440"/>
      <c r="CF48" s="440"/>
      <c r="CG48" s="440"/>
      <c r="CH48" s="440"/>
      <c r="CI48" s="440"/>
      <c r="CJ48" s="440"/>
      <c r="CK48" s="440"/>
      <c r="CL48" s="440"/>
      <c r="CM48" s="440"/>
      <c r="CN48" s="440"/>
      <c r="CO48" s="440"/>
      <c r="CP48" s="440"/>
      <c r="CQ48" s="440"/>
      <c r="CR48" s="440"/>
      <c r="CS48" s="440"/>
      <c r="CT48" s="440"/>
      <c r="CU48" s="440"/>
      <c r="CV48" s="440"/>
      <c r="CW48" s="440"/>
      <c r="CX48" s="440"/>
      <c r="CY48" s="440"/>
      <c r="CZ48" s="440"/>
      <c r="DA48" s="440"/>
    </row>
    <row r="49" spans="1:105" s="445" customFormat="1">
      <c r="A49" s="146"/>
      <c r="B49" s="446">
        <v>1</v>
      </c>
      <c r="C49" s="442" t="s">
        <v>12</v>
      </c>
      <c r="D49" s="442"/>
      <c r="E49" s="442"/>
      <c r="F49" s="35">
        <f>SUM(G49:AE49)</f>
        <v>1912033876.372067</v>
      </c>
      <c r="G49" s="1303"/>
      <c r="H49" s="1303"/>
      <c r="I49" s="36">
        <f t="shared" ref="I49:AE49" si="29">IF(H29-G29=1,LOOKUP(G29,$G$52:$R$52,$G$53:$R$53)*(1-1/1.2),0)</f>
        <v>0</v>
      </c>
      <c r="J49" s="36">
        <f t="shared" si="29"/>
        <v>0</v>
      </c>
      <c r="K49" s="36">
        <f t="shared" si="29"/>
        <v>0</v>
      </c>
      <c r="L49" s="36">
        <f t="shared" si="29"/>
        <v>26719697.471239075</v>
      </c>
      <c r="M49" s="36">
        <f t="shared" si="29"/>
        <v>0</v>
      </c>
      <c r="N49" s="36">
        <f t="shared" si="29"/>
        <v>0</v>
      </c>
      <c r="O49" s="36">
        <f t="shared" si="29"/>
        <v>0</v>
      </c>
      <c r="P49" s="36">
        <f t="shared" si="29"/>
        <v>508034215.07627803</v>
      </c>
      <c r="Q49" s="36">
        <f t="shared" si="29"/>
        <v>0</v>
      </c>
      <c r="R49" s="36">
        <f t="shared" si="29"/>
        <v>0</v>
      </c>
      <c r="S49" s="36">
        <f t="shared" si="29"/>
        <v>0</v>
      </c>
      <c r="T49" s="36">
        <f t="shared" si="29"/>
        <v>704298879.72689641</v>
      </c>
      <c r="U49" s="36">
        <f t="shared" si="29"/>
        <v>0</v>
      </c>
      <c r="V49" s="36">
        <f t="shared" si="29"/>
        <v>0</v>
      </c>
      <c r="W49" s="36">
        <f t="shared" si="29"/>
        <v>0</v>
      </c>
      <c r="X49" s="36">
        <f t="shared" si="29"/>
        <v>525193620.3702479</v>
      </c>
      <c r="Y49" s="36">
        <f t="shared" si="29"/>
        <v>0</v>
      </c>
      <c r="Z49" s="36">
        <f t="shared" si="29"/>
        <v>0</v>
      </c>
      <c r="AA49" s="36">
        <f t="shared" si="29"/>
        <v>0</v>
      </c>
      <c r="AB49" s="36">
        <f t="shared" si="29"/>
        <v>147787463.72740561</v>
      </c>
      <c r="AC49" s="36">
        <f t="shared" si="29"/>
        <v>0</v>
      </c>
      <c r="AD49" s="36">
        <f t="shared" si="29"/>
        <v>0</v>
      </c>
      <c r="AE49" s="36">
        <f t="shared" si="29"/>
        <v>0</v>
      </c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</row>
    <row r="50" spans="1:105" s="445" customFormat="1">
      <c r="A50" s="146"/>
      <c r="B50" s="434"/>
      <c r="C50" s="1304"/>
      <c r="D50" s="1304"/>
      <c r="E50" s="1304"/>
      <c r="F50" s="1305">
        <f>F48/1.2</f>
        <v>9560169381.8603382</v>
      </c>
      <c r="G50" s="1306"/>
      <c r="H50" s="1306"/>
      <c r="I50" s="1306"/>
      <c r="J50" s="1306"/>
      <c r="K50" s="1306"/>
      <c r="L50" s="1306"/>
      <c r="M50" s="1306"/>
      <c r="N50" s="1306"/>
      <c r="O50" s="1306"/>
      <c r="P50" s="1306"/>
      <c r="Q50" s="1306"/>
      <c r="R50" s="1306"/>
      <c r="S50" s="1306"/>
      <c r="T50" s="1306"/>
      <c r="U50" s="1306"/>
      <c r="V50" s="1306"/>
      <c r="W50" s="1306"/>
      <c r="X50" s="1306"/>
      <c r="Y50" s="1306"/>
      <c r="Z50" s="1306"/>
      <c r="AA50" s="1306"/>
      <c r="AB50" s="1306"/>
      <c r="AC50" s="1306"/>
      <c r="AD50" s="1306"/>
      <c r="AE50" s="130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4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46"/>
      <c r="DA50" s="146"/>
    </row>
    <row r="51" spans="1:105">
      <c r="A51" s="30"/>
      <c r="B51" s="30"/>
      <c r="C51" s="3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</row>
    <row r="52" spans="1:105">
      <c r="A52" s="30"/>
      <c r="B52" s="30"/>
      <c r="C52" s="447" t="s">
        <v>479</v>
      </c>
      <c r="D52" s="447"/>
      <c r="E52" s="447"/>
      <c r="F52" s="447"/>
      <c r="G52" s="447">
        <f>G29</f>
        <v>2022</v>
      </c>
      <c r="H52" s="447">
        <f>G52+1</f>
        <v>2023</v>
      </c>
      <c r="I52" s="447">
        <f t="shared" ref="I52:R52" si="30">H52+1</f>
        <v>2024</v>
      </c>
      <c r="J52" s="447">
        <f t="shared" si="30"/>
        <v>2025</v>
      </c>
      <c r="K52" s="447">
        <f t="shared" si="30"/>
        <v>2026</v>
      </c>
      <c r="L52" s="447">
        <f t="shared" si="30"/>
        <v>2027</v>
      </c>
      <c r="M52" s="447">
        <f t="shared" si="30"/>
        <v>2028</v>
      </c>
      <c r="N52" s="447">
        <f t="shared" si="30"/>
        <v>2029</v>
      </c>
      <c r="O52" s="447">
        <f t="shared" si="30"/>
        <v>2030</v>
      </c>
      <c r="P52" s="447">
        <f t="shared" si="30"/>
        <v>2031</v>
      </c>
      <c r="Q52" s="447">
        <f t="shared" si="30"/>
        <v>2032</v>
      </c>
      <c r="R52" s="447">
        <f t="shared" si="30"/>
        <v>2033</v>
      </c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</row>
    <row r="53" spans="1:105">
      <c r="A53" s="30"/>
      <c r="C53" s="442" t="str">
        <f>C48</f>
        <v>ИТОГО, затраты на строительство в период</v>
      </c>
      <c r="D53" s="442"/>
      <c r="E53" s="448" t="b">
        <f>ROUND(F53,3)=ROUND(F48,3)</f>
        <v>1</v>
      </c>
      <c r="F53" s="38">
        <f>SUM(G53:R53)</f>
        <v>11472203258.232403</v>
      </c>
      <c r="G53" s="779">
        <f t="shared" ref="G53:N53" si="31">SUMIF(29:29,G52,48:48)</f>
        <v>160318184.82743448</v>
      </c>
      <c r="H53" s="779">
        <f t="shared" si="31"/>
        <v>3048205290.4576688</v>
      </c>
      <c r="I53" s="779">
        <f t="shared" si="31"/>
        <v>4225793278.3613796</v>
      </c>
      <c r="J53" s="779">
        <f t="shared" si="31"/>
        <v>3151161722.221488</v>
      </c>
      <c r="K53" s="779">
        <f t="shared" si="31"/>
        <v>886724782.36443377</v>
      </c>
      <c r="L53" s="779">
        <f t="shared" si="31"/>
        <v>0</v>
      </c>
      <c r="M53" s="779">
        <f t="shared" si="31"/>
        <v>0</v>
      </c>
      <c r="N53" s="779">
        <f t="shared" si="31"/>
        <v>0</v>
      </c>
      <c r="O53" s="1688"/>
      <c r="P53" s="1688"/>
      <c r="Q53" s="1688"/>
      <c r="R53" s="1688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</row>
    <row r="54" spans="1:105">
      <c r="A54" s="30"/>
      <c r="C54" s="442" t="str">
        <f>C49</f>
        <v>ИТОГО, НДС к возмещению со сдвигом на 2 квартала</v>
      </c>
      <c r="D54" s="442"/>
      <c r="E54" s="448" t="b">
        <f>F54=F49</f>
        <v>1</v>
      </c>
      <c r="F54" s="38">
        <f>SUM(G54:R54)</f>
        <v>1912033876.372067</v>
      </c>
      <c r="G54" s="779">
        <f t="shared" ref="G54:N54" si="32">SUMIF(29:29,G52,49:49)</f>
        <v>0</v>
      </c>
      <c r="H54" s="779">
        <f t="shared" si="32"/>
        <v>26719697.471239075</v>
      </c>
      <c r="I54" s="439">
        <f t="shared" si="32"/>
        <v>508034215.07627803</v>
      </c>
      <c r="J54" s="439">
        <f t="shared" si="32"/>
        <v>704298879.72689641</v>
      </c>
      <c r="K54" s="439">
        <f t="shared" si="32"/>
        <v>525193620.3702479</v>
      </c>
      <c r="L54" s="779">
        <f t="shared" si="32"/>
        <v>147787463.72740561</v>
      </c>
      <c r="M54" s="439">
        <f t="shared" si="32"/>
        <v>0</v>
      </c>
      <c r="N54" s="439">
        <f t="shared" si="32"/>
        <v>0</v>
      </c>
      <c r="O54" s="449"/>
      <c r="P54" s="449"/>
      <c r="Q54" s="449"/>
      <c r="R54" s="449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</row>
    <row r="55" spans="1:105">
      <c r="C55" s="209" t="s">
        <v>1282</v>
      </c>
      <c r="D55" s="436"/>
      <c r="E55" s="448" t="s">
        <v>1281</v>
      </c>
      <c r="F55" s="439">
        <f>F53/Объекты!E61</f>
        <v>165683.63715524509</v>
      </c>
      <c r="G55" s="450"/>
    </row>
    <row r="56" spans="1:105">
      <c r="J56" s="447"/>
      <c r="K56" s="447">
        <f t="shared" ref="K56:P56" si="33">G52</f>
        <v>2022</v>
      </c>
      <c r="L56" s="447">
        <f t="shared" si="33"/>
        <v>2023</v>
      </c>
      <c r="M56" s="447">
        <f t="shared" si="33"/>
        <v>2024</v>
      </c>
      <c r="N56" s="447">
        <f t="shared" si="33"/>
        <v>2025</v>
      </c>
      <c r="O56" s="447">
        <f t="shared" si="33"/>
        <v>2026</v>
      </c>
      <c r="P56" s="447">
        <f t="shared" si="33"/>
        <v>2027</v>
      </c>
    </row>
    <row r="57" spans="1:105" ht="25.5">
      <c r="C57" s="447"/>
      <c r="D57" s="447"/>
      <c r="E57" s="447" t="s">
        <v>480</v>
      </c>
      <c r="F57" s="447" t="s">
        <v>481</v>
      </c>
      <c r="G57" s="447" t="s">
        <v>482</v>
      </c>
      <c r="J57" s="209" t="s">
        <v>479</v>
      </c>
      <c r="K57" s="439">
        <f t="shared" ref="K57:P57" si="34">G53/10^6</f>
        <v>160.31818482743449</v>
      </c>
      <c r="L57" s="439">
        <f t="shared" si="34"/>
        <v>3048.205290457669</v>
      </c>
      <c r="M57" s="439">
        <f t="shared" si="34"/>
        <v>4225.7932783613796</v>
      </c>
      <c r="N57" s="439">
        <f t="shared" si="34"/>
        <v>3151.1617222214882</v>
      </c>
      <c r="O57" s="439">
        <f t="shared" si="34"/>
        <v>886.72478236443374</v>
      </c>
      <c r="P57" s="439">
        <f t="shared" si="34"/>
        <v>0</v>
      </c>
    </row>
    <row r="58" spans="1:105" ht="14.25">
      <c r="C58" s="209" t="str">
        <f t="shared" ref="C58:C72" si="35">C33</f>
        <v>Гостиница 5*</v>
      </c>
      <c r="D58" s="451"/>
      <c r="E58" s="451">
        <f t="shared" ref="E58:E72" si="36">F33</f>
        <v>2563597260.6198254</v>
      </c>
      <c r="F58" s="421"/>
      <c r="G58" s="769">
        <f t="shared" ref="G58:G72" si="37">E58*(1-F58)</f>
        <v>2563597260.6198254</v>
      </c>
      <c r="K58" s="1851">
        <f>K57/($F$53/10^6)</f>
        <v>1.39744895743885E-2</v>
      </c>
      <c r="L58" s="1851">
        <f t="shared" ref="L58:O58" si="38">L57/($F$53/10^6)</f>
        <v>0.26570356380935722</v>
      </c>
      <c r="M58" s="1851">
        <f t="shared" si="38"/>
        <v>0.368350628317971</v>
      </c>
      <c r="N58" s="1851">
        <f t="shared" si="38"/>
        <v>0.27467798916134339</v>
      </c>
      <c r="O58" s="1851">
        <f t="shared" si="38"/>
        <v>7.7293329136940106E-2</v>
      </c>
    </row>
    <row r="59" spans="1:105" ht="14.25">
      <c r="C59" s="209" t="str">
        <f t="shared" si="35"/>
        <v>Гостиница 4*</v>
      </c>
      <c r="D59" s="451"/>
      <c r="E59" s="451">
        <f t="shared" si="36"/>
        <v>2427645511.9237185</v>
      </c>
      <c r="F59" s="421"/>
      <c r="G59" s="769">
        <f t="shared" si="37"/>
        <v>2427645511.9237185</v>
      </c>
    </row>
    <row r="60" spans="1:105" ht="14.25">
      <c r="C60" s="209" t="str">
        <f t="shared" si="35"/>
        <v>Гостиница 3*</v>
      </c>
      <c r="D60" s="451"/>
      <c r="E60" s="451">
        <f t="shared" si="36"/>
        <v>959710836.10966814</v>
      </c>
      <c r="F60" s="421"/>
      <c r="G60" s="769">
        <f t="shared" si="37"/>
        <v>959710836.10966814</v>
      </c>
    </row>
    <row r="61" spans="1:105" ht="14.25">
      <c r="C61" s="209" t="str">
        <f t="shared" si="35"/>
        <v>Гостиница 2*</v>
      </c>
      <c r="D61" s="451"/>
      <c r="E61" s="451">
        <f t="shared" si="36"/>
        <v>0</v>
      </c>
      <c r="F61" s="421"/>
      <c r="G61" s="769">
        <f t="shared" si="37"/>
        <v>0</v>
      </c>
    </row>
    <row r="62" spans="1:105" ht="14.25">
      <c r="C62" s="209" t="str">
        <f t="shared" si="35"/>
        <v>МФЦ, в том числе хостел Jo&amp;JOE</v>
      </c>
      <c r="D62" s="451"/>
      <c r="E62" s="451">
        <f t="shared" si="36"/>
        <v>1098505418.5090926</v>
      </c>
      <c r="F62" s="421"/>
      <c r="G62" s="769">
        <f t="shared" si="37"/>
        <v>1098505418.5090926</v>
      </c>
    </row>
    <row r="63" spans="1:105" ht="14.25">
      <c r="C63" s="209" t="str">
        <f t="shared" si="35"/>
        <v>Шале</v>
      </c>
      <c r="D63" s="451"/>
      <c r="E63" s="451">
        <f t="shared" si="36"/>
        <v>263426381.91719139</v>
      </c>
      <c r="F63" s="421"/>
      <c r="G63" s="769">
        <f t="shared" si="37"/>
        <v>263426381.91719139</v>
      </c>
    </row>
    <row r="64" spans="1:105" ht="14.25">
      <c r="C64" s="209" t="str">
        <f t="shared" si="35"/>
        <v>Туристские резиденции</v>
      </c>
      <c r="D64" s="451"/>
      <c r="E64" s="451">
        <f t="shared" si="36"/>
        <v>3057893076.1247802</v>
      </c>
      <c r="F64" s="421"/>
      <c r="G64" s="769">
        <f t="shared" si="37"/>
        <v>3057893076.1247802</v>
      </c>
    </row>
    <row r="65" spans="3:7" ht="14.25">
      <c r="C65" s="209" t="str">
        <f t="shared" si="35"/>
        <v>Ресторан в зоне катания</v>
      </c>
      <c r="D65" s="451"/>
      <c r="E65" s="451">
        <f t="shared" si="36"/>
        <v>217936739.27768645</v>
      </c>
      <c r="F65" s="421"/>
      <c r="G65" s="769">
        <f t="shared" si="37"/>
        <v>217936739.27768645</v>
      </c>
    </row>
    <row r="66" spans="3:7" ht="14.25">
      <c r="C66" s="209" t="str">
        <f t="shared" si="35"/>
        <v>SPA-комплекс</v>
      </c>
      <c r="D66" s="451"/>
      <c r="E66" s="451">
        <f t="shared" si="36"/>
        <v>376835784.3868407</v>
      </c>
      <c r="F66" s="421"/>
      <c r="G66" s="769">
        <f t="shared" si="37"/>
        <v>376835784.3868407</v>
      </c>
    </row>
    <row r="67" spans="3:7" ht="14.25">
      <c r="C67" s="209" t="str">
        <f t="shared" si="35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67" s="451"/>
      <c r="E67" s="451">
        <f t="shared" si="36"/>
        <v>23139039.39217443</v>
      </c>
      <c r="F67" s="421"/>
      <c r="G67" s="769">
        <f t="shared" si="37"/>
        <v>23139039.39217443</v>
      </c>
    </row>
    <row r="68" spans="3:7" ht="14.25">
      <c r="C68" s="209" t="str">
        <f t="shared" si="35"/>
        <v>Наземный паркинг</v>
      </c>
      <c r="D68" s="451"/>
      <c r="E68" s="451">
        <f t="shared" si="36"/>
        <v>16858442.985727079</v>
      </c>
      <c r="F68" s="421"/>
      <c r="G68" s="769">
        <f t="shared" si="37"/>
        <v>16858442.985727079</v>
      </c>
    </row>
    <row r="69" spans="3:7" ht="14.25">
      <c r="C69" s="209" t="str">
        <f t="shared" si="35"/>
        <v>Организация набережных</v>
      </c>
      <c r="D69" s="451"/>
      <c r="E69" s="451">
        <f t="shared" si="36"/>
        <v>158667698.68919605</v>
      </c>
      <c r="F69" s="421"/>
      <c r="G69" s="769">
        <f t="shared" si="37"/>
        <v>158667698.68919605</v>
      </c>
    </row>
    <row r="70" spans="3:7" ht="14.25">
      <c r="C70" s="209" t="str">
        <f t="shared" si="35"/>
        <v>Трансформаторная подстанция</v>
      </c>
      <c r="D70" s="451"/>
      <c r="E70" s="451">
        <f t="shared" si="36"/>
        <v>15866769.868919607</v>
      </c>
      <c r="F70" s="421"/>
      <c r="G70" s="769">
        <f t="shared" si="37"/>
        <v>15866769.868919607</v>
      </c>
    </row>
    <row r="71" spans="3:7" ht="14.25">
      <c r="C71" s="209" t="str">
        <f t="shared" si="35"/>
        <v>Канализационная насосная станция</v>
      </c>
      <c r="D71" s="451"/>
      <c r="E71" s="451">
        <f t="shared" si="36"/>
        <v>6029372.5501894513</v>
      </c>
      <c r="F71" s="421"/>
      <c r="G71" s="769">
        <f t="shared" si="37"/>
        <v>6029372.5501894513</v>
      </c>
    </row>
    <row r="72" spans="3:7" ht="14.25">
      <c r="C72" s="209" t="str">
        <f t="shared" si="35"/>
        <v>Стоимость проектных работ - 4% от СМР (мебель и технологическое оборудование не учитываются)</v>
      </c>
      <c r="D72" s="451"/>
      <c r="E72" s="451">
        <f t="shared" si="36"/>
        <v>286090925.87739414</v>
      </c>
      <c r="F72" s="421"/>
      <c r="G72" s="769">
        <f t="shared" si="37"/>
        <v>286090925.87739414</v>
      </c>
    </row>
  </sheetData>
  <conditionalFormatting sqref="F27 D3:O3 Q3:AE3">
    <cfRule type="cellIs" dxfId="1206" priority="886" operator="notEqual">
      <formula>1</formula>
    </cfRule>
  </conditionalFormatting>
  <conditionalFormatting sqref="G3:O3 G26:AE27 Q3:AE3">
    <cfRule type="notContainsBlanks" dxfId="1205" priority="885">
      <formula>LEN(TRIM(G3))&gt;0</formula>
    </cfRule>
  </conditionalFormatting>
  <conditionalFormatting sqref="G5:AE6 H7:AE7 G8:AE10 G32:AE32">
    <cfRule type="cellIs" dxfId="1204" priority="884" operator="lessThan">
      <formula>0</formula>
    </cfRule>
  </conditionalFormatting>
  <conditionalFormatting sqref="D28:E28">
    <cfRule type="cellIs" dxfId="1203" priority="883" operator="notEqual">
      <formula>1</formula>
    </cfRule>
  </conditionalFormatting>
  <conditionalFormatting sqref="G31:AE31">
    <cfRule type="cellIs" dxfId="1202" priority="882" operator="lessThan">
      <formula>0</formula>
    </cfRule>
  </conditionalFormatting>
  <conditionalFormatting sqref="G7">
    <cfRule type="cellIs" dxfId="1201" priority="881" operator="lessThan">
      <formula>0</formula>
    </cfRule>
  </conditionalFormatting>
  <conditionalFormatting sqref="G23:G25 U17:AB23 K11:AE11 U21:AE25 H11 Y12:AE12 Y16:AE20 U13:AE15">
    <cfRule type="expression" dxfId="1200" priority="880">
      <formula>G$8&gt;$E11</formula>
    </cfRule>
  </conditionalFormatting>
  <conditionalFormatting sqref="D26">
    <cfRule type="cellIs" dxfId="1199" priority="875" operator="equal">
      <formula>FALSE</formula>
    </cfRule>
    <cfRule type="cellIs" dxfId="1198" priority="877" operator="equal">
      <formula>0</formula>
    </cfRule>
  </conditionalFormatting>
  <conditionalFormatting sqref="D26">
    <cfRule type="cellIs" dxfId="1197" priority="876" operator="equal">
      <formula>0</formula>
    </cfRule>
  </conditionalFormatting>
  <conditionalFormatting sqref="E53:E54">
    <cfRule type="cellIs" dxfId="1196" priority="872" operator="equal">
      <formula>FALSE</formula>
    </cfRule>
    <cfRule type="cellIs" dxfId="1195" priority="874" operator="equal">
      <formula>0</formula>
    </cfRule>
  </conditionalFormatting>
  <conditionalFormatting sqref="E53:E54">
    <cfRule type="cellIs" dxfId="1194" priority="873" operator="equal">
      <formula>0</formula>
    </cfRule>
  </conditionalFormatting>
  <conditionalFormatting sqref="B49">
    <cfRule type="expression" dxfId="1193" priority="871">
      <formula>$A$1=1</formula>
    </cfRule>
  </conditionalFormatting>
  <conditionalFormatting sqref="F58 F60:F63 F66">
    <cfRule type="expression" dxfId="1192" priority="866">
      <formula>$A$1=1</formula>
    </cfRule>
  </conditionalFormatting>
  <conditionalFormatting sqref="F58:F72">
    <cfRule type="expression" dxfId="1191" priority="864">
      <formula>$A$1=1</formula>
    </cfRule>
  </conditionalFormatting>
  <conditionalFormatting sqref="P11:R11">
    <cfRule type="expression" dxfId="1190" priority="859">
      <formula>P$7&lt;#REF!</formula>
    </cfRule>
  </conditionalFormatting>
  <conditionalFormatting sqref="Y17:AE17">
    <cfRule type="expression" dxfId="1189" priority="858">
      <formula>Y$7&lt;#REF!</formula>
    </cfRule>
  </conditionalFormatting>
  <conditionalFormatting sqref="Y18:AE18">
    <cfRule type="expression" dxfId="1188" priority="855">
      <formula>Y$7&lt;#REF!</formula>
    </cfRule>
  </conditionalFormatting>
  <conditionalFormatting sqref="F64">
    <cfRule type="expression" dxfId="1187" priority="852">
      <formula>$A$1=1</formula>
    </cfRule>
  </conditionalFormatting>
  <conditionalFormatting sqref="F65">
    <cfRule type="expression" dxfId="1186" priority="851">
      <formula>$A$1=1</formula>
    </cfRule>
  </conditionalFormatting>
  <conditionalFormatting sqref="K11:L11 H11">
    <cfRule type="expression" dxfId="1185" priority="827">
      <formula>H$7&lt;#REF!</formula>
    </cfRule>
  </conditionalFormatting>
  <conditionalFormatting sqref="M11">
    <cfRule type="expression" dxfId="1183" priority="789">
      <formula>$A$1=1</formula>
    </cfRule>
  </conditionalFormatting>
  <conditionalFormatting sqref="M11">
    <cfRule type="expression" dxfId="1182" priority="791">
      <formula>M$7&lt;#REF!</formula>
    </cfRule>
  </conditionalFormatting>
  <conditionalFormatting sqref="L11">
    <cfRule type="expression" dxfId="1181" priority="795">
      <formula>$A$1=1</formula>
    </cfRule>
  </conditionalFormatting>
  <conditionalFormatting sqref="L11">
    <cfRule type="expression" dxfId="1180" priority="797">
      <formula>L$7&lt;#REF!</formula>
    </cfRule>
  </conditionalFormatting>
  <conditionalFormatting sqref="S11">
    <cfRule type="expression" dxfId="1179" priority="764">
      <formula>S$7&lt;#REF!</formula>
    </cfRule>
  </conditionalFormatting>
  <conditionalFormatting sqref="Y20:AE20">
    <cfRule type="expression" dxfId="1178" priority="690">
      <formula>Y$7&lt;#REF!</formula>
    </cfRule>
  </conditionalFormatting>
  <conditionalFormatting sqref="S12">
    <cfRule type="expression" dxfId="1177" priority="334">
      <formula>$A$1=1</formula>
    </cfRule>
  </conditionalFormatting>
  <conditionalFormatting sqref="F67">
    <cfRule type="expression" dxfId="1176" priority="669">
      <formula>$A$1=1</formula>
    </cfRule>
  </conditionalFormatting>
  <conditionalFormatting sqref="K11">
    <cfRule type="expression" dxfId="1175" priority="512">
      <formula>K$7&lt;#REF!</formula>
    </cfRule>
  </conditionalFormatting>
  <conditionalFormatting sqref="N11">
    <cfRule type="expression" dxfId="1174" priority="477">
      <formula>$A$1=1</formula>
    </cfRule>
  </conditionalFormatting>
  <conditionalFormatting sqref="N11">
    <cfRule type="expression" dxfId="1173" priority="479">
      <formula>N$7&lt;#REF!</formula>
    </cfRule>
  </conditionalFormatting>
  <conditionalFormatting sqref="O11:Q11">
    <cfRule type="expression" dxfId="1172" priority="447">
      <formula>$A$1=1</formula>
    </cfRule>
  </conditionalFormatting>
  <conditionalFormatting sqref="O11:Q11">
    <cfRule type="expression" dxfId="1171" priority="448">
      <formula>O$7&lt;#REF!</formula>
    </cfRule>
  </conditionalFormatting>
  <conditionalFormatting sqref="R11">
    <cfRule type="expression" dxfId="1170" priority="440">
      <formula>$A$1=1</formula>
    </cfRule>
  </conditionalFormatting>
  <conditionalFormatting sqref="R11">
    <cfRule type="expression" dxfId="1169" priority="441">
      <formula>R$7&lt;#REF!</formula>
    </cfRule>
  </conditionalFormatting>
  <conditionalFormatting sqref="S11">
    <cfRule type="expression" dxfId="1168" priority="433">
      <formula>$A$1=1</formula>
    </cfRule>
  </conditionalFormatting>
  <conditionalFormatting sqref="S11">
    <cfRule type="expression" dxfId="1167" priority="434">
      <formula>S$7&lt;#REF!</formula>
    </cfRule>
  </conditionalFormatting>
  <conditionalFormatting sqref="T11">
    <cfRule type="expression" dxfId="1166" priority="426">
      <formula>$A$1=1</formula>
    </cfRule>
  </conditionalFormatting>
  <conditionalFormatting sqref="T11">
    <cfRule type="expression" dxfId="1165" priority="427">
      <formula>T$7&lt;#REF!</formula>
    </cfRule>
  </conditionalFormatting>
  <conditionalFormatting sqref="F11:F25">
    <cfRule type="cellIs" dxfId="1164" priority="423" operator="notEqual">
      <formula>1</formula>
    </cfRule>
  </conditionalFormatting>
  <conditionalFormatting sqref="X11:Z11">
    <cfRule type="expression" dxfId="1163" priority="422">
      <formula>X$7&lt;#REF!</formula>
    </cfRule>
  </conditionalFormatting>
  <conditionalFormatting sqref="P11">
    <cfRule type="expression" dxfId="1162" priority="421">
      <formula>P$7&lt;#REF!</formula>
    </cfRule>
  </conditionalFormatting>
  <conditionalFormatting sqref="Q11">
    <cfRule type="expression" dxfId="1161" priority="420">
      <formula>Q$7&lt;#REF!</formula>
    </cfRule>
  </conditionalFormatting>
  <conditionalFormatting sqref="R11">
    <cfRule type="expression" dxfId="1160" priority="419">
      <formula>R$7&lt;#REF!</formula>
    </cfRule>
  </conditionalFormatting>
  <conditionalFormatting sqref="U11">
    <cfRule type="expression" dxfId="1159" priority="418">
      <formula>$A$1=1</formula>
    </cfRule>
  </conditionalFormatting>
  <conditionalFormatting sqref="U11">
    <cfRule type="expression" dxfId="1158" priority="417">
      <formula>U$7&lt;#REF!</formula>
    </cfRule>
  </conditionalFormatting>
  <conditionalFormatting sqref="T11">
    <cfRule type="expression" dxfId="1157" priority="887">
      <formula>$A$1=1</formula>
    </cfRule>
  </conditionalFormatting>
  <conditionalFormatting sqref="T11">
    <cfRule type="expression" dxfId="1156" priority="888">
      <formula>T$7&lt;#REF!</formula>
    </cfRule>
  </conditionalFormatting>
  <conditionalFormatting sqref="AA11">
    <cfRule type="expression" dxfId="1155" priority="414">
      <formula>AA$7&lt;#REF!</formula>
    </cfRule>
  </conditionalFormatting>
  <conditionalFormatting sqref="S11">
    <cfRule type="expression" dxfId="1154" priority="413">
      <formula>S$7&lt;#REF!</formula>
    </cfRule>
  </conditionalFormatting>
  <conditionalFormatting sqref="V11">
    <cfRule type="expression" dxfId="1153" priority="412">
      <formula>$A$1=1</formula>
    </cfRule>
  </conditionalFormatting>
  <conditionalFormatting sqref="V11">
    <cfRule type="expression" dxfId="1152" priority="889">
      <formula>V$7&lt;#REF!</formula>
    </cfRule>
  </conditionalFormatting>
  <conditionalFormatting sqref="Z11">
    <cfRule type="expression" dxfId="1151" priority="891">
      <formula>Z$7&lt;#REF!</formula>
    </cfRule>
  </conditionalFormatting>
  <conditionalFormatting sqref="AA11">
    <cfRule type="expression" dxfId="1150" priority="892">
      <formula>AA$7&lt;#REF!</formula>
    </cfRule>
  </conditionalFormatting>
  <conditionalFormatting sqref="AB11">
    <cfRule type="expression" dxfId="1149" priority="893">
      <formula>AB$7&lt;#REF!</formula>
    </cfRule>
  </conditionalFormatting>
  <conditionalFormatting sqref="R15">
    <cfRule type="expression" dxfId="1148" priority="71">
      <formula>R$7&lt;#REF!</formula>
    </cfRule>
  </conditionalFormatting>
  <conditionalFormatting sqref="T17:T25">
    <cfRule type="expression" dxfId="1147" priority="59">
      <formula>$A$1=1</formula>
    </cfRule>
  </conditionalFormatting>
  <conditionalFormatting sqref="W11:X11">
    <cfRule type="expression" dxfId="1146" priority="381">
      <formula>$A$1=1</formula>
    </cfRule>
  </conditionalFormatting>
  <conditionalFormatting sqref="W11:X11">
    <cfRule type="expression" dxfId="1145" priority="382">
      <formula>W$7&lt;#REF!</formula>
    </cfRule>
  </conditionalFormatting>
  <conditionalFormatting sqref="K11:L11 H11">
    <cfRule type="expression" dxfId="1143" priority="371">
      <formula>$A$1=1</formula>
    </cfRule>
  </conditionalFormatting>
  <conditionalFormatting sqref="K11:L11 H11">
    <cfRule type="expression" dxfId="1142" priority="372">
      <formula>H$7&lt;#REF!</formula>
    </cfRule>
  </conditionalFormatting>
  <conditionalFormatting sqref="K11:L11 H11">
    <cfRule type="expression" dxfId="1141" priority="370">
      <formula>H$7&lt;#REF!</formula>
    </cfRule>
  </conditionalFormatting>
  <conditionalFormatting sqref="G11:G22">
    <cfRule type="expression" dxfId="1140" priority="369">
      <formula>G$8&gt;$E11</formula>
    </cfRule>
  </conditionalFormatting>
  <conditionalFormatting sqref="J11:J25">
    <cfRule type="expression" dxfId="1139" priority="367">
      <formula>J$8&gt;$E11</formula>
    </cfRule>
  </conditionalFormatting>
  <conditionalFormatting sqref="J11:J25">
    <cfRule type="expression" dxfId="1138" priority="366">
      <formula>J$7&lt;#REF!</formula>
    </cfRule>
  </conditionalFormatting>
  <conditionalFormatting sqref="J11:J25">
    <cfRule type="expression" dxfId="1137" priority="365">
      <formula>J$7&lt;#REF!</formula>
    </cfRule>
  </conditionalFormatting>
  <conditionalFormatting sqref="J11:J25">
    <cfRule type="expression" dxfId="1136" priority="363">
      <formula>$A$1=1</formula>
    </cfRule>
  </conditionalFormatting>
  <conditionalFormatting sqref="J11:J25">
    <cfRule type="expression" dxfId="1135" priority="364">
      <formula>J$7&lt;#REF!</formula>
    </cfRule>
  </conditionalFormatting>
  <conditionalFormatting sqref="J11:J25">
    <cfRule type="expression" dxfId="1134" priority="362">
      <formula>J$7&lt;#REF!</formula>
    </cfRule>
  </conditionalFormatting>
  <conditionalFormatting sqref="V12">
    <cfRule type="expression" dxfId="1133" priority="324">
      <formula>$A$1=1</formula>
    </cfRule>
  </conditionalFormatting>
  <conditionalFormatting sqref="W12:X12">
    <cfRule type="expression" dxfId="1132" priority="322">
      <formula>$A$1=1</formula>
    </cfRule>
  </conditionalFormatting>
  <conditionalFormatting sqref="K12:L12 H12">
    <cfRule type="expression" dxfId="1131" priority="320">
      <formula>$A$1=1</formula>
    </cfRule>
  </conditionalFormatting>
  <conditionalFormatting sqref="K12:L12 H12">
    <cfRule type="expression" dxfId="1130" priority="321">
      <formula>H$7&lt;#REF!</formula>
    </cfRule>
  </conditionalFormatting>
  <conditionalFormatting sqref="K12:X12 H12">
    <cfRule type="expression" dxfId="1129" priority="351">
      <formula>H$8&gt;$E12</formula>
    </cfRule>
  </conditionalFormatting>
  <conditionalFormatting sqref="P12:R12">
    <cfRule type="expression" dxfId="1128" priority="350">
      <formula>P$7&lt;#REF!</formula>
    </cfRule>
  </conditionalFormatting>
  <conditionalFormatting sqref="K12:L12 H12">
    <cfRule type="expression" dxfId="1127" priority="349">
      <formula>H$7&lt;#REF!</formula>
    </cfRule>
  </conditionalFormatting>
  <conditionalFormatting sqref="M12">
    <cfRule type="expression" dxfId="1125" priority="344">
      <formula>$A$1=1</formula>
    </cfRule>
  </conditionalFormatting>
  <conditionalFormatting sqref="M12">
    <cfRule type="expression" dxfId="1124" priority="345">
      <formula>M$7&lt;#REF!</formula>
    </cfRule>
  </conditionalFormatting>
  <conditionalFormatting sqref="L12">
    <cfRule type="expression" dxfId="1123" priority="346">
      <formula>$A$1=1</formula>
    </cfRule>
  </conditionalFormatting>
  <conditionalFormatting sqref="L12">
    <cfRule type="expression" dxfId="1122" priority="347">
      <formula>L$7&lt;#REF!</formula>
    </cfRule>
  </conditionalFormatting>
  <conditionalFormatting sqref="S12">
    <cfRule type="expression" dxfId="1121" priority="343">
      <formula>S$7&lt;#REF!</formula>
    </cfRule>
  </conditionalFormatting>
  <conditionalFormatting sqref="K12">
    <cfRule type="expression" dxfId="1120" priority="342">
      <formula>K$7&lt;#REF!</formula>
    </cfRule>
  </conditionalFormatting>
  <conditionalFormatting sqref="N12">
    <cfRule type="expression" dxfId="1119" priority="340">
      <formula>$A$1=1</formula>
    </cfRule>
  </conditionalFormatting>
  <conditionalFormatting sqref="N12">
    <cfRule type="expression" dxfId="1118" priority="341">
      <formula>N$7&lt;#REF!</formula>
    </cfRule>
  </conditionalFormatting>
  <conditionalFormatting sqref="O12:Q12">
    <cfRule type="expression" dxfId="1117" priority="338">
      <formula>$A$1=1</formula>
    </cfRule>
  </conditionalFormatting>
  <conditionalFormatting sqref="O12:Q12">
    <cfRule type="expression" dxfId="1116" priority="339">
      <formula>O$7&lt;#REF!</formula>
    </cfRule>
  </conditionalFormatting>
  <conditionalFormatting sqref="R12">
    <cfRule type="expression" dxfId="1115" priority="336">
      <formula>$A$1=1</formula>
    </cfRule>
  </conditionalFormatting>
  <conditionalFormatting sqref="R12">
    <cfRule type="expression" dxfId="1114" priority="337">
      <formula>R$7&lt;#REF!</formula>
    </cfRule>
  </conditionalFormatting>
  <conditionalFormatting sqref="S12">
    <cfRule type="expression" dxfId="1113" priority="335">
      <formula>S$7&lt;#REF!</formula>
    </cfRule>
  </conditionalFormatting>
  <conditionalFormatting sqref="T12">
    <cfRule type="expression" dxfId="1112" priority="332">
      <formula>$A$1=1</formula>
    </cfRule>
  </conditionalFormatting>
  <conditionalFormatting sqref="T12">
    <cfRule type="expression" dxfId="1111" priority="333">
      <formula>T$7&lt;#REF!</formula>
    </cfRule>
  </conditionalFormatting>
  <conditionalFormatting sqref="X12">
    <cfRule type="expression" dxfId="1110" priority="331">
      <formula>X$7&lt;#REF!</formula>
    </cfRule>
  </conditionalFormatting>
  <conditionalFormatting sqref="P12">
    <cfRule type="expression" dxfId="1109" priority="330">
      <formula>P$7&lt;#REF!</formula>
    </cfRule>
  </conditionalFormatting>
  <conditionalFormatting sqref="Q12">
    <cfRule type="expression" dxfId="1108" priority="329">
      <formula>Q$7&lt;#REF!</formula>
    </cfRule>
  </conditionalFormatting>
  <conditionalFormatting sqref="R12">
    <cfRule type="expression" dxfId="1107" priority="328">
      <formula>R$7&lt;#REF!</formula>
    </cfRule>
  </conditionalFormatting>
  <conditionalFormatting sqref="U12">
    <cfRule type="expression" dxfId="1106" priority="327">
      <formula>$A$1=1</formula>
    </cfRule>
  </conditionalFormatting>
  <conditionalFormatting sqref="U12">
    <cfRule type="expression" dxfId="1105" priority="326">
      <formula>U$7&lt;#REF!</formula>
    </cfRule>
  </conditionalFormatting>
  <conditionalFormatting sqref="T12">
    <cfRule type="expression" dxfId="1104" priority="352">
      <formula>$A$1=1</formula>
    </cfRule>
  </conditionalFormatting>
  <conditionalFormatting sqref="T12">
    <cfRule type="expression" dxfId="1103" priority="353">
      <formula>T$7&lt;#REF!</formula>
    </cfRule>
  </conditionalFormatting>
  <conditionalFormatting sqref="S12">
    <cfRule type="expression" dxfId="1102" priority="325">
      <formula>S$7&lt;#REF!</formula>
    </cfRule>
  </conditionalFormatting>
  <conditionalFormatting sqref="V12">
    <cfRule type="expression" dxfId="1101" priority="354">
      <formula>V$7&lt;#REF!</formula>
    </cfRule>
  </conditionalFormatting>
  <conditionalFormatting sqref="W12:X12">
    <cfRule type="expression" dxfId="1100" priority="323">
      <formula>W$7&lt;#REF!</formula>
    </cfRule>
  </conditionalFormatting>
  <conditionalFormatting sqref="K12:L12 H12">
    <cfRule type="expression" dxfId="1099" priority="319">
      <formula>H$7&lt;#REF!</formula>
    </cfRule>
  </conditionalFormatting>
  <conditionalFormatting sqref="K16:X16 H16">
    <cfRule type="expression" dxfId="1092" priority="309">
      <formula>H$8&gt;$E16</formula>
    </cfRule>
  </conditionalFormatting>
  <conditionalFormatting sqref="P16:R16">
    <cfRule type="expression" dxfId="1091" priority="308">
      <formula>P$7&lt;#REF!</formula>
    </cfRule>
  </conditionalFormatting>
  <conditionalFormatting sqref="K16:L16 H16">
    <cfRule type="expression" dxfId="1090" priority="307">
      <formula>H$7&lt;#REF!</formula>
    </cfRule>
  </conditionalFormatting>
  <conditionalFormatting sqref="M16">
    <cfRule type="expression" dxfId="1088" priority="302">
      <formula>$A$1=1</formula>
    </cfRule>
  </conditionalFormatting>
  <conditionalFormatting sqref="M16">
    <cfRule type="expression" dxfId="1087" priority="303">
      <formula>M$7&lt;#REF!</formula>
    </cfRule>
  </conditionalFormatting>
  <conditionalFormatting sqref="L16">
    <cfRule type="expression" dxfId="1086" priority="304">
      <formula>$A$1=1</formula>
    </cfRule>
  </conditionalFormatting>
  <conditionalFormatting sqref="L16">
    <cfRule type="expression" dxfId="1085" priority="305">
      <formula>L$7&lt;#REF!</formula>
    </cfRule>
  </conditionalFormatting>
  <conditionalFormatting sqref="S16">
    <cfRule type="expression" dxfId="1084" priority="301">
      <formula>S$7&lt;#REF!</formula>
    </cfRule>
  </conditionalFormatting>
  <conditionalFormatting sqref="K16">
    <cfRule type="expression" dxfId="1083" priority="300">
      <formula>K$7&lt;#REF!</formula>
    </cfRule>
  </conditionalFormatting>
  <conditionalFormatting sqref="N16">
    <cfRule type="expression" dxfId="1082" priority="298">
      <formula>$A$1=1</formula>
    </cfRule>
  </conditionalFormatting>
  <conditionalFormatting sqref="N16">
    <cfRule type="expression" dxfId="1081" priority="299">
      <formula>N$7&lt;#REF!</formula>
    </cfRule>
  </conditionalFormatting>
  <conditionalFormatting sqref="O16:Q16">
    <cfRule type="expression" dxfId="1080" priority="296">
      <formula>$A$1=1</formula>
    </cfRule>
  </conditionalFormatting>
  <conditionalFormatting sqref="O16:Q16">
    <cfRule type="expression" dxfId="1079" priority="297">
      <formula>O$7&lt;#REF!</formula>
    </cfRule>
  </conditionalFormatting>
  <conditionalFormatting sqref="R16">
    <cfRule type="expression" dxfId="1078" priority="294">
      <formula>$A$1=1</formula>
    </cfRule>
  </conditionalFormatting>
  <conditionalFormatting sqref="R16">
    <cfRule type="expression" dxfId="1077" priority="295">
      <formula>R$7&lt;#REF!</formula>
    </cfRule>
  </conditionalFormatting>
  <conditionalFormatting sqref="S16">
    <cfRule type="expression" dxfId="1076" priority="292">
      <formula>$A$1=1</formula>
    </cfRule>
  </conditionalFormatting>
  <conditionalFormatting sqref="S16">
    <cfRule type="expression" dxfId="1075" priority="293">
      <formula>S$7&lt;#REF!</formula>
    </cfRule>
  </conditionalFormatting>
  <conditionalFormatting sqref="T16">
    <cfRule type="expression" dxfId="1074" priority="290">
      <formula>$A$1=1</formula>
    </cfRule>
  </conditionalFormatting>
  <conditionalFormatting sqref="T16">
    <cfRule type="expression" dxfId="1073" priority="291">
      <formula>T$7&lt;#REF!</formula>
    </cfRule>
  </conditionalFormatting>
  <conditionalFormatting sqref="X16">
    <cfRule type="expression" dxfId="1072" priority="289">
      <formula>X$7&lt;#REF!</formula>
    </cfRule>
  </conditionalFormatting>
  <conditionalFormatting sqref="P16">
    <cfRule type="expression" dxfId="1071" priority="288">
      <formula>P$7&lt;#REF!</formula>
    </cfRule>
  </conditionalFormatting>
  <conditionalFormatting sqref="Q16">
    <cfRule type="expression" dxfId="1070" priority="287">
      <formula>Q$7&lt;#REF!</formula>
    </cfRule>
  </conditionalFormatting>
  <conditionalFormatting sqref="R16">
    <cfRule type="expression" dxfId="1069" priority="286">
      <formula>R$7&lt;#REF!</formula>
    </cfRule>
  </conditionalFormatting>
  <conditionalFormatting sqref="U16">
    <cfRule type="expression" dxfId="1068" priority="285">
      <formula>$A$1=1</formula>
    </cfRule>
  </conditionalFormatting>
  <conditionalFormatting sqref="U16">
    <cfRule type="expression" dxfId="1067" priority="284">
      <formula>U$7&lt;#REF!</formula>
    </cfRule>
  </conditionalFormatting>
  <conditionalFormatting sqref="T16">
    <cfRule type="expression" dxfId="1066" priority="310">
      <formula>$A$1=1</formula>
    </cfRule>
  </conditionalFormatting>
  <conditionalFormatting sqref="T16">
    <cfRule type="expression" dxfId="1065" priority="311">
      <formula>T$7&lt;#REF!</formula>
    </cfRule>
  </conditionalFormatting>
  <conditionalFormatting sqref="S16">
    <cfRule type="expression" dxfId="1064" priority="283">
      <formula>S$7&lt;#REF!</formula>
    </cfRule>
  </conditionalFormatting>
  <conditionalFormatting sqref="V16">
    <cfRule type="expression" dxfId="1063" priority="282">
      <formula>$A$1=1</formula>
    </cfRule>
  </conditionalFormatting>
  <conditionalFormatting sqref="V16">
    <cfRule type="expression" dxfId="1062" priority="312">
      <formula>V$7&lt;#REF!</formula>
    </cfRule>
  </conditionalFormatting>
  <conditionalFormatting sqref="W16:X16">
    <cfRule type="expression" dxfId="1061" priority="280">
      <formula>$A$1=1</formula>
    </cfRule>
  </conditionalFormatting>
  <conditionalFormatting sqref="W16:X16">
    <cfRule type="expression" dxfId="1060" priority="281">
      <formula>W$7&lt;#REF!</formula>
    </cfRule>
  </conditionalFormatting>
  <conditionalFormatting sqref="K16:L16 H16">
    <cfRule type="expression" dxfId="1059" priority="278">
      <formula>$A$1=1</formula>
    </cfRule>
  </conditionalFormatting>
  <conditionalFormatting sqref="K16:L16 H16">
    <cfRule type="expression" dxfId="1058" priority="279">
      <formula>H$7&lt;#REF!</formula>
    </cfRule>
  </conditionalFormatting>
  <conditionalFormatting sqref="K16:L16 H16">
    <cfRule type="expression" dxfId="1057" priority="277">
      <formula>H$7&lt;#REF!</formula>
    </cfRule>
  </conditionalFormatting>
  <conditionalFormatting sqref="K13:T13 H13">
    <cfRule type="expression" dxfId="1050" priority="268">
      <formula>H$8&gt;$E13</formula>
    </cfRule>
  </conditionalFormatting>
  <conditionalFormatting sqref="P13:R13">
    <cfRule type="expression" dxfId="1049" priority="267">
      <formula>P$7&lt;#REF!</formula>
    </cfRule>
  </conditionalFormatting>
  <conditionalFormatting sqref="K13:L13 H13">
    <cfRule type="expression" dxfId="1048" priority="266">
      <formula>H$7&lt;#REF!</formula>
    </cfRule>
  </conditionalFormatting>
  <conditionalFormatting sqref="M13">
    <cfRule type="expression" dxfId="1046" priority="261">
      <formula>$A$1=1</formula>
    </cfRule>
  </conditionalFormatting>
  <conditionalFormatting sqref="M13">
    <cfRule type="expression" dxfId="1045" priority="262">
      <formula>M$7&lt;#REF!</formula>
    </cfRule>
  </conditionalFormatting>
  <conditionalFormatting sqref="L13">
    <cfRule type="expression" dxfId="1044" priority="263">
      <formula>$A$1=1</formula>
    </cfRule>
  </conditionalFormatting>
  <conditionalFormatting sqref="L13">
    <cfRule type="expression" dxfId="1043" priority="264">
      <formula>L$7&lt;#REF!</formula>
    </cfRule>
  </conditionalFormatting>
  <conditionalFormatting sqref="S13">
    <cfRule type="expression" dxfId="1042" priority="260">
      <formula>S$7&lt;#REF!</formula>
    </cfRule>
  </conditionalFormatting>
  <conditionalFormatting sqref="K13">
    <cfRule type="expression" dxfId="1041" priority="259">
      <formula>K$7&lt;#REF!</formula>
    </cfRule>
  </conditionalFormatting>
  <conditionalFormatting sqref="N13">
    <cfRule type="expression" dxfId="1040" priority="257">
      <formula>$A$1=1</formula>
    </cfRule>
  </conditionalFormatting>
  <conditionalFormatting sqref="N13">
    <cfRule type="expression" dxfId="1039" priority="258">
      <formula>N$7&lt;#REF!</formula>
    </cfRule>
  </conditionalFormatting>
  <conditionalFormatting sqref="O13:Q13">
    <cfRule type="expression" dxfId="1038" priority="255">
      <formula>$A$1=1</formula>
    </cfRule>
  </conditionalFormatting>
  <conditionalFormatting sqref="O13:Q13">
    <cfRule type="expression" dxfId="1037" priority="256">
      <formula>O$7&lt;#REF!</formula>
    </cfRule>
  </conditionalFormatting>
  <conditionalFormatting sqref="R13">
    <cfRule type="expression" dxfId="1036" priority="253">
      <formula>$A$1=1</formula>
    </cfRule>
  </conditionalFormatting>
  <conditionalFormatting sqref="R13">
    <cfRule type="expression" dxfId="1035" priority="254">
      <formula>R$7&lt;#REF!</formula>
    </cfRule>
  </conditionalFormatting>
  <conditionalFormatting sqref="S13">
    <cfRule type="expression" dxfId="1034" priority="251">
      <formula>$A$1=1</formula>
    </cfRule>
  </conditionalFormatting>
  <conditionalFormatting sqref="S13">
    <cfRule type="expression" dxfId="1033" priority="252">
      <formula>S$7&lt;#REF!</formula>
    </cfRule>
  </conditionalFormatting>
  <conditionalFormatting sqref="T13">
    <cfRule type="expression" dxfId="1032" priority="249">
      <formula>$A$1=1</formula>
    </cfRule>
  </conditionalFormatting>
  <conditionalFormatting sqref="T13">
    <cfRule type="expression" dxfId="1031" priority="250">
      <formula>T$7&lt;#REF!</formula>
    </cfRule>
  </conditionalFormatting>
  <conditionalFormatting sqref="P13">
    <cfRule type="expression" dxfId="1030" priority="248">
      <formula>P$7&lt;#REF!</formula>
    </cfRule>
  </conditionalFormatting>
  <conditionalFormatting sqref="Q13">
    <cfRule type="expression" dxfId="1029" priority="247">
      <formula>Q$7&lt;#REF!</formula>
    </cfRule>
  </conditionalFormatting>
  <conditionalFormatting sqref="R13">
    <cfRule type="expression" dxfId="1028" priority="246">
      <formula>R$7&lt;#REF!</formula>
    </cfRule>
  </conditionalFormatting>
  <conditionalFormatting sqref="T13">
    <cfRule type="expression" dxfId="1027" priority="269">
      <formula>$A$1=1</formula>
    </cfRule>
  </conditionalFormatting>
  <conditionalFormatting sqref="T13">
    <cfRule type="expression" dxfId="1026" priority="270">
      <formula>T$7&lt;#REF!</formula>
    </cfRule>
  </conditionalFormatting>
  <conditionalFormatting sqref="S13">
    <cfRule type="expression" dxfId="1025" priority="245">
      <formula>S$7&lt;#REF!</formula>
    </cfRule>
  </conditionalFormatting>
  <conditionalFormatting sqref="K13:L13 H13">
    <cfRule type="expression" dxfId="1024" priority="243">
      <formula>$A$1=1</formula>
    </cfRule>
  </conditionalFormatting>
  <conditionalFormatting sqref="K13:L13 H13">
    <cfRule type="expression" dxfId="1023" priority="244">
      <formula>H$7&lt;#REF!</formula>
    </cfRule>
  </conditionalFormatting>
  <conditionalFormatting sqref="K13:L13 H13">
    <cfRule type="expression" dxfId="1022" priority="242">
      <formula>H$7&lt;#REF!</formula>
    </cfRule>
  </conditionalFormatting>
  <conditionalFormatting sqref="H17:H25 K17:T25">
    <cfRule type="expression" dxfId="1015" priority="58">
      <formula>H$8&gt;$E17</formula>
    </cfRule>
  </conditionalFormatting>
  <conditionalFormatting sqref="P17:R25">
    <cfRule type="expression" dxfId="1014" priority="57">
      <formula>P$7&lt;#REF!</formula>
    </cfRule>
  </conditionalFormatting>
  <conditionalFormatting sqref="K17:L25 H17:H25">
    <cfRule type="expression" dxfId="1013" priority="56">
      <formula>H$7&lt;#REF!</formula>
    </cfRule>
  </conditionalFormatting>
  <conditionalFormatting sqref="M17:M25">
    <cfRule type="expression" dxfId="1011" priority="51">
      <formula>$A$1=1</formula>
    </cfRule>
  </conditionalFormatting>
  <conditionalFormatting sqref="M17:M25">
    <cfRule type="expression" dxfId="1010" priority="52">
      <formula>M$7&lt;#REF!</formula>
    </cfRule>
  </conditionalFormatting>
  <conditionalFormatting sqref="L17:L25">
    <cfRule type="expression" dxfId="1009" priority="53">
      <formula>$A$1=1</formula>
    </cfRule>
  </conditionalFormatting>
  <conditionalFormatting sqref="L17:L25">
    <cfRule type="expression" dxfId="1008" priority="54">
      <formula>L$7&lt;#REF!</formula>
    </cfRule>
  </conditionalFormatting>
  <conditionalFormatting sqref="S17:S25">
    <cfRule type="expression" dxfId="1007" priority="50">
      <formula>S$7&lt;#REF!</formula>
    </cfRule>
  </conditionalFormatting>
  <conditionalFormatting sqref="K17:K25">
    <cfRule type="expression" dxfId="1006" priority="49">
      <formula>K$7&lt;#REF!</formula>
    </cfRule>
  </conditionalFormatting>
  <conditionalFormatting sqref="N17:N25">
    <cfRule type="expression" dxfId="1005" priority="47">
      <formula>$A$1=1</formula>
    </cfRule>
  </conditionalFormatting>
  <conditionalFormatting sqref="N17:N25">
    <cfRule type="expression" dxfId="1004" priority="48">
      <formula>N$7&lt;#REF!</formula>
    </cfRule>
  </conditionalFormatting>
  <conditionalFormatting sqref="O17:Q25">
    <cfRule type="expression" dxfId="1003" priority="45">
      <formula>$A$1=1</formula>
    </cfRule>
  </conditionalFormatting>
  <conditionalFormatting sqref="O17:Q25">
    <cfRule type="expression" dxfId="1002" priority="46">
      <formula>O$7&lt;#REF!</formula>
    </cfRule>
  </conditionalFormatting>
  <conditionalFormatting sqref="R17:R25">
    <cfRule type="expression" dxfId="1001" priority="43">
      <formula>$A$1=1</formula>
    </cfRule>
  </conditionalFormatting>
  <conditionalFormatting sqref="R17:R25">
    <cfRule type="expression" dxfId="1000" priority="44">
      <formula>R$7&lt;#REF!</formula>
    </cfRule>
  </conditionalFormatting>
  <conditionalFormatting sqref="S17:S25">
    <cfRule type="expression" dxfId="999" priority="41">
      <formula>$A$1=1</formula>
    </cfRule>
  </conditionalFormatting>
  <conditionalFormatting sqref="S17:S25">
    <cfRule type="expression" dxfId="998" priority="42">
      <formula>S$7&lt;#REF!</formula>
    </cfRule>
  </conditionalFormatting>
  <conditionalFormatting sqref="T17:T25">
    <cfRule type="expression" dxfId="997" priority="39">
      <formula>$A$1=1</formula>
    </cfRule>
  </conditionalFormatting>
  <conditionalFormatting sqref="T17:T25">
    <cfRule type="expression" dxfId="996" priority="40">
      <formula>T$7&lt;#REF!</formula>
    </cfRule>
  </conditionalFormatting>
  <conditionalFormatting sqref="P17:P25">
    <cfRule type="expression" dxfId="995" priority="38">
      <formula>P$7&lt;#REF!</formula>
    </cfRule>
  </conditionalFormatting>
  <conditionalFormatting sqref="Q17:Q25">
    <cfRule type="expression" dxfId="994" priority="37">
      <formula>Q$7&lt;#REF!</formula>
    </cfRule>
  </conditionalFormatting>
  <conditionalFormatting sqref="R17:R25">
    <cfRule type="expression" dxfId="993" priority="36">
      <formula>R$7&lt;#REF!</formula>
    </cfRule>
  </conditionalFormatting>
  <conditionalFormatting sqref="T17:T25">
    <cfRule type="expression" dxfId="992" priority="60">
      <formula>T$7&lt;#REF!</formula>
    </cfRule>
  </conditionalFormatting>
  <conditionalFormatting sqref="S17:S25">
    <cfRule type="expression" dxfId="991" priority="35">
      <formula>S$7&lt;#REF!</formula>
    </cfRule>
  </conditionalFormatting>
  <conditionalFormatting sqref="K17:L25 H17:H25">
    <cfRule type="expression" dxfId="990" priority="33">
      <formula>$A$1=1</formula>
    </cfRule>
  </conditionalFormatting>
  <conditionalFormatting sqref="K17:L25 H17:H25">
    <cfRule type="expression" dxfId="989" priority="34">
      <formula>H$7&lt;#REF!</formula>
    </cfRule>
  </conditionalFormatting>
  <conditionalFormatting sqref="K17:L25 H17:H25">
    <cfRule type="expression" dxfId="988" priority="32">
      <formula>H$7&lt;#REF!</formula>
    </cfRule>
  </conditionalFormatting>
  <conditionalFormatting sqref="K15:T15 H15">
    <cfRule type="expression" dxfId="982" priority="93">
      <formula>H$8&gt;$E15</formula>
    </cfRule>
  </conditionalFormatting>
  <conditionalFormatting sqref="P15:R15">
    <cfRule type="expression" dxfId="981" priority="92">
      <formula>P$7&lt;#REF!</formula>
    </cfRule>
  </conditionalFormatting>
  <conditionalFormatting sqref="K15:L15 H15">
    <cfRule type="expression" dxfId="980" priority="91">
      <formula>H$7&lt;#REF!</formula>
    </cfRule>
  </conditionalFormatting>
  <conditionalFormatting sqref="M15">
    <cfRule type="expression" dxfId="978" priority="86">
      <formula>$A$1=1</formula>
    </cfRule>
  </conditionalFormatting>
  <conditionalFormatting sqref="M15">
    <cfRule type="expression" dxfId="977" priority="87">
      <formula>M$7&lt;#REF!</formula>
    </cfRule>
  </conditionalFormatting>
  <conditionalFormatting sqref="L15">
    <cfRule type="expression" dxfId="976" priority="88">
      <formula>$A$1=1</formula>
    </cfRule>
  </conditionalFormatting>
  <conditionalFormatting sqref="L15">
    <cfRule type="expression" dxfId="975" priority="89">
      <formula>L$7&lt;#REF!</formula>
    </cfRule>
  </conditionalFormatting>
  <conditionalFormatting sqref="S15">
    <cfRule type="expression" dxfId="974" priority="85">
      <formula>S$7&lt;#REF!</formula>
    </cfRule>
  </conditionalFormatting>
  <conditionalFormatting sqref="K15">
    <cfRule type="expression" dxfId="973" priority="84">
      <formula>K$7&lt;#REF!</formula>
    </cfRule>
  </conditionalFormatting>
  <conditionalFormatting sqref="N15">
    <cfRule type="expression" dxfId="972" priority="82">
      <formula>$A$1=1</formula>
    </cfRule>
  </conditionalFormatting>
  <conditionalFormatting sqref="N15">
    <cfRule type="expression" dxfId="971" priority="83">
      <formula>N$7&lt;#REF!</formula>
    </cfRule>
  </conditionalFormatting>
  <conditionalFormatting sqref="O15:Q15">
    <cfRule type="expression" dxfId="970" priority="80">
      <formula>$A$1=1</formula>
    </cfRule>
  </conditionalFormatting>
  <conditionalFormatting sqref="O15:Q15">
    <cfRule type="expression" dxfId="969" priority="81">
      <formula>O$7&lt;#REF!</formula>
    </cfRule>
  </conditionalFormatting>
  <conditionalFormatting sqref="R15">
    <cfRule type="expression" dxfId="968" priority="78">
      <formula>$A$1=1</formula>
    </cfRule>
  </conditionalFormatting>
  <conditionalFormatting sqref="R15">
    <cfRule type="expression" dxfId="967" priority="79">
      <formula>R$7&lt;#REF!</formula>
    </cfRule>
  </conditionalFormatting>
  <conditionalFormatting sqref="S15">
    <cfRule type="expression" dxfId="966" priority="76">
      <formula>$A$1=1</formula>
    </cfRule>
  </conditionalFormatting>
  <conditionalFormatting sqref="S15">
    <cfRule type="expression" dxfId="965" priority="77">
      <formula>S$7&lt;#REF!</formula>
    </cfRule>
  </conditionalFormatting>
  <conditionalFormatting sqref="T15">
    <cfRule type="expression" dxfId="964" priority="74">
      <formula>$A$1=1</formula>
    </cfRule>
  </conditionalFormatting>
  <conditionalFormatting sqref="T15">
    <cfRule type="expression" dxfId="963" priority="75">
      <formula>T$7&lt;#REF!</formula>
    </cfRule>
  </conditionalFormatting>
  <conditionalFormatting sqref="P15">
    <cfRule type="expression" dxfId="962" priority="73">
      <formula>P$7&lt;#REF!</formula>
    </cfRule>
  </conditionalFormatting>
  <conditionalFormatting sqref="Q15">
    <cfRule type="expression" dxfId="961" priority="72">
      <formula>Q$7&lt;#REF!</formula>
    </cfRule>
  </conditionalFormatting>
  <conditionalFormatting sqref="T15">
    <cfRule type="expression" dxfId="960" priority="94">
      <formula>$A$1=1</formula>
    </cfRule>
  </conditionalFormatting>
  <conditionalFormatting sqref="T15">
    <cfRule type="expression" dxfId="959" priority="95">
      <formula>T$7&lt;#REF!</formula>
    </cfRule>
  </conditionalFormatting>
  <conditionalFormatting sqref="S15">
    <cfRule type="expression" dxfId="958" priority="70">
      <formula>S$7&lt;#REF!</formula>
    </cfRule>
  </conditionalFormatting>
  <conditionalFormatting sqref="K15:L15 H15">
    <cfRule type="expression" dxfId="957" priority="68">
      <formula>$A$1=1</formula>
    </cfRule>
  </conditionalFormatting>
  <conditionalFormatting sqref="K15:L15 H15">
    <cfRule type="expression" dxfId="956" priority="69">
      <formula>H$7&lt;#REF!</formula>
    </cfRule>
  </conditionalFormatting>
  <conditionalFormatting sqref="K15:L15 H15">
    <cfRule type="expression" dxfId="955" priority="67">
      <formula>H$7&lt;#REF!</formula>
    </cfRule>
  </conditionalFormatting>
  <conditionalFormatting sqref="K14:T14 H14">
    <cfRule type="expression" dxfId="948" priority="128">
      <formula>H$8&gt;$E14</formula>
    </cfRule>
  </conditionalFormatting>
  <conditionalFormatting sqref="P14:R14">
    <cfRule type="expression" dxfId="947" priority="127">
      <formula>P$7&lt;#REF!</formula>
    </cfRule>
  </conditionalFormatting>
  <conditionalFormatting sqref="K14:L14 H14">
    <cfRule type="expression" dxfId="946" priority="126">
      <formula>H$7&lt;#REF!</formula>
    </cfRule>
  </conditionalFormatting>
  <conditionalFormatting sqref="M14">
    <cfRule type="expression" dxfId="944" priority="121">
      <formula>$A$1=1</formula>
    </cfRule>
  </conditionalFormatting>
  <conditionalFormatting sqref="M14">
    <cfRule type="expression" dxfId="943" priority="122">
      <formula>M$7&lt;#REF!</formula>
    </cfRule>
  </conditionalFormatting>
  <conditionalFormatting sqref="L14">
    <cfRule type="expression" dxfId="942" priority="123">
      <formula>$A$1=1</formula>
    </cfRule>
  </conditionalFormatting>
  <conditionalFormatting sqref="L14">
    <cfRule type="expression" dxfId="941" priority="124">
      <formula>L$7&lt;#REF!</formula>
    </cfRule>
  </conditionalFormatting>
  <conditionalFormatting sqref="S14">
    <cfRule type="expression" dxfId="940" priority="120">
      <formula>S$7&lt;#REF!</formula>
    </cfRule>
  </conditionalFormatting>
  <conditionalFormatting sqref="K14">
    <cfRule type="expression" dxfId="939" priority="119">
      <formula>K$7&lt;#REF!</formula>
    </cfRule>
  </conditionalFormatting>
  <conditionalFormatting sqref="N14">
    <cfRule type="expression" dxfId="938" priority="117">
      <formula>$A$1=1</formula>
    </cfRule>
  </conditionalFormatting>
  <conditionalFormatting sqref="N14">
    <cfRule type="expression" dxfId="937" priority="118">
      <formula>N$7&lt;#REF!</formula>
    </cfRule>
  </conditionalFormatting>
  <conditionalFormatting sqref="O14:Q14">
    <cfRule type="expression" dxfId="936" priority="115">
      <formula>$A$1=1</formula>
    </cfRule>
  </conditionalFormatting>
  <conditionalFormatting sqref="O14:Q14">
    <cfRule type="expression" dxfId="935" priority="116">
      <formula>O$7&lt;#REF!</formula>
    </cfRule>
  </conditionalFormatting>
  <conditionalFormatting sqref="R14">
    <cfRule type="expression" dxfId="934" priority="113">
      <formula>$A$1=1</formula>
    </cfRule>
  </conditionalFormatting>
  <conditionalFormatting sqref="R14">
    <cfRule type="expression" dxfId="933" priority="114">
      <formula>R$7&lt;#REF!</formula>
    </cfRule>
  </conditionalFormatting>
  <conditionalFormatting sqref="S14">
    <cfRule type="expression" dxfId="932" priority="111">
      <formula>$A$1=1</formula>
    </cfRule>
  </conditionalFormatting>
  <conditionalFormatting sqref="S14">
    <cfRule type="expression" dxfId="931" priority="112">
      <formula>S$7&lt;#REF!</formula>
    </cfRule>
  </conditionalFormatting>
  <conditionalFormatting sqref="T14">
    <cfRule type="expression" dxfId="930" priority="109">
      <formula>$A$1=1</formula>
    </cfRule>
  </conditionalFormatting>
  <conditionalFormatting sqref="T14">
    <cfRule type="expression" dxfId="929" priority="110">
      <formula>T$7&lt;#REF!</formula>
    </cfRule>
  </conditionalFormatting>
  <conditionalFormatting sqref="P14">
    <cfRule type="expression" dxfId="928" priority="108">
      <formula>P$7&lt;#REF!</formula>
    </cfRule>
  </conditionalFormatting>
  <conditionalFormatting sqref="Q14">
    <cfRule type="expression" dxfId="927" priority="107">
      <formula>Q$7&lt;#REF!</formula>
    </cfRule>
  </conditionalFormatting>
  <conditionalFormatting sqref="R14">
    <cfRule type="expression" dxfId="926" priority="106">
      <formula>R$7&lt;#REF!</formula>
    </cfRule>
  </conditionalFormatting>
  <conditionalFormatting sqref="T14">
    <cfRule type="expression" dxfId="925" priority="129">
      <formula>$A$1=1</formula>
    </cfRule>
  </conditionalFormatting>
  <conditionalFormatting sqref="T14">
    <cfRule type="expression" dxfId="924" priority="130">
      <formula>T$7&lt;#REF!</formula>
    </cfRule>
  </conditionalFormatting>
  <conditionalFormatting sqref="S14">
    <cfRule type="expression" dxfId="923" priority="105">
      <formula>S$7&lt;#REF!</formula>
    </cfRule>
  </conditionalFormatting>
  <conditionalFormatting sqref="K14:L14 H14">
    <cfRule type="expression" dxfId="922" priority="103">
      <formula>$A$1=1</formula>
    </cfRule>
  </conditionalFormatting>
  <conditionalFormatting sqref="K14:L14 H14">
    <cfRule type="expression" dxfId="921" priority="104">
      <formula>H$7&lt;#REF!</formula>
    </cfRule>
  </conditionalFormatting>
  <conditionalFormatting sqref="K14:L14 H14">
    <cfRule type="expression" dxfId="920" priority="102">
      <formula>H$7&lt;#REF!</formula>
    </cfRule>
  </conditionalFormatting>
  <conditionalFormatting sqref="E55">
    <cfRule type="cellIs" dxfId="913" priority="24" operator="equal">
      <formula>FALSE</formula>
    </cfRule>
    <cfRule type="cellIs" dxfId="912" priority="25" operator="equal">
      <formula>0</formula>
    </cfRule>
  </conditionalFormatting>
  <conditionalFormatting sqref="E55">
    <cfRule type="cellIs" dxfId="911" priority="894" operator="equal">
      <formula>0</formula>
    </cfRule>
  </conditionalFormatting>
  <conditionalFormatting sqref="I11">
    <cfRule type="expression" dxfId="17" priority="16">
      <formula>I$8&gt;$E11</formula>
    </cfRule>
  </conditionalFormatting>
  <conditionalFormatting sqref="I11">
    <cfRule type="expression" dxfId="16" priority="15">
      <formula>I$7&lt;#REF!</formula>
    </cfRule>
  </conditionalFormatting>
  <conditionalFormatting sqref="I11">
    <cfRule type="expression" dxfId="15" priority="14">
      <formula>I$7&lt;#REF!</formula>
    </cfRule>
  </conditionalFormatting>
  <conditionalFormatting sqref="I11">
    <cfRule type="expression" dxfId="14" priority="12">
      <formula>$A$1=1</formula>
    </cfRule>
  </conditionalFormatting>
  <conditionalFormatting sqref="I11">
    <cfRule type="expression" dxfId="13" priority="13">
      <formula>I$7&lt;#REF!</formula>
    </cfRule>
  </conditionalFormatting>
  <conditionalFormatting sqref="I11">
    <cfRule type="expression" dxfId="12" priority="11">
      <formula>I$7&lt;#REF!</formula>
    </cfRule>
  </conditionalFormatting>
  <conditionalFormatting sqref="I12:I25">
    <cfRule type="expression" dxfId="11" priority="10">
      <formula>I$8&gt;$E12</formula>
    </cfRule>
  </conditionalFormatting>
  <conditionalFormatting sqref="I12:I25">
    <cfRule type="expression" dxfId="10" priority="9">
      <formula>I$7&lt;#REF!</formula>
    </cfRule>
  </conditionalFormatting>
  <conditionalFormatting sqref="I12:I25">
    <cfRule type="expression" dxfId="9" priority="8">
      <formula>I$7&lt;#REF!</formula>
    </cfRule>
  </conditionalFormatting>
  <conditionalFormatting sqref="I12:I25">
    <cfRule type="expression" dxfId="8" priority="6">
      <formula>$A$1=1</formula>
    </cfRule>
  </conditionalFormatting>
  <conditionalFormatting sqref="I12:I25">
    <cfRule type="expression" dxfId="7" priority="7">
      <formula>I$7&lt;#REF!</formula>
    </cfRule>
  </conditionalFormatting>
  <conditionalFormatting sqref="I12:I25">
    <cfRule type="expression" dxfId="6" priority="5">
      <formula>I$7&lt;#REF!</formula>
    </cfRule>
  </conditionalFormatting>
  <conditionalFormatting sqref="M17:M25">
    <cfRule type="expression" dxfId="5" priority="3">
      <formula>$A$1=1</formula>
    </cfRule>
  </conditionalFormatting>
  <conditionalFormatting sqref="M17:M25">
    <cfRule type="expression" dxfId="4" priority="4">
      <formula>M$7&lt;#REF!</formula>
    </cfRule>
  </conditionalFormatting>
  <conditionalFormatting sqref="O17:O25">
    <cfRule type="expression" dxfId="3" priority="2">
      <formula>O$7&lt;#REF!</formula>
    </cfRule>
  </conditionalFormatting>
  <conditionalFormatting sqref="O17:O25">
    <cfRule type="expression" dxfId="2" priority="1">
      <formula>O$7&lt;#REF!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EN337"/>
  <sheetViews>
    <sheetView showGridLines="0" topLeftCell="A301" zoomScale="70" zoomScaleNormal="70" workbookViewId="0">
      <selection activeCell="A259" sqref="A259:XFD259"/>
    </sheetView>
  </sheetViews>
  <sheetFormatPr defaultColWidth="9.140625" defaultRowHeight="12.75" outlineLevelRow="1"/>
  <cols>
    <col min="1" max="1" width="4.7109375" style="40" customWidth="1"/>
    <col min="2" max="2" width="60" style="139" bestFit="1" customWidth="1"/>
    <col min="3" max="3" width="21.7109375" style="30" customWidth="1"/>
    <col min="4" max="4" width="13.7109375" style="30" customWidth="1"/>
    <col min="5" max="5" width="14.5703125" style="139" customWidth="1"/>
    <col min="6" max="6" width="15" style="139" customWidth="1"/>
    <col min="7" max="7" width="2" style="139" customWidth="1"/>
    <col min="8" max="8" width="13.5703125" style="30" bestFit="1" customWidth="1"/>
    <col min="9" max="9" width="14.7109375" style="30" customWidth="1"/>
    <col min="10" max="10" width="18" style="30" customWidth="1"/>
    <col min="11" max="23" width="14.28515625" style="30" customWidth="1"/>
    <col min="24" max="33" width="14.28515625" style="40" customWidth="1"/>
    <col min="34" max="34" width="14.28515625" style="40" customWidth="1" collapsed="1"/>
    <col min="35" max="144" width="14.28515625" style="40" customWidth="1"/>
    <col min="145" max="16384" width="9.140625" style="40"/>
  </cols>
  <sheetData>
    <row r="1" spans="1:23" ht="15" thickBot="1">
      <c r="A1" s="415">
        <v>1</v>
      </c>
    </row>
    <row r="2" spans="1:23" ht="15.75">
      <c r="C2" s="22" t="s">
        <v>483</v>
      </c>
    </row>
    <row r="3" spans="1:23" s="452" customFormat="1" ht="25.5">
      <c r="B3" s="768" t="s">
        <v>484</v>
      </c>
      <c r="C3" s="453"/>
      <c r="D3" s="453"/>
      <c r="E3" s="454"/>
      <c r="F3" s="454" t="s">
        <v>485</v>
      </c>
      <c r="G3" s="454"/>
      <c r="H3" s="454" t="s">
        <v>486</v>
      </c>
      <c r="I3" s="454" t="s">
        <v>145</v>
      </c>
      <c r="J3" s="454" t="s">
        <v>56</v>
      </c>
      <c r="K3" s="30"/>
      <c r="O3" s="455"/>
      <c r="P3" s="455"/>
      <c r="Q3" s="455"/>
      <c r="R3" s="455"/>
      <c r="S3" s="455"/>
      <c r="T3" s="455"/>
      <c r="U3" s="455"/>
      <c r="V3" s="455"/>
      <c r="W3" s="455"/>
    </row>
    <row r="4" spans="1:23" outlineLevel="1">
      <c r="B4" s="456">
        <f>Строительство!B49</f>
        <v>1</v>
      </c>
      <c r="C4" s="209" t="str">
        <f>Строительство!C58</f>
        <v>Гостиница 5*</v>
      </c>
      <c r="D4" s="451"/>
      <c r="E4" s="451"/>
      <c r="F4" s="769">
        <f>Строительство!G58</f>
        <v>2563597260.6198254</v>
      </c>
      <c r="G4" s="457"/>
      <c r="H4" s="769">
        <f t="shared" ref="H4:H18" si="0">F4*$B$4/1.2+F4*(1-$B$4)</f>
        <v>2136331050.5165212</v>
      </c>
      <c r="I4" s="430">
        <f>Строительство!E11</f>
        <v>46204</v>
      </c>
      <c r="J4" s="458">
        <v>30</v>
      </c>
      <c r="K4" s="138"/>
      <c r="L4" s="40"/>
      <c r="M4" s="40"/>
      <c r="N4" s="40"/>
    </row>
    <row r="5" spans="1:23" outlineLevel="1">
      <c r="B5" s="40"/>
      <c r="C5" s="209" t="str">
        <f>Строительство!C59</f>
        <v>Гостиница 4*</v>
      </c>
      <c r="D5" s="451"/>
      <c r="E5" s="451"/>
      <c r="F5" s="451">
        <f>Строительство!G59</f>
        <v>2427645511.9237185</v>
      </c>
      <c r="G5" s="457"/>
      <c r="H5" s="451">
        <f t="shared" si="0"/>
        <v>2023037926.6030989</v>
      </c>
      <c r="I5" s="430">
        <f>Строительство!E12</f>
        <v>46204</v>
      </c>
      <c r="J5" s="458">
        <v>30</v>
      </c>
      <c r="K5" s="138"/>
      <c r="L5" s="40"/>
      <c r="M5" s="40"/>
      <c r="N5" s="40"/>
    </row>
    <row r="6" spans="1:23" outlineLevel="1">
      <c r="C6" s="209" t="str">
        <f>Строительство!C60</f>
        <v>Гостиница 3*</v>
      </c>
      <c r="D6" s="451"/>
      <c r="E6" s="451"/>
      <c r="F6" s="451">
        <f>Строительство!G60</f>
        <v>959710836.10966814</v>
      </c>
      <c r="G6" s="457"/>
      <c r="H6" s="451">
        <f t="shared" si="0"/>
        <v>799759030.09139013</v>
      </c>
      <c r="I6" s="430">
        <f>Строительство!E13</f>
        <v>45839</v>
      </c>
      <c r="J6" s="458">
        <v>30</v>
      </c>
      <c r="K6" s="138"/>
      <c r="L6" s="40"/>
      <c r="M6" s="40"/>
      <c r="N6" s="40"/>
    </row>
    <row r="7" spans="1:23" outlineLevel="1">
      <c r="C7" s="209" t="str">
        <f>Строительство!C61</f>
        <v>Гостиница 2*</v>
      </c>
      <c r="D7" s="451"/>
      <c r="E7" s="451"/>
      <c r="F7" s="451">
        <f>Строительство!G61</f>
        <v>0</v>
      </c>
      <c r="G7" s="457"/>
      <c r="H7" s="451">
        <f t="shared" si="0"/>
        <v>0</v>
      </c>
      <c r="I7" s="430">
        <f>Строительство!E14</f>
        <v>0</v>
      </c>
      <c r="J7" s="458">
        <v>30</v>
      </c>
      <c r="K7" s="138"/>
      <c r="L7" s="40"/>
      <c r="M7" s="40"/>
      <c r="N7" s="40"/>
    </row>
    <row r="8" spans="1:23" outlineLevel="1">
      <c r="C8" s="209" t="str">
        <f>Строительство!C62</f>
        <v>МФЦ, в том числе хостел Jo&amp;JOE</v>
      </c>
      <c r="D8" s="451"/>
      <c r="E8" s="451"/>
      <c r="F8" s="451">
        <f>Строительство!G62</f>
        <v>1098505418.5090926</v>
      </c>
      <c r="G8" s="457"/>
      <c r="H8" s="451">
        <f t="shared" si="0"/>
        <v>915421182.09091055</v>
      </c>
      <c r="I8" s="430">
        <f>Строительство!E15</f>
        <v>45839</v>
      </c>
      <c r="J8" s="458">
        <v>30</v>
      </c>
      <c r="K8" s="138"/>
      <c r="L8" s="40"/>
      <c r="M8" s="40"/>
      <c r="N8" s="40"/>
    </row>
    <row r="9" spans="1:23" outlineLevel="1">
      <c r="C9" s="209" t="str">
        <f>Строительство!C63</f>
        <v>Шале</v>
      </c>
      <c r="D9" s="451"/>
      <c r="E9" s="451"/>
      <c r="F9" s="451">
        <f>Строительство!G63</f>
        <v>263426381.91719139</v>
      </c>
      <c r="G9" s="457"/>
      <c r="H9" s="451">
        <f t="shared" si="0"/>
        <v>219521984.93099284</v>
      </c>
      <c r="I9" s="430">
        <f>Строительство!E16</f>
        <v>46204</v>
      </c>
      <c r="J9" s="458">
        <v>30</v>
      </c>
      <c r="K9" s="138"/>
      <c r="L9" s="40"/>
      <c r="M9" s="40"/>
      <c r="N9" s="40"/>
    </row>
    <row r="10" spans="1:23" outlineLevel="1">
      <c r="C10" s="209" t="str">
        <f>Строительство!C64</f>
        <v>Туристские резиденции</v>
      </c>
      <c r="D10" s="451"/>
      <c r="E10" s="451"/>
      <c r="F10" s="451">
        <f>Строительство!G64</f>
        <v>3057893076.1247802</v>
      </c>
      <c r="G10" s="457"/>
      <c r="H10" s="451">
        <f t="shared" si="0"/>
        <v>2548244230.1039834</v>
      </c>
      <c r="I10" s="430">
        <f>Строительство!E17</f>
        <v>45839</v>
      </c>
      <c r="J10" s="458">
        <v>30</v>
      </c>
      <c r="K10" s="37" t="s">
        <v>920</v>
      </c>
      <c r="L10" s="40"/>
      <c r="M10" s="40"/>
      <c r="N10" s="40"/>
    </row>
    <row r="11" spans="1:23" outlineLevel="1">
      <c r="C11" s="209" t="str">
        <f>Строительство!C65</f>
        <v>Ресторан в зоне катания</v>
      </c>
      <c r="D11" s="451"/>
      <c r="E11" s="451"/>
      <c r="F11" s="451">
        <f>Строительство!G65</f>
        <v>217936739.27768645</v>
      </c>
      <c r="G11" s="457"/>
      <c r="H11" s="451">
        <f t="shared" si="0"/>
        <v>181613949.39807203</v>
      </c>
      <c r="I11" s="430">
        <f>Строительство!E18</f>
        <v>45839</v>
      </c>
      <c r="J11" s="458">
        <v>30</v>
      </c>
      <c r="K11" s="138"/>
      <c r="L11" s="40"/>
      <c r="M11" s="40"/>
      <c r="N11" s="40"/>
    </row>
    <row r="12" spans="1:23" outlineLevel="1">
      <c r="C12" s="209" t="str">
        <f>Строительство!C66</f>
        <v>SPA-комплекс</v>
      </c>
      <c r="D12" s="451"/>
      <c r="E12" s="451"/>
      <c r="F12" s="451">
        <f>Строительство!G66</f>
        <v>376835784.3868407</v>
      </c>
      <c r="G12" s="457"/>
      <c r="H12" s="451">
        <f t="shared" si="0"/>
        <v>314029820.32236725</v>
      </c>
      <c r="I12" s="430">
        <f>Строительство!E19</f>
        <v>45839</v>
      </c>
      <c r="J12" s="458">
        <v>30</v>
      </c>
    </row>
    <row r="13" spans="1:23" outlineLevel="1">
      <c r="C13" s="209" t="str">
        <f>Строительство!C67</f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13" s="451"/>
      <c r="E13" s="451"/>
      <c r="F13" s="451">
        <f>Строительство!G67</f>
        <v>23139039.39217443</v>
      </c>
      <c r="G13" s="457"/>
      <c r="H13" s="451">
        <f t="shared" si="0"/>
        <v>19282532.826812025</v>
      </c>
      <c r="I13" s="430">
        <f>Строительство!E20</f>
        <v>45839</v>
      </c>
      <c r="J13" s="458">
        <v>30</v>
      </c>
    </row>
    <row r="14" spans="1:23" outlineLevel="1">
      <c r="C14" s="209" t="str">
        <f>Строительство!C68</f>
        <v>Наземный паркинг</v>
      </c>
      <c r="D14" s="451"/>
      <c r="E14" s="451"/>
      <c r="F14" s="451">
        <f>Строительство!G68</f>
        <v>16858442.985727079</v>
      </c>
      <c r="G14" s="457"/>
      <c r="H14" s="451">
        <f t="shared" si="0"/>
        <v>14048702.488105901</v>
      </c>
      <c r="I14" s="430">
        <f>Строительство!E21</f>
        <v>45839</v>
      </c>
      <c r="J14" s="458">
        <v>30</v>
      </c>
    </row>
    <row r="15" spans="1:23" outlineLevel="1">
      <c r="C15" s="209" t="str">
        <f>Строительство!C69</f>
        <v>Организация набережных</v>
      </c>
      <c r="D15" s="451"/>
      <c r="E15" s="451"/>
      <c r="F15" s="451">
        <f>Строительство!G69</f>
        <v>158667698.68919605</v>
      </c>
      <c r="G15" s="457"/>
      <c r="H15" s="451">
        <f t="shared" si="0"/>
        <v>132223082.24099672</v>
      </c>
      <c r="I15" s="430">
        <f>Строительство!E22</f>
        <v>45839</v>
      </c>
      <c r="J15" s="458">
        <v>30</v>
      </c>
    </row>
    <row r="16" spans="1:23" outlineLevel="1">
      <c r="C16" s="209" t="str">
        <f>Строительство!C70</f>
        <v>Трансформаторная подстанция</v>
      </c>
      <c r="D16" s="451"/>
      <c r="E16" s="451"/>
      <c r="F16" s="451">
        <f>Строительство!G70</f>
        <v>15866769.868919607</v>
      </c>
      <c r="G16" s="457"/>
      <c r="H16" s="451">
        <f t="shared" si="0"/>
        <v>13222308.224099673</v>
      </c>
      <c r="I16" s="430">
        <f>Строительство!E23</f>
        <v>45839</v>
      </c>
      <c r="J16" s="458">
        <v>30</v>
      </c>
    </row>
    <row r="17" spans="2:144" outlineLevel="1">
      <c r="C17" s="209" t="str">
        <f>Строительство!C71</f>
        <v>Канализационная насосная станция</v>
      </c>
      <c r="D17" s="451"/>
      <c r="E17" s="451"/>
      <c r="F17" s="451">
        <f>Строительство!G71</f>
        <v>6029372.5501894513</v>
      </c>
      <c r="G17" s="457"/>
      <c r="H17" s="451">
        <f t="shared" si="0"/>
        <v>5024477.1251578759</v>
      </c>
      <c r="I17" s="430">
        <f>Строительство!E24</f>
        <v>45839</v>
      </c>
      <c r="J17" s="458">
        <v>30</v>
      </c>
    </row>
    <row r="18" spans="2:144" outlineLevel="1">
      <c r="C18" s="209" t="str">
        <f>Строительство!C72</f>
        <v>Стоимость проектных работ - 4% от СМР (мебель и технологическое оборудование не учитываются)</v>
      </c>
      <c r="D18" s="451"/>
      <c r="E18" s="451"/>
      <c r="F18" s="451">
        <f>Строительство!G72</f>
        <v>286090925.87739414</v>
      </c>
      <c r="G18" s="457"/>
      <c r="H18" s="451">
        <f t="shared" si="0"/>
        <v>238409104.89782846</v>
      </c>
      <c r="I18" s="430">
        <f>Строительство!E25</f>
        <v>45839</v>
      </c>
      <c r="J18" s="458">
        <v>30</v>
      </c>
    </row>
    <row r="19" spans="2:144" outlineLevel="1">
      <c r="B19" s="774">
        <f>COUNT(F4:F18)</f>
        <v>15</v>
      </c>
      <c r="C19" s="460" t="s">
        <v>175</v>
      </c>
      <c r="D19" s="460"/>
      <c r="E19" s="461"/>
      <c r="F19" s="770">
        <f>SUM(F4:F18)</f>
        <v>11472203258.232403</v>
      </c>
      <c r="H19" s="461">
        <f>SUM(H4:H18)</f>
        <v>9560169381.8603382</v>
      </c>
    </row>
    <row r="20" spans="2:144" outlineLevel="1">
      <c r="C20" s="284"/>
      <c r="F20" s="419" t="b">
        <f>SUM(Строительство!G58:G72)=F19</f>
        <v>1</v>
      </c>
    </row>
    <row r="21" spans="2:144">
      <c r="C21" s="462"/>
    </row>
    <row r="22" spans="2:144" ht="15.75">
      <c r="C22" s="22" t="s">
        <v>71</v>
      </c>
    </row>
    <row r="23" spans="2:144" ht="15.75">
      <c r="C23" s="22"/>
    </row>
    <row r="24" spans="2:144" ht="15.75">
      <c r="B24" s="40"/>
      <c r="C24" s="22"/>
      <c r="E24" s="40"/>
      <c r="F24" s="40"/>
      <c r="G24" s="40"/>
      <c r="H24" s="463">
        <f t="shared" ref="H24:BD24" si="1">YEAR(H26)</f>
        <v>2022</v>
      </c>
      <c r="I24" s="463">
        <f t="shared" si="1"/>
        <v>2022</v>
      </c>
      <c r="J24" s="463">
        <f t="shared" si="1"/>
        <v>2022</v>
      </c>
      <c r="K24" s="463">
        <f t="shared" si="1"/>
        <v>2022</v>
      </c>
      <c r="L24" s="463">
        <f t="shared" si="1"/>
        <v>2023</v>
      </c>
      <c r="M24" s="463">
        <f t="shared" si="1"/>
        <v>2023</v>
      </c>
      <c r="N24" s="463">
        <f t="shared" si="1"/>
        <v>2023</v>
      </c>
      <c r="O24" s="463">
        <f t="shared" si="1"/>
        <v>2023</v>
      </c>
      <c r="P24" s="463">
        <f t="shared" si="1"/>
        <v>2024</v>
      </c>
      <c r="Q24" s="463">
        <f t="shared" si="1"/>
        <v>2024</v>
      </c>
      <c r="R24" s="463">
        <f t="shared" si="1"/>
        <v>2024</v>
      </c>
      <c r="S24" s="463">
        <f t="shared" si="1"/>
        <v>2024</v>
      </c>
      <c r="T24" s="463">
        <f t="shared" si="1"/>
        <v>2025</v>
      </c>
      <c r="U24" s="463">
        <f t="shared" si="1"/>
        <v>2025</v>
      </c>
      <c r="V24" s="463">
        <f t="shared" si="1"/>
        <v>2025</v>
      </c>
      <c r="W24" s="463">
        <f t="shared" si="1"/>
        <v>2025</v>
      </c>
      <c r="X24" s="463">
        <f t="shared" si="1"/>
        <v>2026</v>
      </c>
      <c r="Y24" s="463">
        <f t="shared" si="1"/>
        <v>2026</v>
      </c>
      <c r="Z24" s="463">
        <f t="shared" si="1"/>
        <v>2026</v>
      </c>
      <c r="AA24" s="463">
        <f t="shared" si="1"/>
        <v>2026</v>
      </c>
      <c r="AB24" s="463">
        <f t="shared" si="1"/>
        <v>2027</v>
      </c>
      <c r="AC24" s="463">
        <f t="shared" si="1"/>
        <v>2027</v>
      </c>
      <c r="AD24" s="463">
        <f t="shared" si="1"/>
        <v>2027</v>
      </c>
      <c r="AE24" s="463">
        <f t="shared" si="1"/>
        <v>2027</v>
      </c>
      <c r="AF24" s="463">
        <f t="shared" si="1"/>
        <v>2028</v>
      </c>
      <c r="AG24" s="463">
        <f t="shared" si="1"/>
        <v>2028</v>
      </c>
      <c r="AH24" s="463">
        <f t="shared" si="1"/>
        <v>2028</v>
      </c>
      <c r="AI24" s="463">
        <f t="shared" si="1"/>
        <v>2028</v>
      </c>
      <c r="AJ24" s="463">
        <f t="shared" si="1"/>
        <v>2029</v>
      </c>
      <c r="AK24" s="463">
        <f t="shared" si="1"/>
        <v>2029</v>
      </c>
      <c r="AL24" s="463">
        <f t="shared" si="1"/>
        <v>2029</v>
      </c>
      <c r="AM24" s="463">
        <f t="shared" si="1"/>
        <v>2029</v>
      </c>
      <c r="AN24" s="463">
        <f t="shared" si="1"/>
        <v>2030</v>
      </c>
      <c r="AO24" s="463">
        <f t="shared" si="1"/>
        <v>2030</v>
      </c>
      <c r="AP24" s="463">
        <f t="shared" si="1"/>
        <v>2030</v>
      </c>
      <c r="AQ24" s="463">
        <f t="shared" si="1"/>
        <v>2030</v>
      </c>
      <c r="AR24" s="463">
        <f t="shared" si="1"/>
        <v>2031</v>
      </c>
      <c r="AS24" s="463">
        <f t="shared" si="1"/>
        <v>2031</v>
      </c>
      <c r="AT24" s="463">
        <f t="shared" si="1"/>
        <v>2031</v>
      </c>
      <c r="AU24" s="463">
        <f t="shared" si="1"/>
        <v>2031</v>
      </c>
      <c r="AV24" s="463">
        <f t="shared" si="1"/>
        <v>2032</v>
      </c>
      <c r="AW24" s="463">
        <f t="shared" si="1"/>
        <v>2032</v>
      </c>
      <c r="AX24" s="463">
        <f t="shared" si="1"/>
        <v>2032</v>
      </c>
      <c r="AY24" s="463">
        <f t="shared" si="1"/>
        <v>2032</v>
      </c>
      <c r="AZ24" s="463">
        <f t="shared" si="1"/>
        <v>2033</v>
      </c>
      <c r="BA24" s="463">
        <f t="shared" si="1"/>
        <v>2033</v>
      </c>
      <c r="BB24" s="463">
        <f t="shared" si="1"/>
        <v>2033</v>
      </c>
      <c r="BC24" s="463">
        <f t="shared" si="1"/>
        <v>2033</v>
      </c>
      <c r="BD24" s="463">
        <f t="shared" si="1"/>
        <v>2034</v>
      </c>
      <c r="BE24" s="463">
        <f>YEAR(BE26)</f>
        <v>2034</v>
      </c>
      <c r="BF24" s="463">
        <f>YEAR(BF26)</f>
        <v>2034</v>
      </c>
      <c r="BG24" s="463">
        <f t="shared" ref="BG24:DR24" si="2">YEAR(BG26)</f>
        <v>2034</v>
      </c>
      <c r="BH24" s="463">
        <f t="shared" si="2"/>
        <v>2035</v>
      </c>
      <c r="BI24" s="463">
        <f t="shared" si="2"/>
        <v>2035</v>
      </c>
      <c r="BJ24" s="463">
        <f t="shared" si="2"/>
        <v>2035</v>
      </c>
      <c r="BK24" s="463">
        <f t="shared" si="2"/>
        <v>2035</v>
      </c>
      <c r="BL24" s="463">
        <f t="shared" si="2"/>
        <v>2036</v>
      </c>
      <c r="BM24" s="463">
        <f t="shared" si="2"/>
        <v>2036</v>
      </c>
      <c r="BN24" s="463">
        <f t="shared" si="2"/>
        <v>2036</v>
      </c>
      <c r="BO24" s="463">
        <f t="shared" si="2"/>
        <v>2036</v>
      </c>
      <c r="BP24" s="463">
        <f t="shared" si="2"/>
        <v>2037</v>
      </c>
      <c r="BQ24" s="463">
        <f t="shared" si="2"/>
        <v>2037</v>
      </c>
      <c r="BR24" s="463">
        <f t="shared" si="2"/>
        <v>2037</v>
      </c>
      <c r="BS24" s="463">
        <f t="shared" si="2"/>
        <v>2037</v>
      </c>
      <c r="BT24" s="463">
        <f t="shared" si="2"/>
        <v>2038</v>
      </c>
      <c r="BU24" s="463">
        <f t="shared" si="2"/>
        <v>2038</v>
      </c>
      <c r="BV24" s="463">
        <f t="shared" si="2"/>
        <v>2038</v>
      </c>
      <c r="BW24" s="463">
        <f t="shared" si="2"/>
        <v>2038</v>
      </c>
      <c r="BX24" s="463">
        <f t="shared" si="2"/>
        <v>2039</v>
      </c>
      <c r="BY24" s="463">
        <f t="shared" si="2"/>
        <v>2039</v>
      </c>
      <c r="BZ24" s="463">
        <f t="shared" si="2"/>
        <v>2039</v>
      </c>
      <c r="CA24" s="463">
        <f t="shared" si="2"/>
        <v>2039</v>
      </c>
      <c r="CB24" s="463">
        <f t="shared" si="2"/>
        <v>2040</v>
      </c>
      <c r="CC24" s="463">
        <f t="shared" si="2"/>
        <v>2040</v>
      </c>
      <c r="CD24" s="463">
        <f t="shared" si="2"/>
        <v>2040</v>
      </c>
      <c r="CE24" s="463">
        <f t="shared" si="2"/>
        <v>2040</v>
      </c>
      <c r="CF24" s="463">
        <f t="shared" si="2"/>
        <v>2041</v>
      </c>
      <c r="CG24" s="463">
        <f t="shared" si="2"/>
        <v>2041</v>
      </c>
      <c r="CH24" s="463">
        <f t="shared" si="2"/>
        <v>2041</v>
      </c>
      <c r="CI24" s="463">
        <f t="shared" si="2"/>
        <v>2041</v>
      </c>
      <c r="CJ24" s="463">
        <f t="shared" si="2"/>
        <v>2042</v>
      </c>
      <c r="CK24" s="463">
        <f t="shared" si="2"/>
        <v>2042</v>
      </c>
      <c r="CL24" s="463">
        <f t="shared" si="2"/>
        <v>2042</v>
      </c>
      <c r="CM24" s="463">
        <f t="shared" si="2"/>
        <v>2042</v>
      </c>
      <c r="CN24" s="463">
        <f t="shared" si="2"/>
        <v>2043</v>
      </c>
      <c r="CO24" s="463">
        <f t="shared" si="2"/>
        <v>2043</v>
      </c>
      <c r="CP24" s="463">
        <f t="shared" si="2"/>
        <v>2043</v>
      </c>
      <c r="CQ24" s="463">
        <f t="shared" si="2"/>
        <v>2043</v>
      </c>
      <c r="CR24" s="463">
        <f t="shared" si="2"/>
        <v>2044</v>
      </c>
      <c r="CS24" s="463">
        <f t="shared" si="2"/>
        <v>2044</v>
      </c>
      <c r="CT24" s="463">
        <f t="shared" si="2"/>
        <v>2044</v>
      </c>
      <c r="CU24" s="463">
        <f t="shared" si="2"/>
        <v>2044</v>
      </c>
      <c r="CV24" s="463">
        <f t="shared" si="2"/>
        <v>2045</v>
      </c>
      <c r="CW24" s="463">
        <f t="shared" si="2"/>
        <v>2045</v>
      </c>
      <c r="CX24" s="463">
        <f t="shared" si="2"/>
        <v>2045</v>
      </c>
      <c r="CY24" s="463">
        <f t="shared" si="2"/>
        <v>2045</v>
      </c>
      <c r="CZ24" s="463">
        <f t="shared" si="2"/>
        <v>2046</v>
      </c>
      <c r="DA24" s="463">
        <f t="shared" si="2"/>
        <v>2046</v>
      </c>
      <c r="DB24" s="463">
        <f t="shared" si="2"/>
        <v>2046</v>
      </c>
      <c r="DC24" s="463">
        <f t="shared" si="2"/>
        <v>2046</v>
      </c>
      <c r="DD24" s="463">
        <f t="shared" si="2"/>
        <v>2047</v>
      </c>
      <c r="DE24" s="463">
        <f t="shared" si="2"/>
        <v>2047</v>
      </c>
      <c r="DF24" s="463">
        <f t="shared" si="2"/>
        <v>2047</v>
      </c>
      <c r="DG24" s="463">
        <f t="shared" si="2"/>
        <v>2047</v>
      </c>
      <c r="DH24" s="463">
        <f t="shared" si="2"/>
        <v>2048</v>
      </c>
      <c r="DI24" s="463">
        <f t="shared" si="2"/>
        <v>2048</v>
      </c>
      <c r="DJ24" s="463">
        <f t="shared" si="2"/>
        <v>2048</v>
      </c>
      <c r="DK24" s="463">
        <f t="shared" si="2"/>
        <v>2048</v>
      </c>
      <c r="DL24" s="463">
        <f t="shared" si="2"/>
        <v>2049</v>
      </c>
      <c r="DM24" s="463">
        <f t="shared" si="2"/>
        <v>2049</v>
      </c>
      <c r="DN24" s="463">
        <f t="shared" si="2"/>
        <v>2049</v>
      </c>
      <c r="DO24" s="463">
        <f t="shared" si="2"/>
        <v>2049</v>
      </c>
      <c r="DP24" s="463">
        <f t="shared" si="2"/>
        <v>2050</v>
      </c>
      <c r="DQ24" s="463">
        <f t="shared" si="2"/>
        <v>2050</v>
      </c>
      <c r="DR24" s="463">
        <f t="shared" si="2"/>
        <v>2050</v>
      </c>
      <c r="DS24" s="463">
        <f t="shared" ref="DS24:EN24" si="3">YEAR(DS26)</f>
        <v>2050</v>
      </c>
      <c r="DT24" s="463">
        <f t="shared" si="3"/>
        <v>2051</v>
      </c>
      <c r="DU24" s="463">
        <f t="shared" si="3"/>
        <v>2051</v>
      </c>
      <c r="DV24" s="463">
        <f t="shared" si="3"/>
        <v>2051</v>
      </c>
      <c r="DW24" s="463">
        <f t="shared" si="3"/>
        <v>2051</v>
      </c>
      <c r="DX24" s="463">
        <f t="shared" si="3"/>
        <v>2052</v>
      </c>
      <c r="DY24" s="463">
        <f t="shared" si="3"/>
        <v>2052</v>
      </c>
      <c r="DZ24" s="463">
        <f t="shared" si="3"/>
        <v>2052</v>
      </c>
      <c r="EA24" s="463">
        <f t="shared" si="3"/>
        <v>2052</v>
      </c>
      <c r="EB24" s="463">
        <f t="shared" si="3"/>
        <v>2053</v>
      </c>
      <c r="EC24" s="463">
        <f t="shared" si="3"/>
        <v>2053</v>
      </c>
      <c r="ED24" s="463">
        <f t="shared" si="3"/>
        <v>2053</v>
      </c>
      <c r="EE24" s="463">
        <f t="shared" si="3"/>
        <v>2053</v>
      </c>
      <c r="EF24" s="463">
        <f t="shared" si="3"/>
        <v>2054</v>
      </c>
      <c r="EG24" s="463">
        <f t="shared" si="3"/>
        <v>2054</v>
      </c>
      <c r="EH24" s="463">
        <f t="shared" si="3"/>
        <v>2054</v>
      </c>
      <c r="EI24" s="463">
        <f t="shared" si="3"/>
        <v>2054</v>
      </c>
      <c r="EJ24" s="463">
        <f t="shared" si="3"/>
        <v>2055</v>
      </c>
      <c r="EK24" s="463">
        <f t="shared" si="3"/>
        <v>2055</v>
      </c>
      <c r="EL24" s="463">
        <f t="shared" si="3"/>
        <v>2055</v>
      </c>
      <c r="EM24" s="463">
        <f t="shared" si="3"/>
        <v>2055</v>
      </c>
      <c r="EN24" s="463">
        <f t="shared" si="3"/>
        <v>2056</v>
      </c>
    </row>
    <row r="25" spans="2:144" ht="15.75">
      <c r="B25" s="40"/>
      <c r="C25" s="22"/>
      <c r="E25" s="40"/>
      <c r="F25" s="40"/>
      <c r="G25" s="40"/>
      <c r="H25" s="464">
        <f>Вводные!$D$4</f>
        <v>44593</v>
      </c>
      <c r="I25" s="464">
        <f t="shared" ref="I25:AN25" si="4">DATE(YEAR(H25),(TRUNC((MONTH(H25)-1)/3,0)+1)*3+1,1)</f>
        <v>44652</v>
      </c>
      <c r="J25" s="464">
        <f t="shared" si="4"/>
        <v>44743</v>
      </c>
      <c r="K25" s="464">
        <f t="shared" si="4"/>
        <v>44835</v>
      </c>
      <c r="L25" s="464">
        <f t="shared" si="4"/>
        <v>44927</v>
      </c>
      <c r="M25" s="464">
        <f t="shared" si="4"/>
        <v>45017</v>
      </c>
      <c r="N25" s="464">
        <f t="shared" si="4"/>
        <v>45108</v>
      </c>
      <c r="O25" s="464">
        <f t="shared" si="4"/>
        <v>45200</v>
      </c>
      <c r="P25" s="464">
        <f t="shared" si="4"/>
        <v>45292</v>
      </c>
      <c r="Q25" s="464">
        <f t="shared" si="4"/>
        <v>45383</v>
      </c>
      <c r="R25" s="464">
        <f t="shared" si="4"/>
        <v>45474</v>
      </c>
      <c r="S25" s="464">
        <f t="shared" si="4"/>
        <v>45566</v>
      </c>
      <c r="T25" s="464">
        <f t="shared" si="4"/>
        <v>45658</v>
      </c>
      <c r="U25" s="464">
        <f t="shared" si="4"/>
        <v>45748</v>
      </c>
      <c r="V25" s="464">
        <f t="shared" si="4"/>
        <v>45839</v>
      </c>
      <c r="W25" s="464">
        <f t="shared" si="4"/>
        <v>45931</v>
      </c>
      <c r="X25" s="464">
        <f t="shared" si="4"/>
        <v>46023</v>
      </c>
      <c r="Y25" s="464">
        <f t="shared" si="4"/>
        <v>46113</v>
      </c>
      <c r="Z25" s="464">
        <f t="shared" si="4"/>
        <v>46204</v>
      </c>
      <c r="AA25" s="464">
        <f t="shared" si="4"/>
        <v>46296</v>
      </c>
      <c r="AB25" s="464">
        <f t="shared" si="4"/>
        <v>46388</v>
      </c>
      <c r="AC25" s="464">
        <f t="shared" si="4"/>
        <v>46478</v>
      </c>
      <c r="AD25" s="464">
        <f t="shared" si="4"/>
        <v>46569</v>
      </c>
      <c r="AE25" s="464">
        <f t="shared" si="4"/>
        <v>46661</v>
      </c>
      <c r="AF25" s="464">
        <f t="shared" si="4"/>
        <v>46753</v>
      </c>
      <c r="AG25" s="464">
        <f t="shared" si="4"/>
        <v>46844</v>
      </c>
      <c r="AH25" s="464">
        <f t="shared" si="4"/>
        <v>46935</v>
      </c>
      <c r="AI25" s="464">
        <f t="shared" si="4"/>
        <v>47027</v>
      </c>
      <c r="AJ25" s="464">
        <f t="shared" si="4"/>
        <v>47119</v>
      </c>
      <c r="AK25" s="464">
        <f t="shared" si="4"/>
        <v>47209</v>
      </c>
      <c r="AL25" s="464">
        <f t="shared" si="4"/>
        <v>47300</v>
      </c>
      <c r="AM25" s="464">
        <f t="shared" si="4"/>
        <v>47392</v>
      </c>
      <c r="AN25" s="464">
        <f t="shared" si="4"/>
        <v>47484</v>
      </c>
      <c r="AO25" s="464">
        <f t="shared" ref="AO25:BT25" si="5">DATE(YEAR(AN25),(TRUNC((MONTH(AN25)-1)/3,0)+1)*3+1,1)</f>
        <v>47574</v>
      </c>
      <c r="AP25" s="464">
        <f t="shared" si="5"/>
        <v>47665</v>
      </c>
      <c r="AQ25" s="464">
        <f t="shared" si="5"/>
        <v>47757</v>
      </c>
      <c r="AR25" s="464">
        <f t="shared" si="5"/>
        <v>47849</v>
      </c>
      <c r="AS25" s="464">
        <f t="shared" si="5"/>
        <v>47939</v>
      </c>
      <c r="AT25" s="464">
        <f t="shared" si="5"/>
        <v>48030</v>
      </c>
      <c r="AU25" s="464">
        <f t="shared" si="5"/>
        <v>48122</v>
      </c>
      <c r="AV25" s="464">
        <f t="shared" si="5"/>
        <v>48214</v>
      </c>
      <c r="AW25" s="464">
        <f t="shared" si="5"/>
        <v>48305</v>
      </c>
      <c r="AX25" s="464">
        <f t="shared" si="5"/>
        <v>48396</v>
      </c>
      <c r="AY25" s="464">
        <f t="shared" si="5"/>
        <v>48488</v>
      </c>
      <c r="AZ25" s="464">
        <f t="shared" si="5"/>
        <v>48580</v>
      </c>
      <c r="BA25" s="464">
        <f t="shared" si="5"/>
        <v>48670</v>
      </c>
      <c r="BB25" s="464">
        <f t="shared" si="5"/>
        <v>48761</v>
      </c>
      <c r="BC25" s="464">
        <f t="shared" si="5"/>
        <v>48853</v>
      </c>
      <c r="BD25" s="464">
        <f t="shared" si="5"/>
        <v>48945</v>
      </c>
      <c r="BE25" s="464">
        <f t="shared" si="5"/>
        <v>49035</v>
      </c>
      <c r="BF25" s="464">
        <f t="shared" si="5"/>
        <v>49126</v>
      </c>
      <c r="BG25" s="464">
        <f t="shared" si="5"/>
        <v>49218</v>
      </c>
      <c r="BH25" s="464">
        <f t="shared" si="5"/>
        <v>49310</v>
      </c>
      <c r="BI25" s="464">
        <f t="shared" si="5"/>
        <v>49400</v>
      </c>
      <c r="BJ25" s="464">
        <f t="shared" si="5"/>
        <v>49491</v>
      </c>
      <c r="BK25" s="464">
        <f t="shared" si="5"/>
        <v>49583</v>
      </c>
      <c r="BL25" s="464">
        <f t="shared" si="5"/>
        <v>49675</v>
      </c>
      <c r="BM25" s="464">
        <f t="shared" si="5"/>
        <v>49766</v>
      </c>
      <c r="BN25" s="464">
        <f t="shared" si="5"/>
        <v>49857</v>
      </c>
      <c r="BO25" s="464">
        <f t="shared" si="5"/>
        <v>49949</v>
      </c>
      <c r="BP25" s="464">
        <f t="shared" si="5"/>
        <v>50041</v>
      </c>
      <c r="BQ25" s="464">
        <f t="shared" si="5"/>
        <v>50131</v>
      </c>
      <c r="BR25" s="464">
        <f t="shared" si="5"/>
        <v>50222</v>
      </c>
      <c r="BS25" s="464">
        <f t="shared" si="5"/>
        <v>50314</v>
      </c>
      <c r="BT25" s="464">
        <f t="shared" si="5"/>
        <v>50406</v>
      </c>
      <c r="BU25" s="464">
        <f t="shared" ref="BU25:CZ25" si="6">DATE(YEAR(BT25),(TRUNC((MONTH(BT25)-1)/3,0)+1)*3+1,1)</f>
        <v>50496</v>
      </c>
      <c r="BV25" s="464">
        <f t="shared" si="6"/>
        <v>50587</v>
      </c>
      <c r="BW25" s="464">
        <f t="shared" si="6"/>
        <v>50679</v>
      </c>
      <c r="BX25" s="464">
        <f t="shared" si="6"/>
        <v>50771</v>
      </c>
      <c r="BY25" s="464">
        <f t="shared" si="6"/>
        <v>50861</v>
      </c>
      <c r="BZ25" s="464">
        <f t="shared" si="6"/>
        <v>50952</v>
      </c>
      <c r="CA25" s="464">
        <f t="shared" si="6"/>
        <v>51044</v>
      </c>
      <c r="CB25" s="464">
        <f t="shared" si="6"/>
        <v>51136</v>
      </c>
      <c r="CC25" s="464">
        <f t="shared" si="6"/>
        <v>51227</v>
      </c>
      <c r="CD25" s="464">
        <f t="shared" si="6"/>
        <v>51318</v>
      </c>
      <c r="CE25" s="464">
        <f t="shared" si="6"/>
        <v>51410</v>
      </c>
      <c r="CF25" s="464">
        <f t="shared" si="6"/>
        <v>51502</v>
      </c>
      <c r="CG25" s="464">
        <f t="shared" si="6"/>
        <v>51592</v>
      </c>
      <c r="CH25" s="464">
        <f t="shared" si="6"/>
        <v>51683</v>
      </c>
      <c r="CI25" s="464">
        <f t="shared" si="6"/>
        <v>51775</v>
      </c>
      <c r="CJ25" s="464">
        <f t="shared" si="6"/>
        <v>51867</v>
      </c>
      <c r="CK25" s="464">
        <f t="shared" si="6"/>
        <v>51957</v>
      </c>
      <c r="CL25" s="464">
        <f t="shared" si="6"/>
        <v>52048</v>
      </c>
      <c r="CM25" s="464">
        <f t="shared" si="6"/>
        <v>52140</v>
      </c>
      <c r="CN25" s="464">
        <f t="shared" si="6"/>
        <v>52232</v>
      </c>
      <c r="CO25" s="464">
        <f t="shared" si="6"/>
        <v>52322</v>
      </c>
      <c r="CP25" s="464">
        <f t="shared" si="6"/>
        <v>52413</v>
      </c>
      <c r="CQ25" s="464">
        <f t="shared" si="6"/>
        <v>52505</v>
      </c>
      <c r="CR25" s="464">
        <f t="shared" si="6"/>
        <v>52597</v>
      </c>
      <c r="CS25" s="464">
        <f t="shared" si="6"/>
        <v>52688</v>
      </c>
      <c r="CT25" s="464">
        <f t="shared" si="6"/>
        <v>52779</v>
      </c>
      <c r="CU25" s="464">
        <f t="shared" si="6"/>
        <v>52871</v>
      </c>
      <c r="CV25" s="464">
        <f t="shared" si="6"/>
        <v>52963</v>
      </c>
      <c r="CW25" s="464">
        <f t="shared" si="6"/>
        <v>53053</v>
      </c>
      <c r="CX25" s="464">
        <f t="shared" si="6"/>
        <v>53144</v>
      </c>
      <c r="CY25" s="464">
        <f t="shared" si="6"/>
        <v>53236</v>
      </c>
      <c r="CZ25" s="464">
        <f t="shared" si="6"/>
        <v>53328</v>
      </c>
      <c r="DA25" s="464">
        <f t="shared" ref="DA25:EF25" si="7">DATE(YEAR(CZ25),(TRUNC((MONTH(CZ25)-1)/3,0)+1)*3+1,1)</f>
        <v>53418</v>
      </c>
      <c r="DB25" s="464">
        <f t="shared" si="7"/>
        <v>53509</v>
      </c>
      <c r="DC25" s="464">
        <f t="shared" si="7"/>
        <v>53601</v>
      </c>
      <c r="DD25" s="464">
        <f t="shared" si="7"/>
        <v>53693</v>
      </c>
      <c r="DE25" s="464">
        <f t="shared" si="7"/>
        <v>53783</v>
      </c>
      <c r="DF25" s="464">
        <f t="shared" si="7"/>
        <v>53874</v>
      </c>
      <c r="DG25" s="464">
        <f t="shared" si="7"/>
        <v>53966</v>
      </c>
      <c r="DH25" s="464">
        <f t="shared" si="7"/>
        <v>54058</v>
      </c>
      <c r="DI25" s="464">
        <f t="shared" si="7"/>
        <v>54149</v>
      </c>
      <c r="DJ25" s="464">
        <f t="shared" si="7"/>
        <v>54240</v>
      </c>
      <c r="DK25" s="464">
        <f t="shared" si="7"/>
        <v>54332</v>
      </c>
      <c r="DL25" s="464">
        <f t="shared" si="7"/>
        <v>54424</v>
      </c>
      <c r="DM25" s="464">
        <f t="shared" si="7"/>
        <v>54514</v>
      </c>
      <c r="DN25" s="464">
        <f t="shared" si="7"/>
        <v>54605</v>
      </c>
      <c r="DO25" s="464">
        <f t="shared" si="7"/>
        <v>54697</v>
      </c>
      <c r="DP25" s="464">
        <f t="shared" si="7"/>
        <v>54789</v>
      </c>
      <c r="DQ25" s="464">
        <f t="shared" si="7"/>
        <v>54879</v>
      </c>
      <c r="DR25" s="464">
        <f t="shared" si="7"/>
        <v>54970</v>
      </c>
      <c r="DS25" s="464">
        <f t="shared" si="7"/>
        <v>55062</v>
      </c>
      <c r="DT25" s="464">
        <f t="shared" si="7"/>
        <v>55154</v>
      </c>
      <c r="DU25" s="464">
        <f t="shared" si="7"/>
        <v>55244</v>
      </c>
      <c r="DV25" s="464">
        <f t="shared" si="7"/>
        <v>55335</v>
      </c>
      <c r="DW25" s="464">
        <f t="shared" si="7"/>
        <v>55427</v>
      </c>
      <c r="DX25" s="464">
        <f t="shared" si="7"/>
        <v>55519</v>
      </c>
      <c r="DY25" s="464">
        <f t="shared" si="7"/>
        <v>55610</v>
      </c>
      <c r="DZ25" s="464">
        <f t="shared" si="7"/>
        <v>55701</v>
      </c>
      <c r="EA25" s="464">
        <f t="shared" si="7"/>
        <v>55793</v>
      </c>
      <c r="EB25" s="464">
        <f t="shared" si="7"/>
        <v>55885</v>
      </c>
      <c r="EC25" s="464">
        <f t="shared" si="7"/>
        <v>55975</v>
      </c>
      <c r="ED25" s="464">
        <f t="shared" si="7"/>
        <v>56066</v>
      </c>
      <c r="EE25" s="464">
        <f t="shared" si="7"/>
        <v>56158</v>
      </c>
      <c r="EF25" s="464">
        <f t="shared" si="7"/>
        <v>56250</v>
      </c>
      <c r="EG25" s="464">
        <f t="shared" ref="EG25:EN25" si="8">DATE(YEAR(EF25),(TRUNC((MONTH(EF25)-1)/3,0)+1)*3+1,1)</f>
        <v>56340</v>
      </c>
      <c r="EH25" s="464">
        <f t="shared" si="8"/>
        <v>56431</v>
      </c>
      <c r="EI25" s="464">
        <f t="shared" si="8"/>
        <v>56523</v>
      </c>
      <c r="EJ25" s="464">
        <f t="shared" si="8"/>
        <v>56615</v>
      </c>
      <c r="EK25" s="464">
        <f t="shared" si="8"/>
        <v>56705</v>
      </c>
      <c r="EL25" s="464">
        <f t="shared" si="8"/>
        <v>56796</v>
      </c>
      <c r="EM25" s="464">
        <f t="shared" si="8"/>
        <v>56888</v>
      </c>
      <c r="EN25" s="464">
        <f t="shared" si="8"/>
        <v>56980</v>
      </c>
    </row>
    <row r="26" spans="2:144" ht="15.75">
      <c r="C26" s="22"/>
      <c r="E26" s="42"/>
      <c r="F26" s="42"/>
      <c r="G26" s="42"/>
      <c r="H26" s="464">
        <f>DATE(YEAR(H25),((TRUNC((MONTH(H25)-1),0)+1)+2),1)-1</f>
        <v>44651</v>
      </c>
      <c r="I26" s="464">
        <f>DATE(YEAR(I25),((TRUNC((MONTH(I25)-1),0)+1)+1)+2,1)-1</f>
        <v>44742</v>
      </c>
      <c r="J26" s="464">
        <f t="shared" ref="J26:BU26" si="9">DATE(YEAR(J25),((TRUNC((MONTH(J25)-1),0)+1)+1)+2,1)-1</f>
        <v>44834</v>
      </c>
      <c r="K26" s="464">
        <f t="shared" si="9"/>
        <v>44926</v>
      </c>
      <c r="L26" s="464">
        <f t="shared" si="9"/>
        <v>45016</v>
      </c>
      <c r="M26" s="464">
        <f t="shared" si="9"/>
        <v>45107</v>
      </c>
      <c r="N26" s="464">
        <f t="shared" si="9"/>
        <v>45199</v>
      </c>
      <c r="O26" s="464">
        <f t="shared" si="9"/>
        <v>45291</v>
      </c>
      <c r="P26" s="464">
        <f t="shared" si="9"/>
        <v>45382</v>
      </c>
      <c r="Q26" s="464">
        <f t="shared" si="9"/>
        <v>45473</v>
      </c>
      <c r="R26" s="464">
        <f t="shared" si="9"/>
        <v>45565</v>
      </c>
      <c r="S26" s="464">
        <f t="shared" si="9"/>
        <v>45657</v>
      </c>
      <c r="T26" s="464">
        <f t="shared" si="9"/>
        <v>45747</v>
      </c>
      <c r="U26" s="464">
        <f t="shared" si="9"/>
        <v>45838</v>
      </c>
      <c r="V26" s="464">
        <f t="shared" si="9"/>
        <v>45930</v>
      </c>
      <c r="W26" s="464">
        <f t="shared" si="9"/>
        <v>46022</v>
      </c>
      <c r="X26" s="464">
        <f t="shared" si="9"/>
        <v>46112</v>
      </c>
      <c r="Y26" s="464">
        <f t="shared" si="9"/>
        <v>46203</v>
      </c>
      <c r="Z26" s="464">
        <f t="shared" si="9"/>
        <v>46295</v>
      </c>
      <c r="AA26" s="464">
        <f t="shared" si="9"/>
        <v>46387</v>
      </c>
      <c r="AB26" s="464">
        <f t="shared" si="9"/>
        <v>46477</v>
      </c>
      <c r="AC26" s="464">
        <f t="shared" si="9"/>
        <v>46568</v>
      </c>
      <c r="AD26" s="464">
        <f t="shared" si="9"/>
        <v>46660</v>
      </c>
      <c r="AE26" s="464">
        <f t="shared" si="9"/>
        <v>46752</v>
      </c>
      <c r="AF26" s="464">
        <f t="shared" si="9"/>
        <v>46843</v>
      </c>
      <c r="AG26" s="464">
        <f t="shared" si="9"/>
        <v>46934</v>
      </c>
      <c r="AH26" s="464">
        <f t="shared" si="9"/>
        <v>47026</v>
      </c>
      <c r="AI26" s="464">
        <f t="shared" si="9"/>
        <v>47118</v>
      </c>
      <c r="AJ26" s="464">
        <f t="shared" si="9"/>
        <v>47208</v>
      </c>
      <c r="AK26" s="464">
        <f t="shared" si="9"/>
        <v>47299</v>
      </c>
      <c r="AL26" s="464">
        <f t="shared" si="9"/>
        <v>47391</v>
      </c>
      <c r="AM26" s="464">
        <f t="shared" si="9"/>
        <v>47483</v>
      </c>
      <c r="AN26" s="464">
        <f t="shared" si="9"/>
        <v>47573</v>
      </c>
      <c r="AO26" s="464">
        <f t="shared" si="9"/>
        <v>47664</v>
      </c>
      <c r="AP26" s="464">
        <f t="shared" si="9"/>
        <v>47756</v>
      </c>
      <c r="AQ26" s="464">
        <f t="shared" si="9"/>
        <v>47848</v>
      </c>
      <c r="AR26" s="464">
        <f t="shared" si="9"/>
        <v>47938</v>
      </c>
      <c r="AS26" s="464">
        <f t="shared" si="9"/>
        <v>48029</v>
      </c>
      <c r="AT26" s="464">
        <f t="shared" si="9"/>
        <v>48121</v>
      </c>
      <c r="AU26" s="464">
        <f t="shared" si="9"/>
        <v>48213</v>
      </c>
      <c r="AV26" s="464">
        <f t="shared" si="9"/>
        <v>48304</v>
      </c>
      <c r="AW26" s="464">
        <f t="shared" si="9"/>
        <v>48395</v>
      </c>
      <c r="AX26" s="464">
        <f t="shared" si="9"/>
        <v>48487</v>
      </c>
      <c r="AY26" s="464">
        <f t="shared" si="9"/>
        <v>48579</v>
      </c>
      <c r="AZ26" s="464">
        <f t="shared" si="9"/>
        <v>48669</v>
      </c>
      <c r="BA26" s="464">
        <f t="shared" si="9"/>
        <v>48760</v>
      </c>
      <c r="BB26" s="464">
        <f t="shared" si="9"/>
        <v>48852</v>
      </c>
      <c r="BC26" s="464">
        <f t="shared" si="9"/>
        <v>48944</v>
      </c>
      <c r="BD26" s="464">
        <f t="shared" si="9"/>
        <v>49034</v>
      </c>
      <c r="BE26" s="464">
        <f t="shared" si="9"/>
        <v>49125</v>
      </c>
      <c r="BF26" s="464">
        <f t="shared" si="9"/>
        <v>49217</v>
      </c>
      <c r="BG26" s="464">
        <f t="shared" si="9"/>
        <v>49309</v>
      </c>
      <c r="BH26" s="464">
        <f t="shared" si="9"/>
        <v>49399</v>
      </c>
      <c r="BI26" s="464">
        <f t="shared" si="9"/>
        <v>49490</v>
      </c>
      <c r="BJ26" s="464">
        <f t="shared" si="9"/>
        <v>49582</v>
      </c>
      <c r="BK26" s="464">
        <f t="shared" si="9"/>
        <v>49674</v>
      </c>
      <c r="BL26" s="464">
        <f t="shared" si="9"/>
        <v>49765</v>
      </c>
      <c r="BM26" s="464">
        <f t="shared" si="9"/>
        <v>49856</v>
      </c>
      <c r="BN26" s="464">
        <f t="shared" si="9"/>
        <v>49948</v>
      </c>
      <c r="BO26" s="464">
        <f t="shared" si="9"/>
        <v>50040</v>
      </c>
      <c r="BP26" s="464">
        <f t="shared" si="9"/>
        <v>50130</v>
      </c>
      <c r="BQ26" s="464">
        <f t="shared" si="9"/>
        <v>50221</v>
      </c>
      <c r="BR26" s="464">
        <f t="shared" si="9"/>
        <v>50313</v>
      </c>
      <c r="BS26" s="464">
        <f t="shared" si="9"/>
        <v>50405</v>
      </c>
      <c r="BT26" s="464">
        <f t="shared" si="9"/>
        <v>50495</v>
      </c>
      <c r="BU26" s="464">
        <f t="shared" si="9"/>
        <v>50586</v>
      </c>
      <c r="BV26" s="464">
        <f t="shared" ref="BV26:EG26" si="10">DATE(YEAR(BV25),((TRUNC((MONTH(BV25)-1),0)+1)+1)+2,1)-1</f>
        <v>50678</v>
      </c>
      <c r="BW26" s="464">
        <f t="shared" si="10"/>
        <v>50770</v>
      </c>
      <c r="BX26" s="464">
        <f t="shared" si="10"/>
        <v>50860</v>
      </c>
      <c r="BY26" s="464">
        <f t="shared" si="10"/>
        <v>50951</v>
      </c>
      <c r="BZ26" s="464">
        <f t="shared" si="10"/>
        <v>51043</v>
      </c>
      <c r="CA26" s="464">
        <f t="shared" si="10"/>
        <v>51135</v>
      </c>
      <c r="CB26" s="464">
        <f t="shared" si="10"/>
        <v>51226</v>
      </c>
      <c r="CC26" s="464">
        <f t="shared" si="10"/>
        <v>51317</v>
      </c>
      <c r="CD26" s="464">
        <f t="shared" si="10"/>
        <v>51409</v>
      </c>
      <c r="CE26" s="464">
        <f t="shared" si="10"/>
        <v>51501</v>
      </c>
      <c r="CF26" s="464">
        <f t="shared" si="10"/>
        <v>51591</v>
      </c>
      <c r="CG26" s="464">
        <f t="shared" si="10"/>
        <v>51682</v>
      </c>
      <c r="CH26" s="464">
        <f t="shared" si="10"/>
        <v>51774</v>
      </c>
      <c r="CI26" s="464">
        <f t="shared" si="10"/>
        <v>51866</v>
      </c>
      <c r="CJ26" s="464">
        <f t="shared" si="10"/>
        <v>51956</v>
      </c>
      <c r="CK26" s="464">
        <f t="shared" si="10"/>
        <v>52047</v>
      </c>
      <c r="CL26" s="464">
        <f t="shared" si="10"/>
        <v>52139</v>
      </c>
      <c r="CM26" s="464">
        <f t="shared" si="10"/>
        <v>52231</v>
      </c>
      <c r="CN26" s="464">
        <f t="shared" si="10"/>
        <v>52321</v>
      </c>
      <c r="CO26" s="464">
        <f t="shared" si="10"/>
        <v>52412</v>
      </c>
      <c r="CP26" s="464">
        <f t="shared" si="10"/>
        <v>52504</v>
      </c>
      <c r="CQ26" s="464">
        <f t="shared" si="10"/>
        <v>52596</v>
      </c>
      <c r="CR26" s="464">
        <f t="shared" si="10"/>
        <v>52687</v>
      </c>
      <c r="CS26" s="464">
        <f t="shared" si="10"/>
        <v>52778</v>
      </c>
      <c r="CT26" s="464">
        <f t="shared" si="10"/>
        <v>52870</v>
      </c>
      <c r="CU26" s="464">
        <f t="shared" si="10"/>
        <v>52962</v>
      </c>
      <c r="CV26" s="464">
        <f t="shared" si="10"/>
        <v>53052</v>
      </c>
      <c r="CW26" s="464">
        <f t="shared" si="10"/>
        <v>53143</v>
      </c>
      <c r="CX26" s="464">
        <f t="shared" si="10"/>
        <v>53235</v>
      </c>
      <c r="CY26" s="464">
        <f t="shared" si="10"/>
        <v>53327</v>
      </c>
      <c r="CZ26" s="464">
        <f t="shared" si="10"/>
        <v>53417</v>
      </c>
      <c r="DA26" s="464">
        <f t="shared" si="10"/>
        <v>53508</v>
      </c>
      <c r="DB26" s="464">
        <f t="shared" si="10"/>
        <v>53600</v>
      </c>
      <c r="DC26" s="464">
        <f t="shared" si="10"/>
        <v>53692</v>
      </c>
      <c r="DD26" s="464">
        <f t="shared" si="10"/>
        <v>53782</v>
      </c>
      <c r="DE26" s="464">
        <f t="shared" si="10"/>
        <v>53873</v>
      </c>
      <c r="DF26" s="464">
        <f t="shared" si="10"/>
        <v>53965</v>
      </c>
      <c r="DG26" s="464">
        <f t="shared" si="10"/>
        <v>54057</v>
      </c>
      <c r="DH26" s="464">
        <f t="shared" si="10"/>
        <v>54148</v>
      </c>
      <c r="DI26" s="464">
        <f t="shared" si="10"/>
        <v>54239</v>
      </c>
      <c r="DJ26" s="464">
        <f t="shared" si="10"/>
        <v>54331</v>
      </c>
      <c r="DK26" s="464">
        <f t="shared" si="10"/>
        <v>54423</v>
      </c>
      <c r="DL26" s="464">
        <f t="shared" si="10"/>
        <v>54513</v>
      </c>
      <c r="DM26" s="464">
        <f t="shared" si="10"/>
        <v>54604</v>
      </c>
      <c r="DN26" s="464">
        <f t="shared" si="10"/>
        <v>54696</v>
      </c>
      <c r="DO26" s="464">
        <f t="shared" si="10"/>
        <v>54788</v>
      </c>
      <c r="DP26" s="464">
        <f t="shared" si="10"/>
        <v>54878</v>
      </c>
      <c r="DQ26" s="464">
        <f t="shared" si="10"/>
        <v>54969</v>
      </c>
      <c r="DR26" s="464">
        <f t="shared" si="10"/>
        <v>55061</v>
      </c>
      <c r="DS26" s="464">
        <f t="shared" si="10"/>
        <v>55153</v>
      </c>
      <c r="DT26" s="464">
        <f t="shared" si="10"/>
        <v>55243</v>
      </c>
      <c r="DU26" s="464">
        <f t="shared" si="10"/>
        <v>55334</v>
      </c>
      <c r="DV26" s="464">
        <f t="shared" si="10"/>
        <v>55426</v>
      </c>
      <c r="DW26" s="464">
        <f t="shared" si="10"/>
        <v>55518</v>
      </c>
      <c r="DX26" s="464">
        <f t="shared" si="10"/>
        <v>55609</v>
      </c>
      <c r="DY26" s="464">
        <f t="shared" si="10"/>
        <v>55700</v>
      </c>
      <c r="DZ26" s="464">
        <f t="shared" si="10"/>
        <v>55792</v>
      </c>
      <c r="EA26" s="464">
        <f t="shared" si="10"/>
        <v>55884</v>
      </c>
      <c r="EB26" s="464">
        <f t="shared" si="10"/>
        <v>55974</v>
      </c>
      <c r="EC26" s="464">
        <f t="shared" si="10"/>
        <v>56065</v>
      </c>
      <c r="ED26" s="464">
        <f t="shared" si="10"/>
        <v>56157</v>
      </c>
      <c r="EE26" s="464">
        <f t="shared" si="10"/>
        <v>56249</v>
      </c>
      <c r="EF26" s="464">
        <f t="shared" si="10"/>
        <v>56339</v>
      </c>
      <c r="EG26" s="464">
        <f t="shared" si="10"/>
        <v>56430</v>
      </c>
      <c r="EH26" s="464">
        <f t="shared" ref="EH26:EN26" si="11">DATE(YEAR(EH25),((TRUNC((MONTH(EH25)-1),0)+1)+1)+2,1)-1</f>
        <v>56522</v>
      </c>
      <c r="EI26" s="464">
        <f t="shared" si="11"/>
        <v>56614</v>
      </c>
      <c r="EJ26" s="464">
        <f t="shared" si="11"/>
        <v>56704</v>
      </c>
      <c r="EK26" s="464">
        <f t="shared" si="11"/>
        <v>56795</v>
      </c>
      <c r="EL26" s="464">
        <f t="shared" si="11"/>
        <v>56887</v>
      </c>
      <c r="EM26" s="464">
        <f t="shared" si="11"/>
        <v>56979</v>
      </c>
      <c r="EN26" s="464">
        <f t="shared" si="11"/>
        <v>57070</v>
      </c>
    </row>
    <row r="27" spans="2:144">
      <c r="B27" s="776" t="str">
        <f>C4</f>
        <v>Гостиница 5*</v>
      </c>
      <c r="C27" s="465"/>
      <c r="D27" s="430">
        <f>SUMIF($C$4:$C$18,B27,$I$4:$I$18)</f>
        <v>46204</v>
      </c>
      <c r="E27" s="772">
        <f>YEAR(D27)</f>
        <v>2026</v>
      </c>
      <c r="F27" s="466"/>
      <c r="G27" s="466"/>
      <c r="H27" s="466"/>
      <c r="I27" s="466"/>
      <c r="J27" s="466"/>
      <c r="K27" s="466"/>
      <c r="L27" s="466"/>
      <c r="M27" s="466"/>
      <c r="N27" s="466"/>
      <c r="O27" s="466"/>
      <c r="P27" s="466"/>
      <c r="Q27" s="466"/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  <c r="AI27" s="466"/>
      <c r="AJ27" s="466"/>
      <c r="AK27" s="466"/>
      <c r="AL27" s="466"/>
      <c r="AM27" s="466"/>
      <c r="AN27" s="466"/>
      <c r="AO27" s="466"/>
      <c r="AP27" s="466"/>
      <c r="AQ27" s="466"/>
      <c r="AR27" s="466"/>
      <c r="AS27" s="466"/>
      <c r="AT27" s="466"/>
      <c r="AU27" s="466"/>
      <c r="AV27" s="466"/>
      <c r="AW27" s="466"/>
      <c r="AX27" s="466"/>
      <c r="AY27" s="466"/>
      <c r="AZ27" s="466"/>
      <c r="BA27" s="466"/>
      <c r="BB27" s="466"/>
      <c r="BC27" s="466"/>
      <c r="BD27" s="466"/>
      <c r="BE27" s="466"/>
      <c r="BF27" s="466"/>
      <c r="BG27" s="466"/>
      <c r="BH27" s="466"/>
      <c r="BI27" s="466"/>
      <c r="BJ27" s="466"/>
      <c r="BK27" s="466"/>
      <c r="BL27" s="466"/>
      <c r="BM27" s="466"/>
      <c r="BN27" s="466"/>
      <c r="BO27" s="466"/>
      <c r="BP27" s="466"/>
      <c r="BQ27" s="466"/>
      <c r="BR27" s="466"/>
      <c r="BS27" s="466"/>
      <c r="BT27" s="466"/>
      <c r="BU27" s="466"/>
      <c r="BV27" s="466"/>
      <c r="BW27" s="466"/>
      <c r="BX27" s="466"/>
      <c r="BY27" s="466"/>
      <c r="BZ27" s="466"/>
      <c r="CA27" s="466"/>
      <c r="CB27" s="466"/>
      <c r="CC27" s="466"/>
      <c r="CD27" s="466"/>
      <c r="CE27" s="466"/>
      <c r="CF27" s="466"/>
      <c r="CG27" s="466"/>
      <c r="CH27" s="466"/>
      <c r="CI27" s="466"/>
      <c r="CJ27" s="466"/>
      <c r="CK27" s="466"/>
      <c r="CL27" s="466"/>
      <c r="CM27" s="466"/>
      <c r="CN27" s="466"/>
      <c r="CO27" s="466"/>
      <c r="CP27" s="466"/>
      <c r="CQ27" s="466"/>
      <c r="CR27" s="466"/>
      <c r="CS27" s="466"/>
      <c r="CT27" s="466"/>
      <c r="CU27" s="466"/>
      <c r="CV27" s="466"/>
      <c r="CW27" s="466"/>
      <c r="CX27" s="466"/>
      <c r="CY27" s="466"/>
      <c r="CZ27" s="466"/>
      <c r="DA27" s="466"/>
      <c r="DB27" s="466"/>
      <c r="DC27" s="466"/>
      <c r="DD27" s="466"/>
      <c r="DE27" s="466"/>
      <c r="DF27" s="466"/>
      <c r="DG27" s="466"/>
      <c r="DH27" s="466"/>
      <c r="DI27" s="466"/>
      <c r="DJ27" s="466"/>
      <c r="DK27" s="466"/>
      <c r="DL27" s="466"/>
      <c r="DM27" s="466"/>
      <c r="DN27" s="466"/>
      <c r="DO27" s="466"/>
      <c r="DP27" s="466"/>
      <c r="DQ27" s="466"/>
      <c r="DR27" s="466"/>
      <c r="DS27" s="466"/>
      <c r="DT27" s="466"/>
      <c r="DU27" s="466"/>
      <c r="DV27" s="466"/>
      <c r="DW27" s="466"/>
      <c r="DX27" s="466"/>
      <c r="DY27" s="466"/>
      <c r="DZ27" s="466"/>
      <c r="EA27" s="466"/>
      <c r="EB27" s="466"/>
      <c r="EC27" s="466"/>
      <c r="ED27" s="466"/>
      <c r="EE27" s="466"/>
      <c r="EF27" s="466"/>
      <c r="EG27" s="466"/>
      <c r="EH27" s="466"/>
      <c r="EI27" s="466"/>
      <c r="EJ27" s="466"/>
      <c r="EK27" s="466"/>
      <c r="EL27" s="466"/>
      <c r="EM27" s="466"/>
      <c r="EN27" s="466"/>
    </row>
    <row r="28" spans="2:144" outlineLevel="1">
      <c r="C28" s="151" t="s">
        <v>72</v>
      </c>
      <c r="D28" s="771">
        <f>SUMIF($C$4:$C$18,B27,$H$4:$H$18)</f>
        <v>2136331050.5165212</v>
      </c>
      <c r="E28" s="44"/>
      <c r="F28" s="44"/>
      <c r="G28" s="44"/>
      <c r="H28" s="44">
        <f>IF(H25=D27,D28,0)</f>
        <v>0</v>
      </c>
      <c r="I28" s="44">
        <f>IF(I25=D27,D28,0)</f>
        <v>0</v>
      </c>
      <c r="J28" s="44">
        <f>IF(J25=D27,D28,0)</f>
        <v>0</v>
      </c>
      <c r="K28" s="44">
        <f>IF(K25=D27,D28,0)</f>
        <v>0</v>
      </c>
      <c r="L28" s="44">
        <f>IF(L25=D27,D28,0)</f>
        <v>0</v>
      </c>
      <c r="M28" s="44">
        <f>IF(M25=D27,D28,0)</f>
        <v>0</v>
      </c>
      <c r="N28" s="44">
        <f>IF(N25=D27,D28,0)</f>
        <v>0</v>
      </c>
      <c r="O28" s="44">
        <f>IF(O25=D27,D28,0)</f>
        <v>0</v>
      </c>
      <c r="P28" s="44">
        <f>IF(P25=D27,D28,0)</f>
        <v>0</v>
      </c>
      <c r="Q28" s="44">
        <f>IF(Q25=D27,D28,0)</f>
        <v>0</v>
      </c>
      <c r="R28" s="44">
        <f>IF(R25=D27,D28,0)</f>
        <v>0</v>
      </c>
      <c r="S28" s="44">
        <f>IF(S25=D27,D28,0)</f>
        <v>0</v>
      </c>
      <c r="T28" s="44">
        <f>IF(T25=D27,D28,0)</f>
        <v>0</v>
      </c>
      <c r="U28" s="44">
        <f>IF(U25=D27,D28,0)</f>
        <v>0</v>
      </c>
      <c r="V28" s="44">
        <f>IF(V25=D27,D28,0)</f>
        <v>0</v>
      </c>
      <c r="W28" s="44">
        <f>IF(W25=D27,D28,0)</f>
        <v>0</v>
      </c>
      <c r="X28" s="44">
        <f>IF(X25=D27,D28,0)</f>
        <v>0</v>
      </c>
      <c r="Y28" s="44">
        <f>IF(Y25=D27,D28,0)</f>
        <v>0</v>
      </c>
      <c r="Z28" s="44">
        <f>IF(Z25=D27,D28,0)</f>
        <v>2136331050.5165212</v>
      </c>
      <c r="AA28" s="44">
        <f>IF(AA25=D27,D28,0)</f>
        <v>0</v>
      </c>
      <c r="AB28" s="44">
        <f>IF(AB25=D27,D28,0)</f>
        <v>0</v>
      </c>
      <c r="AC28" s="44">
        <f>IF(AC25=D27,D28,0)</f>
        <v>0</v>
      </c>
      <c r="AD28" s="44">
        <f>IF(AD25=D27,D28,0)</f>
        <v>0</v>
      </c>
      <c r="AE28" s="44">
        <f>IF(AE25=D27,D28,0)</f>
        <v>0</v>
      </c>
      <c r="AF28" s="44">
        <f>IF(AF25=D27,D28,0)</f>
        <v>0</v>
      </c>
      <c r="AG28" s="44">
        <f>IF(AG25=D27,D28,0)</f>
        <v>0</v>
      </c>
      <c r="AH28" s="44">
        <f>IF(AH25=D27,D28,0)</f>
        <v>0</v>
      </c>
      <c r="AI28" s="44">
        <f>IF(AI25=D27,D28,0)</f>
        <v>0</v>
      </c>
      <c r="AJ28" s="44">
        <f>IF(AJ25=D27,D28,0)</f>
        <v>0</v>
      </c>
      <c r="AK28" s="44">
        <f>IF(AK25=D27,D28,0)</f>
        <v>0</v>
      </c>
      <c r="AL28" s="44">
        <f>IF(AL25=D27,D28,0)</f>
        <v>0</v>
      </c>
      <c r="AM28" s="44">
        <f>IF(AM25=D27,D28,0)</f>
        <v>0</v>
      </c>
      <c r="AN28" s="44">
        <f>IF(AN25=D27,D28,0)</f>
        <v>0</v>
      </c>
      <c r="AO28" s="44">
        <f>IF(AO25=D27,D28,0)</f>
        <v>0</v>
      </c>
      <c r="AP28" s="44">
        <f>IF(AP25=D27,D28,0)</f>
        <v>0</v>
      </c>
      <c r="AQ28" s="44">
        <f>IF(AQ25=D27,D28,0)</f>
        <v>0</v>
      </c>
      <c r="AR28" s="44">
        <f>IF(AR25=D27,D28,0)</f>
        <v>0</v>
      </c>
      <c r="AS28" s="44">
        <f>IF(AS25=D27,D28,0)</f>
        <v>0</v>
      </c>
      <c r="AT28" s="44">
        <f>IF(AT25=D27,D28,0)</f>
        <v>0</v>
      </c>
      <c r="AU28" s="44">
        <f>IF(AU25=D27,D28,0)</f>
        <v>0</v>
      </c>
      <c r="AV28" s="44">
        <f>IF(AV25=D27,D28,0)</f>
        <v>0</v>
      </c>
      <c r="AW28" s="44">
        <f>IF(AW25=D27,D28,0)</f>
        <v>0</v>
      </c>
      <c r="AX28" s="44">
        <f>IF(AX25=D27,D28,0)</f>
        <v>0</v>
      </c>
      <c r="AY28" s="44">
        <f>IF(AY25=D27,D28,0)</f>
        <v>0</v>
      </c>
      <c r="AZ28" s="44">
        <f>IF(AZ25=D27,D28,0)</f>
        <v>0</v>
      </c>
      <c r="BA28" s="44">
        <f>IF(BA25=D27,D28,0)</f>
        <v>0</v>
      </c>
      <c r="BB28" s="44">
        <f>IF(BB25=D27,D28,0)</f>
        <v>0</v>
      </c>
      <c r="BC28" s="44">
        <f>IF(BC25=D27,D28,0)</f>
        <v>0</v>
      </c>
      <c r="BD28" s="44">
        <f>IF(BD25=D27,D28,0)</f>
        <v>0</v>
      </c>
      <c r="BE28" s="44">
        <f>IF(BE25=D27,D28,0)</f>
        <v>0</v>
      </c>
      <c r="BF28" s="44">
        <f>IF(BF25=D27,D28,0)</f>
        <v>0</v>
      </c>
      <c r="BG28" s="44">
        <f>IF(BG25=D27,D28,0)</f>
        <v>0</v>
      </c>
      <c r="BH28" s="44">
        <f>IF(BH25=D27,D28,0)</f>
        <v>0</v>
      </c>
      <c r="BI28" s="44">
        <f>IF(BI25=D27,D28,0)</f>
        <v>0</v>
      </c>
      <c r="BJ28" s="44">
        <f>IF(BJ25=D27,D28,0)</f>
        <v>0</v>
      </c>
      <c r="BK28" s="44">
        <f>IF(BK25=D27,D28,0)</f>
        <v>0</v>
      </c>
      <c r="BL28" s="44">
        <f>IF(BL25=D27,D28,0)</f>
        <v>0</v>
      </c>
      <c r="BM28" s="44">
        <f>IF(BM25=D27,D28,0)</f>
        <v>0</v>
      </c>
      <c r="BN28" s="44">
        <f>IF(BN25=D27,D28,0)</f>
        <v>0</v>
      </c>
      <c r="BO28" s="44">
        <f>IF(BO25=D27,D28,0)</f>
        <v>0</v>
      </c>
      <c r="BP28" s="44">
        <f>IF(BP25=D27,D28,0)</f>
        <v>0</v>
      </c>
      <c r="BQ28" s="44">
        <f>IF(BQ25=D27,D28,0)</f>
        <v>0</v>
      </c>
      <c r="BR28" s="44">
        <f>IF(BR25=D27,D28,0)</f>
        <v>0</v>
      </c>
      <c r="BS28" s="44">
        <f>IF(BS25=D27,D28,0)</f>
        <v>0</v>
      </c>
      <c r="BT28" s="44">
        <f>IF(BT25=D27,D28,0)</f>
        <v>0</v>
      </c>
      <c r="BU28" s="44">
        <f>IF(BU25=D27,D28,0)</f>
        <v>0</v>
      </c>
      <c r="BV28" s="44">
        <f>IF(BV25=D27,D28,0)</f>
        <v>0</v>
      </c>
      <c r="BW28" s="44">
        <f>IF(BW25=D27,D28,0)</f>
        <v>0</v>
      </c>
      <c r="BX28" s="44">
        <f>IF(BX25=D27,D28,0)</f>
        <v>0</v>
      </c>
      <c r="BY28" s="44">
        <f>IF(BY25=D27,D28,0)</f>
        <v>0</v>
      </c>
      <c r="BZ28" s="44">
        <f>IF(BZ25=D27,D28,0)</f>
        <v>0</v>
      </c>
      <c r="CA28" s="44">
        <f>IF(CA25=D27,D28,0)</f>
        <v>0</v>
      </c>
      <c r="CB28" s="44">
        <f>IF(CB25=D27,D28,0)</f>
        <v>0</v>
      </c>
      <c r="CC28" s="44">
        <f>IF(CC25=D27,D28,0)</f>
        <v>0</v>
      </c>
      <c r="CD28" s="44">
        <f>IF(CD25=D27,D28,0)</f>
        <v>0</v>
      </c>
      <c r="CE28" s="44">
        <f>IF(CE25=D27,D28,0)</f>
        <v>0</v>
      </c>
      <c r="CF28" s="44">
        <f>IF(CF25=D27,D28,0)</f>
        <v>0</v>
      </c>
      <c r="CG28" s="44">
        <f>IF(CG25=D27,D28,0)</f>
        <v>0</v>
      </c>
      <c r="CH28" s="44">
        <f>IF(CH25=D27,D28,0)</f>
        <v>0</v>
      </c>
      <c r="CI28" s="44">
        <f>IF(CI25=D27,D28,0)</f>
        <v>0</v>
      </c>
      <c r="CJ28" s="44">
        <f>IF(CJ25=D27,D28,0)</f>
        <v>0</v>
      </c>
      <c r="CK28" s="44">
        <f>IF(CK25=D27,D28,0)</f>
        <v>0</v>
      </c>
      <c r="CL28" s="44">
        <f>IF(CL25=D27,D28,0)</f>
        <v>0</v>
      </c>
      <c r="CM28" s="44">
        <f>IF(CM25=D27,D28,0)</f>
        <v>0</v>
      </c>
      <c r="CN28" s="44">
        <f>IF(CN25=D27,D28,0)</f>
        <v>0</v>
      </c>
      <c r="CO28" s="44">
        <f>IF(CO25=D27,D28,0)</f>
        <v>0</v>
      </c>
      <c r="CP28" s="44">
        <f>IF(CP25=D27,D28,0)</f>
        <v>0</v>
      </c>
      <c r="CQ28" s="44">
        <f>IF(CQ25=D27,D28,0)</f>
        <v>0</v>
      </c>
      <c r="CR28" s="44">
        <f>IF(CR25=D27,D28,0)</f>
        <v>0</v>
      </c>
      <c r="CS28" s="44">
        <f>IF(CS25=D27,D28,0)</f>
        <v>0</v>
      </c>
      <c r="CT28" s="44">
        <f>IF(CT25=D27,D28,0)</f>
        <v>0</v>
      </c>
      <c r="CU28" s="44">
        <f>IF(CU25=D27,D28,0)</f>
        <v>0</v>
      </c>
      <c r="CV28" s="44">
        <f>IF(CV25=D27,D28,0)</f>
        <v>0</v>
      </c>
      <c r="CW28" s="44">
        <f>IF(CW25=D27,D28,0)</f>
        <v>0</v>
      </c>
      <c r="CX28" s="44">
        <f>IF(CX25=D27,D28,0)</f>
        <v>0</v>
      </c>
      <c r="CY28" s="44">
        <f>IF(CY25=D27,D28,0)</f>
        <v>0</v>
      </c>
      <c r="CZ28" s="44">
        <f>IF(CZ25=D27,D28,0)</f>
        <v>0</v>
      </c>
      <c r="DA28" s="44">
        <f>IF(DA25=D27,D28,0)</f>
        <v>0</v>
      </c>
      <c r="DB28" s="44">
        <f>IF(DB25=D27,D28,0)</f>
        <v>0</v>
      </c>
      <c r="DC28" s="44">
        <f>IF(DC25=D27,D28,0)</f>
        <v>0</v>
      </c>
      <c r="DD28" s="44">
        <f>IF(DD25=D27,D28,0)</f>
        <v>0</v>
      </c>
      <c r="DE28" s="44">
        <f>IF(DE25=D27,D28,0)</f>
        <v>0</v>
      </c>
      <c r="DF28" s="44">
        <f>IF(DF25=D27,D28,0)</f>
        <v>0</v>
      </c>
      <c r="DG28" s="44">
        <f>IF(DG25=D27,D28,0)</f>
        <v>0</v>
      </c>
      <c r="DH28" s="44">
        <f>IF(DH25=D27,D28,0)</f>
        <v>0</v>
      </c>
      <c r="DI28" s="44">
        <f>IF(DI25=D27,D28,0)</f>
        <v>0</v>
      </c>
      <c r="DJ28" s="44">
        <f>IF(DJ25=D27,D28,0)</f>
        <v>0</v>
      </c>
      <c r="DK28" s="44">
        <f>IF(DK25=D27,D28,0)</f>
        <v>0</v>
      </c>
      <c r="DL28" s="44">
        <f>IF(DL25=D27,D28,0)</f>
        <v>0</v>
      </c>
      <c r="DM28" s="44">
        <f>IF(DM25=D27,D28,0)</f>
        <v>0</v>
      </c>
      <c r="DN28" s="44">
        <f>IF(DN25=D27,D28,0)</f>
        <v>0</v>
      </c>
      <c r="DO28" s="44">
        <f>IF(DO25=D27,D28,0)</f>
        <v>0</v>
      </c>
      <c r="DP28" s="44">
        <f>IF(DP25=D27,D28,0)</f>
        <v>0</v>
      </c>
      <c r="DQ28" s="44">
        <f>IF(DQ25=D27,D28,0)</f>
        <v>0</v>
      </c>
      <c r="DR28" s="44">
        <f>IF(DR25=D27,D28,0)</f>
        <v>0</v>
      </c>
      <c r="DS28" s="44">
        <f>IF(DS25=D27,D28,0)</f>
        <v>0</v>
      </c>
      <c r="DT28" s="44">
        <f>IF(DT25=D27,D28,0)</f>
        <v>0</v>
      </c>
      <c r="DU28" s="44">
        <f>IF(DU25=D27,D28,0)</f>
        <v>0</v>
      </c>
      <c r="DV28" s="44">
        <f>IF(DV25=D27,D28,0)</f>
        <v>0</v>
      </c>
      <c r="DW28" s="44">
        <f>IF(DW25=D27,D28,0)</f>
        <v>0</v>
      </c>
      <c r="DX28" s="44">
        <f>IF(DX25=D27,D28,0)</f>
        <v>0</v>
      </c>
      <c r="DY28" s="44">
        <f>IF(DY25=D27,D28,0)</f>
        <v>0</v>
      </c>
      <c r="DZ28" s="44">
        <f>IF(DZ25=D27,D28,0)</f>
        <v>0</v>
      </c>
      <c r="EA28" s="44">
        <f>IF(EA25=D27,D28,0)</f>
        <v>0</v>
      </c>
      <c r="EB28" s="44">
        <f>IF(EB25=D27,D28,0)</f>
        <v>0</v>
      </c>
      <c r="EC28" s="44">
        <f>IF(EC25=D27,D28,0)</f>
        <v>0</v>
      </c>
      <c r="ED28" s="44">
        <f>IF(ED25=D27,D28,0)</f>
        <v>0</v>
      </c>
      <c r="EE28" s="44">
        <f>IF(EE25=D27,D28,0)</f>
        <v>0</v>
      </c>
      <c r="EF28" s="44">
        <f>IF(EF25=D27,D28,0)</f>
        <v>0</v>
      </c>
      <c r="EG28" s="44">
        <f>IF(EG25=D27,D28,0)</f>
        <v>0</v>
      </c>
      <c r="EH28" s="44">
        <f>IF(EH25=D27,D28,0)</f>
        <v>0</v>
      </c>
      <c r="EI28" s="44">
        <f t="shared" ref="EI28:EN28" si="12">IF(EI25=E27,E28,0)</f>
        <v>0</v>
      </c>
      <c r="EJ28" s="44">
        <f t="shared" si="12"/>
        <v>0</v>
      </c>
      <c r="EK28" s="44">
        <f t="shared" si="12"/>
        <v>0</v>
      </c>
      <c r="EL28" s="44">
        <f t="shared" si="12"/>
        <v>0</v>
      </c>
      <c r="EM28" s="44">
        <f t="shared" si="12"/>
        <v>0</v>
      </c>
      <c r="EN28" s="44">
        <f t="shared" si="12"/>
        <v>0</v>
      </c>
    </row>
    <row r="29" spans="2:144" outlineLevel="1">
      <c r="C29" s="151" t="s">
        <v>73</v>
      </c>
      <c r="D29" s="45"/>
      <c r="E29" s="44"/>
      <c r="F29" s="44"/>
      <c r="G29" s="44"/>
      <c r="H29" s="44">
        <f>(IF(H25=D27,H28,G31))</f>
        <v>0</v>
      </c>
      <c r="I29" s="44">
        <f>(IF(I25=D27,I28,H31))</f>
        <v>0</v>
      </c>
      <c r="J29" s="44">
        <f>(IF(J25=D27,J28,I31))</f>
        <v>0</v>
      </c>
      <c r="K29" s="44">
        <f>(IF(K25=D27,K28,J31))</f>
        <v>0</v>
      </c>
      <c r="L29" s="44">
        <f>(IF(L25=D27,L28,K31))</f>
        <v>0</v>
      </c>
      <c r="M29" s="44">
        <f>(IF(M25=D27,M28,L31))</f>
        <v>0</v>
      </c>
      <c r="N29" s="44">
        <f>(IF(N25=D27,N28,M31))</f>
        <v>0</v>
      </c>
      <c r="O29" s="44">
        <f>(IF(O25=D27,O28,N31))</f>
        <v>0</v>
      </c>
      <c r="P29" s="44">
        <f>(IF(P25=D27,P28,O31))</f>
        <v>0</v>
      </c>
      <c r="Q29" s="44">
        <f>(IF(Q25=D27,Q28,P31))</f>
        <v>0</v>
      </c>
      <c r="R29" s="44">
        <f>(IF(R25=D27,R28,Q31))</f>
        <v>0</v>
      </c>
      <c r="S29" s="44">
        <f>(IF(S25=D27,S28,R31))</f>
        <v>0</v>
      </c>
      <c r="T29" s="44">
        <f>(IF(T25=D27,T28,S31))</f>
        <v>0</v>
      </c>
      <c r="U29" s="44">
        <f>(IF(U25=D27,U28,T31))</f>
        <v>0</v>
      </c>
      <c r="V29" s="44">
        <f>(IF(V25=D27,V28,U31))</f>
        <v>0</v>
      </c>
      <c r="W29" s="44">
        <f>(IF(W25=D27,W28,V31))</f>
        <v>0</v>
      </c>
      <c r="X29" s="44">
        <f>(IF(X25=D27,X28,W31))</f>
        <v>0</v>
      </c>
      <c r="Y29" s="44">
        <f>(IF(Y25=D27,Y28,X31))</f>
        <v>0</v>
      </c>
      <c r="Z29" s="44">
        <f>(IF(Z25=D27,Z28,Y31))</f>
        <v>2136331050.5165212</v>
      </c>
      <c r="AA29" s="44">
        <f>(IF(AA25=D27,AA28,Z31))</f>
        <v>2118528291.7622168</v>
      </c>
      <c r="AB29" s="44">
        <f>(IF(AB25=D27,AB28,AA31))</f>
        <v>2100725533.0079124</v>
      </c>
      <c r="AC29" s="44">
        <f>(IF(AC25=D27,AC28,AB31))</f>
        <v>2082922774.253608</v>
      </c>
      <c r="AD29" s="44">
        <f>(IF(AD25=D27,AD28,AC31))</f>
        <v>2065120015.4993036</v>
      </c>
      <c r="AE29" s="44">
        <f>(IF(AE25=D27,AE28,AD31))</f>
        <v>2047317256.7449992</v>
      </c>
      <c r="AF29" s="44">
        <f>(IF(AF25=D27,AF28,AE31))</f>
        <v>2029514497.9906948</v>
      </c>
      <c r="AG29" s="44">
        <f>(IF(AG25=D27,AG28,AF31))</f>
        <v>2011711739.2363904</v>
      </c>
      <c r="AH29" s="44">
        <f>(IF(AH25=D27,AH28,AG31))</f>
        <v>1993908980.4820859</v>
      </c>
      <c r="AI29" s="44">
        <f>(IF(AI25=D27,AI28,AH31))</f>
        <v>1976106221.7277815</v>
      </c>
      <c r="AJ29" s="44">
        <f>(IF(AJ25=D27,AJ28,AI31))</f>
        <v>1958303462.9734771</v>
      </c>
      <c r="AK29" s="44">
        <f>(IF(AK25=D27,AK28,AJ31))</f>
        <v>1940500704.2191727</v>
      </c>
      <c r="AL29" s="44">
        <f>(IF(AL25=D27,AL28,AK31))</f>
        <v>1922697945.4648683</v>
      </c>
      <c r="AM29" s="44">
        <f>(IF(AM25=D27,AM28,AL31))</f>
        <v>1904895186.7105639</v>
      </c>
      <c r="AN29" s="44">
        <f>(IF(AN25=D27,AN28,AM31))</f>
        <v>1887092427.9562595</v>
      </c>
      <c r="AO29" s="44">
        <f>(IF(AO25=D27,AO28,AN31))</f>
        <v>1869289669.2019551</v>
      </c>
      <c r="AP29" s="44">
        <f>(IF(AP25=D27,AP28,AO31))</f>
        <v>1851486910.4476507</v>
      </c>
      <c r="AQ29" s="44">
        <f>(IF(AQ25=D27,AQ28,AP31))</f>
        <v>1833684151.6933463</v>
      </c>
      <c r="AR29" s="44">
        <f>(IF(AR25=D27,AR28,AQ31))</f>
        <v>1815881392.9390419</v>
      </c>
      <c r="AS29" s="44">
        <f>(IF(AS25=D27,AS28,AR31))</f>
        <v>1798078634.1847374</v>
      </c>
      <c r="AT29" s="44">
        <f>(IF(AT25=D27,AT28,AS31))</f>
        <v>1780275875.430433</v>
      </c>
      <c r="AU29" s="44">
        <f>(IF(AU25=D27,AU28,AT31))</f>
        <v>1762473116.6761286</v>
      </c>
      <c r="AV29" s="44">
        <f>(IF(AV25=D27,AV28,AU31))</f>
        <v>1744670357.9218242</v>
      </c>
      <c r="AW29" s="44">
        <f>(IF(AW25=D27,AW28,AV31))</f>
        <v>1726867599.1675198</v>
      </c>
      <c r="AX29" s="44">
        <f>(IF(AX25=D27,AX28,AW31))</f>
        <v>1709064840.4132154</v>
      </c>
      <c r="AY29" s="44">
        <f>(IF(AY25=D27,AY28,AX31))</f>
        <v>1691262081.658911</v>
      </c>
      <c r="AZ29" s="44">
        <f>(IF(AZ25=D27,AZ28,AY31))</f>
        <v>1673459322.9046066</v>
      </c>
      <c r="BA29" s="44">
        <f>(IF(BA25=D27,BA28,AZ31))</f>
        <v>1655656564.1503022</v>
      </c>
      <c r="BB29" s="44">
        <f>(IF(BB25=D27,BB28,BA31))</f>
        <v>1637853805.3959978</v>
      </c>
      <c r="BC29" s="44">
        <f>(IF(BC25=D27,BC28,BB31))</f>
        <v>1620051046.6416934</v>
      </c>
      <c r="BD29" s="44">
        <f>(IF(BD25=D27,BD28,BC31))</f>
        <v>1602248287.8873889</v>
      </c>
      <c r="BE29" s="44">
        <f>(IF(BE25=D27,BE28,BD31))</f>
        <v>1584445529.1330845</v>
      </c>
      <c r="BF29" s="44">
        <f>(IF(BF25=D27,BF28,BE31))</f>
        <v>1566642770.3787801</v>
      </c>
      <c r="BG29" s="44">
        <f>(IF(BG25=D27,BG28,BF31))</f>
        <v>1548840011.6244757</v>
      </c>
      <c r="BH29" s="44">
        <f>(IF(BH25=D27,BH28,BG31))</f>
        <v>1531037252.8701713</v>
      </c>
      <c r="BI29" s="44">
        <f>(IF(BI25=D27,BI28,BH31))</f>
        <v>1513234494.1158669</v>
      </c>
      <c r="BJ29" s="44">
        <f>(IF(BJ25=D27,BJ28,BI31))</f>
        <v>1495431735.3615625</v>
      </c>
      <c r="BK29" s="44">
        <f>(IF(BK25=D27,BK28,BJ31))</f>
        <v>1477628976.6072581</v>
      </c>
      <c r="BL29" s="44">
        <f>(IF(BL25=D27,BL28,BK31))</f>
        <v>1459826217.8529537</v>
      </c>
      <c r="BM29" s="44">
        <f>(IF(BM25=D27,BM28,BL31))</f>
        <v>1442023459.0986493</v>
      </c>
      <c r="BN29" s="44">
        <f>(IF(BN25=D27,BN28,BM31))</f>
        <v>1424220700.3443449</v>
      </c>
      <c r="BO29" s="44">
        <f>(IF(BO25=D27,BO28,BN31))</f>
        <v>1406417941.5900404</v>
      </c>
      <c r="BP29" s="44">
        <f>(IF(BP25=D27,BP28,BO31))</f>
        <v>1388615182.835736</v>
      </c>
      <c r="BQ29" s="44">
        <f>(IF(BQ25=D27,BQ28,BP31))</f>
        <v>1370812424.0814316</v>
      </c>
      <c r="BR29" s="44">
        <f>(IF(BR25=D27,BR28,BQ31))</f>
        <v>1353009665.3271272</v>
      </c>
      <c r="BS29" s="44">
        <f>(IF(BS25=D27,BS28,BR31))</f>
        <v>1335206906.5728228</v>
      </c>
      <c r="BT29" s="44">
        <f>(IF(BT25=D27,BT28,BS31))</f>
        <v>1317404147.8185184</v>
      </c>
      <c r="BU29" s="44">
        <f>(IF(BU25=D27,BU28,BT31))</f>
        <v>1299601389.064214</v>
      </c>
      <c r="BV29" s="44">
        <f>(IF(BV25=D27,BV28,BU31))</f>
        <v>1281798630.3099096</v>
      </c>
      <c r="BW29" s="44">
        <f>(IF(BW25=D27,BW28,BV31))</f>
        <v>1263995871.5556052</v>
      </c>
      <c r="BX29" s="44">
        <f>(IF(BX25=D27,BX28,BW31))</f>
        <v>1246193112.8013008</v>
      </c>
      <c r="BY29" s="44">
        <f>(IF(BY25=D27,BY28,BX31))</f>
        <v>1228390354.0469964</v>
      </c>
      <c r="BZ29" s="44">
        <f>(IF(BZ25=D27,BZ28,BY31))</f>
        <v>1210587595.2926919</v>
      </c>
      <c r="CA29" s="44">
        <f>(IF(CA25=D27,CA28,BZ31))</f>
        <v>1192784836.5383875</v>
      </c>
      <c r="CB29" s="44">
        <f>(IF(CB25=D27,CB28,CA31))</f>
        <v>1174982077.7840831</v>
      </c>
      <c r="CC29" s="44">
        <f>(IF(CC25=D27,CC28,CB31))</f>
        <v>1157179319.0297787</v>
      </c>
      <c r="CD29" s="44">
        <f>(IF(CD25=D27,CD28,CC31))</f>
        <v>1139376560.2754743</v>
      </c>
      <c r="CE29" s="44">
        <f>(IF(CE25=D27,CE28,CD31))</f>
        <v>1121573801.5211699</v>
      </c>
      <c r="CF29" s="44">
        <f>(IF(CF25=D27,CF28,CE31))</f>
        <v>1103771042.7668655</v>
      </c>
      <c r="CG29" s="44">
        <f>(IF(CG25=D27,CG28,CF31))</f>
        <v>1085968284.0125611</v>
      </c>
      <c r="CH29" s="44">
        <f>(IF(CH25=D27,CH28,CG31))</f>
        <v>1068165525.2582568</v>
      </c>
      <c r="CI29" s="44">
        <f>(IF(CI25=D27,CI28,CH31))</f>
        <v>1050362766.5039525</v>
      </c>
      <c r="CJ29" s="44">
        <f>(IF(CJ25=D27,CJ28,CI31))</f>
        <v>1032560007.7496482</v>
      </c>
      <c r="CK29" s="44">
        <f>(IF(CK25=D27,CK28,CJ31))</f>
        <v>1014757248.9953439</v>
      </c>
      <c r="CL29" s="44">
        <f>(IF(CL25=D27,CL28,CK31))</f>
        <v>996954490.24103963</v>
      </c>
      <c r="CM29" s="44">
        <f>(IF(CM25=D27,CM28,CL31))</f>
        <v>979151731.48673534</v>
      </c>
      <c r="CN29" s="44">
        <f>(IF(CN25=D27,CN28,CM31))</f>
        <v>961348972.73243105</v>
      </c>
      <c r="CO29" s="44">
        <f>(IF(CO25=D27,CO28,CN31))</f>
        <v>943546213.97812676</v>
      </c>
      <c r="CP29" s="44">
        <f>(IF(CP25=D27,CP28,CO31))</f>
        <v>925743455.22382247</v>
      </c>
      <c r="CQ29" s="44">
        <f>(IF(CQ25=D27,CQ28,CP31))</f>
        <v>907940696.46951818</v>
      </c>
      <c r="CR29" s="44">
        <f>(IF(CR25=D27,CR28,CQ31))</f>
        <v>890137937.71521389</v>
      </c>
      <c r="CS29" s="44">
        <f>(IF(CS25=D27,CS28,CR31))</f>
        <v>872335178.96090961</v>
      </c>
      <c r="CT29" s="44">
        <f>(IF(CT25=D27,CT28,CS31))</f>
        <v>854532420.20660532</v>
      </c>
      <c r="CU29" s="44">
        <f>(IF(CU25=D27,CU28,CT31))</f>
        <v>836729661.45230103</v>
      </c>
      <c r="CV29" s="44">
        <f>(IF(CV25=D27,CV28,CU31))</f>
        <v>818926902.69799674</v>
      </c>
      <c r="CW29" s="44">
        <f>(IF(CW25=D27,CW28,CV31))</f>
        <v>801124143.94369245</v>
      </c>
      <c r="CX29" s="44">
        <f>(IF(CX25=D27,CX28,CW31))</f>
        <v>783321385.18938816</v>
      </c>
      <c r="CY29" s="44">
        <f>(IF(CY25=D27,CY28,CX31))</f>
        <v>765518626.43508387</v>
      </c>
      <c r="CZ29" s="44">
        <f>(IF(CZ25=D27,CZ28,CY31))</f>
        <v>747715867.68077958</v>
      </c>
      <c r="DA29" s="44">
        <f>(IF(DA25=D27,DA28,CZ31))</f>
        <v>729913108.92647529</v>
      </c>
      <c r="DB29" s="44">
        <f>(IF(DB25=D27,DB28,DA31))</f>
        <v>712110350.172171</v>
      </c>
      <c r="DC29" s="44">
        <f>(IF(DC25=D27,DC28,DB31))</f>
        <v>694307591.41786671</v>
      </c>
      <c r="DD29" s="44">
        <f>(IF(DD25=D27,DD28,DC31))</f>
        <v>676504832.66356242</v>
      </c>
      <c r="DE29" s="44">
        <f>(IF(DE25=D27,DE28,DD31))</f>
        <v>658702073.90925813</v>
      </c>
      <c r="DF29" s="44">
        <f>(IF(DF25=D27,DF28,DE31))</f>
        <v>640899315.15495384</v>
      </c>
      <c r="DG29" s="44">
        <f>(IF(DG25=D27,DG28,DF31))</f>
        <v>623096556.40064955</v>
      </c>
      <c r="DH29" s="44">
        <f>(IF(DH25=D27,DH28,DG31))</f>
        <v>605293797.64634526</v>
      </c>
      <c r="DI29" s="44">
        <f>(IF(DI25=D27,DI28,DH31))</f>
        <v>587491038.89204097</v>
      </c>
      <c r="DJ29" s="44">
        <f>(IF(DJ25=D27,DJ28,DI31))</f>
        <v>569688280.13773668</v>
      </c>
      <c r="DK29" s="44">
        <f>(IF(DK25=D27,DK28,DJ31))</f>
        <v>551885521.38343239</v>
      </c>
      <c r="DL29" s="44">
        <f>(IF(DL25=D27,DL28,DK31))</f>
        <v>534082762.62912804</v>
      </c>
      <c r="DM29" s="44">
        <f>(IF(DM25=D27,DM28,DL31))</f>
        <v>516280003.87482369</v>
      </c>
      <c r="DN29" s="44">
        <f>(IF(DN25=D27,DN28,DM31))</f>
        <v>498477245.12051934</v>
      </c>
      <c r="DO29" s="44">
        <f>(IF(DO25=D27,DO28,DN31))</f>
        <v>480674486.36621499</v>
      </c>
      <c r="DP29" s="44">
        <f>(IF(DP25=D27,DP28,DO31))</f>
        <v>462871727.61191064</v>
      </c>
      <c r="DQ29" s="44">
        <f>(IF(DQ25=D27,DQ28,DP31))</f>
        <v>445068968.85760629</v>
      </c>
      <c r="DR29" s="44">
        <f>(IF(DR25=D27,DR28,DQ31))</f>
        <v>427266210.10330194</v>
      </c>
      <c r="DS29" s="44">
        <f>(IF(DS25=D27,DS28,DR31))</f>
        <v>409463451.34899759</v>
      </c>
      <c r="DT29" s="44">
        <f>(IF(DT25=D27,DT28,DS31))</f>
        <v>391660692.59469324</v>
      </c>
      <c r="DU29" s="44">
        <f>(IF(DU25=D27,DU28,DT31))</f>
        <v>373857933.84038889</v>
      </c>
      <c r="DV29" s="44">
        <f>(IF(DV25=D27,DV28,DU31))</f>
        <v>356055175.08608454</v>
      </c>
      <c r="DW29" s="44">
        <f>(IF(DW25=D27,DW28,DV31))</f>
        <v>338252416.3317802</v>
      </c>
      <c r="DX29" s="44">
        <f>(IF(DX25=D27,DX28,DW31))</f>
        <v>320449657.57747585</v>
      </c>
      <c r="DY29" s="44">
        <f>(IF(DY25=D27,DY28,DX31))</f>
        <v>302646898.8231715</v>
      </c>
      <c r="DZ29" s="44">
        <f>(IF(DZ25=D27,DZ28,DY31))</f>
        <v>284844140.06886715</v>
      </c>
      <c r="EA29" s="44">
        <f>(IF(EA25=D27,EA28,DZ31))</f>
        <v>267041381.3145628</v>
      </c>
      <c r="EB29" s="44">
        <f>(IF(EB25=D27,EB28,EA31))</f>
        <v>249238622.56025845</v>
      </c>
      <c r="EC29" s="44">
        <f>(IF(EC25=D27,EC28,EB31))</f>
        <v>231435863.8059541</v>
      </c>
      <c r="ED29" s="44">
        <f>(IF(ED25=D27,ED28,EC31))</f>
        <v>213633105.05164975</v>
      </c>
      <c r="EE29" s="44">
        <f>(IF(EE25=D27,EE28,ED31))</f>
        <v>195830346.2973454</v>
      </c>
      <c r="EF29" s="44">
        <f>(IF(EF25=D27,EF28,EE31))</f>
        <v>178027587.54304105</v>
      </c>
      <c r="EG29" s="44">
        <f>(IF(EG25=D27,EG28,EF31))</f>
        <v>160224828.7887367</v>
      </c>
      <c r="EH29" s="44">
        <f>(IF(EH25=D27,EH28,EG31))</f>
        <v>142422070.03443235</v>
      </c>
      <c r="EI29" s="44">
        <f t="shared" ref="EI29:EN29" si="13">(IF(EI25=E27,EI28,EH31))</f>
        <v>124619311.280128</v>
      </c>
      <c r="EJ29" s="44">
        <f t="shared" si="13"/>
        <v>106816552.52582365</v>
      </c>
      <c r="EK29" s="44">
        <f t="shared" si="13"/>
        <v>89013793.771519303</v>
      </c>
      <c r="EL29" s="44">
        <f t="shared" si="13"/>
        <v>71211035.017214954</v>
      </c>
      <c r="EM29" s="44">
        <f t="shared" si="13"/>
        <v>53408276.262910612</v>
      </c>
      <c r="EN29" s="44">
        <f t="shared" si="13"/>
        <v>35605517.50860627</v>
      </c>
    </row>
    <row r="30" spans="2:144" outlineLevel="1">
      <c r="B30" s="459">
        <f>SUM(H30:XX30)</f>
        <v>2118528291.7622192</v>
      </c>
      <c r="C30" s="151" t="s">
        <v>24</v>
      </c>
      <c r="D30" s="467">
        <f>SUMIF($C$4:$C$18,B27,$J$4:$J$18)</f>
        <v>30</v>
      </c>
      <c r="E30" s="468">
        <f>1/D30</f>
        <v>3.3333333333333333E-2</v>
      </c>
      <c r="F30" s="44">
        <f>D28*E30</f>
        <v>71211035.017217368</v>
      </c>
      <c r="G30" s="44"/>
      <c r="H30" s="44">
        <f>IF(H29&gt;1,$F30/4,0)</f>
        <v>0</v>
      </c>
      <c r="I30" s="44">
        <f t="shared" ref="I30:BT30" si="14">IF(I29&gt;1,$F30/4,0)</f>
        <v>0</v>
      </c>
      <c r="J30" s="44">
        <f t="shared" si="14"/>
        <v>0</v>
      </c>
      <c r="K30" s="44">
        <f t="shared" si="14"/>
        <v>0</v>
      </c>
      <c r="L30" s="44">
        <f t="shared" si="14"/>
        <v>0</v>
      </c>
      <c r="M30" s="44">
        <f t="shared" si="14"/>
        <v>0</v>
      </c>
      <c r="N30" s="44">
        <f t="shared" si="14"/>
        <v>0</v>
      </c>
      <c r="O30" s="44">
        <f t="shared" si="14"/>
        <v>0</v>
      </c>
      <c r="P30" s="44">
        <f t="shared" si="14"/>
        <v>0</v>
      </c>
      <c r="Q30" s="44">
        <f t="shared" si="14"/>
        <v>0</v>
      </c>
      <c r="R30" s="44">
        <f t="shared" si="14"/>
        <v>0</v>
      </c>
      <c r="S30" s="44">
        <f t="shared" si="14"/>
        <v>0</v>
      </c>
      <c r="T30" s="44">
        <f t="shared" si="14"/>
        <v>0</v>
      </c>
      <c r="U30" s="44">
        <f t="shared" si="14"/>
        <v>0</v>
      </c>
      <c r="V30" s="44">
        <f t="shared" si="14"/>
        <v>0</v>
      </c>
      <c r="W30" s="44">
        <f t="shared" si="14"/>
        <v>0</v>
      </c>
      <c r="X30" s="44">
        <f t="shared" si="14"/>
        <v>0</v>
      </c>
      <c r="Y30" s="44">
        <f t="shared" si="14"/>
        <v>0</v>
      </c>
      <c r="Z30" s="44">
        <f t="shared" si="14"/>
        <v>17802758.754304342</v>
      </c>
      <c r="AA30" s="44">
        <f t="shared" si="14"/>
        <v>17802758.754304342</v>
      </c>
      <c r="AB30" s="44">
        <f t="shared" si="14"/>
        <v>17802758.754304342</v>
      </c>
      <c r="AC30" s="44">
        <f t="shared" si="14"/>
        <v>17802758.754304342</v>
      </c>
      <c r="AD30" s="44">
        <f t="shared" si="14"/>
        <v>17802758.754304342</v>
      </c>
      <c r="AE30" s="44">
        <f t="shared" si="14"/>
        <v>17802758.754304342</v>
      </c>
      <c r="AF30" s="44">
        <f t="shared" si="14"/>
        <v>17802758.754304342</v>
      </c>
      <c r="AG30" s="44">
        <f t="shared" si="14"/>
        <v>17802758.754304342</v>
      </c>
      <c r="AH30" s="44">
        <f t="shared" si="14"/>
        <v>17802758.754304342</v>
      </c>
      <c r="AI30" s="44">
        <f t="shared" si="14"/>
        <v>17802758.754304342</v>
      </c>
      <c r="AJ30" s="44">
        <f t="shared" si="14"/>
        <v>17802758.754304342</v>
      </c>
      <c r="AK30" s="44">
        <f t="shared" si="14"/>
        <v>17802758.754304342</v>
      </c>
      <c r="AL30" s="44">
        <f t="shared" si="14"/>
        <v>17802758.754304342</v>
      </c>
      <c r="AM30" s="44">
        <f t="shared" si="14"/>
        <v>17802758.754304342</v>
      </c>
      <c r="AN30" s="44">
        <f t="shared" si="14"/>
        <v>17802758.754304342</v>
      </c>
      <c r="AO30" s="44">
        <f t="shared" si="14"/>
        <v>17802758.754304342</v>
      </c>
      <c r="AP30" s="44">
        <f t="shared" si="14"/>
        <v>17802758.754304342</v>
      </c>
      <c r="AQ30" s="44">
        <f t="shared" si="14"/>
        <v>17802758.754304342</v>
      </c>
      <c r="AR30" s="44">
        <f t="shared" si="14"/>
        <v>17802758.754304342</v>
      </c>
      <c r="AS30" s="44">
        <f t="shared" si="14"/>
        <v>17802758.754304342</v>
      </c>
      <c r="AT30" s="44">
        <f t="shared" si="14"/>
        <v>17802758.754304342</v>
      </c>
      <c r="AU30" s="44">
        <f t="shared" si="14"/>
        <v>17802758.754304342</v>
      </c>
      <c r="AV30" s="44">
        <f t="shared" si="14"/>
        <v>17802758.754304342</v>
      </c>
      <c r="AW30" s="44">
        <f t="shared" si="14"/>
        <v>17802758.754304342</v>
      </c>
      <c r="AX30" s="44">
        <f t="shared" si="14"/>
        <v>17802758.754304342</v>
      </c>
      <c r="AY30" s="44">
        <f t="shared" si="14"/>
        <v>17802758.754304342</v>
      </c>
      <c r="AZ30" s="44">
        <f t="shared" si="14"/>
        <v>17802758.754304342</v>
      </c>
      <c r="BA30" s="44">
        <f t="shared" si="14"/>
        <v>17802758.754304342</v>
      </c>
      <c r="BB30" s="44">
        <f t="shared" si="14"/>
        <v>17802758.754304342</v>
      </c>
      <c r="BC30" s="44">
        <f t="shared" si="14"/>
        <v>17802758.754304342</v>
      </c>
      <c r="BD30" s="44">
        <f t="shared" si="14"/>
        <v>17802758.754304342</v>
      </c>
      <c r="BE30" s="44">
        <f t="shared" si="14"/>
        <v>17802758.754304342</v>
      </c>
      <c r="BF30" s="44">
        <f t="shared" si="14"/>
        <v>17802758.754304342</v>
      </c>
      <c r="BG30" s="44">
        <f t="shared" si="14"/>
        <v>17802758.754304342</v>
      </c>
      <c r="BH30" s="44">
        <f t="shared" si="14"/>
        <v>17802758.754304342</v>
      </c>
      <c r="BI30" s="44">
        <f t="shared" si="14"/>
        <v>17802758.754304342</v>
      </c>
      <c r="BJ30" s="44">
        <f t="shared" si="14"/>
        <v>17802758.754304342</v>
      </c>
      <c r="BK30" s="44">
        <f t="shared" si="14"/>
        <v>17802758.754304342</v>
      </c>
      <c r="BL30" s="44">
        <f t="shared" si="14"/>
        <v>17802758.754304342</v>
      </c>
      <c r="BM30" s="44">
        <f t="shared" si="14"/>
        <v>17802758.754304342</v>
      </c>
      <c r="BN30" s="44">
        <f t="shared" si="14"/>
        <v>17802758.754304342</v>
      </c>
      <c r="BO30" s="44">
        <f t="shared" si="14"/>
        <v>17802758.754304342</v>
      </c>
      <c r="BP30" s="44">
        <f t="shared" si="14"/>
        <v>17802758.754304342</v>
      </c>
      <c r="BQ30" s="44">
        <f t="shared" si="14"/>
        <v>17802758.754304342</v>
      </c>
      <c r="BR30" s="44">
        <f t="shared" si="14"/>
        <v>17802758.754304342</v>
      </c>
      <c r="BS30" s="44">
        <f t="shared" si="14"/>
        <v>17802758.754304342</v>
      </c>
      <c r="BT30" s="44">
        <f t="shared" si="14"/>
        <v>17802758.754304342</v>
      </c>
      <c r="BU30" s="44">
        <f t="shared" ref="BU30:EF30" si="15">IF(BU29&gt;1,$F30/4,0)</f>
        <v>17802758.754304342</v>
      </c>
      <c r="BV30" s="44">
        <f t="shared" si="15"/>
        <v>17802758.754304342</v>
      </c>
      <c r="BW30" s="44">
        <f t="shared" si="15"/>
        <v>17802758.754304342</v>
      </c>
      <c r="BX30" s="44">
        <f t="shared" si="15"/>
        <v>17802758.754304342</v>
      </c>
      <c r="BY30" s="44">
        <f t="shared" si="15"/>
        <v>17802758.754304342</v>
      </c>
      <c r="BZ30" s="44">
        <f t="shared" si="15"/>
        <v>17802758.754304342</v>
      </c>
      <c r="CA30" s="44">
        <f t="shared" si="15"/>
        <v>17802758.754304342</v>
      </c>
      <c r="CB30" s="44">
        <f t="shared" si="15"/>
        <v>17802758.754304342</v>
      </c>
      <c r="CC30" s="44">
        <f t="shared" si="15"/>
        <v>17802758.754304342</v>
      </c>
      <c r="CD30" s="44">
        <f t="shared" si="15"/>
        <v>17802758.754304342</v>
      </c>
      <c r="CE30" s="44">
        <f t="shared" si="15"/>
        <v>17802758.754304342</v>
      </c>
      <c r="CF30" s="44">
        <f t="shared" si="15"/>
        <v>17802758.754304342</v>
      </c>
      <c r="CG30" s="44">
        <f t="shared" si="15"/>
        <v>17802758.754304342</v>
      </c>
      <c r="CH30" s="44">
        <f t="shared" si="15"/>
        <v>17802758.754304342</v>
      </c>
      <c r="CI30" s="44">
        <f t="shared" si="15"/>
        <v>17802758.754304342</v>
      </c>
      <c r="CJ30" s="44">
        <f t="shared" si="15"/>
        <v>17802758.754304342</v>
      </c>
      <c r="CK30" s="44">
        <f t="shared" si="15"/>
        <v>17802758.754304342</v>
      </c>
      <c r="CL30" s="44">
        <f t="shared" si="15"/>
        <v>17802758.754304342</v>
      </c>
      <c r="CM30" s="44">
        <f t="shared" si="15"/>
        <v>17802758.754304342</v>
      </c>
      <c r="CN30" s="44">
        <f t="shared" si="15"/>
        <v>17802758.754304342</v>
      </c>
      <c r="CO30" s="44">
        <f t="shared" si="15"/>
        <v>17802758.754304342</v>
      </c>
      <c r="CP30" s="44">
        <f t="shared" si="15"/>
        <v>17802758.754304342</v>
      </c>
      <c r="CQ30" s="44">
        <f t="shared" si="15"/>
        <v>17802758.754304342</v>
      </c>
      <c r="CR30" s="44">
        <f t="shared" si="15"/>
        <v>17802758.754304342</v>
      </c>
      <c r="CS30" s="44">
        <f t="shared" si="15"/>
        <v>17802758.754304342</v>
      </c>
      <c r="CT30" s="44">
        <f t="shared" si="15"/>
        <v>17802758.754304342</v>
      </c>
      <c r="CU30" s="44">
        <f t="shared" si="15"/>
        <v>17802758.754304342</v>
      </c>
      <c r="CV30" s="44">
        <f t="shared" si="15"/>
        <v>17802758.754304342</v>
      </c>
      <c r="CW30" s="44">
        <f t="shared" si="15"/>
        <v>17802758.754304342</v>
      </c>
      <c r="CX30" s="44">
        <f t="shared" si="15"/>
        <v>17802758.754304342</v>
      </c>
      <c r="CY30" s="44">
        <f t="shared" si="15"/>
        <v>17802758.754304342</v>
      </c>
      <c r="CZ30" s="44">
        <f t="shared" si="15"/>
        <v>17802758.754304342</v>
      </c>
      <c r="DA30" s="44">
        <f t="shared" si="15"/>
        <v>17802758.754304342</v>
      </c>
      <c r="DB30" s="44">
        <f t="shared" si="15"/>
        <v>17802758.754304342</v>
      </c>
      <c r="DC30" s="44">
        <f t="shared" si="15"/>
        <v>17802758.754304342</v>
      </c>
      <c r="DD30" s="44">
        <f t="shared" si="15"/>
        <v>17802758.754304342</v>
      </c>
      <c r="DE30" s="44">
        <f t="shared" si="15"/>
        <v>17802758.754304342</v>
      </c>
      <c r="DF30" s="44">
        <f t="shared" si="15"/>
        <v>17802758.754304342</v>
      </c>
      <c r="DG30" s="44">
        <f t="shared" si="15"/>
        <v>17802758.754304342</v>
      </c>
      <c r="DH30" s="44">
        <f t="shared" si="15"/>
        <v>17802758.754304342</v>
      </c>
      <c r="DI30" s="44">
        <f t="shared" si="15"/>
        <v>17802758.754304342</v>
      </c>
      <c r="DJ30" s="44">
        <f t="shared" si="15"/>
        <v>17802758.754304342</v>
      </c>
      <c r="DK30" s="44">
        <f t="shared" si="15"/>
        <v>17802758.754304342</v>
      </c>
      <c r="DL30" s="44">
        <f t="shared" si="15"/>
        <v>17802758.754304342</v>
      </c>
      <c r="DM30" s="44">
        <f t="shared" si="15"/>
        <v>17802758.754304342</v>
      </c>
      <c r="DN30" s="44">
        <f t="shared" si="15"/>
        <v>17802758.754304342</v>
      </c>
      <c r="DO30" s="44">
        <f t="shared" si="15"/>
        <v>17802758.754304342</v>
      </c>
      <c r="DP30" s="44">
        <f t="shared" si="15"/>
        <v>17802758.754304342</v>
      </c>
      <c r="DQ30" s="44">
        <f t="shared" si="15"/>
        <v>17802758.754304342</v>
      </c>
      <c r="DR30" s="44">
        <f t="shared" si="15"/>
        <v>17802758.754304342</v>
      </c>
      <c r="DS30" s="44">
        <f t="shared" si="15"/>
        <v>17802758.754304342</v>
      </c>
      <c r="DT30" s="44">
        <f t="shared" si="15"/>
        <v>17802758.754304342</v>
      </c>
      <c r="DU30" s="44">
        <f t="shared" si="15"/>
        <v>17802758.754304342</v>
      </c>
      <c r="DV30" s="44">
        <f t="shared" si="15"/>
        <v>17802758.754304342</v>
      </c>
      <c r="DW30" s="44">
        <f t="shared" si="15"/>
        <v>17802758.754304342</v>
      </c>
      <c r="DX30" s="44">
        <f t="shared" si="15"/>
        <v>17802758.754304342</v>
      </c>
      <c r="DY30" s="44">
        <f t="shared" si="15"/>
        <v>17802758.754304342</v>
      </c>
      <c r="DZ30" s="44">
        <f t="shared" si="15"/>
        <v>17802758.754304342</v>
      </c>
      <c r="EA30" s="44">
        <f t="shared" si="15"/>
        <v>17802758.754304342</v>
      </c>
      <c r="EB30" s="44">
        <f t="shared" si="15"/>
        <v>17802758.754304342</v>
      </c>
      <c r="EC30" s="44">
        <f t="shared" si="15"/>
        <v>17802758.754304342</v>
      </c>
      <c r="ED30" s="44">
        <f t="shared" si="15"/>
        <v>17802758.754304342</v>
      </c>
      <c r="EE30" s="44">
        <f t="shared" si="15"/>
        <v>17802758.754304342</v>
      </c>
      <c r="EF30" s="44">
        <f t="shared" si="15"/>
        <v>17802758.754304342</v>
      </c>
      <c r="EG30" s="44">
        <f t="shared" ref="EG30:EN30" si="16">IF(EG29&gt;1,$F30/4,0)</f>
        <v>17802758.754304342</v>
      </c>
      <c r="EH30" s="44">
        <f t="shared" si="16"/>
        <v>17802758.754304342</v>
      </c>
      <c r="EI30" s="44">
        <f t="shared" si="16"/>
        <v>17802758.754304342</v>
      </c>
      <c r="EJ30" s="44">
        <f t="shared" si="16"/>
        <v>17802758.754304342</v>
      </c>
      <c r="EK30" s="44">
        <f t="shared" si="16"/>
        <v>17802758.754304342</v>
      </c>
      <c r="EL30" s="44">
        <f t="shared" si="16"/>
        <v>17802758.754304342</v>
      </c>
      <c r="EM30" s="44">
        <f t="shared" si="16"/>
        <v>17802758.754304342</v>
      </c>
      <c r="EN30" s="44">
        <f t="shared" si="16"/>
        <v>17802758.754304342</v>
      </c>
    </row>
    <row r="31" spans="2:144" outlineLevel="1">
      <c r="B31" s="459">
        <f>D28-B30</f>
        <v>17802758.754302025</v>
      </c>
      <c r="C31" s="151" t="s">
        <v>74</v>
      </c>
      <c r="D31" s="44"/>
      <c r="E31" s="44"/>
      <c r="F31" s="44"/>
      <c r="G31" s="44"/>
      <c r="H31" s="44">
        <f>IF((H29-H30)&gt;0,(H29-H30),0)</f>
        <v>0</v>
      </c>
      <c r="I31" s="44">
        <f t="shared" ref="I31:BT31" si="17">IF((I29-I30)&gt;0,(I29-I30),0)</f>
        <v>0</v>
      </c>
      <c r="J31" s="44">
        <f t="shared" si="17"/>
        <v>0</v>
      </c>
      <c r="K31" s="44">
        <f t="shared" si="17"/>
        <v>0</v>
      </c>
      <c r="L31" s="44">
        <f t="shared" si="17"/>
        <v>0</v>
      </c>
      <c r="M31" s="44">
        <f t="shared" si="17"/>
        <v>0</v>
      </c>
      <c r="N31" s="44">
        <f t="shared" si="17"/>
        <v>0</v>
      </c>
      <c r="O31" s="44">
        <f t="shared" si="17"/>
        <v>0</v>
      </c>
      <c r="P31" s="44">
        <f t="shared" si="17"/>
        <v>0</v>
      </c>
      <c r="Q31" s="44">
        <f t="shared" si="17"/>
        <v>0</v>
      </c>
      <c r="R31" s="44">
        <f t="shared" si="17"/>
        <v>0</v>
      </c>
      <c r="S31" s="44">
        <f t="shared" si="17"/>
        <v>0</v>
      </c>
      <c r="T31" s="44">
        <f t="shared" si="17"/>
        <v>0</v>
      </c>
      <c r="U31" s="44">
        <f t="shared" si="17"/>
        <v>0</v>
      </c>
      <c r="V31" s="44">
        <f t="shared" si="17"/>
        <v>0</v>
      </c>
      <c r="W31" s="44">
        <f t="shared" si="17"/>
        <v>0</v>
      </c>
      <c r="X31" s="44">
        <f t="shared" si="17"/>
        <v>0</v>
      </c>
      <c r="Y31" s="44">
        <f t="shared" si="17"/>
        <v>0</v>
      </c>
      <c r="Z31" s="44">
        <f t="shared" si="17"/>
        <v>2118528291.7622168</v>
      </c>
      <c r="AA31" s="44">
        <f t="shared" si="17"/>
        <v>2100725533.0079124</v>
      </c>
      <c r="AB31" s="44">
        <f t="shared" si="17"/>
        <v>2082922774.253608</v>
      </c>
      <c r="AC31" s="44">
        <f t="shared" si="17"/>
        <v>2065120015.4993036</v>
      </c>
      <c r="AD31" s="44">
        <f t="shared" si="17"/>
        <v>2047317256.7449992</v>
      </c>
      <c r="AE31" s="44">
        <f t="shared" si="17"/>
        <v>2029514497.9906948</v>
      </c>
      <c r="AF31" s="44">
        <f t="shared" si="17"/>
        <v>2011711739.2363904</v>
      </c>
      <c r="AG31" s="44">
        <f t="shared" si="17"/>
        <v>1993908980.4820859</v>
      </c>
      <c r="AH31" s="44">
        <f t="shared" si="17"/>
        <v>1976106221.7277815</v>
      </c>
      <c r="AI31" s="44">
        <f t="shared" si="17"/>
        <v>1958303462.9734771</v>
      </c>
      <c r="AJ31" s="44">
        <f t="shared" si="17"/>
        <v>1940500704.2191727</v>
      </c>
      <c r="AK31" s="44">
        <f t="shared" si="17"/>
        <v>1922697945.4648683</v>
      </c>
      <c r="AL31" s="44">
        <f t="shared" si="17"/>
        <v>1904895186.7105639</v>
      </c>
      <c r="AM31" s="44">
        <f t="shared" si="17"/>
        <v>1887092427.9562595</v>
      </c>
      <c r="AN31" s="44">
        <f t="shared" si="17"/>
        <v>1869289669.2019551</v>
      </c>
      <c r="AO31" s="44">
        <f t="shared" si="17"/>
        <v>1851486910.4476507</v>
      </c>
      <c r="AP31" s="44">
        <f t="shared" si="17"/>
        <v>1833684151.6933463</v>
      </c>
      <c r="AQ31" s="44">
        <f t="shared" si="17"/>
        <v>1815881392.9390419</v>
      </c>
      <c r="AR31" s="44">
        <f t="shared" si="17"/>
        <v>1798078634.1847374</v>
      </c>
      <c r="AS31" s="44">
        <f t="shared" si="17"/>
        <v>1780275875.430433</v>
      </c>
      <c r="AT31" s="44">
        <f t="shared" si="17"/>
        <v>1762473116.6761286</v>
      </c>
      <c r="AU31" s="44">
        <f t="shared" si="17"/>
        <v>1744670357.9218242</v>
      </c>
      <c r="AV31" s="44">
        <f t="shared" si="17"/>
        <v>1726867599.1675198</v>
      </c>
      <c r="AW31" s="44">
        <f t="shared" si="17"/>
        <v>1709064840.4132154</v>
      </c>
      <c r="AX31" s="44">
        <f t="shared" si="17"/>
        <v>1691262081.658911</v>
      </c>
      <c r="AY31" s="44">
        <f t="shared" si="17"/>
        <v>1673459322.9046066</v>
      </c>
      <c r="AZ31" s="44">
        <f t="shared" si="17"/>
        <v>1655656564.1503022</v>
      </c>
      <c r="BA31" s="44">
        <f t="shared" si="17"/>
        <v>1637853805.3959978</v>
      </c>
      <c r="BB31" s="44">
        <f t="shared" si="17"/>
        <v>1620051046.6416934</v>
      </c>
      <c r="BC31" s="44">
        <f t="shared" si="17"/>
        <v>1602248287.8873889</v>
      </c>
      <c r="BD31" s="44">
        <f t="shared" si="17"/>
        <v>1584445529.1330845</v>
      </c>
      <c r="BE31" s="44">
        <f t="shared" si="17"/>
        <v>1566642770.3787801</v>
      </c>
      <c r="BF31" s="44">
        <f t="shared" si="17"/>
        <v>1548840011.6244757</v>
      </c>
      <c r="BG31" s="44">
        <f t="shared" si="17"/>
        <v>1531037252.8701713</v>
      </c>
      <c r="BH31" s="44">
        <f t="shared" si="17"/>
        <v>1513234494.1158669</v>
      </c>
      <c r="BI31" s="44">
        <f t="shared" si="17"/>
        <v>1495431735.3615625</v>
      </c>
      <c r="BJ31" s="44">
        <f t="shared" si="17"/>
        <v>1477628976.6072581</v>
      </c>
      <c r="BK31" s="44">
        <f t="shared" si="17"/>
        <v>1459826217.8529537</v>
      </c>
      <c r="BL31" s="44">
        <f t="shared" si="17"/>
        <v>1442023459.0986493</v>
      </c>
      <c r="BM31" s="44">
        <f t="shared" si="17"/>
        <v>1424220700.3443449</v>
      </c>
      <c r="BN31" s="44">
        <f t="shared" si="17"/>
        <v>1406417941.5900404</v>
      </c>
      <c r="BO31" s="44">
        <f t="shared" si="17"/>
        <v>1388615182.835736</v>
      </c>
      <c r="BP31" s="44">
        <f t="shared" si="17"/>
        <v>1370812424.0814316</v>
      </c>
      <c r="BQ31" s="44">
        <f t="shared" si="17"/>
        <v>1353009665.3271272</v>
      </c>
      <c r="BR31" s="44">
        <f t="shared" si="17"/>
        <v>1335206906.5728228</v>
      </c>
      <c r="BS31" s="44">
        <f t="shared" si="17"/>
        <v>1317404147.8185184</v>
      </c>
      <c r="BT31" s="44">
        <f t="shared" si="17"/>
        <v>1299601389.064214</v>
      </c>
      <c r="BU31" s="44">
        <f t="shared" ref="BU31:EF31" si="18">IF((BU29-BU30)&gt;0,(BU29-BU30),0)</f>
        <v>1281798630.3099096</v>
      </c>
      <c r="BV31" s="44">
        <f t="shared" si="18"/>
        <v>1263995871.5556052</v>
      </c>
      <c r="BW31" s="44">
        <f t="shared" si="18"/>
        <v>1246193112.8013008</v>
      </c>
      <c r="BX31" s="44">
        <f t="shared" si="18"/>
        <v>1228390354.0469964</v>
      </c>
      <c r="BY31" s="44">
        <f t="shared" si="18"/>
        <v>1210587595.2926919</v>
      </c>
      <c r="BZ31" s="44">
        <f t="shared" si="18"/>
        <v>1192784836.5383875</v>
      </c>
      <c r="CA31" s="44">
        <f t="shared" si="18"/>
        <v>1174982077.7840831</v>
      </c>
      <c r="CB31" s="44">
        <f t="shared" si="18"/>
        <v>1157179319.0297787</v>
      </c>
      <c r="CC31" s="44">
        <f t="shared" si="18"/>
        <v>1139376560.2754743</v>
      </c>
      <c r="CD31" s="44">
        <f t="shared" si="18"/>
        <v>1121573801.5211699</v>
      </c>
      <c r="CE31" s="44">
        <f t="shared" si="18"/>
        <v>1103771042.7668655</v>
      </c>
      <c r="CF31" s="44">
        <f t="shared" si="18"/>
        <v>1085968284.0125611</v>
      </c>
      <c r="CG31" s="44">
        <f t="shared" si="18"/>
        <v>1068165525.2582568</v>
      </c>
      <c r="CH31" s="44">
        <f t="shared" si="18"/>
        <v>1050362766.5039525</v>
      </c>
      <c r="CI31" s="44">
        <f t="shared" si="18"/>
        <v>1032560007.7496482</v>
      </c>
      <c r="CJ31" s="44">
        <f t="shared" si="18"/>
        <v>1014757248.9953439</v>
      </c>
      <c r="CK31" s="44">
        <f t="shared" si="18"/>
        <v>996954490.24103963</v>
      </c>
      <c r="CL31" s="44">
        <f t="shared" si="18"/>
        <v>979151731.48673534</v>
      </c>
      <c r="CM31" s="44">
        <f t="shared" si="18"/>
        <v>961348972.73243105</v>
      </c>
      <c r="CN31" s="44">
        <f t="shared" si="18"/>
        <v>943546213.97812676</v>
      </c>
      <c r="CO31" s="44">
        <f t="shared" si="18"/>
        <v>925743455.22382247</v>
      </c>
      <c r="CP31" s="44">
        <f t="shared" si="18"/>
        <v>907940696.46951818</v>
      </c>
      <c r="CQ31" s="44">
        <f t="shared" si="18"/>
        <v>890137937.71521389</v>
      </c>
      <c r="CR31" s="44">
        <f t="shared" si="18"/>
        <v>872335178.96090961</v>
      </c>
      <c r="CS31" s="44">
        <f t="shared" si="18"/>
        <v>854532420.20660532</v>
      </c>
      <c r="CT31" s="44">
        <f t="shared" si="18"/>
        <v>836729661.45230103</v>
      </c>
      <c r="CU31" s="44">
        <f t="shared" si="18"/>
        <v>818926902.69799674</v>
      </c>
      <c r="CV31" s="44">
        <f t="shared" si="18"/>
        <v>801124143.94369245</v>
      </c>
      <c r="CW31" s="44">
        <f t="shared" si="18"/>
        <v>783321385.18938816</v>
      </c>
      <c r="CX31" s="44">
        <f t="shared" si="18"/>
        <v>765518626.43508387</v>
      </c>
      <c r="CY31" s="44">
        <f t="shared" si="18"/>
        <v>747715867.68077958</v>
      </c>
      <c r="CZ31" s="44">
        <f t="shared" si="18"/>
        <v>729913108.92647529</v>
      </c>
      <c r="DA31" s="44">
        <f t="shared" si="18"/>
        <v>712110350.172171</v>
      </c>
      <c r="DB31" s="44">
        <f t="shared" si="18"/>
        <v>694307591.41786671</v>
      </c>
      <c r="DC31" s="44">
        <f t="shared" si="18"/>
        <v>676504832.66356242</v>
      </c>
      <c r="DD31" s="44">
        <f t="shared" si="18"/>
        <v>658702073.90925813</v>
      </c>
      <c r="DE31" s="44">
        <f t="shared" si="18"/>
        <v>640899315.15495384</v>
      </c>
      <c r="DF31" s="44">
        <f t="shared" si="18"/>
        <v>623096556.40064955</v>
      </c>
      <c r="DG31" s="44">
        <f t="shared" si="18"/>
        <v>605293797.64634526</v>
      </c>
      <c r="DH31" s="44">
        <f t="shared" si="18"/>
        <v>587491038.89204097</v>
      </c>
      <c r="DI31" s="44">
        <f t="shared" si="18"/>
        <v>569688280.13773668</v>
      </c>
      <c r="DJ31" s="44">
        <f t="shared" si="18"/>
        <v>551885521.38343239</v>
      </c>
      <c r="DK31" s="44">
        <f t="shared" si="18"/>
        <v>534082762.62912804</v>
      </c>
      <c r="DL31" s="44">
        <f t="shared" si="18"/>
        <v>516280003.87482369</v>
      </c>
      <c r="DM31" s="44">
        <f t="shared" si="18"/>
        <v>498477245.12051934</v>
      </c>
      <c r="DN31" s="44">
        <f t="shared" si="18"/>
        <v>480674486.36621499</v>
      </c>
      <c r="DO31" s="44">
        <f t="shared" si="18"/>
        <v>462871727.61191064</v>
      </c>
      <c r="DP31" s="44">
        <f t="shared" si="18"/>
        <v>445068968.85760629</v>
      </c>
      <c r="DQ31" s="44">
        <f t="shared" si="18"/>
        <v>427266210.10330194</v>
      </c>
      <c r="DR31" s="44">
        <f t="shared" si="18"/>
        <v>409463451.34899759</v>
      </c>
      <c r="DS31" s="44">
        <f t="shared" si="18"/>
        <v>391660692.59469324</v>
      </c>
      <c r="DT31" s="44">
        <f t="shared" si="18"/>
        <v>373857933.84038889</v>
      </c>
      <c r="DU31" s="44">
        <f t="shared" si="18"/>
        <v>356055175.08608454</v>
      </c>
      <c r="DV31" s="44">
        <f t="shared" si="18"/>
        <v>338252416.3317802</v>
      </c>
      <c r="DW31" s="44">
        <f t="shared" si="18"/>
        <v>320449657.57747585</v>
      </c>
      <c r="DX31" s="44">
        <f t="shared" si="18"/>
        <v>302646898.8231715</v>
      </c>
      <c r="DY31" s="44">
        <f t="shared" si="18"/>
        <v>284844140.06886715</v>
      </c>
      <c r="DZ31" s="44">
        <f t="shared" si="18"/>
        <v>267041381.3145628</v>
      </c>
      <c r="EA31" s="44">
        <f t="shared" si="18"/>
        <v>249238622.56025845</v>
      </c>
      <c r="EB31" s="44">
        <f t="shared" si="18"/>
        <v>231435863.8059541</v>
      </c>
      <c r="EC31" s="44">
        <f t="shared" si="18"/>
        <v>213633105.05164975</v>
      </c>
      <c r="ED31" s="44">
        <f t="shared" si="18"/>
        <v>195830346.2973454</v>
      </c>
      <c r="EE31" s="44">
        <f t="shared" si="18"/>
        <v>178027587.54304105</v>
      </c>
      <c r="EF31" s="44">
        <f t="shared" si="18"/>
        <v>160224828.7887367</v>
      </c>
      <c r="EG31" s="44">
        <f t="shared" ref="EG31:EN31" si="19">IF((EG29-EG30)&gt;0,(EG29-EG30),0)</f>
        <v>142422070.03443235</v>
      </c>
      <c r="EH31" s="44">
        <f t="shared" si="19"/>
        <v>124619311.280128</v>
      </c>
      <c r="EI31" s="44">
        <f t="shared" si="19"/>
        <v>106816552.52582365</v>
      </c>
      <c r="EJ31" s="44">
        <f t="shared" si="19"/>
        <v>89013793.771519303</v>
      </c>
      <c r="EK31" s="44">
        <f t="shared" si="19"/>
        <v>71211035.017214954</v>
      </c>
      <c r="EL31" s="44">
        <f t="shared" si="19"/>
        <v>53408276.262910612</v>
      </c>
      <c r="EM31" s="44">
        <f t="shared" si="19"/>
        <v>35605517.50860627</v>
      </c>
      <c r="EN31" s="44">
        <f t="shared" si="19"/>
        <v>17802758.754301928</v>
      </c>
    </row>
    <row r="32" spans="2:144" outlineLevel="1">
      <c r="B32" s="139" t="s">
        <v>43</v>
      </c>
      <c r="C32" s="151" t="s">
        <v>487</v>
      </c>
      <c r="D32" s="44"/>
      <c r="E32" s="44"/>
      <c r="F32" s="44"/>
      <c r="G32" s="44"/>
      <c r="H32" s="44">
        <f>IF(H25&gt;D27,(SUM(G31:H31)/2),IF(H25=D27,H31,0))</f>
        <v>0</v>
      </c>
      <c r="I32" s="44">
        <f>IF(I25&gt;D27,(SUM(H31:I31)/2),IF(I25=D27,I31,0))</f>
        <v>0</v>
      </c>
      <c r="J32" s="44">
        <f>IF(J25&gt;D27,(SUM(I31:J31)/2),IF(J25=D27,J31,0))</f>
        <v>0</v>
      </c>
      <c r="K32" s="44">
        <f>IF(K25&gt;D27,(SUM(J31:K31)/2),IF(K25=D27,K31,0))</f>
        <v>0</v>
      </c>
      <c r="L32" s="44">
        <f>IF(L25&gt;D27,(SUM(K31:L31)/2),IF(L25=D27,L31,0))</f>
        <v>0</v>
      </c>
      <c r="M32" s="44">
        <f>IF(M25&gt;D27,(SUM(L31:M31)/2),IF(M25=D27,M31,0))</f>
        <v>0</v>
      </c>
      <c r="N32" s="44">
        <f>IF(N25&gt;D27,(SUM(M31:N31)/2),IF(N25=D27,N31,0))</f>
        <v>0</v>
      </c>
      <c r="O32" s="44">
        <f>IF(O25&gt;D27,(SUM(N31:O31)/2),IF(O25=D27,O31,0))</f>
        <v>0</v>
      </c>
      <c r="P32" s="44">
        <f>IF(P25&gt;D27,(SUM(O31:P31)/2),IF(P25=D27,P31,0))</f>
        <v>0</v>
      </c>
      <c r="Q32" s="44">
        <f>IF(Q25&gt;D27,(SUM(P31:Q31)/2),IF(Q25=D27,Q31,0))</f>
        <v>0</v>
      </c>
      <c r="R32" s="44">
        <f>IF(R25&gt;D27,(SUM(Q31:R31)/2),IF(R25=D27,R31,0))</f>
        <v>0</v>
      </c>
      <c r="S32" s="44">
        <f>IF(S25&gt;D27,(SUM(R31:S31)/2),IF(S25=D27,S31,0))</f>
        <v>0</v>
      </c>
      <c r="T32" s="44">
        <f>IF(T25&gt;D27,(SUM(S31:T31)/2),IF(T25=D27,T31,0))</f>
        <v>0</v>
      </c>
      <c r="U32" s="44">
        <f>IF(U25&gt;D27,(SUM(T31:U31)/2),IF(U25=D27,U31,0))</f>
        <v>0</v>
      </c>
      <c r="V32" s="44">
        <f>IF(V25&gt;D27,(SUM(U31:V31)/2),IF(V25=D27,V31,0))</f>
        <v>0</v>
      </c>
      <c r="W32" s="44">
        <f>IF(W25&gt;D27,(SUM(V31:W31)/2),IF(W25=D27,W31,0))</f>
        <v>0</v>
      </c>
      <c r="X32" s="44">
        <f>IF(X25&gt;D27,(SUM(W31:X31)/2),IF(X25=D27,X31,0))</f>
        <v>0</v>
      </c>
      <c r="Y32" s="44">
        <f>IF(Y25&gt;D27,(SUM(X31:Y31)/2),IF(Y25=D27,Y31,0))</f>
        <v>0</v>
      </c>
      <c r="Z32" s="44">
        <f>IF(Z25&gt;D27,(SUM(Y31:Z31)/2),IF(Z25=D27,Z31,0))</f>
        <v>2118528291.7622168</v>
      </c>
      <c r="AA32" s="44">
        <f>IF(AA25&gt;D27,(SUM(Z31:AA31)/2),IF(AA25=D27,AA31,0))</f>
        <v>2109626912.3850646</v>
      </c>
      <c r="AB32" s="44">
        <f>IF(AB25&gt;D27,(SUM(AA31:AB31)/2),IF(AB25=D27,AB31,0))</f>
        <v>2091824153.6307602</v>
      </c>
      <c r="AC32" s="44">
        <f>IF(AC25&gt;D27,(SUM(AB31:AC31)/2),IF(AC25=D27,AC31,0))</f>
        <v>2074021394.8764558</v>
      </c>
      <c r="AD32" s="44">
        <f>IF(AD25&gt;D27,(SUM(AC31:AD31)/2),IF(AD25=D27,AD31,0))</f>
        <v>2056218636.1221514</v>
      </c>
      <c r="AE32" s="44">
        <f>IF(AE25&gt;D27,(SUM(AD31:AE31)/2),IF(AE25=D27,AE31,0))</f>
        <v>2038415877.367847</v>
      </c>
      <c r="AF32" s="44">
        <f>IF(AF25&gt;D27,(SUM(AE31:AF31)/2),IF(AF25=D27,AF31,0))</f>
        <v>2020613118.6135426</v>
      </c>
      <c r="AG32" s="44">
        <f>IF(AG25&gt;D27,(SUM(AF31:AG31)/2),IF(AG25=D27,AG31,0))</f>
        <v>2002810359.8592381</v>
      </c>
      <c r="AH32" s="44">
        <f>IF(AH25&gt;D27,(SUM(AG31:AH31)/2),IF(AH25=D27,AH31,0))</f>
        <v>1985007601.1049337</v>
      </c>
      <c r="AI32" s="44">
        <f>IF(AI25&gt;D27,(SUM(AH31:AI31)/2),IF(AI25=D27,AI31,0))</f>
        <v>1967204842.3506293</v>
      </c>
      <c r="AJ32" s="44">
        <f>IF(AJ25&gt;D27,(SUM(AI31:AJ31)/2),IF(AJ25=D27,AJ31,0))</f>
        <v>1949402083.5963249</v>
      </c>
      <c r="AK32" s="44">
        <f>IF(AK25&gt;D27,(SUM(AJ31:AK31)/2),IF(AK25=D27,AK31,0))</f>
        <v>1931599324.8420205</v>
      </c>
      <c r="AL32" s="44">
        <f>IF(AL25&gt;D27,(SUM(AK31:AL31)/2),IF(AL25=D27,AL31,0))</f>
        <v>1913796566.0877161</v>
      </c>
      <c r="AM32" s="44">
        <f>IF(AM25&gt;D27,(SUM(AL31:AM31)/2),IF(AM25=D27,AM31,0))</f>
        <v>1895993807.3334117</v>
      </c>
      <c r="AN32" s="44">
        <f>IF(AN25&gt;D27,(SUM(AM31:AN31)/2),IF(AN25=D27,AN31,0))</f>
        <v>1878191048.5791073</v>
      </c>
      <c r="AO32" s="44">
        <f>IF(AO25&gt;D27,(SUM(AN31:AO31)/2),IF(AO25=D27,AO31,0))</f>
        <v>1860388289.8248029</v>
      </c>
      <c r="AP32" s="44">
        <f>IF(AP25&gt;D27,(SUM(AO31:AP31)/2),IF(AP25=D27,AP31,0))</f>
        <v>1842585531.0704985</v>
      </c>
      <c r="AQ32" s="44">
        <f>IF(AQ25&gt;D27,(SUM(AP31:AQ31)/2),IF(AQ25=D27,AQ31,0))</f>
        <v>1824782772.3161941</v>
      </c>
      <c r="AR32" s="44">
        <f>IF(AR25&gt;D27,(SUM(AQ31:AR31)/2),IF(AR25=D27,AR31,0))</f>
        <v>1806980013.5618896</v>
      </c>
      <c r="AS32" s="44">
        <f>IF(AS25&gt;D27,(SUM(AR31:AS31)/2),IF(AS25=D27,AS31,0))</f>
        <v>1789177254.8075852</v>
      </c>
      <c r="AT32" s="44">
        <f>IF(AT25&gt;D27,(SUM(AS31:AT31)/2),IF(AT25=D27,AT31,0))</f>
        <v>1771374496.0532808</v>
      </c>
      <c r="AU32" s="44">
        <f>IF(AU25&gt;D27,(SUM(AT31:AU31)/2),IF(AU25=D27,AU31,0))</f>
        <v>1753571737.2989764</v>
      </c>
      <c r="AV32" s="44">
        <f>IF(AV25&gt;D27,(SUM(AU31:AV31)/2),IF(AV25=D27,AV31,0))</f>
        <v>1735768978.544672</v>
      </c>
      <c r="AW32" s="44">
        <f>IF(AW25&gt;D27,(SUM(AV31:AW31)/2),IF(AW25=D27,AW31,0))</f>
        <v>1717966219.7903676</v>
      </c>
      <c r="AX32" s="44">
        <f>IF(AX25&gt;D27,(SUM(AW31:AX31)/2),IF(AX25=D27,AX31,0))</f>
        <v>1700163461.0360632</v>
      </c>
      <c r="AY32" s="44">
        <f>IF(AY25&gt;D27,(SUM(AX31:AY31)/2),IF(AY25=D27,AY31,0))</f>
        <v>1682360702.2817588</v>
      </c>
      <c r="AZ32" s="44">
        <f>IF(AZ25&gt;D27,(SUM(AY31:AZ31)/2),IF(AZ25=D27,AZ31,0))</f>
        <v>1664557943.5274544</v>
      </c>
      <c r="BA32" s="44">
        <f>IF(BA25&gt;D27,(SUM(AZ31:BA31)/2),IF(BA25=D27,BA31,0))</f>
        <v>1646755184.77315</v>
      </c>
      <c r="BB32" s="44">
        <f>IF(BB25&gt;D27,(SUM(BA31:BB31)/2),IF(BB25=D27,BB31,0))</f>
        <v>1628952426.0188456</v>
      </c>
      <c r="BC32" s="44">
        <f>IF(BC25&gt;D27,(SUM(BB31:BC31)/2),IF(BC25=D27,BC31,0))</f>
        <v>1611149667.2645411</v>
      </c>
      <c r="BD32" s="44">
        <f>IF(BD25&gt;D27,(SUM(BC31:BD31)/2),IF(BD25=D27,BD31,0))</f>
        <v>1593346908.5102367</v>
      </c>
      <c r="BE32" s="44">
        <f>IF(BE25&gt;D27,(SUM(BD31:BE31)/2),IF(BE25=D27,BE31,0))</f>
        <v>1575544149.7559323</v>
      </c>
      <c r="BF32" s="44">
        <f>IF(BF25&gt;D27,(SUM(BE31:BF31)/2),IF(BF25=D27,BF31,0))</f>
        <v>1557741391.0016279</v>
      </c>
      <c r="BG32" s="44">
        <f>IF(BG25&gt;D27,(SUM(BF31:BG31)/2),IF(BG25=D27,BG31,0))</f>
        <v>1539938632.2473235</v>
      </c>
      <c r="BH32" s="44">
        <f>IF(BH25&gt;D27,(SUM(BG31:BH31)/2),IF(BH25=D27,BH31,0))</f>
        <v>1522135873.4930191</v>
      </c>
      <c r="BI32" s="44">
        <f>IF(BI25&gt;D27,(SUM(BH31:BI31)/2),IF(BI25=D27,BI31,0))</f>
        <v>1504333114.7387147</v>
      </c>
      <c r="BJ32" s="44">
        <f>IF(BJ25&gt;D27,(SUM(BI31:BJ31)/2),IF(BJ25=D27,BJ31,0))</f>
        <v>1486530355.9844103</v>
      </c>
      <c r="BK32" s="44">
        <f>IF(BK25&gt;D27,(SUM(BJ31:BK31)/2),IF(BK25=D27,BK31,0))</f>
        <v>1468727597.2301059</v>
      </c>
      <c r="BL32" s="44">
        <f>IF(BL25&gt;D27,(SUM(BK31:BL31)/2),IF(BL25=D27,BL31,0))</f>
        <v>1450924838.4758015</v>
      </c>
      <c r="BM32" s="44">
        <f>IF(BM25&gt;D27,(SUM(BL31:BM31)/2),IF(BM25=D27,BM31,0))</f>
        <v>1433122079.7214971</v>
      </c>
      <c r="BN32" s="44">
        <f>IF(BN25&gt;D27,(SUM(BM31:BN31)/2),IF(BN25=D27,BN31,0))</f>
        <v>1415319320.9671926</v>
      </c>
      <c r="BO32" s="44">
        <f>IF(BO25&gt;D27,(SUM(BN31:BO31)/2),IF(BO25=D27,BO31,0))</f>
        <v>1397516562.2128882</v>
      </c>
      <c r="BP32" s="44">
        <f>IF(BP25&gt;D27,(SUM(BO31:BP31)/2),IF(BP25=D27,BP31,0))</f>
        <v>1379713803.4585838</v>
      </c>
      <c r="BQ32" s="44">
        <f>IF(BQ25&gt;D27,(SUM(BP31:BQ31)/2),IF(BQ25=D27,BQ31,0))</f>
        <v>1361911044.7042794</v>
      </c>
      <c r="BR32" s="44">
        <f>IF(BR25&gt;D27,(SUM(BQ31:BR31)/2),IF(BR25=D27,BR31,0))</f>
        <v>1344108285.949975</v>
      </c>
      <c r="BS32" s="44">
        <f>IF(BS25&gt;D27,(SUM(BR31:BS31)/2),IF(BS25=D27,BS31,0))</f>
        <v>1326305527.1956706</v>
      </c>
      <c r="BT32" s="44">
        <f>IF(BT25&gt;D27,(SUM(BS31:BT31)/2),IF(BT25=D27,BT31,0))</f>
        <v>1308502768.4413662</v>
      </c>
      <c r="BU32" s="44">
        <f>IF(BU25&gt;D27,(SUM(BT31:BU31)/2),IF(BU25=D27,BU31,0))</f>
        <v>1290700009.6870618</v>
      </c>
      <c r="BV32" s="44">
        <f>IF(BV25&gt;D27,(SUM(BU31:BV31)/2),IF(BV25=D27,BV31,0))</f>
        <v>1272897250.9327574</v>
      </c>
      <c r="BW32" s="44">
        <f>IF(BW25&gt;D27,(SUM(BV31:BW31)/2),IF(BW25=D27,BW31,0))</f>
        <v>1255094492.178453</v>
      </c>
      <c r="BX32" s="44">
        <f>IF(BX25&gt;D27,(SUM(BW31:BX31)/2),IF(BX25=D27,BX31,0))</f>
        <v>1237291733.4241486</v>
      </c>
      <c r="BY32" s="44">
        <f>IF(BY25&gt;D27,(SUM(BX31:BY31)/2),IF(BY25=D27,BY31,0))</f>
        <v>1219488974.6698442</v>
      </c>
      <c r="BZ32" s="44">
        <f>IF(BZ25&gt;D27,(SUM(BY31:BZ31)/2),IF(BZ25=D27,BZ31,0))</f>
        <v>1201686215.9155397</v>
      </c>
      <c r="CA32" s="44">
        <f>IF(CA25&gt;D27,(SUM(BZ31:CA31)/2),IF(CA25=D27,CA31,0))</f>
        <v>1183883457.1612353</v>
      </c>
      <c r="CB32" s="44">
        <f>IF(CB25&gt;D27,(SUM(CA31:CB31)/2),IF(CB25=D27,CB31,0))</f>
        <v>1166080698.4069309</v>
      </c>
      <c r="CC32" s="44">
        <f>IF(CC25&gt;D27,(SUM(CB31:CC31)/2),IF(CC25=D27,CC31,0))</f>
        <v>1148277939.6526265</v>
      </c>
      <c r="CD32" s="44">
        <f>IF(CD25&gt;D27,(SUM(CC31:CD31)/2),IF(CD25=D27,CD31,0))</f>
        <v>1130475180.8983221</v>
      </c>
      <c r="CE32" s="44">
        <f>IF(CE25&gt;D27,(SUM(CD31:CE31)/2),IF(CE25=D27,CE31,0))</f>
        <v>1112672422.1440177</v>
      </c>
      <c r="CF32" s="44">
        <f>IF(CF25&gt;D27,(SUM(CE31:CF31)/2),IF(CF25=D27,CF31,0))</f>
        <v>1094869663.3897133</v>
      </c>
      <c r="CG32" s="44">
        <f>IF(CG25&gt;D27,(SUM(CF31:CG31)/2),IF(CG25=D27,CG31,0))</f>
        <v>1077066904.6354089</v>
      </c>
      <c r="CH32" s="44">
        <f>IF(CH25&gt;D27,(SUM(CG31:CH31)/2),IF(CH25=D27,CH31,0))</f>
        <v>1059264145.8811047</v>
      </c>
      <c r="CI32" s="44">
        <f>IF(CI25&gt;D27,(SUM(CH31:CI31)/2),IF(CI25=D27,CI31,0))</f>
        <v>1041461387.1268003</v>
      </c>
      <c r="CJ32" s="44">
        <f>IF(CJ25&gt;D27,(SUM(CI31:CJ31)/2),IF(CJ25=D27,CJ31,0))</f>
        <v>1023658628.3724961</v>
      </c>
      <c r="CK32" s="44">
        <f>IF(CK25&gt;D27,(SUM(CJ31:CK31)/2),IF(CK25=D27,CK31,0))</f>
        <v>1005855869.6181917</v>
      </c>
      <c r="CL32" s="44">
        <f>IF(CL25&gt;D27,(SUM(CK31:CL31)/2),IF(CL25=D27,CL31,0))</f>
        <v>988053110.86388755</v>
      </c>
      <c r="CM32" s="44">
        <f>IF(CM25&gt;D27,(SUM(CL31:CM31)/2),IF(CM25=D27,CM31,0))</f>
        <v>970250352.10958314</v>
      </c>
      <c r="CN32" s="44">
        <f>IF(CN25&gt;D27,(SUM(CM31:CN31)/2),IF(CN25=D27,CN31,0))</f>
        <v>952447593.35527897</v>
      </c>
      <c r="CO32" s="44">
        <f>IF(CO25&gt;D27,(SUM(CN31:CO31)/2),IF(CO25=D27,CO31,0))</f>
        <v>934644834.60097456</v>
      </c>
      <c r="CP32" s="44">
        <f>IF(CP25&gt;D27,(SUM(CO31:CP31)/2),IF(CP25=D27,CP31,0))</f>
        <v>916842075.84667039</v>
      </c>
      <c r="CQ32" s="44">
        <f>IF(CQ25&gt;D27,(SUM(CP31:CQ31)/2),IF(CQ25=D27,CQ31,0))</f>
        <v>899039317.09236598</v>
      </c>
      <c r="CR32" s="44">
        <f>IF(CR25&gt;D27,(SUM(CQ31:CR31)/2),IF(CR25=D27,CR31,0))</f>
        <v>881236558.33806181</v>
      </c>
      <c r="CS32" s="44">
        <f>IF(CS25&gt;D27,(SUM(CR31:CS31)/2),IF(CS25=D27,CS31,0))</f>
        <v>863433799.5837574</v>
      </c>
      <c r="CT32" s="44">
        <f>IF(CT25&gt;D27,(SUM(CS31:CT31)/2),IF(CT25=D27,CT31,0))</f>
        <v>845631040.82945323</v>
      </c>
      <c r="CU32" s="44">
        <f>IF(CU25&gt;D27,(SUM(CT31:CU31)/2),IF(CU25=D27,CU31,0))</f>
        <v>827828282.07514882</v>
      </c>
      <c r="CV32" s="44">
        <f>IF(CV25&gt;D27,(SUM(CU31:CV31)/2),IF(CV25=D27,CV31,0))</f>
        <v>810025523.32084465</v>
      </c>
      <c r="CW32" s="44">
        <f>IF(CW25&gt;D27,(SUM(CV31:CW31)/2),IF(CW25=D27,CW31,0))</f>
        <v>792222764.56654024</v>
      </c>
      <c r="CX32" s="44">
        <f>IF(CX25&gt;D27,(SUM(CW31:CX31)/2),IF(CX25=D27,CX31,0))</f>
        <v>774420005.81223607</v>
      </c>
      <c r="CY32" s="44">
        <f>IF(CY25&gt;D27,(SUM(CX31:CY31)/2),IF(CY25=D27,CY31,0))</f>
        <v>756617247.05793166</v>
      </c>
      <c r="CZ32" s="44">
        <f>IF(CZ25&gt;D27,(SUM(CY31:CZ31)/2),IF(CZ25=D27,CZ31,0))</f>
        <v>738814488.30362749</v>
      </c>
      <c r="DA32" s="44">
        <f>IF(DA25&gt;D27,(SUM(CZ31:DA31)/2),IF(DA25=D27,DA31,0))</f>
        <v>721011729.54932308</v>
      </c>
      <c r="DB32" s="44">
        <f>IF(DB25&gt;D27,(SUM(DA31:DB31)/2),IF(DB25=D27,DB31,0))</f>
        <v>703208970.79501891</v>
      </c>
      <c r="DC32" s="44">
        <f>IF(DC25&gt;D27,(SUM(DB31:DC31)/2),IF(DC25=D27,DC31,0))</f>
        <v>685406212.0407145</v>
      </c>
      <c r="DD32" s="44">
        <f>IF(DD25&gt;D27,(SUM(DC31:DD31)/2),IF(DD25=D27,DD31,0))</f>
        <v>667603453.28641033</v>
      </c>
      <c r="DE32" s="44">
        <f>IF(DE25&gt;D27,(SUM(DD31:DE31)/2),IF(DE25=D27,DE31,0))</f>
        <v>649800694.53210592</v>
      </c>
      <c r="DF32" s="44">
        <f>IF(DF25&gt;D27,(SUM(DE31:DF31)/2),IF(DF25=D27,DF31,0))</f>
        <v>631997935.77780175</v>
      </c>
      <c r="DG32" s="44">
        <f>IF(DG25&gt;D27,(SUM(DF31:DG31)/2),IF(DG25=D27,DG31,0))</f>
        <v>614195177.02349734</v>
      </c>
      <c r="DH32" s="44">
        <f>IF(DH25&gt;D27,(SUM(DG31:DH31)/2),IF(DH25=D27,DH31,0))</f>
        <v>596392418.26919317</v>
      </c>
      <c r="DI32" s="44">
        <f>IF(DI25&gt;D27,(SUM(DH31:DI31)/2),IF(DI25=D27,DI31,0))</f>
        <v>578589659.51488876</v>
      </c>
      <c r="DJ32" s="44">
        <f>IF(DJ25&gt;D27,(SUM(DI31:DJ31)/2),IF(DJ25=D27,DJ31,0))</f>
        <v>560786900.76058459</v>
      </c>
      <c r="DK32" s="44">
        <f>IF(DK25&gt;D27,(SUM(DJ31:DK31)/2),IF(DK25=D27,DK31,0))</f>
        <v>542984142.00628018</v>
      </c>
      <c r="DL32" s="44">
        <f>IF(DL25&gt;D27,(SUM(DK31:DL31)/2),IF(DL25=D27,DL31,0))</f>
        <v>525181383.25197589</v>
      </c>
      <c r="DM32" s="44">
        <f>IF(DM25&gt;D27,(SUM(DL31:DM31)/2),IF(DM25=D27,DM31,0))</f>
        <v>507378624.49767148</v>
      </c>
      <c r="DN32" s="44">
        <f>IF(DN25&gt;D27,(SUM(DM31:DN31)/2),IF(DN25=D27,DN31,0))</f>
        <v>489575865.7433672</v>
      </c>
      <c r="DO32" s="44">
        <f>IF(DO25&gt;D27,(SUM(DN31:DO31)/2),IF(DO25=D27,DO31,0))</f>
        <v>471773106.98906279</v>
      </c>
      <c r="DP32" s="44">
        <f>IF(DP25&gt;D27,(SUM(DO31:DP31)/2),IF(DP25=D27,DP31,0))</f>
        <v>453970348.2347585</v>
      </c>
      <c r="DQ32" s="44">
        <f>IF(DQ25&gt;D27,(SUM(DP31:DQ31)/2),IF(DQ25=D27,DQ31,0))</f>
        <v>436167589.48045409</v>
      </c>
      <c r="DR32" s="44">
        <f>IF(DR25&gt;D27,(SUM(DQ31:DR31)/2),IF(DR25=D27,DR31,0))</f>
        <v>418364830.7261498</v>
      </c>
      <c r="DS32" s="44">
        <f>IF(DS25&gt;D27,(SUM(DR31:DS31)/2),IF(DS25=D27,DS31,0))</f>
        <v>400562071.97184539</v>
      </c>
      <c r="DT32" s="44">
        <f>IF(DT25&gt;D27,(SUM(DS31:DT31)/2),IF(DT25=D27,DT31,0))</f>
        <v>382759313.2175411</v>
      </c>
      <c r="DU32" s="44">
        <f>IF(DU25&gt;D27,(SUM(DT31:DU31)/2),IF(DU25=D27,DU31,0))</f>
        <v>364956554.46323669</v>
      </c>
      <c r="DV32" s="44">
        <f>IF(DV25&gt;D27,(SUM(DU31:DV31)/2),IF(DV25=D27,DV31,0))</f>
        <v>347153795.7089324</v>
      </c>
      <c r="DW32" s="44">
        <f>IF(DW25&gt;D27,(SUM(DV31:DW31)/2),IF(DW25=D27,DW31,0))</f>
        <v>329351036.95462799</v>
      </c>
      <c r="DX32" s="44">
        <f>IF(DX25&gt;D27,(SUM(DW31:DX31)/2),IF(DX25=D27,DX31,0))</f>
        <v>311548278.2003237</v>
      </c>
      <c r="DY32" s="44">
        <f>IF(DY25&gt;D27,(SUM(DX31:DY31)/2),IF(DY25=D27,DY31,0))</f>
        <v>293745519.44601929</v>
      </c>
      <c r="DZ32" s="44">
        <f>IF(DZ25&gt;D27,(SUM(DY31:DZ31)/2),IF(DZ25=D27,DZ31,0))</f>
        <v>275942760.691715</v>
      </c>
      <c r="EA32" s="44">
        <f>IF(EA25&gt;D27,(SUM(DZ31:EA31)/2),IF(EA25=D27,EA31,0))</f>
        <v>258140001.93741062</v>
      </c>
      <c r="EB32" s="44">
        <f>IF(EB25&gt;D27,(SUM(EA31:EB31)/2),IF(EB25=D27,EB31,0))</f>
        <v>240337243.18310627</v>
      </c>
      <c r="EC32" s="44">
        <f>IF(EC25&gt;D27,(SUM(EB31:EC31)/2),IF(EC25=D27,EC31,0))</f>
        <v>222534484.42880192</v>
      </c>
      <c r="ED32" s="44">
        <f>IF(ED25&gt;D27,(SUM(EC31:ED31)/2),IF(ED25=D27,ED31,0))</f>
        <v>204731725.67449757</v>
      </c>
      <c r="EE32" s="44">
        <f>IF(EE25&gt;D27,(SUM(ED31:EE31)/2),IF(EE25=D27,EE31,0))</f>
        <v>186928966.92019323</v>
      </c>
      <c r="EF32" s="44">
        <f>IF(EF25&gt;D27,(SUM(EE31:EF31)/2),IF(EF25=D27,EF31,0))</f>
        <v>169126208.16588888</v>
      </c>
      <c r="EG32" s="44">
        <f>IF(EG25&gt;D27,(SUM(EF31:EG31)/2),IF(EG25=D27,EG31,0))</f>
        <v>151323449.41158453</v>
      </c>
      <c r="EH32" s="44">
        <f>IF(EH25&gt;D27,(SUM(EG31:EH31)/2),IF(EH25=D27,EH31,0))</f>
        <v>133520690.65728018</v>
      </c>
      <c r="EI32" s="44">
        <f t="shared" ref="EI32:EN32" si="20">IF(EI25&gt;E27,(SUM(EH31:EI31)/2),IF(EI25=E27,EI31,0))</f>
        <v>115717931.90297583</v>
      </c>
      <c r="EJ32" s="44">
        <f t="shared" si="20"/>
        <v>97915173.148671478</v>
      </c>
      <c r="EK32" s="44">
        <f t="shared" si="20"/>
        <v>80112414.394367129</v>
      </c>
      <c r="EL32" s="44">
        <f t="shared" si="20"/>
        <v>62309655.640062779</v>
      </c>
      <c r="EM32" s="44">
        <f t="shared" si="20"/>
        <v>44506896.885758445</v>
      </c>
      <c r="EN32" s="44">
        <f t="shared" si="20"/>
        <v>26704138.131454099</v>
      </c>
    </row>
    <row r="33" spans="2:144" outlineLevel="1">
      <c r="C33" s="43" t="s">
        <v>176</v>
      </c>
      <c r="D33" s="44"/>
      <c r="E33" s="773">
        <f>Вводные!$D$31</f>
        <v>10</v>
      </c>
      <c r="F33" s="44"/>
      <c r="G33" s="44"/>
      <c r="H33" s="120">
        <f>IF(H$24&lt;$E27,0,IF(AND(H$24&gt;=$E27,H$24&lt;=($E27+$E33-1)),Вводные!$D$30,Вводные!$E$30))</f>
        <v>0</v>
      </c>
      <c r="I33" s="120">
        <f>IF(I$24&lt;$E27,0,IF(AND(I$24&gt;=$E27,I$24&lt;=($E27+$E33-1)),Вводные!$D$30,Вводные!$E$30))</f>
        <v>0</v>
      </c>
      <c r="J33" s="120">
        <f>IF(J$24&lt;$E27,0,IF(AND(J$24&gt;=$E27,J$24&lt;=($E27+$E33-1)),Вводные!$D$30,Вводные!$E$30))</f>
        <v>0</v>
      </c>
      <c r="K33" s="120">
        <f>IF(K$24&lt;$E27,0,IF(AND(K$24&gt;=$E27,K$24&lt;=($E27+$E33-1)),Вводные!$D$30,Вводные!$E$30))</f>
        <v>0</v>
      </c>
      <c r="L33" s="120">
        <f>IF(L$24&lt;$E27,0,IF(AND(L$24&gt;=$E27,L$24&lt;=($E27+$E33-1)),Вводные!$D$30,Вводные!$E$30))</f>
        <v>0</v>
      </c>
      <c r="M33" s="120">
        <f>IF(M$24&lt;$E27,0,IF(AND(M$24&gt;=$E27,M$24&lt;=($E27+$E33-1)),Вводные!$D$30,Вводные!$E$30))</f>
        <v>0</v>
      </c>
      <c r="N33" s="120">
        <f>IF(N$24&lt;$E27,0,IF(AND(N$24&gt;=$E27,N$24&lt;=($E27+$E33-1)),Вводные!$D$30,Вводные!$E$30))</f>
        <v>0</v>
      </c>
      <c r="O33" s="120">
        <f>IF(O$24&lt;$E27,0,IF(AND(O$24&gt;=$E27,O$24&lt;=($E27+$E33-1)),Вводные!$D$30,Вводные!$E$30))</f>
        <v>0</v>
      </c>
      <c r="P33" s="120">
        <f>IF(P$24&lt;$E27,0,IF(AND(P$24&gt;=$E27,P$24&lt;=($E27+$E33-1)),Вводные!$D$30,Вводные!$E$30))</f>
        <v>0</v>
      </c>
      <c r="Q33" s="120">
        <f>IF(Q$24&lt;$E27,0,IF(AND(Q$24&gt;=$E27,Q$24&lt;=($E27+$E33-1)),Вводные!$D$30,Вводные!$E$30))</f>
        <v>0</v>
      </c>
      <c r="R33" s="120">
        <f>IF(R$24&lt;$E27,0,IF(AND(R$24&gt;=$E27,R$24&lt;=($E27+$E33-1)),Вводные!$D$30,Вводные!$E$30))</f>
        <v>0</v>
      </c>
      <c r="S33" s="120">
        <f>IF(S$24&lt;$E27,0,IF(AND(S$24&gt;=$E27,S$24&lt;=($E27+$E33-1)),Вводные!$D$30,Вводные!$E$30))</f>
        <v>0</v>
      </c>
      <c r="T33" s="120">
        <f>IF(T$24&lt;$E27,0,IF(AND(T$24&gt;=$E27,T$24&lt;=($E27+$E33-1)),Вводные!$D$30,Вводные!$E$30))</f>
        <v>0</v>
      </c>
      <c r="U33" s="120">
        <f>IF(U$24&lt;$E27,0,IF(AND(U$24&gt;=$E27,U$24&lt;=($E27+$E33-1)),Вводные!$D$30,Вводные!$E$30))</f>
        <v>0</v>
      </c>
      <c r="V33" s="120">
        <f>IF(V$24&lt;$E27,0,IF(AND(V$24&gt;=$E27,V$24&lt;=($E27+$E33-1)),Вводные!$D$30,Вводные!$E$30))</f>
        <v>0</v>
      </c>
      <c r="W33" s="120">
        <f>IF(W$24&lt;$E27,0,IF(AND(W$24&gt;=$E27,W$24&lt;=($E27+$E33-1)),Вводные!$D$30,Вводные!$E$30))</f>
        <v>0</v>
      </c>
      <c r="X33" s="120">
        <f>IF(X$24&lt;$E27,0,IF(AND(X$24&gt;=$E27,X$24&lt;=($E27+$E33-1)),Вводные!$D$30,Вводные!$E$30))</f>
        <v>0</v>
      </c>
      <c r="Y33" s="120">
        <f>IF(Y$24&lt;$E27,0,IF(AND(Y$24&gt;=$E27,Y$24&lt;=($E27+$E33-1)),Вводные!$D$30,Вводные!$E$30))</f>
        <v>0</v>
      </c>
      <c r="Z33" s="120">
        <f>IF(Z$24&lt;$E27,0,IF(AND(Z$24&gt;=$E27,Z$24&lt;=($E27+$E33-1)),Вводные!$D$30,Вводные!$E$30))</f>
        <v>0</v>
      </c>
      <c r="AA33" s="120">
        <f>IF(AA$24&lt;$E27,0,IF(AND(AA$24&gt;=$E27,AA$24&lt;=($E27+$E33-1)),Вводные!$D$30,Вводные!$E$30))</f>
        <v>0</v>
      </c>
      <c r="AB33" s="120">
        <f>IF(AB$24&lt;$E27,0,IF(AND(AB$24&gt;=$E27,AB$24&lt;=($E27+$E33-1)),Вводные!$D$30,Вводные!$E$30))</f>
        <v>0</v>
      </c>
      <c r="AC33" s="120">
        <f>IF(AC$24&lt;$E27,0,IF(AND(AC$24&gt;=$E27,AC$24&lt;=($E27+$E33-1)),Вводные!$D$30,Вводные!$E$30))</f>
        <v>0</v>
      </c>
      <c r="AD33" s="120">
        <f>IF(AD$24&lt;$E27,0,IF(AND(AD$24&gt;=$E27,AD$24&lt;=($E27+$E33-1)),Вводные!$D$30,Вводные!$E$30))</f>
        <v>0</v>
      </c>
      <c r="AE33" s="120">
        <f>IF(AE$24&lt;$E27,0,IF(AND(AE$24&gt;=$E27,AE$24&lt;=($E27+$E33-1)),Вводные!$D$30,Вводные!$E$30))</f>
        <v>0</v>
      </c>
      <c r="AF33" s="120">
        <f>IF(AF$24&lt;$E27,0,IF(AND(AF$24&gt;=$E27,AF$24&lt;=($E27+$E33-1)),Вводные!$D$30,Вводные!$E$30))</f>
        <v>0</v>
      </c>
      <c r="AG33" s="120">
        <f>IF(AG$24&lt;$E27,0,IF(AND(AG$24&gt;=$E27,AG$24&lt;=($E27+$E33-1)),Вводные!$D$30,Вводные!$E$30))</f>
        <v>0</v>
      </c>
      <c r="AH33" s="120">
        <f>IF(AH$24&lt;$E27,0,IF(AND(AH$24&gt;=$E27,AH$24&lt;=($E27+$E33-1)),Вводные!$D$30,Вводные!$E$30))</f>
        <v>0</v>
      </c>
      <c r="AI33" s="120">
        <f>IF(AI$24&lt;$E27,0,IF(AND(AI$24&gt;=$E27,AI$24&lt;=($E27+$E33-1)),Вводные!$D$30,Вводные!$E$30))</f>
        <v>0</v>
      </c>
      <c r="AJ33" s="120">
        <f>IF(AJ$24&lt;$E27,0,IF(AND(AJ$24&gt;=$E27,AJ$24&lt;=($E27+$E33-1)),Вводные!$D$30,Вводные!$E$30))</f>
        <v>0</v>
      </c>
      <c r="AK33" s="120">
        <f>IF(AK$24&lt;$E27,0,IF(AND(AK$24&gt;=$E27,AK$24&lt;=($E27+$E33-1)),Вводные!$D$30,Вводные!$E$30))</f>
        <v>0</v>
      </c>
      <c r="AL33" s="120">
        <f>IF(AL$24&lt;$E27,0,IF(AND(AL$24&gt;=$E27,AL$24&lt;=($E27+$E33-1)),Вводные!$D$30,Вводные!$E$30))</f>
        <v>0</v>
      </c>
      <c r="AM33" s="120">
        <f>IF(AM$24&lt;$E27,0,IF(AND(AM$24&gt;=$E27,AM$24&lt;=($E27+$E33-1)),Вводные!$D$30,Вводные!$E$30))</f>
        <v>0</v>
      </c>
      <c r="AN33" s="120">
        <f>IF(AN$24&lt;$E27,0,IF(AND(AN$24&gt;=$E27,AN$24&lt;=($E27+$E33-1)),Вводные!$D$30,Вводные!$E$30))</f>
        <v>0</v>
      </c>
      <c r="AO33" s="120">
        <f>IF(AO$24&lt;$E27,0,IF(AND(AO$24&gt;=$E27,AO$24&lt;=($E27+$E33-1)),Вводные!$D$30,Вводные!$E$30))</f>
        <v>0</v>
      </c>
      <c r="AP33" s="120">
        <f>IF(AP$24&lt;$E27,0,IF(AND(AP$24&gt;=$E27,AP$24&lt;=($E27+$E33-1)),Вводные!$D$30,Вводные!$E$30))</f>
        <v>0</v>
      </c>
      <c r="AQ33" s="120">
        <f>IF(AQ$24&lt;$E27,0,IF(AND(AQ$24&gt;=$E27,AQ$24&lt;=($E27+$E33-1)),Вводные!$D$30,Вводные!$E$30))</f>
        <v>0</v>
      </c>
      <c r="AR33" s="120">
        <f>IF(AR$24&lt;$E27,0,IF(AND(AR$24&gt;=$E27,AR$24&lt;=($E27+$E33-1)),Вводные!$D$30,Вводные!$E$30))</f>
        <v>0</v>
      </c>
      <c r="AS33" s="120">
        <f>IF(AS$24&lt;$E27,0,IF(AND(AS$24&gt;=$E27,AS$24&lt;=($E27+$E33-1)),Вводные!$D$30,Вводные!$E$30))</f>
        <v>0</v>
      </c>
      <c r="AT33" s="120">
        <f>IF(AT$24&lt;$E27,0,IF(AND(AT$24&gt;=$E27,AT$24&lt;=($E27+$E33-1)),Вводные!$D$30,Вводные!$E$30))</f>
        <v>0</v>
      </c>
      <c r="AU33" s="120">
        <f>IF(AU$24&lt;$E27,0,IF(AND(AU$24&gt;=$E27,AU$24&lt;=($E27+$E33-1)),Вводные!$D$30,Вводные!$E$30))</f>
        <v>0</v>
      </c>
      <c r="AV33" s="120">
        <f>IF(AV$24&lt;$E27,0,IF(AND(AV$24&gt;=$E27,AV$24&lt;=($E27+$E33-1)),Вводные!$D$30,Вводные!$E$30))</f>
        <v>0</v>
      </c>
      <c r="AW33" s="120">
        <f>IF(AW$24&lt;$E27,0,IF(AND(AW$24&gt;=$E27,AW$24&lt;=($E27+$E33-1)),Вводные!$D$30,Вводные!$E$30))</f>
        <v>0</v>
      </c>
      <c r="AX33" s="120">
        <f>IF(AX$24&lt;$E27,0,IF(AND(AX$24&gt;=$E27,AX$24&lt;=($E27+$E33-1)),Вводные!$D$30,Вводные!$E$30))</f>
        <v>0</v>
      </c>
      <c r="AY33" s="120">
        <f>IF(AY$24&lt;$E27,0,IF(AND(AY$24&gt;=$E27,AY$24&lt;=($E27+$E33-1)),Вводные!$D$30,Вводные!$E$30))</f>
        <v>0</v>
      </c>
      <c r="AZ33" s="120">
        <f>IF(AZ$24&lt;$E27,0,IF(AND(AZ$24&gt;=$E27,AZ$24&lt;=($E27+$E33-1)),Вводные!$D$30,Вводные!$E$30))</f>
        <v>0</v>
      </c>
      <c r="BA33" s="120">
        <f>IF(BA$24&lt;$E27,0,IF(AND(BA$24&gt;=$E27,BA$24&lt;=($E27+$E33-1)),Вводные!$D$30,Вводные!$E$30))</f>
        <v>0</v>
      </c>
      <c r="BB33" s="120">
        <f>IF(BB$24&lt;$E27,0,IF(AND(BB$24&gt;=$E27,BB$24&lt;=($E27+$E33-1)),Вводные!$D$30,Вводные!$E$30))</f>
        <v>0</v>
      </c>
      <c r="BC33" s="120">
        <f>IF(BC$24&lt;$E27,0,IF(AND(BC$24&gt;=$E27,BC$24&lt;=($E27+$E33-1)),Вводные!$D$30,Вводные!$E$30))</f>
        <v>0</v>
      </c>
      <c r="BD33" s="120">
        <f>IF(BD$24&lt;$E27,0,IF(AND(BD$24&gt;=$E27,BD$24&lt;=($E27+$E33-1)),Вводные!$D$30,Вводные!$E$30))</f>
        <v>0</v>
      </c>
      <c r="BE33" s="120">
        <f>IF(BE$24&lt;$E27,0,IF(AND(BE$24&gt;=$E27,BE$24&lt;=($E27+$E33-1)),Вводные!$D$30,Вводные!$E$30))</f>
        <v>0</v>
      </c>
      <c r="BF33" s="120">
        <f>IF(BF$24&lt;$E27,0,IF(AND(BF$24&gt;=$E27,BF$24&lt;=($E27+$E33-1)),Вводные!$D$30,Вводные!$E$30))</f>
        <v>0</v>
      </c>
      <c r="BG33" s="120">
        <f>IF(BG$24&lt;$E27,0,IF(AND(BG$24&gt;=$E27,BG$24&lt;=($E27+$E33-1)),Вводные!$D$30,Вводные!$E$30))</f>
        <v>0</v>
      </c>
      <c r="BH33" s="120">
        <f>IF(BH$24&lt;$E27,0,IF(AND(BH$24&gt;=$E27,BH$24&lt;=($E27+$E33-1)),Вводные!$D$30,Вводные!$E$30))</f>
        <v>0</v>
      </c>
      <c r="BI33" s="120">
        <f>IF(BI$24&lt;$E27,0,IF(AND(BI$24&gt;=$E27,BI$24&lt;=($E27+$E33-1)),Вводные!$D$30,Вводные!$E$30))</f>
        <v>0</v>
      </c>
      <c r="BJ33" s="120">
        <f>IF(BJ$24&lt;$E27,0,IF(AND(BJ$24&gt;=$E27,BJ$24&lt;=($E27+$E33-1)),Вводные!$D$30,Вводные!$E$30))</f>
        <v>0</v>
      </c>
      <c r="BK33" s="120">
        <f>IF(BK$24&lt;$E27,0,IF(AND(BK$24&gt;=$E27,BK$24&lt;=($E27+$E33-1)),Вводные!$D$30,Вводные!$E$30))</f>
        <v>0</v>
      </c>
      <c r="BL33" s="120">
        <f>IF(BL$24&lt;$E27,0,IF(AND(BL$24&gt;=$E27,BL$24&lt;=($E27+$E33-1)),Вводные!$D$30,Вводные!$E$30))</f>
        <v>2.1999999999999999E-2</v>
      </c>
      <c r="BM33" s="120">
        <f>IF(BM$24&lt;$E27,0,IF(AND(BM$24&gt;=$E27,BM$24&lt;=($E27+$E33-1)),Вводные!$D$30,Вводные!$E$30))</f>
        <v>2.1999999999999999E-2</v>
      </c>
      <c r="BN33" s="120">
        <f>IF(BN$24&lt;$E27,0,IF(AND(BN$24&gt;=$E27,BN$24&lt;=($E27+$E33-1)),Вводные!$D$30,Вводные!$E$30))</f>
        <v>2.1999999999999999E-2</v>
      </c>
      <c r="BO33" s="120">
        <f>IF(BO$24&lt;$E27,0,IF(AND(BO$24&gt;=$E27,BO$24&lt;=($E27+$E33-1)),Вводные!$D$30,Вводные!$E$30))</f>
        <v>2.1999999999999999E-2</v>
      </c>
      <c r="BP33" s="120">
        <f>IF(BP$24&lt;$E27,0,IF(AND(BP$24&gt;=$E27,BP$24&lt;=($E27+$E33-1)),Вводные!$D$30,Вводные!$E$30))</f>
        <v>2.1999999999999999E-2</v>
      </c>
      <c r="BQ33" s="120">
        <f>IF(BQ$24&lt;$E27,0,IF(AND(BQ$24&gt;=$E27,BQ$24&lt;=($E27+$E33-1)),Вводные!$D$30,Вводные!$E$30))</f>
        <v>2.1999999999999999E-2</v>
      </c>
      <c r="BR33" s="120">
        <f>IF(BR$24&lt;$E27,0,IF(AND(BR$24&gt;=$E27,BR$24&lt;=($E27+$E33-1)),Вводные!$D$30,Вводные!$E$30))</f>
        <v>2.1999999999999999E-2</v>
      </c>
      <c r="BS33" s="120">
        <f>IF(BS$24&lt;$E27,0,IF(AND(BS$24&gt;=$E27,BS$24&lt;=($E27+$E33-1)),Вводные!$D$30,Вводные!$E$30))</f>
        <v>2.1999999999999999E-2</v>
      </c>
      <c r="BT33" s="120">
        <f>IF(BT$24&lt;$E27,0,IF(AND(BT$24&gt;=$E27,BT$24&lt;=($E27+$E33-1)),Вводные!$D$30,Вводные!$E$30))</f>
        <v>2.1999999999999999E-2</v>
      </c>
      <c r="BU33" s="120">
        <f>IF(BU$24&lt;$E27,0,IF(AND(BU$24&gt;=$E27,BU$24&lt;=($E27+$E33-1)),Вводные!$D$30,Вводные!$E$30))</f>
        <v>2.1999999999999999E-2</v>
      </c>
      <c r="BV33" s="120">
        <f>IF(BV$24&lt;$E27,0,IF(AND(BV$24&gt;=$E27,BV$24&lt;=($E27+$E33-1)),Вводные!$D$30,Вводные!$E$30))</f>
        <v>2.1999999999999999E-2</v>
      </c>
      <c r="BW33" s="120">
        <f>IF(BW$24&lt;$E27,0,IF(AND(BW$24&gt;=$E27,BW$24&lt;=($E27+$E33-1)),Вводные!$D$30,Вводные!$E$30))</f>
        <v>2.1999999999999999E-2</v>
      </c>
      <c r="BX33" s="120">
        <f>IF(BX$24&lt;$E27,0,IF(AND(BX$24&gt;=$E27,BX$24&lt;=($E27+$E33-1)),Вводные!$D$30,Вводные!$E$30))</f>
        <v>2.1999999999999999E-2</v>
      </c>
      <c r="BY33" s="120">
        <f>IF(BY$24&lt;$E27,0,IF(AND(BY$24&gt;=$E27,BY$24&lt;=($E27+$E33-1)),Вводные!$D$30,Вводные!$E$30))</f>
        <v>2.1999999999999999E-2</v>
      </c>
      <c r="BZ33" s="120">
        <f>IF(BZ$24&lt;$E27,0,IF(AND(BZ$24&gt;=$E27,BZ$24&lt;=($E27+$E33-1)),Вводные!$D$30,Вводные!$E$30))</f>
        <v>2.1999999999999999E-2</v>
      </c>
      <c r="CA33" s="120">
        <f>IF(CA$24&lt;$E27,0,IF(AND(CA$24&gt;=$E27,CA$24&lt;=($E27+$E33-1)),Вводные!$D$30,Вводные!$E$30))</f>
        <v>2.1999999999999999E-2</v>
      </c>
      <c r="CB33" s="120">
        <f>IF(CB$24&lt;$E27,0,IF(AND(CB$24&gt;=$E27,CB$24&lt;=($E27+$E33-1)),Вводные!$D$30,Вводные!$E$30))</f>
        <v>2.1999999999999999E-2</v>
      </c>
      <c r="CC33" s="120">
        <f>IF(CC$24&lt;$E27,0,IF(AND(CC$24&gt;=$E27,CC$24&lt;=($E27+$E33-1)),Вводные!$D$30,Вводные!$E$30))</f>
        <v>2.1999999999999999E-2</v>
      </c>
      <c r="CD33" s="120">
        <f>IF(CD$24&lt;$E27,0,IF(AND(CD$24&gt;=$E27,CD$24&lt;=($E27+$E33-1)),Вводные!$D$30,Вводные!$E$30))</f>
        <v>2.1999999999999999E-2</v>
      </c>
      <c r="CE33" s="120">
        <f>IF(CE$24&lt;$E27,0,IF(AND(CE$24&gt;=$E27,CE$24&lt;=($E27+$E33-1)),Вводные!$D$30,Вводные!$E$30))</f>
        <v>2.1999999999999999E-2</v>
      </c>
      <c r="CF33" s="120">
        <f>IF(CF$24&lt;$E27,0,IF(AND(CF$24&gt;=$E27,CF$24&lt;=($E27+$E33-1)),Вводные!$D$30,Вводные!$E$30))</f>
        <v>2.1999999999999999E-2</v>
      </c>
      <c r="CG33" s="120">
        <f>IF(CG$24&lt;$E27,0,IF(AND(CG$24&gt;=$E27,CG$24&lt;=($E27+$E33-1)),Вводные!$D$30,Вводные!$E$30))</f>
        <v>2.1999999999999999E-2</v>
      </c>
      <c r="CH33" s="120">
        <f>IF(CH$24&lt;$E27,0,IF(AND(CH$24&gt;=$E27,CH$24&lt;=($E27+$E33-1)),Вводные!$D$30,Вводные!$E$30))</f>
        <v>2.1999999999999999E-2</v>
      </c>
      <c r="CI33" s="120">
        <f>IF(CI$24&lt;$E27,0,IF(AND(CI$24&gt;=$E27,CI$24&lt;=($E27+$E33-1)),Вводные!$D$30,Вводные!$E$30))</f>
        <v>2.1999999999999999E-2</v>
      </c>
      <c r="CJ33" s="120">
        <f>IF(CJ$24&lt;$E27,0,IF(AND(CJ$24&gt;=$E27,CJ$24&lt;=($E27+$E33-1)),Вводные!$D$30,Вводные!$E$30))</f>
        <v>2.1999999999999999E-2</v>
      </c>
      <c r="CK33" s="120">
        <f>IF(CK$24&lt;$E27,0,IF(AND(CK$24&gt;=$E27,CK$24&lt;=($E27+$E33-1)),Вводные!$D$30,Вводные!$E$30))</f>
        <v>2.1999999999999999E-2</v>
      </c>
      <c r="CL33" s="120">
        <f>IF(CL$24&lt;$E27,0,IF(AND(CL$24&gt;=$E27,CL$24&lt;=($E27+$E33-1)),Вводные!$D$30,Вводные!$E$30))</f>
        <v>2.1999999999999999E-2</v>
      </c>
      <c r="CM33" s="120">
        <f>IF(CM$24&lt;$E27,0,IF(AND(CM$24&gt;=$E27,CM$24&lt;=($E27+$E33-1)),Вводные!$D$30,Вводные!$E$30))</f>
        <v>2.1999999999999999E-2</v>
      </c>
      <c r="CN33" s="120">
        <f>IF(CN$24&lt;$E27,0,IF(AND(CN$24&gt;=$E27,CN$24&lt;=($E27+$E33-1)),Вводные!$D$30,Вводные!$E$30))</f>
        <v>2.1999999999999999E-2</v>
      </c>
      <c r="CO33" s="120">
        <f>IF(CO$24&lt;$E27,0,IF(AND(CO$24&gt;=$E27,CO$24&lt;=($E27+$E33-1)),Вводные!$D$30,Вводные!$E$30))</f>
        <v>2.1999999999999999E-2</v>
      </c>
      <c r="CP33" s="120">
        <f>IF(CP$24&lt;$E27,0,IF(AND(CP$24&gt;=$E27,CP$24&lt;=($E27+$E33-1)),Вводные!$D$30,Вводные!$E$30))</f>
        <v>2.1999999999999999E-2</v>
      </c>
      <c r="CQ33" s="120">
        <f>IF(CQ$24&lt;$E27,0,IF(AND(CQ$24&gt;=$E27,CQ$24&lt;=($E27+$E33-1)),Вводные!$D$30,Вводные!$E$30))</f>
        <v>2.1999999999999999E-2</v>
      </c>
      <c r="CR33" s="120">
        <f>IF(CR$24&lt;$E27,0,IF(AND(CR$24&gt;=$E27,CR$24&lt;=($E27+$E33-1)),Вводные!$D$30,Вводные!$E$30))</f>
        <v>2.1999999999999999E-2</v>
      </c>
      <c r="CS33" s="120">
        <f>IF(CS$24&lt;$E27,0,IF(AND(CS$24&gt;=$E27,CS$24&lt;=($E27+$E33-1)),Вводные!$D$30,Вводные!$E$30))</f>
        <v>2.1999999999999999E-2</v>
      </c>
      <c r="CT33" s="120">
        <f>IF(CT$24&lt;$E27,0,IF(AND(CT$24&gt;=$E27,CT$24&lt;=($E27+$E33-1)),Вводные!$D$30,Вводные!$E$30))</f>
        <v>2.1999999999999999E-2</v>
      </c>
      <c r="CU33" s="120">
        <f>IF(CU$24&lt;$E27,0,IF(AND(CU$24&gt;=$E27,CU$24&lt;=($E27+$E33-1)),Вводные!$D$30,Вводные!$E$30))</f>
        <v>2.1999999999999999E-2</v>
      </c>
      <c r="CV33" s="120">
        <f>IF(CV$24&lt;$E27,0,IF(AND(CV$24&gt;=$E27,CV$24&lt;=($E27+$E33-1)),Вводные!$D$30,Вводные!$E$30))</f>
        <v>2.1999999999999999E-2</v>
      </c>
      <c r="CW33" s="120">
        <f>IF(CW$24&lt;$E27,0,IF(AND(CW$24&gt;=$E27,CW$24&lt;=($E27+$E33-1)),Вводные!$D$30,Вводные!$E$30))</f>
        <v>2.1999999999999999E-2</v>
      </c>
      <c r="CX33" s="120">
        <f>IF(CX$24&lt;$E27,0,IF(AND(CX$24&gt;=$E27,CX$24&lt;=($E27+$E33-1)),Вводные!$D$30,Вводные!$E$30))</f>
        <v>2.1999999999999999E-2</v>
      </c>
      <c r="CY33" s="120">
        <f>IF(CY$24&lt;$E27,0,IF(AND(CY$24&gt;=$E27,CY$24&lt;=($E27+$E33-1)),Вводные!$D$30,Вводные!$E$30))</f>
        <v>2.1999999999999999E-2</v>
      </c>
      <c r="CZ33" s="120">
        <f>IF(CZ$24&lt;$E27,0,IF(AND(CZ$24&gt;=$E27,CZ$24&lt;=($E27+$E33-1)),Вводные!$D$30,Вводные!$E$30))</f>
        <v>2.1999999999999999E-2</v>
      </c>
      <c r="DA33" s="120">
        <f>IF(DA$24&lt;$E27,0,IF(AND(DA$24&gt;=$E27,DA$24&lt;=($E27+$E33-1)),Вводные!$D$30,Вводные!$E$30))</f>
        <v>2.1999999999999999E-2</v>
      </c>
      <c r="DB33" s="120">
        <f>IF(DB$24&lt;$E27,0,IF(AND(DB$24&gt;=$E27,DB$24&lt;=($E27+$E33-1)),Вводные!$D$30,Вводные!$E$30))</f>
        <v>2.1999999999999999E-2</v>
      </c>
      <c r="DC33" s="120">
        <f>IF(DC$24&lt;$E27,0,IF(AND(DC$24&gt;=$E27,DC$24&lt;=($E27+$E33-1)),Вводные!$D$30,Вводные!$E$30))</f>
        <v>2.1999999999999999E-2</v>
      </c>
      <c r="DD33" s="120">
        <f>IF(DD$24&lt;$E27,0,IF(AND(DD$24&gt;=$E27,DD$24&lt;=($E27+$E33-1)),Вводные!$D$30,Вводные!$E$30))</f>
        <v>2.1999999999999999E-2</v>
      </c>
      <c r="DE33" s="120">
        <f>IF(DE$24&lt;$E27,0,IF(AND(DE$24&gt;=$E27,DE$24&lt;=($E27+$E33-1)),Вводные!$D$30,Вводные!$E$30))</f>
        <v>2.1999999999999999E-2</v>
      </c>
      <c r="DF33" s="120">
        <f>IF(DF$24&lt;$E27,0,IF(AND(DF$24&gt;=$E27,DF$24&lt;=($E27+$E33-1)),Вводные!$D$30,Вводные!$E$30))</f>
        <v>2.1999999999999999E-2</v>
      </c>
      <c r="DG33" s="120">
        <f>IF(DG$24&lt;$E27,0,IF(AND(DG$24&gt;=$E27,DG$24&lt;=($E27+$E33-1)),Вводные!$D$30,Вводные!$E$30))</f>
        <v>2.1999999999999999E-2</v>
      </c>
      <c r="DH33" s="120">
        <f>IF(DH$24&lt;$E27,0,IF(AND(DH$24&gt;=$E27,DH$24&lt;=($E27+$E33-1)),Вводные!$D$30,Вводные!$E$30))</f>
        <v>2.1999999999999999E-2</v>
      </c>
      <c r="DI33" s="120">
        <f>IF(DI$24&lt;$E27,0,IF(AND(DI$24&gt;=$E27,DI$24&lt;=($E27+$E33-1)),Вводные!$D$30,Вводные!$E$30))</f>
        <v>2.1999999999999999E-2</v>
      </c>
      <c r="DJ33" s="120">
        <f>IF(DJ$24&lt;$E27,0,IF(AND(DJ$24&gt;=$E27,DJ$24&lt;=($E27+$E33-1)),Вводные!$D$30,Вводные!$E$30))</f>
        <v>2.1999999999999999E-2</v>
      </c>
      <c r="DK33" s="120">
        <f>IF(DK$24&lt;$E27,0,IF(AND(DK$24&gt;=$E27,DK$24&lt;=($E27+$E33-1)),Вводные!$D$30,Вводные!$E$30))</f>
        <v>2.1999999999999999E-2</v>
      </c>
      <c r="DL33" s="120">
        <f>IF(DL$24&lt;$E27,0,IF(AND(DL$24&gt;=$E27,DL$24&lt;=($E27+$E33-1)),Вводные!$D$30,Вводные!$E$30))</f>
        <v>2.1999999999999999E-2</v>
      </c>
      <c r="DM33" s="120">
        <f>IF(DM$24&lt;$E27,0,IF(AND(DM$24&gt;=$E27,DM$24&lt;=($E27+$E33-1)),Вводные!$D$30,Вводные!$E$30))</f>
        <v>2.1999999999999999E-2</v>
      </c>
      <c r="DN33" s="120">
        <f>IF(DN$24&lt;$E27,0,IF(AND(DN$24&gt;=$E27,DN$24&lt;=($E27+$E33-1)),Вводные!$D$30,Вводные!$E$30))</f>
        <v>2.1999999999999999E-2</v>
      </c>
      <c r="DO33" s="120">
        <f>IF(DO$24&lt;$E27,0,IF(AND(DO$24&gt;=$E27,DO$24&lt;=($E27+$E33-1)),Вводные!$D$30,Вводные!$E$30))</f>
        <v>2.1999999999999999E-2</v>
      </c>
      <c r="DP33" s="120">
        <f>IF(DP$24&lt;$E27,0,IF(AND(DP$24&gt;=$E27,DP$24&lt;=($E27+$E33-1)),Вводные!$D$30,Вводные!$E$30))</f>
        <v>2.1999999999999999E-2</v>
      </c>
      <c r="DQ33" s="120">
        <f>IF(DQ$24&lt;$E27,0,IF(AND(DQ$24&gt;=$E27,DQ$24&lt;=($E27+$E33-1)),Вводные!$D$30,Вводные!$E$30))</f>
        <v>2.1999999999999999E-2</v>
      </c>
      <c r="DR33" s="120">
        <f>IF(DR$24&lt;$E27,0,IF(AND(DR$24&gt;=$E27,DR$24&lt;=($E27+$E33-1)),Вводные!$D$30,Вводные!$E$30))</f>
        <v>2.1999999999999999E-2</v>
      </c>
      <c r="DS33" s="120">
        <f>IF(DS$24&lt;$E27,0,IF(AND(DS$24&gt;=$E27,DS$24&lt;=($E27+$E33-1)),Вводные!$D$30,Вводные!$E$30))</f>
        <v>2.1999999999999999E-2</v>
      </c>
      <c r="DT33" s="120">
        <f>IF(DT$24&lt;$E27,0,IF(AND(DT$24&gt;=$E27,DT$24&lt;=($E27+$E33-1)),Вводные!$D$30,Вводные!$E$30))</f>
        <v>2.1999999999999999E-2</v>
      </c>
      <c r="DU33" s="120">
        <f>IF(DU$24&lt;$E27,0,IF(AND(DU$24&gt;=$E27,DU$24&lt;=($E27+$E33-1)),Вводные!$D$30,Вводные!$E$30))</f>
        <v>2.1999999999999999E-2</v>
      </c>
      <c r="DV33" s="120">
        <f>IF(DV$24&lt;$E27,0,IF(AND(DV$24&gt;=$E27,DV$24&lt;=($E27+$E33-1)),Вводные!$D$30,Вводные!$E$30))</f>
        <v>2.1999999999999999E-2</v>
      </c>
      <c r="DW33" s="120">
        <f>IF(DW$24&lt;$E27,0,IF(AND(DW$24&gt;=$E27,DW$24&lt;=($E27+$E33-1)),Вводные!$D$30,Вводные!$E$30))</f>
        <v>2.1999999999999999E-2</v>
      </c>
      <c r="DX33" s="120">
        <f>IF(DX$24&lt;$E27,0,IF(AND(DX$24&gt;=$E27,DX$24&lt;=($E27+$E33-1)),Вводные!$D$30,Вводные!$E$30))</f>
        <v>2.1999999999999999E-2</v>
      </c>
      <c r="DY33" s="120">
        <f>IF(DY$24&lt;$E27,0,IF(AND(DY$24&gt;=$E27,DY$24&lt;=($E27+$E33-1)),Вводные!$D$30,Вводные!$E$30))</f>
        <v>2.1999999999999999E-2</v>
      </c>
      <c r="DZ33" s="120">
        <f>IF(DZ$24&lt;$E27,0,IF(AND(DZ$24&gt;=$E27,DZ$24&lt;=($E27+$E33-1)),Вводные!$D$30,Вводные!$E$30))</f>
        <v>2.1999999999999999E-2</v>
      </c>
      <c r="EA33" s="120">
        <f>IF(EA$24&lt;$E27,0,IF(AND(EA$24&gt;=$E27,EA$24&lt;=($E27+$E33-1)),Вводные!$D$30,Вводные!$E$30))</f>
        <v>2.1999999999999999E-2</v>
      </c>
      <c r="EB33" s="120">
        <f>IF(EB$24&lt;$E27,0,IF(AND(EB$24&gt;=$E27,EB$24&lt;=($E27+$E33-1)),Вводные!$D$30,Вводные!$E$30))</f>
        <v>2.1999999999999999E-2</v>
      </c>
      <c r="EC33" s="120">
        <f>IF(EC$24&lt;$E27,0,IF(AND(EC$24&gt;=$E27,EC$24&lt;=($E27+$E33-1)),Вводные!$D$30,Вводные!$E$30))</f>
        <v>2.1999999999999999E-2</v>
      </c>
      <c r="ED33" s="120">
        <f>IF(ED$24&lt;$E27,0,IF(AND(ED$24&gt;=$E27,ED$24&lt;=($E27+$E33-1)),Вводные!$D$30,Вводные!$E$30))</f>
        <v>2.1999999999999999E-2</v>
      </c>
      <c r="EE33" s="120">
        <f>IF(EE$24&lt;$E27,0,IF(AND(EE$24&gt;=$E27,EE$24&lt;=($E27+$E33-1)),Вводные!$D$30,Вводные!$E$30))</f>
        <v>2.1999999999999999E-2</v>
      </c>
      <c r="EF33" s="120">
        <f>IF(EF$24&lt;$E27,0,IF(AND(EF$24&gt;=$E27,EF$24&lt;=($E27+$E33-1)),Вводные!$D$30,Вводные!$E$30))</f>
        <v>2.1999999999999999E-2</v>
      </c>
      <c r="EG33" s="120">
        <f>IF(EG$24&lt;$E27,0,IF(AND(EG$24&gt;=$E27,EG$24&lt;=($E27+$E33-1)),Вводные!$D$30,Вводные!$E$30))</f>
        <v>2.1999999999999999E-2</v>
      </c>
      <c r="EH33" s="120">
        <f>IF(EH$24&lt;$E27,0,IF(AND(EH$24&gt;=$E27,EH$24&lt;=($E27+$E33-1)),Вводные!$D$30,Вводные!$E$30))</f>
        <v>2.1999999999999999E-2</v>
      </c>
      <c r="EI33" s="120">
        <f>IF(EI$24&lt;$E27,0,IF(AND(EI$24&gt;=$E27,EI$24&lt;=($E27+$E33-1)),Вводные!$D$30,Вводные!$E$30))</f>
        <v>2.1999999999999999E-2</v>
      </c>
      <c r="EJ33" s="120">
        <f>IF(EJ$24&lt;$E27,0,IF(AND(EJ$24&gt;=$E27,EJ$24&lt;=($E27+$E33-1)),Вводные!$D$30,Вводные!$E$30))</f>
        <v>2.1999999999999999E-2</v>
      </c>
      <c r="EK33" s="120">
        <f>IF(EK$24&lt;$E27,0,IF(AND(EK$24&gt;=$E27,EK$24&lt;=($E27+$E33-1)),Вводные!$D$30,Вводные!$E$30))</f>
        <v>2.1999999999999999E-2</v>
      </c>
      <c r="EL33" s="120">
        <f>IF(EL$24&lt;$E27,0,IF(AND(EL$24&gt;=$E27,EL$24&lt;=($E27+$E33-1)),Вводные!$D$30,Вводные!$E$30))</f>
        <v>2.1999999999999999E-2</v>
      </c>
      <c r="EM33" s="120">
        <f>IF(EM$24&lt;$E27,0,IF(AND(EM$24&gt;=$E27,EM$24&lt;=($E27+$E33-1)),Вводные!$D$30,Вводные!$E$30))</f>
        <v>2.1999999999999999E-2</v>
      </c>
      <c r="EN33" s="120">
        <f>IF(EN$24&lt;$E27,0,IF(AND(EN$24&gt;=$E27,EN$24&lt;=($E27+$E33-1)),Вводные!$D$30,Вводные!$E$30))</f>
        <v>2.1999999999999999E-2</v>
      </c>
    </row>
    <row r="34" spans="2:144" outlineLevel="1">
      <c r="C34" s="151" t="s">
        <v>22</v>
      </c>
      <c r="D34" s="44"/>
      <c r="E34" s="469">
        <f>Вводные!D30</f>
        <v>0</v>
      </c>
      <c r="F34" s="44"/>
      <c r="G34" s="44"/>
      <c r="H34" s="44">
        <f t="shared" ref="H34:Y34" si="21">H33*H32/4</f>
        <v>0</v>
      </c>
      <c r="I34" s="44">
        <f t="shared" si="21"/>
        <v>0</v>
      </c>
      <c r="J34" s="44">
        <f t="shared" si="21"/>
        <v>0</v>
      </c>
      <c r="K34" s="44">
        <f t="shared" si="21"/>
        <v>0</v>
      </c>
      <c r="L34" s="44">
        <f t="shared" si="21"/>
        <v>0</v>
      </c>
      <c r="M34" s="44">
        <f t="shared" si="21"/>
        <v>0</v>
      </c>
      <c r="N34" s="44">
        <f t="shared" si="21"/>
        <v>0</v>
      </c>
      <c r="O34" s="44">
        <f t="shared" si="21"/>
        <v>0</v>
      </c>
      <c r="P34" s="44">
        <f t="shared" si="21"/>
        <v>0</v>
      </c>
      <c r="Q34" s="44">
        <f t="shared" si="21"/>
        <v>0</v>
      </c>
      <c r="R34" s="44">
        <f t="shared" si="21"/>
        <v>0</v>
      </c>
      <c r="S34" s="44">
        <f t="shared" si="21"/>
        <v>0</v>
      </c>
      <c r="T34" s="44">
        <f t="shared" si="21"/>
        <v>0</v>
      </c>
      <c r="U34" s="44">
        <f t="shared" si="21"/>
        <v>0</v>
      </c>
      <c r="V34" s="44">
        <f t="shared" si="21"/>
        <v>0</v>
      </c>
      <c r="W34" s="44">
        <f t="shared" si="21"/>
        <v>0</v>
      </c>
      <c r="X34" s="44">
        <f t="shared" si="21"/>
        <v>0</v>
      </c>
      <c r="Y34" s="44">
        <f t="shared" si="21"/>
        <v>0</v>
      </c>
      <c r="Z34" s="44">
        <f t="shared" ref="Z34:CJ34" si="22">Z33*Z32/4</f>
        <v>0</v>
      </c>
      <c r="AA34" s="44">
        <f t="shared" si="22"/>
        <v>0</v>
      </c>
      <c r="AB34" s="44">
        <f t="shared" si="22"/>
        <v>0</v>
      </c>
      <c r="AC34" s="44">
        <f t="shared" si="22"/>
        <v>0</v>
      </c>
      <c r="AD34" s="44">
        <f t="shared" si="22"/>
        <v>0</v>
      </c>
      <c r="AE34" s="44">
        <f t="shared" si="22"/>
        <v>0</v>
      </c>
      <c r="AF34" s="44">
        <f t="shared" si="22"/>
        <v>0</v>
      </c>
      <c r="AG34" s="44">
        <f t="shared" si="22"/>
        <v>0</v>
      </c>
      <c r="AH34" s="44">
        <f t="shared" si="22"/>
        <v>0</v>
      </c>
      <c r="AI34" s="44">
        <f t="shared" si="22"/>
        <v>0</v>
      </c>
      <c r="AJ34" s="44">
        <f t="shared" si="22"/>
        <v>0</v>
      </c>
      <c r="AK34" s="44">
        <f t="shared" si="22"/>
        <v>0</v>
      </c>
      <c r="AL34" s="44">
        <f t="shared" si="22"/>
        <v>0</v>
      </c>
      <c r="AM34" s="44">
        <f t="shared" si="22"/>
        <v>0</v>
      </c>
      <c r="AN34" s="44">
        <f t="shared" si="22"/>
        <v>0</v>
      </c>
      <c r="AO34" s="44">
        <f t="shared" si="22"/>
        <v>0</v>
      </c>
      <c r="AP34" s="44">
        <f t="shared" si="22"/>
        <v>0</v>
      </c>
      <c r="AQ34" s="44">
        <f t="shared" si="22"/>
        <v>0</v>
      </c>
      <c r="AR34" s="44">
        <f t="shared" si="22"/>
        <v>0</v>
      </c>
      <c r="AS34" s="44">
        <f t="shared" si="22"/>
        <v>0</v>
      </c>
      <c r="AT34" s="44">
        <f t="shared" si="22"/>
        <v>0</v>
      </c>
      <c r="AU34" s="44">
        <f t="shared" si="22"/>
        <v>0</v>
      </c>
      <c r="AV34" s="44">
        <f t="shared" si="22"/>
        <v>0</v>
      </c>
      <c r="AW34" s="44">
        <f t="shared" si="22"/>
        <v>0</v>
      </c>
      <c r="AX34" s="44">
        <f t="shared" si="22"/>
        <v>0</v>
      </c>
      <c r="AY34" s="44">
        <f t="shared" si="22"/>
        <v>0</v>
      </c>
      <c r="AZ34" s="44">
        <f t="shared" si="22"/>
        <v>0</v>
      </c>
      <c r="BA34" s="44">
        <f t="shared" si="22"/>
        <v>0</v>
      </c>
      <c r="BB34" s="44">
        <f t="shared" si="22"/>
        <v>0</v>
      </c>
      <c r="BC34" s="44">
        <f t="shared" si="22"/>
        <v>0</v>
      </c>
      <c r="BD34" s="44">
        <f t="shared" si="22"/>
        <v>0</v>
      </c>
      <c r="BE34" s="44">
        <f t="shared" si="22"/>
        <v>0</v>
      </c>
      <c r="BF34" s="44">
        <f t="shared" si="22"/>
        <v>0</v>
      </c>
      <c r="BG34" s="44">
        <f t="shared" si="22"/>
        <v>0</v>
      </c>
      <c r="BH34" s="44">
        <f t="shared" si="22"/>
        <v>0</v>
      </c>
      <c r="BI34" s="44">
        <f t="shared" si="22"/>
        <v>0</v>
      </c>
      <c r="BJ34" s="44">
        <f t="shared" si="22"/>
        <v>0</v>
      </c>
      <c r="BK34" s="44">
        <f t="shared" si="22"/>
        <v>0</v>
      </c>
      <c r="BL34" s="44">
        <f t="shared" si="22"/>
        <v>7980086.6116169076</v>
      </c>
      <c r="BM34" s="44">
        <f t="shared" si="22"/>
        <v>7882171.4384682337</v>
      </c>
      <c r="BN34" s="44">
        <f t="shared" si="22"/>
        <v>7784256.2653195588</v>
      </c>
      <c r="BO34" s="44">
        <f t="shared" si="22"/>
        <v>7686341.0921708848</v>
      </c>
      <c r="BP34" s="44">
        <f t="shared" si="22"/>
        <v>7588425.9190222109</v>
      </c>
      <c r="BQ34" s="44">
        <f t="shared" si="22"/>
        <v>7490510.745873536</v>
      </c>
      <c r="BR34" s="44">
        <f t="shared" si="22"/>
        <v>7392595.572724862</v>
      </c>
      <c r="BS34" s="44">
        <f t="shared" si="22"/>
        <v>7294680.3995761881</v>
      </c>
      <c r="BT34" s="44">
        <f t="shared" si="22"/>
        <v>7196765.2264275141</v>
      </c>
      <c r="BU34" s="44">
        <f t="shared" si="22"/>
        <v>7098850.0532788392</v>
      </c>
      <c r="BV34" s="44">
        <f t="shared" si="22"/>
        <v>7000934.8801301653</v>
      </c>
      <c r="BW34" s="44">
        <f t="shared" si="22"/>
        <v>6903019.7069814913</v>
      </c>
      <c r="BX34" s="44">
        <f t="shared" si="22"/>
        <v>6805104.5338328164</v>
      </c>
      <c r="BY34" s="44">
        <f t="shared" si="22"/>
        <v>6707189.3606841424</v>
      </c>
      <c r="BZ34" s="44">
        <f t="shared" si="22"/>
        <v>6609274.1875354685</v>
      </c>
      <c r="CA34" s="44">
        <f t="shared" si="22"/>
        <v>6511359.0143867936</v>
      </c>
      <c r="CB34" s="44">
        <f t="shared" si="22"/>
        <v>6413443.8412381196</v>
      </c>
      <c r="CC34" s="44">
        <f t="shared" si="22"/>
        <v>6315528.6680894457</v>
      </c>
      <c r="CD34" s="44">
        <f t="shared" si="22"/>
        <v>6217613.4949407708</v>
      </c>
      <c r="CE34" s="44">
        <f t="shared" si="22"/>
        <v>6119698.3217920968</v>
      </c>
      <c r="CF34" s="44">
        <f t="shared" si="22"/>
        <v>6021783.1486434229</v>
      </c>
      <c r="CG34" s="44">
        <f t="shared" si="22"/>
        <v>5923867.9754947489</v>
      </c>
      <c r="CH34" s="44">
        <f t="shared" si="22"/>
        <v>5825952.8023460759</v>
      </c>
      <c r="CI34" s="44">
        <f t="shared" si="22"/>
        <v>5728037.629197401</v>
      </c>
      <c r="CJ34" s="44">
        <f t="shared" si="22"/>
        <v>5630122.456048728</v>
      </c>
      <c r="CK34" s="44">
        <f t="shared" ref="CK34:EN34" si="23">CK33*CK32/4</f>
        <v>5532207.282900054</v>
      </c>
      <c r="CL34" s="44">
        <f t="shared" si="23"/>
        <v>5434292.109751381</v>
      </c>
      <c r="CM34" s="44">
        <f t="shared" si="23"/>
        <v>5336376.936602707</v>
      </c>
      <c r="CN34" s="44">
        <f t="shared" si="23"/>
        <v>5238461.763454034</v>
      </c>
      <c r="CO34" s="44">
        <f t="shared" si="23"/>
        <v>5140546.59030536</v>
      </c>
      <c r="CP34" s="44">
        <f t="shared" si="23"/>
        <v>5042631.417156687</v>
      </c>
      <c r="CQ34" s="44">
        <f t="shared" si="23"/>
        <v>4944716.244008013</v>
      </c>
      <c r="CR34" s="44">
        <f t="shared" si="23"/>
        <v>4846801.07085934</v>
      </c>
      <c r="CS34" s="44">
        <f t="shared" si="23"/>
        <v>4748885.8977106651</v>
      </c>
      <c r="CT34" s="44">
        <f t="shared" si="23"/>
        <v>4650970.7245619921</v>
      </c>
      <c r="CU34" s="44">
        <f t="shared" si="23"/>
        <v>4553055.5514133181</v>
      </c>
      <c r="CV34" s="44">
        <f t="shared" si="23"/>
        <v>4455140.3782646451</v>
      </c>
      <c r="CW34" s="44">
        <f t="shared" si="23"/>
        <v>4357225.2051159712</v>
      </c>
      <c r="CX34" s="44">
        <f t="shared" si="23"/>
        <v>4259310.0319672981</v>
      </c>
      <c r="CY34" s="44">
        <f t="shared" si="23"/>
        <v>4161394.8588186237</v>
      </c>
      <c r="CZ34" s="44">
        <f t="shared" si="23"/>
        <v>4063479.6856699511</v>
      </c>
      <c r="DA34" s="44">
        <f t="shared" si="23"/>
        <v>3965564.5125212767</v>
      </c>
      <c r="DB34" s="44">
        <f t="shared" si="23"/>
        <v>3867649.3393726037</v>
      </c>
      <c r="DC34" s="44">
        <f t="shared" si="23"/>
        <v>3769734.1662239297</v>
      </c>
      <c r="DD34" s="44">
        <f t="shared" si="23"/>
        <v>3671818.9930752567</v>
      </c>
      <c r="DE34" s="44">
        <f t="shared" si="23"/>
        <v>3573903.8199265823</v>
      </c>
      <c r="DF34" s="44">
        <f t="shared" si="23"/>
        <v>3475988.6467779092</v>
      </c>
      <c r="DG34" s="44">
        <f t="shared" si="23"/>
        <v>3378073.4736292353</v>
      </c>
      <c r="DH34" s="44">
        <f t="shared" si="23"/>
        <v>3280158.3004805623</v>
      </c>
      <c r="DI34" s="44">
        <f t="shared" si="23"/>
        <v>3182243.1273318878</v>
      </c>
      <c r="DJ34" s="44">
        <f t="shared" si="23"/>
        <v>3084327.9541832153</v>
      </c>
      <c r="DK34" s="44">
        <f t="shared" si="23"/>
        <v>2986412.7810345409</v>
      </c>
      <c r="DL34" s="44">
        <f t="shared" si="23"/>
        <v>2888497.6078858674</v>
      </c>
      <c r="DM34" s="44">
        <f t="shared" si="23"/>
        <v>2790582.4347371929</v>
      </c>
      <c r="DN34" s="44">
        <f t="shared" si="23"/>
        <v>2692667.2615885194</v>
      </c>
      <c r="DO34" s="44">
        <f t="shared" si="23"/>
        <v>2594752.088439845</v>
      </c>
      <c r="DP34" s="44">
        <f t="shared" si="23"/>
        <v>2496836.9152911715</v>
      </c>
      <c r="DQ34" s="44">
        <f t="shared" si="23"/>
        <v>2398921.7421424976</v>
      </c>
      <c r="DR34" s="44">
        <f t="shared" si="23"/>
        <v>2301006.5689938236</v>
      </c>
      <c r="DS34" s="44">
        <f t="shared" si="23"/>
        <v>2203091.3958451496</v>
      </c>
      <c r="DT34" s="44">
        <f t="shared" si="23"/>
        <v>2105176.2226964762</v>
      </c>
      <c r="DU34" s="44">
        <f t="shared" si="23"/>
        <v>2007261.0495478017</v>
      </c>
      <c r="DV34" s="44">
        <f t="shared" si="23"/>
        <v>1909345.876399128</v>
      </c>
      <c r="DW34" s="44">
        <f t="shared" si="23"/>
        <v>1811430.7032504538</v>
      </c>
      <c r="DX34" s="44">
        <f t="shared" si="23"/>
        <v>1713515.5301017803</v>
      </c>
      <c r="DY34" s="44">
        <f t="shared" si="23"/>
        <v>1615600.3569531061</v>
      </c>
      <c r="DZ34" s="44">
        <f t="shared" si="23"/>
        <v>1517685.1838044324</v>
      </c>
      <c r="EA34" s="44">
        <f t="shared" si="23"/>
        <v>1419770.0106557584</v>
      </c>
      <c r="EB34" s="44">
        <f t="shared" si="23"/>
        <v>1321854.8375070845</v>
      </c>
      <c r="EC34" s="44">
        <f t="shared" si="23"/>
        <v>1223939.6643584105</v>
      </c>
      <c r="ED34" s="44">
        <f t="shared" si="23"/>
        <v>1126024.4912097366</v>
      </c>
      <c r="EE34" s="44">
        <f t="shared" si="23"/>
        <v>1028109.3180610627</v>
      </c>
      <c r="EF34" s="44">
        <f t="shared" si="23"/>
        <v>930194.14491238876</v>
      </c>
      <c r="EG34" s="44">
        <f t="shared" si="23"/>
        <v>832278.9717637148</v>
      </c>
      <c r="EH34" s="44">
        <f t="shared" si="23"/>
        <v>734363.79861504096</v>
      </c>
      <c r="EI34" s="44">
        <f t="shared" si="23"/>
        <v>636448.625466367</v>
      </c>
      <c r="EJ34" s="44">
        <f t="shared" si="23"/>
        <v>538533.45231769315</v>
      </c>
      <c r="EK34" s="44">
        <f t="shared" si="23"/>
        <v>440618.2791690192</v>
      </c>
      <c r="EL34" s="44">
        <f t="shared" si="23"/>
        <v>342703.10602034529</v>
      </c>
      <c r="EM34" s="44">
        <f t="shared" si="23"/>
        <v>244787.93287167142</v>
      </c>
      <c r="EN34" s="44">
        <f t="shared" si="23"/>
        <v>146872.75972299752</v>
      </c>
    </row>
    <row r="35" spans="2:144" ht="15.75">
      <c r="B35" s="40"/>
      <c r="C35" s="22"/>
      <c r="E35" s="40"/>
      <c r="F35" s="40"/>
      <c r="G35" s="40"/>
      <c r="H35" s="463">
        <f t="shared" ref="H35:BD35" si="24">YEAR(H37)</f>
        <v>2022</v>
      </c>
      <c r="I35" s="463">
        <f t="shared" si="24"/>
        <v>2022</v>
      </c>
      <c r="J35" s="463">
        <f t="shared" si="24"/>
        <v>2022</v>
      </c>
      <c r="K35" s="463">
        <f t="shared" si="24"/>
        <v>2022</v>
      </c>
      <c r="L35" s="463">
        <f t="shared" si="24"/>
        <v>2023</v>
      </c>
      <c r="M35" s="463">
        <f t="shared" si="24"/>
        <v>2023</v>
      </c>
      <c r="N35" s="463">
        <f t="shared" si="24"/>
        <v>2023</v>
      </c>
      <c r="O35" s="463">
        <f t="shared" si="24"/>
        <v>2023</v>
      </c>
      <c r="P35" s="463">
        <f t="shared" si="24"/>
        <v>2024</v>
      </c>
      <c r="Q35" s="463">
        <f t="shared" si="24"/>
        <v>2024</v>
      </c>
      <c r="R35" s="463">
        <f t="shared" si="24"/>
        <v>2024</v>
      </c>
      <c r="S35" s="463">
        <f t="shared" si="24"/>
        <v>2024</v>
      </c>
      <c r="T35" s="463">
        <f t="shared" si="24"/>
        <v>2025</v>
      </c>
      <c r="U35" s="463">
        <f t="shared" si="24"/>
        <v>2025</v>
      </c>
      <c r="V35" s="463">
        <f t="shared" si="24"/>
        <v>2025</v>
      </c>
      <c r="W35" s="463">
        <f t="shared" si="24"/>
        <v>2025</v>
      </c>
      <c r="X35" s="463">
        <f t="shared" si="24"/>
        <v>2026</v>
      </c>
      <c r="Y35" s="463">
        <f t="shared" si="24"/>
        <v>2026</v>
      </c>
      <c r="Z35" s="463">
        <f t="shared" si="24"/>
        <v>2026</v>
      </c>
      <c r="AA35" s="463">
        <f t="shared" si="24"/>
        <v>2026</v>
      </c>
      <c r="AB35" s="463">
        <f t="shared" si="24"/>
        <v>2027</v>
      </c>
      <c r="AC35" s="463">
        <f t="shared" si="24"/>
        <v>2027</v>
      </c>
      <c r="AD35" s="463">
        <f t="shared" si="24"/>
        <v>2027</v>
      </c>
      <c r="AE35" s="463">
        <f t="shared" si="24"/>
        <v>2027</v>
      </c>
      <c r="AF35" s="463">
        <f t="shared" si="24"/>
        <v>2028</v>
      </c>
      <c r="AG35" s="463">
        <f t="shared" si="24"/>
        <v>2028</v>
      </c>
      <c r="AH35" s="463">
        <f t="shared" si="24"/>
        <v>2028</v>
      </c>
      <c r="AI35" s="463">
        <f t="shared" si="24"/>
        <v>2028</v>
      </c>
      <c r="AJ35" s="463">
        <f t="shared" si="24"/>
        <v>2029</v>
      </c>
      <c r="AK35" s="463">
        <f t="shared" si="24"/>
        <v>2029</v>
      </c>
      <c r="AL35" s="463">
        <f t="shared" si="24"/>
        <v>2029</v>
      </c>
      <c r="AM35" s="463">
        <f t="shared" si="24"/>
        <v>2029</v>
      </c>
      <c r="AN35" s="463">
        <f t="shared" si="24"/>
        <v>2030</v>
      </c>
      <c r="AO35" s="463">
        <f t="shared" si="24"/>
        <v>2030</v>
      </c>
      <c r="AP35" s="463">
        <f t="shared" si="24"/>
        <v>2030</v>
      </c>
      <c r="AQ35" s="463">
        <f t="shared" si="24"/>
        <v>2030</v>
      </c>
      <c r="AR35" s="463">
        <f t="shared" si="24"/>
        <v>2031</v>
      </c>
      <c r="AS35" s="463">
        <f t="shared" si="24"/>
        <v>2031</v>
      </c>
      <c r="AT35" s="463">
        <f t="shared" si="24"/>
        <v>2031</v>
      </c>
      <c r="AU35" s="463">
        <f t="shared" si="24"/>
        <v>2031</v>
      </c>
      <c r="AV35" s="463">
        <f t="shared" si="24"/>
        <v>2032</v>
      </c>
      <c r="AW35" s="463">
        <f t="shared" si="24"/>
        <v>2032</v>
      </c>
      <c r="AX35" s="463">
        <f t="shared" si="24"/>
        <v>2032</v>
      </c>
      <c r="AY35" s="463">
        <f t="shared" si="24"/>
        <v>2032</v>
      </c>
      <c r="AZ35" s="463">
        <f t="shared" si="24"/>
        <v>2033</v>
      </c>
      <c r="BA35" s="463">
        <f t="shared" si="24"/>
        <v>2033</v>
      </c>
      <c r="BB35" s="463">
        <f t="shared" si="24"/>
        <v>2033</v>
      </c>
      <c r="BC35" s="463">
        <f t="shared" si="24"/>
        <v>2033</v>
      </c>
      <c r="BD35" s="463">
        <f t="shared" si="24"/>
        <v>2034</v>
      </c>
      <c r="BE35" s="463">
        <f>YEAR(BE37)</f>
        <v>2034</v>
      </c>
      <c r="BF35" s="463">
        <f>YEAR(BF37)</f>
        <v>2034</v>
      </c>
      <c r="BG35" s="463">
        <f t="shared" ref="BG35:DR35" si="25">YEAR(BG37)</f>
        <v>2034</v>
      </c>
      <c r="BH35" s="463">
        <f t="shared" si="25"/>
        <v>2035</v>
      </c>
      <c r="BI35" s="463">
        <f t="shared" si="25"/>
        <v>2035</v>
      </c>
      <c r="BJ35" s="463">
        <f t="shared" si="25"/>
        <v>2035</v>
      </c>
      <c r="BK35" s="463">
        <f t="shared" si="25"/>
        <v>2035</v>
      </c>
      <c r="BL35" s="463">
        <f t="shared" si="25"/>
        <v>2036</v>
      </c>
      <c r="BM35" s="463">
        <f t="shared" si="25"/>
        <v>2036</v>
      </c>
      <c r="BN35" s="463">
        <f t="shared" si="25"/>
        <v>2036</v>
      </c>
      <c r="BO35" s="463">
        <f t="shared" si="25"/>
        <v>2036</v>
      </c>
      <c r="BP35" s="463">
        <f t="shared" si="25"/>
        <v>2037</v>
      </c>
      <c r="BQ35" s="463">
        <f t="shared" si="25"/>
        <v>2037</v>
      </c>
      <c r="BR35" s="463">
        <f t="shared" si="25"/>
        <v>2037</v>
      </c>
      <c r="BS35" s="463">
        <f t="shared" si="25"/>
        <v>2037</v>
      </c>
      <c r="BT35" s="463">
        <f t="shared" si="25"/>
        <v>2038</v>
      </c>
      <c r="BU35" s="463">
        <f t="shared" si="25"/>
        <v>2038</v>
      </c>
      <c r="BV35" s="463">
        <f t="shared" si="25"/>
        <v>2038</v>
      </c>
      <c r="BW35" s="463">
        <f t="shared" si="25"/>
        <v>2038</v>
      </c>
      <c r="BX35" s="463">
        <f t="shared" si="25"/>
        <v>2039</v>
      </c>
      <c r="BY35" s="463">
        <f t="shared" si="25"/>
        <v>2039</v>
      </c>
      <c r="BZ35" s="463">
        <f t="shared" si="25"/>
        <v>2039</v>
      </c>
      <c r="CA35" s="463">
        <f t="shared" si="25"/>
        <v>2039</v>
      </c>
      <c r="CB35" s="463">
        <f t="shared" si="25"/>
        <v>2040</v>
      </c>
      <c r="CC35" s="463">
        <f t="shared" si="25"/>
        <v>2040</v>
      </c>
      <c r="CD35" s="463">
        <f t="shared" si="25"/>
        <v>2040</v>
      </c>
      <c r="CE35" s="463">
        <f t="shared" si="25"/>
        <v>2040</v>
      </c>
      <c r="CF35" s="463">
        <f t="shared" si="25"/>
        <v>2041</v>
      </c>
      <c r="CG35" s="463">
        <f t="shared" si="25"/>
        <v>2041</v>
      </c>
      <c r="CH35" s="463">
        <f t="shared" si="25"/>
        <v>2041</v>
      </c>
      <c r="CI35" s="463">
        <f t="shared" si="25"/>
        <v>2041</v>
      </c>
      <c r="CJ35" s="463">
        <f t="shared" si="25"/>
        <v>2042</v>
      </c>
      <c r="CK35" s="463">
        <f t="shared" si="25"/>
        <v>2042</v>
      </c>
      <c r="CL35" s="463">
        <f t="shared" si="25"/>
        <v>2042</v>
      </c>
      <c r="CM35" s="463">
        <f t="shared" si="25"/>
        <v>2042</v>
      </c>
      <c r="CN35" s="463">
        <f t="shared" si="25"/>
        <v>2043</v>
      </c>
      <c r="CO35" s="463">
        <f t="shared" si="25"/>
        <v>2043</v>
      </c>
      <c r="CP35" s="463">
        <f t="shared" si="25"/>
        <v>2043</v>
      </c>
      <c r="CQ35" s="463">
        <f t="shared" si="25"/>
        <v>2043</v>
      </c>
      <c r="CR35" s="463">
        <f t="shared" si="25"/>
        <v>2044</v>
      </c>
      <c r="CS35" s="463">
        <f t="shared" si="25"/>
        <v>2044</v>
      </c>
      <c r="CT35" s="463">
        <f t="shared" si="25"/>
        <v>2044</v>
      </c>
      <c r="CU35" s="463">
        <f t="shared" si="25"/>
        <v>2044</v>
      </c>
      <c r="CV35" s="463">
        <f t="shared" si="25"/>
        <v>2045</v>
      </c>
      <c r="CW35" s="463">
        <f t="shared" si="25"/>
        <v>2045</v>
      </c>
      <c r="CX35" s="463">
        <f t="shared" si="25"/>
        <v>2045</v>
      </c>
      <c r="CY35" s="463">
        <f t="shared" si="25"/>
        <v>2045</v>
      </c>
      <c r="CZ35" s="463">
        <f t="shared" si="25"/>
        <v>2046</v>
      </c>
      <c r="DA35" s="463">
        <f t="shared" si="25"/>
        <v>2046</v>
      </c>
      <c r="DB35" s="463">
        <f t="shared" si="25"/>
        <v>2046</v>
      </c>
      <c r="DC35" s="463">
        <f t="shared" si="25"/>
        <v>2046</v>
      </c>
      <c r="DD35" s="463">
        <f t="shared" si="25"/>
        <v>2047</v>
      </c>
      <c r="DE35" s="463">
        <f t="shared" si="25"/>
        <v>2047</v>
      </c>
      <c r="DF35" s="463">
        <f t="shared" si="25"/>
        <v>2047</v>
      </c>
      <c r="DG35" s="463">
        <f t="shared" si="25"/>
        <v>2047</v>
      </c>
      <c r="DH35" s="463">
        <f t="shared" si="25"/>
        <v>2048</v>
      </c>
      <c r="DI35" s="463">
        <f t="shared" si="25"/>
        <v>2048</v>
      </c>
      <c r="DJ35" s="463">
        <f t="shared" si="25"/>
        <v>2048</v>
      </c>
      <c r="DK35" s="463">
        <f t="shared" si="25"/>
        <v>2048</v>
      </c>
      <c r="DL35" s="463">
        <f t="shared" si="25"/>
        <v>2049</v>
      </c>
      <c r="DM35" s="463">
        <f t="shared" si="25"/>
        <v>2049</v>
      </c>
      <c r="DN35" s="463">
        <f t="shared" si="25"/>
        <v>2049</v>
      </c>
      <c r="DO35" s="463">
        <f t="shared" si="25"/>
        <v>2049</v>
      </c>
      <c r="DP35" s="463">
        <f t="shared" si="25"/>
        <v>2050</v>
      </c>
      <c r="DQ35" s="463">
        <f t="shared" si="25"/>
        <v>2050</v>
      </c>
      <c r="DR35" s="463">
        <f t="shared" si="25"/>
        <v>2050</v>
      </c>
      <c r="DS35" s="463">
        <f t="shared" ref="DS35:EN35" si="26">YEAR(DS37)</f>
        <v>2050</v>
      </c>
      <c r="DT35" s="463">
        <f t="shared" si="26"/>
        <v>2051</v>
      </c>
      <c r="DU35" s="463">
        <f t="shared" si="26"/>
        <v>2051</v>
      </c>
      <c r="DV35" s="463">
        <f t="shared" si="26"/>
        <v>2051</v>
      </c>
      <c r="DW35" s="463">
        <f t="shared" si="26"/>
        <v>2051</v>
      </c>
      <c r="DX35" s="463">
        <f t="shared" si="26"/>
        <v>2052</v>
      </c>
      <c r="DY35" s="463">
        <f t="shared" si="26"/>
        <v>2052</v>
      </c>
      <c r="DZ35" s="463">
        <f t="shared" si="26"/>
        <v>2052</v>
      </c>
      <c r="EA35" s="463">
        <f t="shared" si="26"/>
        <v>2052</v>
      </c>
      <c r="EB35" s="463">
        <f t="shared" si="26"/>
        <v>2053</v>
      </c>
      <c r="EC35" s="463">
        <f t="shared" si="26"/>
        <v>2053</v>
      </c>
      <c r="ED35" s="463">
        <f t="shared" si="26"/>
        <v>2053</v>
      </c>
      <c r="EE35" s="463">
        <f t="shared" si="26"/>
        <v>2053</v>
      </c>
      <c r="EF35" s="463">
        <f t="shared" si="26"/>
        <v>2054</v>
      </c>
      <c r="EG35" s="463">
        <f t="shared" si="26"/>
        <v>2054</v>
      </c>
      <c r="EH35" s="463">
        <f t="shared" si="26"/>
        <v>2054</v>
      </c>
      <c r="EI35" s="463">
        <f t="shared" si="26"/>
        <v>2054</v>
      </c>
      <c r="EJ35" s="463">
        <f t="shared" si="26"/>
        <v>2055</v>
      </c>
      <c r="EK35" s="463">
        <f t="shared" si="26"/>
        <v>2055</v>
      </c>
      <c r="EL35" s="463">
        <f t="shared" si="26"/>
        <v>2055</v>
      </c>
      <c r="EM35" s="463">
        <f t="shared" si="26"/>
        <v>2055</v>
      </c>
      <c r="EN35" s="463">
        <f t="shared" si="26"/>
        <v>2056</v>
      </c>
    </row>
    <row r="36" spans="2:144" ht="15.75">
      <c r="B36" s="40"/>
      <c r="C36" s="22"/>
      <c r="E36" s="40"/>
      <c r="F36" s="40"/>
      <c r="G36" s="40"/>
      <c r="H36" s="464">
        <f t="shared" ref="H36:AM36" si="27">H25</f>
        <v>44593</v>
      </c>
      <c r="I36" s="464">
        <f t="shared" si="27"/>
        <v>44652</v>
      </c>
      <c r="J36" s="464">
        <f t="shared" si="27"/>
        <v>44743</v>
      </c>
      <c r="K36" s="464">
        <f t="shared" si="27"/>
        <v>44835</v>
      </c>
      <c r="L36" s="464">
        <f t="shared" si="27"/>
        <v>44927</v>
      </c>
      <c r="M36" s="464">
        <f t="shared" si="27"/>
        <v>45017</v>
      </c>
      <c r="N36" s="464">
        <f t="shared" si="27"/>
        <v>45108</v>
      </c>
      <c r="O36" s="464">
        <f t="shared" si="27"/>
        <v>45200</v>
      </c>
      <c r="P36" s="464">
        <f t="shared" si="27"/>
        <v>45292</v>
      </c>
      <c r="Q36" s="464">
        <f t="shared" si="27"/>
        <v>45383</v>
      </c>
      <c r="R36" s="464">
        <f t="shared" si="27"/>
        <v>45474</v>
      </c>
      <c r="S36" s="464">
        <f t="shared" si="27"/>
        <v>45566</v>
      </c>
      <c r="T36" s="464">
        <f t="shared" si="27"/>
        <v>45658</v>
      </c>
      <c r="U36" s="464">
        <f t="shared" si="27"/>
        <v>45748</v>
      </c>
      <c r="V36" s="464">
        <f t="shared" si="27"/>
        <v>45839</v>
      </c>
      <c r="W36" s="464">
        <f t="shared" si="27"/>
        <v>45931</v>
      </c>
      <c r="X36" s="464">
        <f t="shared" si="27"/>
        <v>46023</v>
      </c>
      <c r="Y36" s="464">
        <f t="shared" si="27"/>
        <v>46113</v>
      </c>
      <c r="Z36" s="464">
        <f t="shared" si="27"/>
        <v>46204</v>
      </c>
      <c r="AA36" s="464">
        <f t="shared" si="27"/>
        <v>46296</v>
      </c>
      <c r="AB36" s="464">
        <f t="shared" si="27"/>
        <v>46388</v>
      </c>
      <c r="AC36" s="464">
        <f t="shared" si="27"/>
        <v>46478</v>
      </c>
      <c r="AD36" s="464">
        <f t="shared" si="27"/>
        <v>46569</v>
      </c>
      <c r="AE36" s="464">
        <f t="shared" si="27"/>
        <v>46661</v>
      </c>
      <c r="AF36" s="464">
        <f t="shared" si="27"/>
        <v>46753</v>
      </c>
      <c r="AG36" s="464">
        <f t="shared" si="27"/>
        <v>46844</v>
      </c>
      <c r="AH36" s="464">
        <f t="shared" si="27"/>
        <v>46935</v>
      </c>
      <c r="AI36" s="464">
        <f t="shared" si="27"/>
        <v>47027</v>
      </c>
      <c r="AJ36" s="464">
        <f t="shared" si="27"/>
        <v>47119</v>
      </c>
      <c r="AK36" s="464">
        <f t="shared" si="27"/>
        <v>47209</v>
      </c>
      <c r="AL36" s="464">
        <f t="shared" si="27"/>
        <v>47300</v>
      </c>
      <c r="AM36" s="464">
        <f t="shared" si="27"/>
        <v>47392</v>
      </c>
      <c r="AN36" s="464">
        <f t="shared" ref="AN36:BS36" si="28">AN25</f>
        <v>47484</v>
      </c>
      <c r="AO36" s="464">
        <f t="shared" si="28"/>
        <v>47574</v>
      </c>
      <c r="AP36" s="464">
        <f t="shared" si="28"/>
        <v>47665</v>
      </c>
      <c r="AQ36" s="464">
        <f t="shared" si="28"/>
        <v>47757</v>
      </c>
      <c r="AR36" s="464">
        <f t="shared" si="28"/>
        <v>47849</v>
      </c>
      <c r="AS36" s="464">
        <f t="shared" si="28"/>
        <v>47939</v>
      </c>
      <c r="AT36" s="464">
        <f t="shared" si="28"/>
        <v>48030</v>
      </c>
      <c r="AU36" s="464">
        <f t="shared" si="28"/>
        <v>48122</v>
      </c>
      <c r="AV36" s="464">
        <f t="shared" si="28"/>
        <v>48214</v>
      </c>
      <c r="AW36" s="464">
        <f t="shared" si="28"/>
        <v>48305</v>
      </c>
      <c r="AX36" s="464">
        <f t="shared" si="28"/>
        <v>48396</v>
      </c>
      <c r="AY36" s="464">
        <f t="shared" si="28"/>
        <v>48488</v>
      </c>
      <c r="AZ36" s="464">
        <f t="shared" si="28"/>
        <v>48580</v>
      </c>
      <c r="BA36" s="464">
        <f t="shared" si="28"/>
        <v>48670</v>
      </c>
      <c r="BB36" s="464">
        <f t="shared" si="28"/>
        <v>48761</v>
      </c>
      <c r="BC36" s="464">
        <f t="shared" si="28"/>
        <v>48853</v>
      </c>
      <c r="BD36" s="464">
        <f t="shared" si="28"/>
        <v>48945</v>
      </c>
      <c r="BE36" s="464">
        <f t="shared" si="28"/>
        <v>49035</v>
      </c>
      <c r="BF36" s="464">
        <f t="shared" si="28"/>
        <v>49126</v>
      </c>
      <c r="BG36" s="464">
        <f t="shared" si="28"/>
        <v>49218</v>
      </c>
      <c r="BH36" s="464">
        <f t="shared" si="28"/>
        <v>49310</v>
      </c>
      <c r="BI36" s="464">
        <f t="shared" si="28"/>
        <v>49400</v>
      </c>
      <c r="BJ36" s="464">
        <f t="shared" si="28"/>
        <v>49491</v>
      </c>
      <c r="BK36" s="464">
        <f t="shared" si="28"/>
        <v>49583</v>
      </c>
      <c r="BL36" s="464">
        <f t="shared" si="28"/>
        <v>49675</v>
      </c>
      <c r="BM36" s="464">
        <f t="shared" si="28"/>
        <v>49766</v>
      </c>
      <c r="BN36" s="464">
        <f t="shared" si="28"/>
        <v>49857</v>
      </c>
      <c r="BO36" s="464">
        <f t="shared" si="28"/>
        <v>49949</v>
      </c>
      <c r="BP36" s="464">
        <f t="shared" si="28"/>
        <v>50041</v>
      </c>
      <c r="BQ36" s="464">
        <f t="shared" si="28"/>
        <v>50131</v>
      </c>
      <c r="BR36" s="464">
        <f t="shared" si="28"/>
        <v>50222</v>
      </c>
      <c r="BS36" s="464">
        <f t="shared" si="28"/>
        <v>50314</v>
      </c>
      <c r="BT36" s="464">
        <f t="shared" ref="BT36:CY36" si="29">BT25</f>
        <v>50406</v>
      </c>
      <c r="BU36" s="464">
        <f t="shared" si="29"/>
        <v>50496</v>
      </c>
      <c r="BV36" s="464">
        <f t="shared" si="29"/>
        <v>50587</v>
      </c>
      <c r="BW36" s="464">
        <f t="shared" si="29"/>
        <v>50679</v>
      </c>
      <c r="BX36" s="464">
        <f t="shared" si="29"/>
        <v>50771</v>
      </c>
      <c r="BY36" s="464">
        <f t="shared" si="29"/>
        <v>50861</v>
      </c>
      <c r="BZ36" s="464">
        <f t="shared" si="29"/>
        <v>50952</v>
      </c>
      <c r="CA36" s="464">
        <f t="shared" si="29"/>
        <v>51044</v>
      </c>
      <c r="CB36" s="464">
        <f t="shared" si="29"/>
        <v>51136</v>
      </c>
      <c r="CC36" s="464">
        <f t="shared" si="29"/>
        <v>51227</v>
      </c>
      <c r="CD36" s="464">
        <f t="shared" si="29"/>
        <v>51318</v>
      </c>
      <c r="CE36" s="464">
        <f t="shared" si="29"/>
        <v>51410</v>
      </c>
      <c r="CF36" s="464">
        <f t="shared" si="29"/>
        <v>51502</v>
      </c>
      <c r="CG36" s="464">
        <f t="shared" si="29"/>
        <v>51592</v>
      </c>
      <c r="CH36" s="464">
        <f t="shared" si="29"/>
        <v>51683</v>
      </c>
      <c r="CI36" s="464">
        <f t="shared" si="29"/>
        <v>51775</v>
      </c>
      <c r="CJ36" s="464">
        <f t="shared" si="29"/>
        <v>51867</v>
      </c>
      <c r="CK36" s="464">
        <f t="shared" si="29"/>
        <v>51957</v>
      </c>
      <c r="CL36" s="464">
        <f t="shared" si="29"/>
        <v>52048</v>
      </c>
      <c r="CM36" s="464">
        <f t="shared" si="29"/>
        <v>52140</v>
      </c>
      <c r="CN36" s="464">
        <f t="shared" si="29"/>
        <v>52232</v>
      </c>
      <c r="CO36" s="464">
        <f t="shared" si="29"/>
        <v>52322</v>
      </c>
      <c r="CP36" s="464">
        <f t="shared" si="29"/>
        <v>52413</v>
      </c>
      <c r="CQ36" s="464">
        <f t="shared" si="29"/>
        <v>52505</v>
      </c>
      <c r="CR36" s="464">
        <f t="shared" si="29"/>
        <v>52597</v>
      </c>
      <c r="CS36" s="464">
        <f t="shared" si="29"/>
        <v>52688</v>
      </c>
      <c r="CT36" s="464">
        <f t="shared" si="29"/>
        <v>52779</v>
      </c>
      <c r="CU36" s="464">
        <f t="shared" si="29"/>
        <v>52871</v>
      </c>
      <c r="CV36" s="464">
        <f t="shared" si="29"/>
        <v>52963</v>
      </c>
      <c r="CW36" s="464">
        <f t="shared" si="29"/>
        <v>53053</v>
      </c>
      <c r="CX36" s="464">
        <f t="shared" si="29"/>
        <v>53144</v>
      </c>
      <c r="CY36" s="464">
        <f t="shared" si="29"/>
        <v>53236</v>
      </c>
      <c r="CZ36" s="464">
        <f t="shared" ref="CZ36:EE36" si="30">CZ25</f>
        <v>53328</v>
      </c>
      <c r="DA36" s="464">
        <f t="shared" si="30"/>
        <v>53418</v>
      </c>
      <c r="DB36" s="464">
        <f t="shared" si="30"/>
        <v>53509</v>
      </c>
      <c r="DC36" s="464">
        <f t="shared" si="30"/>
        <v>53601</v>
      </c>
      <c r="DD36" s="464">
        <f t="shared" si="30"/>
        <v>53693</v>
      </c>
      <c r="DE36" s="464">
        <f t="shared" si="30"/>
        <v>53783</v>
      </c>
      <c r="DF36" s="464">
        <f t="shared" si="30"/>
        <v>53874</v>
      </c>
      <c r="DG36" s="464">
        <f t="shared" si="30"/>
        <v>53966</v>
      </c>
      <c r="DH36" s="464">
        <f t="shared" si="30"/>
        <v>54058</v>
      </c>
      <c r="DI36" s="464">
        <f t="shared" si="30"/>
        <v>54149</v>
      </c>
      <c r="DJ36" s="464">
        <f t="shared" si="30"/>
        <v>54240</v>
      </c>
      <c r="DK36" s="464">
        <f t="shared" si="30"/>
        <v>54332</v>
      </c>
      <c r="DL36" s="464">
        <f t="shared" si="30"/>
        <v>54424</v>
      </c>
      <c r="DM36" s="464">
        <f t="shared" si="30"/>
        <v>54514</v>
      </c>
      <c r="DN36" s="464">
        <f t="shared" si="30"/>
        <v>54605</v>
      </c>
      <c r="DO36" s="464">
        <f t="shared" si="30"/>
        <v>54697</v>
      </c>
      <c r="DP36" s="464">
        <f t="shared" si="30"/>
        <v>54789</v>
      </c>
      <c r="DQ36" s="464">
        <f t="shared" si="30"/>
        <v>54879</v>
      </c>
      <c r="DR36" s="464">
        <f t="shared" si="30"/>
        <v>54970</v>
      </c>
      <c r="DS36" s="464">
        <f t="shared" si="30"/>
        <v>55062</v>
      </c>
      <c r="DT36" s="464">
        <f t="shared" si="30"/>
        <v>55154</v>
      </c>
      <c r="DU36" s="464">
        <f t="shared" si="30"/>
        <v>55244</v>
      </c>
      <c r="DV36" s="464">
        <f t="shared" si="30"/>
        <v>55335</v>
      </c>
      <c r="DW36" s="464">
        <f t="shared" si="30"/>
        <v>55427</v>
      </c>
      <c r="DX36" s="464">
        <f t="shared" si="30"/>
        <v>55519</v>
      </c>
      <c r="DY36" s="464">
        <f t="shared" si="30"/>
        <v>55610</v>
      </c>
      <c r="DZ36" s="464">
        <f t="shared" si="30"/>
        <v>55701</v>
      </c>
      <c r="EA36" s="464">
        <f t="shared" si="30"/>
        <v>55793</v>
      </c>
      <c r="EB36" s="464">
        <f t="shared" si="30"/>
        <v>55885</v>
      </c>
      <c r="EC36" s="464">
        <f t="shared" si="30"/>
        <v>55975</v>
      </c>
      <c r="ED36" s="464">
        <f t="shared" si="30"/>
        <v>56066</v>
      </c>
      <c r="EE36" s="464">
        <f t="shared" si="30"/>
        <v>56158</v>
      </c>
      <c r="EF36" s="464">
        <f t="shared" ref="EF36:EN36" si="31">EF25</f>
        <v>56250</v>
      </c>
      <c r="EG36" s="464">
        <f t="shared" si="31"/>
        <v>56340</v>
      </c>
      <c r="EH36" s="464">
        <f t="shared" si="31"/>
        <v>56431</v>
      </c>
      <c r="EI36" s="464">
        <f t="shared" si="31"/>
        <v>56523</v>
      </c>
      <c r="EJ36" s="464">
        <f t="shared" si="31"/>
        <v>56615</v>
      </c>
      <c r="EK36" s="464">
        <f t="shared" si="31"/>
        <v>56705</v>
      </c>
      <c r="EL36" s="464">
        <f t="shared" si="31"/>
        <v>56796</v>
      </c>
      <c r="EM36" s="464">
        <f t="shared" si="31"/>
        <v>56888</v>
      </c>
      <c r="EN36" s="464">
        <f t="shared" si="31"/>
        <v>56980</v>
      </c>
    </row>
    <row r="37" spans="2:144" ht="15.75">
      <c r="C37" s="22"/>
      <c r="E37" s="42"/>
      <c r="F37" s="42"/>
      <c r="G37" s="42"/>
      <c r="H37" s="464">
        <f t="shared" ref="H37:AM37" si="32">H26</f>
        <v>44651</v>
      </c>
      <c r="I37" s="464">
        <f t="shared" si="32"/>
        <v>44742</v>
      </c>
      <c r="J37" s="464">
        <f t="shared" si="32"/>
        <v>44834</v>
      </c>
      <c r="K37" s="464">
        <f t="shared" si="32"/>
        <v>44926</v>
      </c>
      <c r="L37" s="464">
        <f t="shared" si="32"/>
        <v>45016</v>
      </c>
      <c r="M37" s="464">
        <f t="shared" si="32"/>
        <v>45107</v>
      </c>
      <c r="N37" s="464">
        <f t="shared" si="32"/>
        <v>45199</v>
      </c>
      <c r="O37" s="464">
        <f t="shared" si="32"/>
        <v>45291</v>
      </c>
      <c r="P37" s="464">
        <f t="shared" si="32"/>
        <v>45382</v>
      </c>
      <c r="Q37" s="464">
        <f t="shared" si="32"/>
        <v>45473</v>
      </c>
      <c r="R37" s="464">
        <f t="shared" si="32"/>
        <v>45565</v>
      </c>
      <c r="S37" s="464">
        <f t="shared" si="32"/>
        <v>45657</v>
      </c>
      <c r="T37" s="464">
        <f t="shared" si="32"/>
        <v>45747</v>
      </c>
      <c r="U37" s="464">
        <f t="shared" si="32"/>
        <v>45838</v>
      </c>
      <c r="V37" s="464">
        <f t="shared" si="32"/>
        <v>45930</v>
      </c>
      <c r="W37" s="464">
        <f t="shared" si="32"/>
        <v>46022</v>
      </c>
      <c r="X37" s="464">
        <f t="shared" si="32"/>
        <v>46112</v>
      </c>
      <c r="Y37" s="464">
        <f t="shared" si="32"/>
        <v>46203</v>
      </c>
      <c r="Z37" s="464">
        <f t="shared" si="32"/>
        <v>46295</v>
      </c>
      <c r="AA37" s="464">
        <f t="shared" si="32"/>
        <v>46387</v>
      </c>
      <c r="AB37" s="464">
        <f t="shared" si="32"/>
        <v>46477</v>
      </c>
      <c r="AC37" s="464">
        <f t="shared" si="32"/>
        <v>46568</v>
      </c>
      <c r="AD37" s="464">
        <f t="shared" si="32"/>
        <v>46660</v>
      </c>
      <c r="AE37" s="464">
        <f t="shared" si="32"/>
        <v>46752</v>
      </c>
      <c r="AF37" s="464">
        <f t="shared" si="32"/>
        <v>46843</v>
      </c>
      <c r="AG37" s="464">
        <f t="shared" si="32"/>
        <v>46934</v>
      </c>
      <c r="AH37" s="464">
        <f t="shared" si="32"/>
        <v>47026</v>
      </c>
      <c r="AI37" s="464">
        <f t="shared" si="32"/>
        <v>47118</v>
      </c>
      <c r="AJ37" s="464">
        <f t="shared" si="32"/>
        <v>47208</v>
      </c>
      <c r="AK37" s="464">
        <f t="shared" si="32"/>
        <v>47299</v>
      </c>
      <c r="AL37" s="464">
        <f t="shared" si="32"/>
        <v>47391</v>
      </c>
      <c r="AM37" s="464">
        <f t="shared" si="32"/>
        <v>47483</v>
      </c>
      <c r="AN37" s="464">
        <f t="shared" ref="AN37:BS37" si="33">AN26</f>
        <v>47573</v>
      </c>
      <c r="AO37" s="464">
        <f t="shared" si="33"/>
        <v>47664</v>
      </c>
      <c r="AP37" s="464">
        <f t="shared" si="33"/>
        <v>47756</v>
      </c>
      <c r="AQ37" s="464">
        <f t="shared" si="33"/>
        <v>47848</v>
      </c>
      <c r="AR37" s="464">
        <f t="shared" si="33"/>
        <v>47938</v>
      </c>
      <c r="AS37" s="464">
        <f t="shared" si="33"/>
        <v>48029</v>
      </c>
      <c r="AT37" s="464">
        <f t="shared" si="33"/>
        <v>48121</v>
      </c>
      <c r="AU37" s="464">
        <f t="shared" si="33"/>
        <v>48213</v>
      </c>
      <c r="AV37" s="464">
        <f t="shared" si="33"/>
        <v>48304</v>
      </c>
      <c r="AW37" s="464">
        <f t="shared" si="33"/>
        <v>48395</v>
      </c>
      <c r="AX37" s="464">
        <f t="shared" si="33"/>
        <v>48487</v>
      </c>
      <c r="AY37" s="464">
        <f t="shared" si="33"/>
        <v>48579</v>
      </c>
      <c r="AZ37" s="464">
        <f t="shared" si="33"/>
        <v>48669</v>
      </c>
      <c r="BA37" s="464">
        <f t="shared" si="33"/>
        <v>48760</v>
      </c>
      <c r="BB37" s="464">
        <f t="shared" si="33"/>
        <v>48852</v>
      </c>
      <c r="BC37" s="464">
        <f t="shared" si="33"/>
        <v>48944</v>
      </c>
      <c r="BD37" s="464">
        <f t="shared" si="33"/>
        <v>49034</v>
      </c>
      <c r="BE37" s="464">
        <f t="shared" si="33"/>
        <v>49125</v>
      </c>
      <c r="BF37" s="464">
        <f t="shared" si="33"/>
        <v>49217</v>
      </c>
      <c r="BG37" s="464">
        <f t="shared" si="33"/>
        <v>49309</v>
      </c>
      <c r="BH37" s="464">
        <f t="shared" si="33"/>
        <v>49399</v>
      </c>
      <c r="BI37" s="464">
        <f t="shared" si="33"/>
        <v>49490</v>
      </c>
      <c r="BJ37" s="464">
        <f t="shared" si="33"/>
        <v>49582</v>
      </c>
      <c r="BK37" s="464">
        <f t="shared" si="33"/>
        <v>49674</v>
      </c>
      <c r="BL37" s="464">
        <f t="shared" si="33"/>
        <v>49765</v>
      </c>
      <c r="BM37" s="464">
        <f t="shared" si="33"/>
        <v>49856</v>
      </c>
      <c r="BN37" s="464">
        <f t="shared" si="33"/>
        <v>49948</v>
      </c>
      <c r="BO37" s="464">
        <f t="shared" si="33"/>
        <v>50040</v>
      </c>
      <c r="BP37" s="464">
        <f t="shared" si="33"/>
        <v>50130</v>
      </c>
      <c r="BQ37" s="464">
        <f t="shared" si="33"/>
        <v>50221</v>
      </c>
      <c r="BR37" s="464">
        <f t="shared" si="33"/>
        <v>50313</v>
      </c>
      <c r="BS37" s="464">
        <f t="shared" si="33"/>
        <v>50405</v>
      </c>
      <c r="BT37" s="464">
        <f t="shared" ref="BT37:CY37" si="34">BT26</f>
        <v>50495</v>
      </c>
      <c r="BU37" s="464">
        <f t="shared" si="34"/>
        <v>50586</v>
      </c>
      <c r="BV37" s="464">
        <f t="shared" si="34"/>
        <v>50678</v>
      </c>
      <c r="BW37" s="464">
        <f t="shared" si="34"/>
        <v>50770</v>
      </c>
      <c r="BX37" s="464">
        <f t="shared" si="34"/>
        <v>50860</v>
      </c>
      <c r="BY37" s="464">
        <f t="shared" si="34"/>
        <v>50951</v>
      </c>
      <c r="BZ37" s="464">
        <f t="shared" si="34"/>
        <v>51043</v>
      </c>
      <c r="CA37" s="464">
        <f t="shared" si="34"/>
        <v>51135</v>
      </c>
      <c r="CB37" s="464">
        <f t="shared" si="34"/>
        <v>51226</v>
      </c>
      <c r="CC37" s="464">
        <f t="shared" si="34"/>
        <v>51317</v>
      </c>
      <c r="CD37" s="464">
        <f t="shared" si="34"/>
        <v>51409</v>
      </c>
      <c r="CE37" s="464">
        <f t="shared" si="34"/>
        <v>51501</v>
      </c>
      <c r="CF37" s="464">
        <f t="shared" si="34"/>
        <v>51591</v>
      </c>
      <c r="CG37" s="464">
        <f t="shared" si="34"/>
        <v>51682</v>
      </c>
      <c r="CH37" s="464">
        <f t="shared" si="34"/>
        <v>51774</v>
      </c>
      <c r="CI37" s="464">
        <f t="shared" si="34"/>
        <v>51866</v>
      </c>
      <c r="CJ37" s="464">
        <f t="shared" si="34"/>
        <v>51956</v>
      </c>
      <c r="CK37" s="464">
        <f t="shared" si="34"/>
        <v>52047</v>
      </c>
      <c r="CL37" s="464">
        <f t="shared" si="34"/>
        <v>52139</v>
      </c>
      <c r="CM37" s="464">
        <f t="shared" si="34"/>
        <v>52231</v>
      </c>
      <c r="CN37" s="464">
        <f t="shared" si="34"/>
        <v>52321</v>
      </c>
      <c r="CO37" s="464">
        <f t="shared" si="34"/>
        <v>52412</v>
      </c>
      <c r="CP37" s="464">
        <f t="shared" si="34"/>
        <v>52504</v>
      </c>
      <c r="CQ37" s="464">
        <f t="shared" si="34"/>
        <v>52596</v>
      </c>
      <c r="CR37" s="464">
        <f t="shared" si="34"/>
        <v>52687</v>
      </c>
      <c r="CS37" s="464">
        <f t="shared" si="34"/>
        <v>52778</v>
      </c>
      <c r="CT37" s="464">
        <f t="shared" si="34"/>
        <v>52870</v>
      </c>
      <c r="CU37" s="464">
        <f t="shared" si="34"/>
        <v>52962</v>
      </c>
      <c r="CV37" s="464">
        <f t="shared" si="34"/>
        <v>53052</v>
      </c>
      <c r="CW37" s="464">
        <f t="shared" si="34"/>
        <v>53143</v>
      </c>
      <c r="CX37" s="464">
        <f t="shared" si="34"/>
        <v>53235</v>
      </c>
      <c r="CY37" s="464">
        <f t="shared" si="34"/>
        <v>53327</v>
      </c>
      <c r="CZ37" s="464">
        <f t="shared" ref="CZ37:EE37" si="35">CZ26</f>
        <v>53417</v>
      </c>
      <c r="DA37" s="464">
        <f t="shared" si="35"/>
        <v>53508</v>
      </c>
      <c r="DB37" s="464">
        <f t="shared" si="35"/>
        <v>53600</v>
      </c>
      <c r="DC37" s="464">
        <f t="shared" si="35"/>
        <v>53692</v>
      </c>
      <c r="DD37" s="464">
        <f t="shared" si="35"/>
        <v>53782</v>
      </c>
      <c r="DE37" s="464">
        <f t="shared" si="35"/>
        <v>53873</v>
      </c>
      <c r="DF37" s="464">
        <f t="shared" si="35"/>
        <v>53965</v>
      </c>
      <c r="DG37" s="464">
        <f t="shared" si="35"/>
        <v>54057</v>
      </c>
      <c r="DH37" s="464">
        <f t="shared" si="35"/>
        <v>54148</v>
      </c>
      <c r="DI37" s="464">
        <f t="shared" si="35"/>
        <v>54239</v>
      </c>
      <c r="DJ37" s="464">
        <f t="shared" si="35"/>
        <v>54331</v>
      </c>
      <c r="DK37" s="464">
        <f t="shared" si="35"/>
        <v>54423</v>
      </c>
      <c r="DL37" s="464">
        <f t="shared" si="35"/>
        <v>54513</v>
      </c>
      <c r="DM37" s="464">
        <f t="shared" si="35"/>
        <v>54604</v>
      </c>
      <c r="DN37" s="464">
        <f t="shared" si="35"/>
        <v>54696</v>
      </c>
      <c r="DO37" s="464">
        <f t="shared" si="35"/>
        <v>54788</v>
      </c>
      <c r="DP37" s="464">
        <f t="shared" si="35"/>
        <v>54878</v>
      </c>
      <c r="DQ37" s="464">
        <f t="shared" si="35"/>
        <v>54969</v>
      </c>
      <c r="DR37" s="464">
        <f t="shared" si="35"/>
        <v>55061</v>
      </c>
      <c r="DS37" s="464">
        <f t="shared" si="35"/>
        <v>55153</v>
      </c>
      <c r="DT37" s="464">
        <f t="shared" si="35"/>
        <v>55243</v>
      </c>
      <c r="DU37" s="464">
        <f t="shared" si="35"/>
        <v>55334</v>
      </c>
      <c r="DV37" s="464">
        <f t="shared" si="35"/>
        <v>55426</v>
      </c>
      <c r="DW37" s="464">
        <f t="shared" si="35"/>
        <v>55518</v>
      </c>
      <c r="DX37" s="464">
        <f t="shared" si="35"/>
        <v>55609</v>
      </c>
      <c r="DY37" s="464">
        <f t="shared" si="35"/>
        <v>55700</v>
      </c>
      <c r="DZ37" s="464">
        <f t="shared" si="35"/>
        <v>55792</v>
      </c>
      <c r="EA37" s="464">
        <f t="shared" si="35"/>
        <v>55884</v>
      </c>
      <c r="EB37" s="464">
        <f t="shared" si="35"/>
        <v>55974</v>
      </c>
      <c r="EC37" s="464">
        <f t="shared" si="35"/>
        <v>56065</v>
      </c>
      <c r="ED37" s="464">
        <f t="shared" si="35"/>
        <v>56157</v>
      </c>
      <c r="EE37" s="464">
        <f t="shared" si="35"/>
        <v>56249</v>
      </c>
      <c r="EF37" s="464">
        <f t="shared" ref="EF37:EN37" si="36">EF26</f>
        <v>56339</v>
      </c>
      <c r="EG37" s="464">
        <f t="shared" si="36"/>
        <v>56430</v>
      </c>
      <c r="EH37" s="464">
        <f t="shared" si="36"/>
        <v>56522</v>
      </c>
      <c r="EI37" s="464">
        <f t="shared" si="36"/>
        <v>56614</v>
      </c>
      <c r="EJ37" s="464">
        <f t="shared" si="36"/>
        <v>56704</v>
      </c>
      <c r="EK37" s="464">
        <f t="shared" si="36"/>
        <v>56795</v>
      </c>
      <c r="EL37" s="464">
        <f t="shared" si="36"/>
        <v>56887</v>
      </c>
      <c r="EM37" s="464">
        <f t="shared" si="36"/>
        <v>56979</v>
      </c>
      <c r="EN37" s="464">
        <f t="shared" si="36"/>
        <v>57070</v>
      </c>
    </row>
    <row r="38" spans="2:144">
      <c r="B38" s="776" t="str">
        <f>C5</f>
        <v>Гостиница 4*</v>
      </c>
      <c r="C38" s="465"/>
      <c r="D38" s="430">
        <f>SUMIF($C$4:$C$18,B38,$I$4:$I$18)</f>
        <v>46204</v>
      </c>
      <c r="E38" s="772">
        <f>YEAR(D38)</f>
        <v>2026</v>
      </c>
      <c r="F38" s="466"/>
      <c r="G38" s="466"/>
      <c r="H38" s="466"/>
      <c r="I38" s="466"/>
      <c r="J38" s="466"/>
      <c r="K38" s="466"/>
      <c r="L38" s="466"/>
      <c r="M38" s="466"/>
      <c r="N38" s="466"/>
      <c r="O38" s="466"/>
      <c r="P38" s="466"/>
      <c r="Q38" s="466"/>
      <c r="R38" s="466"/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  <c r="AI38" s="466"/>
      <c r="AJ38" s="466"/>
      <c r="AK38" s="466"/>
      <c r="AL38" s="466"/>
      <c r="AM38" s="466"/>
      <c r="AN38" s="466"/>
      <c r="AO38" s="466"/>
      <c r="AP38" s="466"/>
      <c r="AQ38" s="466"/>
      <c r="AR38" s="466"/>
      <c r="AS38" s="466"/>
      <c r="AT38" s="466"/>
      <c r="AU38" s="466"/>
      <c r="AV38" s="466"/>
      <c r="AW38" s="466"/>
      <c r="AX38" s="466"/>
      <c r="AY38" s="466"/>
      <c r="AZ38" s="466"/>
      <c r="BA38" s="466"/>
      <c r="BB38" s="466"/>
      <c r="BC38" s="466"/>
      <c r="BD38" s="466"/>
      <c r="BE38" s="466"/>
      <c r="BF38" s="466"/>
      <c r="BG38" s="466"/>
      <c r="BH38" s="466"/>
      <c r="BI38" s="466"/>
      <c r="BJ38" s="466"/>
      <c r="BK38" s="466"/>
      <c r="BL38" s="466"/>
      <c r="BM38" s="466"/>
      <c r="BN38" s="466"/>
      <c r="BO38" s="466"/>
      <c r="BP38" s="466"/>
      <c r="BQ38" s="466"/>
      <c r="BR38" s="466"/>
      <c r="BS38" s="466"/>
      <c r="BT38" s="466"/>
      <c r="BU38" s="466"/>
      <c r="BV38" s="466"/>
      <c r="BW38" s="466"/>
      <c r="BX38" s="466"/>
      <c r="BY38" s="466"/>
      <c r="BZ38" s="466"/>
      <c r="CA38" s="466"/>
      <c r="CB38" s="466"/>
      <c r="CC38" s="466"/>
      <c r="CD38" s="466"/>
      <c r="CE38" s="466"/>
      <c r="CF38" s="466"/>
      <c r="CG38" s="466"/>
      <c r="CH38" s="466"/>
      <c r="CI38" s="466"/>
      <c r="CJ38" s="466"/>
      <c r="CK38" s="466"/>
      <c r="CL38" s="466"/>
      <c r="CM38" s="466"/>
      <c r="CN38" s="466"/>
      <c r="CO38" s="466"/>
      <c r="CP38" s="466"/>
      <c r="CQ38" s="466"/>
      <c r="CR38" s="466"/>
      <c r="CS38" s="466"/>
      <c r="CT38" s="466"/>
      <c r="CU38" s="466"/>
      <c r="CV38" s="466"/>
      <c r="CW38" s="466"/>
      <c r="CX38" s="466"/>
      <c r="CY38" s="466"/>
      <c r="CZ38" s="466"/>
      <c r="DA38" s="466"/>
      <c r="DB38" s="466"/>
      <c r="DC38" s="466"/>
      <c r="DD38" s="466"/>
      <c r="DE38" s="466"/>
      <c r="DF38" s="466"/>
      <c r="DG38" s="466"/>
      <c r="DH38" s="466"/>
      <c r="DI38" s="466"/>
      <c r="DJ38" s="466"/>
      <c r="DK38" s="466"/>
      <c r="DL38" s="466"/>
      <c r="DM38" s="466"/>
      <c r="DN38" s="466"/>
      <c r="DO38" s="466"/>
      <c r="DP38" s="466"/>
      <c r="DQ38" s="466"/>
      <c r="DR38" s="466"/>
      <c r="DS38" s="466"/>
      <c r="DT38" s="466"/>
      <c r="DU38" s="466"/>
      <c r="DV38" s="466"/>
      <c r="DW38" s="466"/>
      <c r="DX38" s="466"/>
      <c r="DY38" s="466"/>
      <c r="DZ38" s="466"/>
      <c r="EA38" s="466"/>
      <c r="EB38" s="466"/>
      <c r="EC38" s="466"/>
      <c r="ED38" s="466"/>
      <c r="EE38" s="466"/>
      <c r="EF38" s="466"/>
      <c r="EG38" s="466"/>
      <c r="EH38" s="466"/>
      <c r="EI38" s="466"/>
      <c r="EJ38" s="466"/>
      <c r="EK38" s="466"/>
      <c r="EL38" s="466"/>
      <c r="EM38" s="466"/>
      <c r="EN38" s="466"/>
    </row>
    <row r="39" spans="2:144" outlineLevel="1">
      <c r="C39" s="151" t="s">
        <v>72</v>
      </c>
      <c r="D39" s="771">
        <f>SUMIF($C$4:$C$18,B38,$H$4:$H$18)</f>
        <v>2023037926.6030989</v>
      </c>
      <c r="E39" s="44"/>
      <c r="F39" s="44"/>
      <c r="G39" s="44"/>
      <c r="H39" s="44">
        <f>IF(H36=D38,D39,0)</f>
        <v>0</v>
      </c>
      <c r="I39" s="44">
        <f>IF(I36=D38,D39,0)</f>
        <v>0</v>
      </c>
      <c r="J39" s="44">
        <f>IF(J36=D38,D39,0)</f>
        <v>0</v>
      </c>
      <c r="K39" s="44">
        <f>IF(K36=D38,D39,0)</f>
        <v>0</v>
      </c>
      <c r="L39" s="44">
        <f>IF(L36=D38,D39,0)</f>
        <v>0</v>
      </c>
      <c r="M39" s="44">
        <f>IF(M36=D38,D39,0)</f>
        <v>0</v>
      </c>
      <c r="N39" s="44">
        <f>IF(N36=D38,D39,0)</f>
        <v>0</v>
      </c>
      <c r="O39" s="44">
        <f>IF(O36=D38,D39,0)</f>
        <v>0</v>
      </c>
      <c r="P39" s="44">
        <f>IF(P36=D38,D39,0)</f>
        <v>0</v>
      </c>
      <c r="Q39" s="44">
        <f>IF(Q36=D38,D39,0)</f>
        <v>0</v>
      </c>
      <c r="R39" s="44">
        <f>IF(R36=D38,D39,0)</f>
        <v>0</v>
      </c>
      <c r="S39" s="44">
        <f>IF(S36=D38,D39,0)</f>
        <v>0</v>
      </c>
      <c r="T39" s="44">
        <f>IF(T36=D38,D39,0)</f>
        <v>0</v>
      </c>
      <c r="U39" s="44">
        <f>IF(U36=D38,D39,0)</f>
        <v>0</v>
      </c>
      <c r="V39" s="44">
        <f>IF(V36=D38,D39,0)</f>
        <v>0</v>
      </c>
      <c r="W39" s="44">
        <f>IF(W36=D38,D39,0)</f>
        <v>0</v>
      </c>
      <c r="X39" s="44">
        <f>IF(X36=D38,D39,0)</f>
        <v>0</v>
      </c>
      <c r="Y39" s="44">
        <f>IF(Y36=D38,D39,0)</f>
        <v>0</v>
      </c>
      <c r="Z39" s="44">
        <f>IF(Z36=D38,D39,0)</f>
        <v>2023037926.6030989</v>
      </c>
      <c r="AA39" s="44">
        <f>IF(AA36=D38,D39,0)</f>
        <v>0</v>
      </c>
      <c r="AB39" s="44">
        <f>IF(AB36=D38,D39,0)</f>
        <v>0</v>
      </c>
      <c r="AC39" s="44">
        <f>IF(AC36=D38,D39,0)</f>
        <v>0</v>
      </c>
      <c r="AD39" s="44">
        <f>IF(AD36=D38,D39,0)</f>
        <v>0</v>
      </c>
      <c r="AE39" s="44">
        <f>IF(AE36=D38,D39,0)</f>
        <v>0</v>
      </c>
      <c r="AF39" s="44">
        <f>IF(AF36=D38,D39,0)</f>
        <v>0</v>
      </c>
      <c r="AG39" s="44">
        <f>IF(AG36=D38,D39,0)</f>
        <v>0</v>
      </c>
      <c r="AH39" s="44">
        <f>IF(AH36=D38,D39,0)</f>
        <v>0</v>
      </c>
      <c r="AI39" s="44">
        <f>IF(AI36=D38,D39,0)</f>
        <v>0</v>
      </c>
      <c r="AJ39" s="44">
        <f>IF(AJ36=D38,D39,0)</f>
        <v>0</v>
      </c>
      <c r="AK39" s="44">
        <f>IF(AK36=D38,D39,0)</f>
        <v>0</v>
      </c>
      <c r="AL39" s="44">
        <f>IF(AL36=D38,D39,0)</f>
        <v>0</v>
      </c>
      <c r="AM39" s="44">
        <f>IF(AM36=D38,D39,0)</f>
        <v>0</v>
      </c>
      <c r="AN39" s="44">
        <f>IF(AN36=D38,D39,0)</f>
        <v>0</v>
      </c>
      <c r="AO39" s="44">
        <f>IF(AO36=D38,D39,0)</f>
        <v>0</v>
      </c>
      <c r="AP39" s="44">
        <f>IF(AP36=D38,D39,0)</f>
        <v>0</v>
      </c>
      <c r="AQ39" s="44">
        <f>IF(AQ36=D38,D39,0)</f>
        <v>0</v>
      </c>
      <c r="AR39" s="44">
        <f>IF(AR36=D38,D39,0)</f>
        <v>0</v>
      </c>
      <c r="AS39" s="44">
        <f>IF(AS36=D38,D39,0)</f>
        <v>0</v>
      </c>
      <c r="AT39" s="44">
        <f>IF(AT36=D38,D39,0)</f>
        <v>0</v>
      </c>
      <c r="AU39" s="44">
        <f>IF(AU36=D38,D39,0)</f>
        <v>0</v>
      </c>
      <c r="AV39" s="44">
        <f>IF(AV36=D38,D39,0)</f>
        <v>0</v>
      </c>
      <c r="AW39" s="44">
        <f>IF(AW36=D38,D39,0)</f>
        <v>0</v>
      </c>
      <c r="AX39" s="44">
        <f>IF(AX36=D38,D39,0)</f>
        <v>0</v>
      </c>
      <c r="AY39" s="44">
        <f>IF(AY36=D38,D39,0)</f>
        <v>0</v>
      </c>
      <c r="AZ39" s="44">
        <f>IF(AZ36=D38,D39,0)</f>
        <v>0</v>
      </c>
      <c r="BA39" s="44">
        <f>IF(BA36=D38,D39,0)</f>
        <v>0</v>
      </c>
      <c r="BB39" s="44">
        <f>IF(BB36=D38,D39,0)</f>
        <v>0</v>
      </c>
      <c r="BC39" s="44">
        <f>IF(BC36=D38,D39,0)</f>
        <v>0</v>
      </c>
      <c r="BD39" s="44">
        <f>IF(BD36=D38,D39,0)</f>
        <v>0</v>
      </c>
      <c r="BE39" s="44">
        <f>IF(BE36=D38,D39,0)</f>
        <v>0</v>
      </c>
      <c r="BF39" s="44">
        <f>IF(BF36=D38,D39,0)</f>
        <v>0</v>
      </c>
      <c r="BG39" s="44">
        <f>IF(BG36=D38,D39,0)</f>
        <v>0</v>
      </c>
      <c r="BH39" s="44">
        <f>IF(BH36=D38,D39,0)</f>
        <v>0</v>
      </c>
      <c r="BI39" s="44">
        <f>IF(BI36=D38,D39,0)</f>
        <v>0</v>
      </c>
      <c r="BJ39" s="44">
        <f>IF(BJ36=D38,D39,0)</f>
        <v>0</v>
      </c>
      <c r="BK39" s="44">
        <f>IF(BK36=D38,D39,0)</f>
        <v>0</v>
      </c>
      <c r="BL39" s="44">
        <f>IF(BL36=D38,D39,0)</f>
        <v>0</v>
      </c>
      <c r="BM39" s="44">
        <f>IF(BM36=D38,D39,0)</f>
        <v>0</v>
      </c>
      <c r="BN39" s="44">
        <f>IF(BN36=D38,D39,0)</f>
        <v>0</v>
      </c>
      <c r="BO39" s="44">
        <f>IF(BO36=D38,D39,0)</f>
        <v>0</v>
      </c>
      <c r="BP39" s="44">
        <f>IF(BP36=D38,D39,0)</f>
        <v>0</v>
      </c>
      <c r="BQ39" s="44">
        <f>IF(BQ36=D38,D39,0)</f>
        <v>0</v>
      </c>
      <c r="BR39" s="44">
        <f>IF(BR36=D38,D39,0)</f>
        <v>0</v>
      </c>
      <c r="BS39" s="44">
        <f>IF(BS36=D38,D39,0)</f>
        <v>0</v>
      </c>
      <c r="BT39" s="44">
        <f>IF(BT36=D38,D39,0)</f>
        <v>0</v>
      </c>
      <c r="BU39" s="44">
        <f>IF(BU36=D38,D39,0)</f>
        <v>0</v>
      </c>
      <c r="BV39" s="44">
        <f>IF(BV36=D38,D39,0)</f>
        <v>0</v>
      </c>
      <c r="BW39" s="44">
        <f>IF(BW36=D38,D39,0)</f>
        <v>0</v>
      </c>
      <c r="BX39" s="44">
        <f>IF(BX36=D38,D39,0)</f>
        <v>0</v>
      </c>
      <c r="BY39" s="44">
        <f>IF(BY36=D38,D39,0)</f>
        <v>0</v>
      </c>
      <c r="BZ39" s="44">
        <f>IF(BZ36=D38,D39,0)</f>
        <v>0</v>
      </c>
      <c r="CA39" s="44">
        <f>IF(CA36=D38,D39,0)</f>
        <v>0</v>
      </c>
      <c r="CB39" s="44">
        <f>IF(CB36=D38,D39,0)</f>
        <v>0</v>
      </c>
      <c r="CC39" s="44">
        <f>IF(CC36=D38,D39,0)</f>
        <v>0</v>
      </c>
      <c r="CD39" s="44">
        <f>IF(CD36=D38,D39,0)</f>
        <v>0</v>
      </c>
      <c r="CE39" s="44">
        <f>IF(CE36=D38,D39,0)</f>
        <v>0</v>
      </c>
      <c r="CF39" s="44">
        <f>IF(CF36=D38,D39,0)</f>
        <v>0</v>
      </c>
      <c r="CG39" s="44">
        <f>IF(CG36=D38,D39,0)</f>
        <v>0</v>
      </c>
      <c r="CH39" s="44">
        <f>IF(CH36=D38,D39,0)</f>
        <v>0</v>
      </c>
      <c r="CI39" s="44">
        <f>IF(CI36=D38,D39,0)</f>
        <v>0</v>
      </c>
      <c r="CJ39" s="44">
        <f>IF(CJ36=D38,D39,0)</f>
        <v>0</v>
      </c>
      <c r="CK39" s="44">
        <f>IF(CK36=D38,D39,0)</f>
        <v>0</v>
      </c>
      <c r="CL39" s="44">
        <f>IF(CL36=D38,D39,0)</f>
        <v>0</v>
      </c>
      <c r="CM39" s="44">
        <f>IF(CM36=D38,D39,0)</f>
        <v>0</v>
      </c>
      <c r="CN39" s="44">
        <f>IF(CN36=D38,D39,0)</f>
        <v>0</v>
      </c>
      <c r="CO39" s="44">
        <f>IF(CO36=D38,D39,0)</f>
        <v>0</v>
      </c>
      <c r="CP39" s="44">
        <f>IF(CP36=D38,D39,0)</f>
        <v>0</v>
      </c>
      <c r="CQ39" s="44">
        <f>IF(CQ36=D38,D39,0)</f>
        <v>0</v>
      </c>
      <c r="CR39" s="44">
        <f>IF(CR36=D38,D39,0)</f>
        <v>0</v>
      </c>
      <c r="CS39" s="44">
        <f>IF(CS36=D38,D39,0)</f>
        <v>0</v>
      </c>
      <c r="CT39" s="44">
        <f>IF(CT36=D38,D39,0)</f>
        <v>0</v>
      </c>
      <c r="CU39" s="44">
        <f>IF(CU36=D38,D39,0)</f>
        <v>0</v>
      </c>
      <c r="CV39" s="44">
        <f>IF(CV36=D38,D39,0)</f>
        <v>0</v>
      </c>
      <c r="CW39" s="44">
        <f>IF(CW36=D38,D39,0)</f>
        <v>0</v>
      </c>
      <c r="CX39" s="44">
        <f>IF(CX36=D38,D39,0)</f>
        <v>0</v>
      </c>
      <c r="CY39" s="44">
        <f>IF(CY36=D38,D39,0)</f>
        <v>0</v>
      </c>
      <c r="CZ39" s="44">
        <f>IF(CZ36=D38,D39,0)</f>
        <v>0</v>
      </c>
      <c r="DA39" s="44">
        <f>IF(DA36=D38,D39,0)</f>
        <v>0</v>
      </c>
      <c r="DB39" s="44">
        <f>IF(DB36=D38,D39,0)</f>
        <v>0</v>
      </c>
      <c r="DC39" s="44">
        <f>IF(DC36=D38,D39,0)</f>
        <v>0</v>
      </c>
      <c r="DD39" s="44">
        <f>IF(DD36=D38,D39,0)</f>
        <v>0</v>
      </c>
      <c r="DE39" s="44">
        <f>IF(DE36=D38,D39,0)</f>
        <v>0</v>
      </c>
      <c r="DF39" s="44">
        <f>IF(DF36=D38,D39,0)</f>
        <v>0</v>
      </c>
      <c r="DG39" s="44">
        <f>IF(DG36=D38,D39,0)</f>
        <v>0</v>
      </c>
      <c r="DH39" s="44">
        <f>IF(DH36=D38,D39,0)</f>
        <v>0</v>
      </c>
      <c r="DI39" s="44">
        <f>IF(DI36=D38,D39,0)</f>
        <v>0</v>
      </c>
      <c r="DJ39" s="44">
        <f>IF(DJ36=D38,D39,0)</f>
        <v>0</v>
      </c>
      <c r="DK39" s="44">
        <f>IF(DK36=D38,D39,0)</f>
        <v>0</v>
      </c>
      <c r="DL39" s="44">
        <f>IF(DL36=D38,D39,0)</f>
        <v>0</v>
      </c>
      <c r="DM39" s="44">
        <f>IF(DM36=D38,D39,0)</f>
        <v>0</v>
      </c>
      <c r="DN39" s="44">
        <f>IF(DN36=D38,D39,0)</f>
        <v>0</v>
      </c>
      <c r="DO39" s="44">
        <f>IF(DO36=D38,D39,0)</f>
        <v>0</v>
      </c>
      <c r="DP39" s="44">
        <f>IF(DP36=D38,D39,0)</f>
        <v>0</v>
      </c>
      <c r="DQ39" s="44">
        <f>IF(DQ36=D38,D39,0)</f>
        <v>0</v>
      </c>
      <c r="DR39" s="44">
        <f>IF(DR36=D38,D39,0)</f>
        <v>0</v>
      </c>
      <c r="DS39" s="44">
        <f>IF(DS36=D38,D39,0)</f>
        <v>0</v>
      </c>
      <c r="DT39" s="44">
        <f>IF(DT36=D38,D39,0)</f>
        <v>0</v>
      </c>
      <c r="DU39" s="44">
        <f>IF(DU36=D38,D39,0)</f>
        <v>0</v>
      </c>
      <c r="DV39" s="44">
        <f>IF(DV36=D38,D39,0)</f>
        <v>0</v>
      </c>
      <c r="DW39" s="44">
        <f>IF(DW36=D38,D39,0)</f>
        <v>0</v>
      </c>
      <c r="DX39" s="44">
        <f>IF(DX36=D38,D39,0)</f>
        <v>0</v>
      </c>
      <c r="DY39" s="44">
        <f>IF(DY36=D38,D39,0)</f>
        <v>0</v>
      </c>
      <c r="DZ39" s="44">
        <f>IF(DZ36=D38,D39,0)</f>
        <v>0</v>
      </c>
      <c r="EA39" s="44">
        <f>IF(EA36=D38,D39,0)</f>
        <v>0</v>
      </c>
      <c r="EB39" s="44">
        <f>IF(EB36=D38,D39,0)</f>
        <v>0</v>
      </c>
      <c r="EC39" s="44">
        <f>IF(EC36=D38,D39,0)</f>
        <v>0</v>
      </c>
      <c r="ED39" s="44">
        <f>IF(ED36=D38,D39,0)</f>
        <v>0</v>
      </c>
      <c r="EE39" s="44">
        <f>IF(EE36=D38,D39,0)</f>
        <v>0</v>
      </c>
      <c r="EF39" s="44">
        <f>IF(EF36=D38,D39,0)</f>
        <v>0</v>
      </c>
      <c r="EG39" s="44">
        <f>IF(EG36=D38,D39,0)</f>
        <v>0</v>
      </c>
      <c r="EH39" s="44">
        <f>IF(EH36=D38,D39,0)</f>
        <v>0</v>
      </c>
      <c r="EI39" s="44">
        <f t="shared" ref="EI39:EN39" si="37">IF(EI36=E38,E39,0)</f>
        <v>0</v>
      </c>
      <c r="EJ39" s="44">
        <f t="shared" si="37"/>
        <v>0</v>
      </c>
      <c r="EK39" s="44">
        <f t="shared" si="37"/>
        <v>0</v>
      </c>
      <c r="EL39" s="44">
        <f t="shared" si="37"/>
        <v>0</v>
      </c>
      <c r="EM39" s="44">
        <f t="shared" si="37"/>
        <v>0</v>
      </c>
      <c r="EN39" s="44">
        <f t="shared" si="37"/>
        <v>0</v>
      </c>
    </row>
    <row r="40" spans="2:144" outlineLevel="1">
      <c r="C40" s="151" t="s">
        <v>73</v>
      </c>
      <c r="D40" s="45"/>
      <c r="E40" s="44"/>
      <c r="F40" s="44"/>
      <c r="G40" s="44"/>
      <c r="H40" s="44">
        <f>(IF(H36=D38,H39,G42))</f>
        <v>0</v>
      </c>
      <c r="I40" s="44">
        <f>(IF(I36=D38,I39,H42))</f>
        <v>0</v>
      </c>
      <c r="J40" s="44">
        <f>(IF(J36=D38,J39,I42))</f>
        <v>0</v>
      </c>
      <c r="K40" s="44">
        <f>(IF(K36=D38,K39,J42))</f>
        <v>0</v>
      </c>
      <c r="L40" s="44">
        <f>(IF(L36=D38,L39,K42))</f>
        <v>0</v>
      </c>
      <c r="M40" s="44">
        <f>(IF(M36=D38,M39,L42))</f>
        <v>0</v>
      </c>
      <c r="N40" s="44">
        <f>(IF(N36=D38,N39,M42))</f>
        <v>0</v>
      </c>
      <c r="O40" s="44">
        <f>(IF(O36=D38,O39,N42))</f>
        <v>0</v>
      </c>
      <c r="P40" s="44">
        <f>(IF(P36=D38,P39,O42))</f>
        <v>0</v>
      </c>
      <c r="Q40" s="44">
        <f>(IF(Q36=D38,Q39,P42))</f>
        <v>0</v>
      </c>
      <c r="R40" s="44">
        <f>(IF(R36=D38,R39,Q42))</f>
        <v>0</v>
      </c>
      <c r="S40" s="44">
        <f>(IF(S36=D38,S39,R42))</f>
        <v>0</v>
      </c>
      <c r="T40" s="44">
        <f>(IF(T36=D38,T39,S42))</f>
        <v>0</v>
      </c>
      <c r="U40" s="44">
        <f>(IF(U36=D38,U39,T42))</f>
        <v>0</v>
      </c>
      <c r="V40" s="44">
        <f>(IF(V36=D38,V39,U42))</f>
        <v>0</v>
      </c>
      <c r="W40" s="44">
        <f>(IF(W36=D38,W39,V42))</f>
        <v>0</v>
      </c>
      <c r="X40" s="44">
        <f>(IF(X36=D38,X39,W42))</f>
        <v>0</v>
      </c>
      <c r="Y40" s="44">
        <f>(IF(Y36=D38,Y39,X42))</f>
        <v>0</v>
      </c>
      <c r="Z40" s="44">
        <f>(IF(Z36=D38,Z39,Y42))</f>
        <v>2023037926.6030989</v>
      </c>
      <c r="AA40" s="44">
        <f>(IF(AA36=D38,AA39,Z42))</f>
        <v>2006179277.2147398</v>
      </c>
      <c r="AB40" s="44">
        <f>(IF(AB36=D38,AB39,AA42))</f>
        <v>1989320627.8263807</v>
      </c>
      <c r="AC40" s="44">
        <f>(IF(AC36=D38,AC39,AB42))</f>
        <v>1972461978.4380217</v>
      </c>
      <c r="AD40" s="44">
        <f>(IF(AD36=D38,AD39,AC42))</f>
        <v>1955603329.0496626</v>
      </c>
      <c r="AE40" s="44">
        <f>(IF(AE36=D38,AE39,AD42))</f>
        <v>1938744679.6613035</v>
      </c>
      <c r="AF40" s="44">
        <f>(IF(AF36=D38,AF39,AE42))</f>
        <v>1921886030.2729445</v>
      </c>
      <c r="AG40" s="44">
        <f>(IF(AG36=D38,AG39,AF42))</f>
        <v>1905027380.8845854</v>
      </c>
      <c r="AH40" s="44">
        <f>(IF(AH36=D38,AH39,AG42))</f>
        <v>1888168731.4962263</v>
      </c>
      <c r="AI40" s="44">
        <f>(IF(AI36=D38,AI39,AH42))</f>
        <v>1871310082.1078672</v>
      </c>
      <c r="AJ40" s="44">
        <f>(IF(AJ36=D38,AJ39,AI42))</f>
        <v>1854451432.7195082</v>
      </c>
      <c r="AK40" s="44">
        <f>(IF(AK36=D38,AK39,AJ42))</f>
        <v>1837592783.3311491</v>
      </c>
      <c r="AL40" s="44">
        <f>(IF(AL36=D38,AL39,AK42))</f>
        <v>1820734133.94279</v>
      </c>
      <c r="AM40" s="44">
        <f>(IF(AM36=D38,AM39,AL42))</f>
        <v>1803875484.554431</v>
      </c>
      <c r="AN40" s="44">
        <f>(IF(AN36=D38,AN39,AM42))</f>
        <v>1787016835.1660719</v>
      </c>
      <c r="AO40" s="44">
        <f>(IF(AO36=D38,AO39,AN42))</f>
        <v>1770158185.7777128</v>
      </c>
      <c r="AP40" s="44">
        <f>(IF(AP36=D38,AP39,AO42))</f>
        <v>1753299536.3893538</v>
      </c>
      <c r="AQ40" s="44">
        <f>(IF(AQ36=D38,AQ39,AP42))</f>
        <v>1736440887.0009947</v>
      </c>
      <c r="AR40" s="44">
        <f>(IF(AR36=D38,AR39,AQ42))</f>
        <v>1719582237.6126356</v>
      </c>
      <c r="AS40" s="44">
        <f>(IF(AS36=D38,AS39,AR42))</f>
        <v>1702723588.2242765</v>
      </c>
      <c r="AT40" s="44">
        <f>(IF(AT36=D38,AT39,AS42))</f>
        <v>1685864938.8359175</v>
      </c>
      <c r="AU40" s="44">
        <f>(IF(AU36=D38,AU39,AT42))</f>
        <v>1669006289.4475584</v>
      </c>
      <c r="AV40" s="44">
        <f>(IF(AV36=D38,AV39,AU42))</f>
        <v>1652147640.0591993</v>
      </c>
      <c r="AW40" s="44">
        <f>(IF(AW36=D38,AW39,AV42))</f>
        <v>1635288990.6708403</v>
      </c>
      <c r="AX40" s="44">
        <f>(IF(AX36=D38,AX39,AW42))</f>
        <v>1618430341.2824812</v>
      </c>
      <c r="AY40" s="44">
        <f>(IF(AY36=D38,AY39,AX42))</f>
        <v>1601571691.8941221</v>
      </c>
      <c r="AZ40" s="44">
        <f>(IF(AZ36=D38,AZ39,AY42))</f>
        <v>1584713042.5057631</v>
      </c>
      <c r="BA40" s="44">
        <f>(IF(BA36=D38,BA39,AZ42))</f>
        <v>1567854393.117404</v>
      </c>
      <c r="BB40" s="44">
        <f>(IF(BB36=D38,BB39,BA42))</f>
        <v>1550995743.7290449</v>
      </c>
      <c r="BC40" s="44">
        <f>(IF(BC36=D38,BC39,BB42))</f>
        <v>1534137094.3406858</v>
      </c>
      <c r="BD40" s="44">
        <f>(IF(BD36=D38,BD39,BC42))</f>
        <v>1517278444.9523268</v>
      </c>
      <c r="BE40" s="44">
        <f>(IF(BE36=D38,BE39,BD42))</f>
        <v>1500419795.5639677</v>
      </c>
      <c r="BF40" s="44">
        <f>(IF(BF36=D38,BF39,BE42))</f>
        <v>1483561146.1756086</v>
      </c>
      <c r="BG40" s="44">
        <f>(IF(BG36=D38,BG39,BF42))</f>
        <v>1466702496.7872496</v>
      </c>
      <c r="BH40" s="44">
        <f>(IF(BH36=D38,BH39,BG42))</f>
        <v>1449843847.3988905</v>
      </c>
      <c r="BI40" s="44">
        <f>(IF(BI36=D38,BI39,BH42))</f>
        <v>1432985198.0105314</v>
      </c>
      <c r="BJ40" s="44">
        <f>(IF(BJ36=D38,BJ39,BI42))</f>
        <v>1416126548.6221724</v>
      </c>
      <c r="BK40" s="44">
        <f>(IF(BK36=D38,BK39,BJ42))</f>
        <v>1399267899.2338133</v>
      </c>
      <c r="BL40" s="44">
        <f>(IF(BL36=D38,BL39,BK42))</f>
        <v>1382409249.8454542</v>
      </c>
      <c r="BM40" s="44">
        <f>(IF(BM36=D38,BM39,BL42))</f>
        <v>1365550600.4570951</v>
      </c>
      <c r="BN40" s="44">
        <f>(IF(BN36=D38,BN39,BM42))</f>
        <v>1348691951.0687361</v>
      </c>
      <c r="BO40" s="44">
        <f>(IF(BO36=D38,BO39,BN42))</f>
        <v>1331833301.680377</v>
      </c>
      <c r="BP40" s="44">
        <f>(IF(BP36=D38,BP39,BO42))</f>
        <v>1314974652.2920179</v>
      </c>
      <c r="BQ40" s="44">
        <f>(IF(BQ36=D38,BQ39,BP42))</f>
        <v>1298116002.9036589</v>
      </c>
      <c r="BR40" s="44">
        <f>(IF(BR36=D38,BR39,BQ42))</f>
        <v>1281257353.5152998</v>
      </c>
      <c r="BS40" s="44">
        <f>(IF(BS36=D38,BS39,BR42))</f>
        <v>1264398704.1269407</v>
      </c>
      <c r="BT40" s="44">
        <f>(IF(BT36=D38,BT39,BS42))</f>
        <v>1247540054.7385817</v>
      </c>
      <c r="BU40" s="44">
        <f>(IF(BU36=D38,BU39,BT42))</f>
        <v>1230681405.3502226</v>
      </c>
      <c r="BV40" s="44">
        <f>(IF(BV36=D38,BV39,BU42))</f>
        <v>1213822755.9618635</v>
      </c>
      <c r="BW40" s="44">
        <f>(IF(BW36=D38,BW39,BV42))</f>
        <v>1196964106.5735044</v>
      </c>
      <c r="BX40" s="44">
        <f>(IF(BX36=D38,BX39,BW42))</f>
        <v>1180105457.1851454</v>
      </c>
      <c r="BY40" s="44">
        <f>(IF(BY36=D38,BY39,BX42))</f>
        <v>1163246807.7967863</v>
      </c>
      <c r="BZ40" s="44">
        <f>(IF(BZ36=D38,BZ39,BY42))</f>
        <v>1146388158.4084272</v>
      </c>
      <c r="CA40" s="44">
        <f>(IF(CA36=D38,CA39,BZ42))</f>
        <v>1129529509.0200682</v>
      </c>
      <c r="CB40" s="44">
        <f>(IF(CB36=D38,CB39,CA42))</f>
        <v>1112670859.6317091</v>
      </c>
      <c r="CC40" s="44">
        <f>(IF(CC36=D38,CC39,CB42))</f>
        <v>1095812210.24335</v>
      </c>
      <c r="CD40" s="44">
        <f>(IF(CD36=D38,CD39,CC42))</f>
        <v>1078953560.854991</v>
      </c>
      <c r="CE40" s="44">
        <f>(IF(CE36=D38,CE39,CD42))</f>
        <v>1062094911.4666318</v>
      </c>
      <c r="CF40" s="44">
        <f>(IF(CF36=D38,CF39,CE42))</f>
        <v>1045236262.0782726</v>
      </c>
      <c r="CG40" s="44">
        <f>(IF(CG36=D38,CG39,CF42))</f>
        <v>1028377612.6899134</v>
      </c>
      <c r="CH40" s="44">
        <f>(IF(CH36=D38,CH39,CG42))</f>
        <v>1011518963.3015542</v>
      </c>
      <c r="CI40" s="44">
        <f>(IF(CI36=D38,CI39,CH42))</f>
        <v>994660313.91319501</v>
      </c>
      <c r="CJ40" s="44">
        <f>(IF(CJ36=D38,CJ39,CI42))</f>
        <v>977801664.52483582</v>
      </c>
      <c r="CK40" s="44">
        <f>(IF(CK36=D38,CK39,CJ42))</f>
        <v>960943015.13647664</v>
      </c>
      <c r="CL40" s="44">
        <f>(IF(CL36=D38,CL39,CK42))</f>
        <v>944084365.74811745</v>
      </c>
      <c r="CM40" s="44">
        <f>(IF(CM36=D38,CM39,CL42))</f>
        <v>927225716.35975826</v>
      </c>
      <c r="CN40" s="44">
        <f>(IF(CN36=D38,CN39,CM42))</f>
        <v>910367066.97139907</v>
      </c>
      <c r="CO40" s="44">
        <f>(IF(CO36=D38,CO39,CN42))</f>
        <v>893508417.58303988</v>
      </c>
      <c r="CP40" s="44">
        <f>(IF(CP36=D38,CP39,CO42))</f>
        <v>876649768.19468069</v>
      </c>
      <c r="CQ40" s="44">
        <f>(IF(CQ36=D38,CQ39,CP42))</f>
        <v>859791118.8063215</v>
      </c>
      <c r="CR40" s="44">
        <f>(IF(CR36=D38,CR39,CQ42))</f>
        <v>842932469.41796231</v>
      </c>
      <c r="CS40" s="44">
        <f>(IF(CS36=D38,CS39,CR42))</f>
        <v>826073820.02960312</v>
      </c>
      <c r="CT40" s="44">
        <f>(IF(CT36=D38,CT39,CS42))</f>
        <v>809215170.64124393</v>
      </c>
      <c r="CU40" s="44">
        <f>(IF(CU36=D38,CU39,CT42))</f>
        <v>792356521.25288475</v>
      </c>
      <c r="CV40" s="44">
        <f>(IF(CV36=D38,CV39,CU42))</f>
        <v>775497871.86452556</v>
      </c>
      <c r="CW40" s="44">
        <f>(IF(CW36=D38,CW39,CV42))</f>
        <v>758639222.47616637</v>
      </c>
      <c r="CX40" s="44">
        <f>(IF(CX36=D38,CX39,CW42))</f>
        <v>741780573.08780718</v>
      </c>
      <c r="CY40" s="44">
        <f>(IF(CY36=D38,CY39,CX42))</f>
        <v>724921923.69944799</v>
      </c>
      <c r="CZ40" s="44">
        <f>(IF(CZ36=D38,CZ39,CY42))</f>
        <v>708063274.3110888</v>
      </c>
      <c r="DA40" s="44">
        <f>(IF(DA36=D38,DA39,CZ42))</f>
        <v>691204624.92272961</v>
      </c>
      <c r="DB40" s="44">
        <f>(IF(DB36=D38,DB39,DA42))</f>
        <v>674345975.53437042</v>
      </c>
      <c r="DC40" s="44">
        <f>(IF(DC36=D38,DC39,DB42))</f>
        <v>657487326.14601123</v>
      </c>
      <c r="DD40" s="44">
        <f>(IF(DD36=D38,DD39,DC42))</f>
        <v>640628676.75765204</v>
      </c>
      <c r="DE40" s="44">
        <f>(IF(DE36=D38,DE39,DD42))</f>
        <v>623770027.36929286</v>
      </c>
      <c r="DF40" s="44">
        <f>(IF(DF36=D38,DF39,DE42))</f>
        <v>606911377.98093367</v>
      </c>
      <c r="DG40" s="44">
        <f>(IF(DG36=D38,DG39,DF42))</f>
        <v>590052728.59257448</v>
      </c>
      <c r="DH40" s="44">
        <f>(IF(DH36=D38,DH39,DG42))</f>
        <v>573194079.20421529</v>
      </c>
      <c r="DI40" s="44">
        <f>(IF(DI36=D38,DI39,DH42))</f>
        <v>556335429.8158561</v>
      </c>
      <c r="DJ40" s="44">
        <f>(IF(DJ36=D38,DJ39,DI42))</f>
        <v>539476780.42749691</v>
      </c>
      <c r="DK40" s="44">
        <f>(IF(DK36=D38,DK39,DJ42))</f>
        <v>522618131.03913778</v>
      </c>
      <c r="DL40" s="44">
        <f>(IF(DL36=D38,DL39,DK42))</f>
        <v>505759481.65077865</v>
      </c>
      <c r="DM40" s="44">
        <f>(IF(DM36=D38,DM39,DL42))</f>
        <v>488900832.26241952</v>
      </c>
      <c r="DN40" s="44">
        <f>(IF(DN36=D38,DN39,DM42))</f>
        <v>472042182.87406039</v>
      </c>
      <c r="DO40" s="44">
        <f>(IF(DO36=D38,DO39,DN42))</f>
        <v>455183533.48570126</v>
      </c>
      <c r="DP40" s="44">
        <f>(IF(DP36=D38,DP39,DO42))</f>
        <v>438324884.09734213</v>
      </c>
      <c r="DQ40" s="44">
        <f>(IF(DQ36=D38,DQ39,DP42))</f>
        <v>421466234.708983</v>
      </c>
      <c r="DR40" s="44">
        <f>(IF(DR36=D38,DR39,DQ42))</f>
        <v>404607585.32062387</v>
      </c>
      <c r="DS40" s="44">
        <f>(IF(DS36=D38,DS39,DR42))</f>
        <v>387748935.93226475</v>
      </c>
      <c r="DT40" s="44">
        <f>(IF(DT36=D38,DT39,DS42))</f>
        <v>370890286.54390562</v>
      </c>
      <c r="DU40" s="44">
        <f>(IF(DU36=D38,DU39,DT42))</f>
        <v>354031637.15554649</v>
      </c>
      <c r="DV40" s="44">
        <f>(IF(DV36=D38,DV39,DU42))</f>
        <v>337172987.76718736</v>
      </c>
      <c r="DW40" s="44">
        <f>(IF(DW36=D38,DW39,DV42))</f>
        <v>320314338.37882823</v>
      </c>
      <c r="DX40" s="44">
        <f>(IF(DX36=D38,DX39,DW42))</f>
        <v>303455688.9904691</v>
      </c>
      <c r="DY40" s="44">
        <f>(IF(DY36=D38,DY39,DX42))</f>
        <v>286597039.60210997</v>
      </c>
      <c r="DZ40" s="44">
        <f>(IF(DZ36=D38,DZ39,DY42))</f>
        <v>269738390.21375084</v>
      </c>
      <c r="EA40" s="44">
        <f>(IF(EA36=D38,EA39,DZ42))</f>
        <v>252879740.82539168</v>
      </c>
      <c r="EB40" s="44">
        <f>(IF(EB36=D38,EB39,EA42))</f>
        <v>236021091.43703252</v>
      </c>
      <c r="EC40" s="44">
        <f>(IF(EC36=D38,EC39,EB42))</f>
        <v>219162442.04867336</v>
      </c>
      <c r="ED40" s="44">
        <f>(IF(ED36=D38,ED39,EC42))</f>
        <v>202303792.6603142</v>
      </c>
      <c r="EE40" s="44">
        <f>(IF(EE36=D38,EE39,ED42))</f>
        <v>185445143.27195504</v>
      </c>
      <c r="EF40" s="44">
        <f>(IF(EF36=D38,EF39,EE42))</f>
        <v>168586493.88359588</v>
      </c>
      <c r="EG40" s="44">
        <f>(IF(EG36=D38,EG39,EF42))</f>
        <v>151727844.49523672</v>
      </c>
      <c r="EH40" s="44">
        <f>(IF(EH36=D38,EH39,EG42))</f>
        <v>134869195.10687757</v>
      </c>
      <c r="EI40" s="44">
        <f t="shared" ref="EI40:EN40" si="38">(IF(EI36=E38,EI39,EH42))</f>
        <v>118010545.71851841</v>
      </c>
      <c r="EJ40" s="44">
        <f t="shared" si="38"/>
        <v>101151896.33015925</v>
      </c>
      <c r="EK40" s="44">
        <f t="shared" si="38"/>
        <v>84293246.941800088</v>
      </c>
      <c r="EL40" s="44">
        <f t="shared" si="38"/>
        <v>67434597.553440928</v>
      </c>
      <c r="EM40" s="44">
        <f t="shared" si="38"/>
        <v>50575948.165081769</v>
      </c>
      <c r="EN40" s="44">
        <f t="shared" si="38"/>
        <v>33717298.77672261</v>
      </c>
    </row>
    <row r="41" spans="2:144" outlineLevel="1">
      <c r="B41" s="459">
        <f>SUM(H41:XX41)</f>
        <v>2006179277.2147355</v>
      </c>
      <c r="C41" s="151" t="s">
        <v>24</v>
      </c>
      <c r="D41" s="467">
        <f>SUMIF($C$4:$C$18,B38,$J$4:$J$18)</f>
        <v>30</v>
      </c>
      <c r="E41" s="468">
        <f>1/D41</f>
        <v>3.3333333333333333E-2</v>
      </c>
      <c r="F41" s="44">
        <f>D39*E41</f>
        <v>67434597.553436622</v>
      </c>
      <c r="G41" s="44"/>
      <c r="H41" s="44">
        <f>IF(H40&gt;1,$F41/4,0)</f>
        <v>0</v>
      </c>
      <c r="I41" s="44">
        <f t="shared" ref="I41:BT41" si="39">IF(I40&gt;1,$F41/4,0)</f>
        <v>0</v>
      </c>
      <c r="J41" s="44">
        <f t="shared" si="39"/>
        <v>0</v>
      </c>
      <c r="K41" s="44">
        <f t="shared" si="39"/>
        <v>0</v>
      </c>
      <c r="L41" s="44">
        <f t="shared" si="39"/>
        <v>0</v>
      </c>
      <c r="M41" s="44">
        <f t="shared" si="39"/>
        <v>0</v>
      </c>
      <c r="N41" s="44">
        <f t="shared" si="39"/>
        <v>0</v>
      </c>
      <c r="O41" s="44">
        <f t="shared" si="39"/>
        <v>0</v>
      </c>
      <c r="P41" s="44">
        <f t="shared" si="39"/>
        <v>0</v>
      </c>
      <c r="Q41" s="44">
        <f t="shared" si="39"/>
        <v>0</v>
      </c>
      <c r="R41" s="44">
        <f t="shared" si="39"/>
        <v>0</v>
      </c>
      <c r="S41" s="44">
        <f t="shared" si="39"/>
        <v>0</v>
      </c>
      <c r="T41" s="44">
        <f t="shared" si="39"/>
        <v>0</v>
      </c>
      <c r="U41" s="44">
        <f t="shared" si="39"/>
        <v>0</v>
      </c>
      <c r="V41" s="44">
        <f t="shared" si="39"/>
        <v>0</v>
      </c>
      <c r="W41" s="44">
        <f t="shared" si="39"/>
        <v>0</v>
      </c>
      <c r="X41" s="44">
        <f t="shared" si="39"/>
        <v>0</v>
      </c>
      <c r="Y41" s="44">
        <f t="shared" si="39"/>
        <v>0</v>
      </c>
      <c r="Z41" s="44">
        <f t="shared" si="39"/>
        <v>16858649.388359156</v>
      </c>
      <c r="AA41" s="44">
        <f t="shared" si="39"/>
        <v>16858649.388359156</v>
      </c>
      <c r="AB41" s="44">
        <f t="shared" si="39"/>
        <v>16858649.388359156</v>
      </c>
      <c r="AC41" s="44">
        <f t="shared" si="39"/>
        <v>16858649.388359156</v>
      </c>
      <c r="AD41" s="44">
        <f t="shared" si="39"/>
        <v>16858649.388359156</v>
      </c>
      <c r="AE41" s="44">
        <f t="shared" si="39"/>
        <v>16858649.388359156</v>
      </c>
      <c r="AF41" s="44">
        <f t="shared" si="39"/>
        <v>16858649.388359156</v>
      </c>
      <c r="AG41" s="44">
        <f t="shared" si="39"/>
        <v>16858649.388359156</v>
      </c>
      <c r="AH41" s="44">
        <f t="shared" si="39"/>
        <v>16858649.388359156</v>
      </c>
      <c r="AI41" s="44">
        <f t="shared" si="39"/>
        <v>16858649.388359156</v>
      </c>
      <c r="AJ41" s="44">
        <f t="shared" si="39"/>
        <v>16858649.388359156</v>
      </c>
      <c r="AK41" s="44">
        <f t="shared" si="39"/>
        <v>16858649.388359156</v>
      </c>
      <c r="AL41" s="44">
        <f t="shared" si="39"/>
        <v>16858649.388359156</v>
      </c>
      <c r="AM41" s="44">
        <f t="shared" si="39"/>
        <v>16858649.388359156</v>
      </c>
      <c r="AN41" s="44">
        <f t="shared" si="39"/>
        <v>16858649.388359156</v>
      </c>
      <c r="AO41" s="44">
        <f t="shared" si="39"/>
        <v>16858649.388359156</v>
      </c>
      <c r="AP41" s="44">
        <f t="shared" si="39"/>
        <v>16858649.388359156</v>
      </c>
      <c r="AQ41" s="44">
        <f t="shared" si="39"/>
        <v>16858649.388359156</v>
      </c>
      <c r="AR41" s="44">
        <f t="shared" si="39"/>
        <v>16858649.388359156</v>
      </c>
      <c r="AS41" s="44">
        <f t="shared" si="39"/>
        <v>16858649.388359156</v>
      </c>
      <c r="AT41" s="44">
        <f t="shared" si="39"/>
        <v>16858649.388359156</v>
      </c>
      <c r="AU41" s="44">
        <f t="shared" si="39"/>
        <v>16858649.388359156</v>
      </c>
      <c r="AV41" s="44">
        <f t="shared" si="39"/>
        <v>16858649.388359156</v>
      </c>
      <c r="AW41" s="44">
        <f t="shared" si="39"/>
        <v>16858649.388359156</v>
      </c>
      <c r="AX41" s="44">
        <f t="shared" si="39"/>
        <v>16858649.388359156</v>
      </c>
      <c r="AY41" s="44">
        <f t="shared" si="39"/>
        <v>16858649.388359156</v>
      </c>
      <c r="AZ41" s="44">
        <f t="shared" si="39"/>
        <v>16858649.388359156</v>
      </c>
      <c r="BA41" s="44">
        <f t="shared" si="39"/>
        <v>16858649.388359156</v>
      </c>
      <c r="BB41" s="44">
        <f t="shared" si="39"/>
        <v>16858649.388359156</v>
      </c>
      <c r="BC41" s="44">
        <f t="shared" si="39"/>
        <v>16858649.388359156</v>
      </c>
      <c r="BD41" s="44">
        <f t="shared" si="39"/>
        <v>16858649.388359156</v>
      </c>
      <c r="BE41" s="44">
        <f t="shared" si="39"/>
        <v>16858649.388359156</v>
      </c>
      <c r="BF41" s="44">
        <f t="shared" si="39"/>
        <v>16858649.388359156</v>
      </c>
      <c r="BG41" s="44">
        <f t="shared" si="39"/>
        <v>16858649.388359156</v>
      </c>
      <c r="BH41" s="44">
        <f t="shared" si="39"/>
        <v>16858649.388359156</v>
      </c>
      <c r="BI41" s="44">
        <f t="shared" si="39"/>
        <v>16858649.388359156</v>
      </c>
      <c r="BJ41" s="44">
        <f t="shared" si="39"/>
        <v>16858649.388359156</v>
      </c>
      <c r="BK41" s="44">
        <f t="shared" si="39"/>
        <v>16858649.388359156</v>
      </c>
      <c r="BL41" s="44">
        <f t="shared" si="39"/>
        <v>16858649.388359156</v>
      </c>
      <c r="BM41" s="44">
        <f t="shared" si="39"/>
        <v>16858649.388359156</v>
      </c>
      <c r="BN41" s="44">
        <f t="shared" si="39"/>
        <v>16858649.388359156</v>
      </c>
      <c r="BO41" s="44">
        <f t="shared" si="39"/>
        <v>16858649.388359156</v>
      </c>
      <c r="BP41" s="44">
        <f t="shared" si="39"/>
        <v>16858649.388359156</v>
      </c>
      <c r="BQ41" s="44">
        <f t="shared" si="39"/>
        <v>16858649.388359156</v>
      </c>
      <c r="BR41" s="44">
        <f t="shared" si="39"/>
        <v>16858649.388359156</v>
      </c>
      <c r="BS41" s="44">
        <f t="shared" si="39"/>
        <v>16858649.388359156</v>
      </c>
      <c r="BT41" s="44">
        <f t="shared" si="39"/>
        <v>16858649.388359156</v>
      </c>
      <c r="BU41" s="44">
        <f t="shared" ref="BU41:EF41" si="40">IF(BU40&gt;1,$F41/4,0)</f>
        <v>16858649.388359156</v>
      </c>
      <c r="BV41" s="44">
        <f t="shared" si="40"/>
        <v>16858649.388359156</v>
      </c>
      <c r="BW41" s="44">
        <f t="shared" si="40"/>
        <v>16858649.388359156</v>
      </c>
      <c r="BX41" s="44">
        <f t="shared" si="40"/>
        <v>16858649.388359156</v>
      </c>
      <c r="BY41" s="44">
        <f t="shared" si="40"/>
        <v>16858649.388359156</v>
      </c>
      <c r="BZ41" s="44">
        <f t="shared" si="40"/>
        <v>16858649.388359156</v>
      </c>
      <c r="CA41" s="44">
        <f t="shared" si="40"/>
        <v>16858649.388359156</v>
      </c>
      <c r="CB41" s="44">
        <f t="shared" si="40"/>
        <v>16858649.388359156</v>
      </c>
      <c r="CC41" s="44">
        <f t="shared" si="40"/>
        <v>16858649.388359156</v>
      </c>
      <c r="CD41" s="44">
        <f t="shared" si="40"/>
        <v>16858649.388359156</v>
      </c>
      <c r="CE41" s="44">
        <f t="shared" si="40"/>
        <v>16858649.388359156</v>
      </c>
      <c r="CF41" s="44">
        <f t="shared" si="40"/>
        <v>16858649.388359156</v>
      </c>
      <c r="CG41" s="44">
        <f t="shared" si="40"/>
        <v>16858649.388359156</v>
      </c>
      <c r="CH41" s="44">
        <f t="shared" si="40"/>
        <v>16858649.388359156</v>
      </c>
      <c r="CI41" s="44">
        <f t="shared" si="40"/>
        <v>16858649.388359156</v>
      </c>
      <c r="CJ41" s="44">
        <f t="shared" si="40"/>
        <v>16858649.388359156</v>
      </c>
      <c r="CK41" s="44">
        <f t="shared" si="40"/>
        <v>16858649.388359156</v>
      </c>
      <c r="CL41" s="44">
        <f t="shared" si="40"/>
        <v>16858649.388359156</v>
      </c>
      <c r="CM41" s="44">
        <f t="shared" si="40"/>
        <v>16858649.388359156</v>
      </c>
      <c r="CN41" s="44">
        <f t="shared" si="40"/>
        <v>16858649.388359156</v>
      </c>
      <c r="CO41" s="44">
        <f t="shared" si="40"/>
        <v>16858649.388359156</v>
      </c>
      <c r="CP41" s="44">
        <f t="shared" si="40"/>
        <v>16858649.388359156</v>
      </c>
      <c r="CQ41" s="44">
        <f t="shared" si="40"/>
        <v>16858649.388359156</v>
      </c>
      <c r="CR41" s="44">
        <f t="shared" si="40"/>
        <v>16858649.388359156</v>
      </c>
      <c r="CS41" s="44">
        <f t="shared" si="40"/>
        <v>16858649.388359156</v>
      </c>
      <c r="CT41" s="44">
        <f t="shared" si="40"/>
        <v>16858649.388359156</v>
      </c>
      <c r="CU41" s="44">
        <f t="shared" si="40"/>
        <v>16858649.388359156</v>
      </c>
      <c r="CV41" s="44">
        <f t="shared" si="40"/>
        <v>16858649.388359156</v>
      </c>
      <c r="CW41" s="44">
        <f t="shared" si="40"/>
        <v>16858649.388359156</v>
      </c>
      <c r="CX41" s="44">
        <f t="shared" si="40"/>
        <v>16858649.388359156</v>
      </c>
      <c r="CY41" s="44">
        <f t="shared" si="40"/>
        <v>16858649.388359156</v>
      </c>
      <c r="CZ41" s="44">
        <f t="shared" si="40"/>
        <v>16858649.388359156</v>
      </c>
      <c r="DA41" s="44">
        <f t="shared" si="40"/>
        <v>16858649.388359156</v>
      </c>
      <c r="DB41" s="44">
        <f t="shared" si="40"/>
        <v>16858649.388359156</v>
      </c>
      <c r="DC41" s="44">
        <f t="shared" si="40"/>
        <v>16858649.388359156</v>
      </c>
      <c r="DD41" s="44">
        <f t="shared" si="40"/>
        <v>16858649.388359156</v>
      </c>
      <c r="DE41" s="44">
        <f t="shared" si="40"/>
        <v>16858649.388359156</v>
      </c>
      <c r="DF41" s="44">
        <f t="shared" si="40"/>
        <v>16858649.388359156</v>
      </c>
      <c r="DG41" s="44">
        <f t="shared" si="40"/>
        <v>16858649.388359156</v>
      </c>
      <c r="DH41" s="44">
        <f t="shared" si="40"/>
        <v>16858649.388359156</v>
      </c>
      <c r="DI41" s="44">
        <f t="shared" si="40"/>
        <v>16858649.388359156</v>
      </c>
      <c r="DJ41" s="44">
        <f t="shared" si="40"/>
        <v>16858649.388359156</v>
      </c>
      <c r="DK41" s="44">
        <f t="shared" si="40"/>
        <v>16858649.388359156</v>
      </c>
      <c r="DL41" s="44">
        <f t="shared" si="40"/>
        <v>16858649.388359156</v>
      </c>
      <c r="DM41" s="44">
        <f t="shared" si="40"/>
        <v>16858649.388359156</v>
      </c>
      <c r="DN41" s="44">
        <f t="shared" si="40"/>
        <v>16858649.388359156</v>
      </c>
      <c r="DO41" s="44">
        <f t="shared" si="40"/>
        <v>16858649.388359156</v>
      </c>
      <c r="DP41" s="44">
        <f t="shared" si="40"/>
        <v>16858649.388359156</v>
      </c>
      <c r="DQ41" s="44">
        <f t="shared" si="40"/>
        <v>16858649.388359156</v>
      </c>
      <c r="DR41" s="44">
        <f t="shared" si="40"/>
        <v>16858649.388359156</v>
      </c>
      <c r="DS41" s="44">
        <f t="shared" si="40"/>
        <v>16858649.388359156</v>
      </c>
      <c r="DT41" s="44">
        <f t="shared" si="40"/>
        <v>16858649.388359156</v>
      </c>
      <c r="DU41" s="44">
        <f t="shared" si="40"/>
        <v>16858649.388359156</v>
      </c>
      <c r="DV41" s="44">
        <f t="shared" si="40"/>
        <v>16858649.388359156</v>
      </c>
      <c r="DW41" s="44">
        <f t="shared" si="40"/>
        <v>16858649.388359156</v>
      </c>
      <c r="DX41" s="44">
        <f t="shared" si="40"/>
        <v>16858649.388359156</v>
      </c>
      <c r="DY41" s="44">
        <f t="shared" si="40"/>
        <v>16858649.388359156</v>
      </c>
      <c r="DZ41" s="44">
        <f t="shared" si="40"/>
        <v>16858649.388359156</v>
      </c>
      <c r="EA41" s="44">
        <f t="shared" si="40"/>
        <v>16858649.388359156</v>
      </c>
      <c r="EB41" s="44">
        <f t="shared" si="40"/>
        <v>16858649.388359156</v>
      </c>
      <c r="EC41" s="44">
        <f t="shared" si="40"/>
        <v>16858649.388359156</v>
      </c>
      <c r="ED41" s="44">
        <f t="shared" si="40"/>
        <v>16858649.388359156</v>
      </c>
      <c r="EE41" s="44">
        <f t="shared" si="40"/>
        <v>16858649.388359156</v>
      </c>
      <c r="EF41" s="44">
        <f t="shared" si="40"/>
        <v>16858649.388359156</v>
      </c>
      <c r="EG41" s="44">
        <f t="shared" ref="EG41:EN41" si="41">IF(EG40&gt;1,$F41/4,0)</f>
        <v>16858649.388359156</v>
      </c>
      <c r="EH41" s="44">
        <f t="shared" si="41"/>
        <v>16858649.388359156</v>
      </c>
      <c r="EI41" s="44">
        <f t="shared" si="41"/>
        <v>16858649.388359156</v>
      </c>
      <c r="EJ41" s="44">
        <f t="shared" si="41"/>
        <v>16858649.388359156</v>
      </c>
      <c r="EK41" s="44">
        <f t="shared" si="41"/>
        <v>16858649.388359156</v>
      </c>
      <c r="EL41" s="44">
        <f t="shared" si="41"/>
        <v>16858649.388359156</v>
      </c>
      <c r="EM41" s="44">
        <f t="shared" si="41"/>
        <v>16858649.388359156</v>
      </c>
      <c r="EN41" s="44">
        <f t="shared" si="41"/>
        <v>16858649.388359156</v>
      </c>
    </row>
    <row r="42" spans="2:144" outlineLevel="1">
      <c r="B42" s="459">
        <f>D39-B41</f>
        <v>16858649.388363361</v>
      </c>
      <c r="C42" s="151" t="s">
        <v>74</v>
      </c>
      <c r="D42" s="44"/>
      <c r="E42" s="44"/>
      <c r="F42" s="44"/>
      <c r="G42" s="44"/>
      <c r="H42" s="44">
        <f>IF((H40-H41)&gt;0,(H40-H41),0)</f>
        <v>0</v>
      </c>
      <c r="I42" s="44">
        <f t="shared" ref="I42:BT42" si="42">IF((I40-I41)&gt;0,(I40-I41),0)</f>
        <v>0</v>
      </c>
      <c r="J42" s="44">
        <f t="shared" si="42"/>
        <v>0</v>
      </c>
      <c r="K42" s="44">
        <f t="shared" si="42"/>
        <v>0</v>
      </c>
      <c r="L42" s="44">
        <f t="shared" si="42"/>
        <v>0</v>
      </c>
      <c r="M42" s="44">
        <f t="shared" si="42"/>
        <v>0</v>
      </c>
      <c r="N42" s="44">
        <f t="shared" si="42"/>
        <v>0</v>
      </c>
      <c r="O42" s="44">
        <f t="shared" si="42"/>
        <v>0</v>
      </c>
      <c r="P42" s="44">
        <f t="shared" si="42"/>
        <v>0</v>
      </c>
      <c r="Q42" s="44">
        <f t="shared" si="42"/>
        <v>0</v>
      </c>
      <c r="R42" s="44">
        <f t="shared" si="42"/>
        <v>0</v>
      </c>
      <c r="S42" s="44">
        <f t="shared" si="42"/>
        <v>0</v>
      </c>
      <c r="T42" s="44">
        <f t="shared" si="42"/>
        <v>0</v>
      </c>
      <c r="U42" s="44">
        <f t="shared" si="42"/>
        <v>0</v>
      </c>
      <c r="V42" s="44">
        <f t="shared" si="42"/>
        <v>0</v>
      </c>
      <c r="W42" s="44">
        <f t="shared" si="42"/>
        <v>0</v>
      </c>
      <c r="X42" s="44">
        <f t="shared" si="42"/>
        <v>0</v>
      </c>
      <c r="Y42" s="44">
        <f t="shared" si="42"/>
        <v>0</v>
      </c>
      <c r="Z42" s="44">
        <f t="shared" si="42"/>
        <v>2006179277.2147398</v>
      </c>
      <c r="AA42" s="44">
        <f t="shared" si="42"/>
        <v>1989320627.8263807</v>
      </c>
      <c r="AB42" s="44">
        <f t="shared" si="42"/>
        <v>1972461978.4380217</v>
      </c>
      <c r="AC42" s="44">
        <f t="shared" si="42"/>
        <v>1955603329.0496626</v>
      </c>
      <c r="AD42" s="44">
        <f t="shared" si="42"/>
        <v>1938744679.6613035</v>
      </c>
      <c r="AE42" s="44">
        <f t="shared" si="42"/>
        <v>1921886030.2729445</v>
      </c>
      <c r="AF42" s="44">
        <f t="shared" si="42"/>
        <v>1905027380.8845854</v>
      </c>
      <c r="AG42" s="44">
        <f t="shared" si="42"/>
        <v>1888168731.4962263</v>
      </c>
      <c r="AH42" s="44">
        <f t="shared" si="42"/>
        <v>1871310082.1078672</v>
      </c>
      <c r="AI42" s="44">
        <f t="shared" si="42"/>
        <v>1854451432.7195082</v>
      </c>
      <c r="AJ42" s="44">
        <f t="shared" si="42"/>
        <v>1837592783.3311491</v>
      </c>
      <c r="AK42" s="44">
        <f t="shared" si="42"/>
        <v>1820734133.94279</v>
      </c>
      <c r="AL42" s="44">
        <f t="shared" si="42"/>
        <v>1803875484.554431</v>
      </c>
      <c r="AM42" s="44">
        <f t="shared" si="42"/>
        <v>1787016835.1660719</v>
      </c>
      <c r="AN42" s="44">
        <f t="shared" si="42"/>
        <v>1770158185.7777128</v>
      </c>
      <c r="AO42" s="44">
        <f t="shared" si="42"/>
        <v>1753299536.3893538</v>
      </c>
      <c r="AP42" s="44">
        <f t="shared" si="42"/>
        <v>1736440887.0009947</v>
      </c>
      <c r="AQ42" s="44">
        <f t="shared" si="42"/>
        <v>1719582237.6126356</v>
      </c>
      <c r="AR42" s="44">
        <f t="shared" si="42"/>
        <v>1702723588.2242765</v>
      </c>
      <c r="AS42" s="44">
        <f t="shared" si="42"/>
        <v>1685864938.8359175</v>
      </c>
      <c r="AT42" s="44">
        <f t="shared" si="42"/>
        <v>1669006289.4475584</v>
      </c>
      <c r="AU42" s="44">
        <f t="shared" si="42"/>
        <v>1652147640.0591993</v>
      </c>
      <c r="AV42" s="44">
        <f t="shared" si="42"/>
        <v>1635288990.6708403</v>
      </c>
      <c r="AW42" s="44">
        <f t="shared" si="42"/>
        <v>1618430341.2824812</v>
      </c>
      <c r="AX42" s="44">
        <f t="shared" si="42"/>
        <v>1601571691.8941221</v>
      </c>
      <c r="AY42" s="44">
        <f t="shared" si="42"/>
        <v>1584713042.5057631</v>
      </c>
      <c r="AZ42" s="44">
        <f t="shared" si="42"/>
        <v>1567854393.117404</v>
      </c>
      <c r="BA42" s="44">
        <f t="shared" si="42"/>
        <v>1550995743.7290449</v>
      </c>
      <c r="BB42" s="44">
        <f t="shared" si="42"/>
        <v>1534137094.3406858</v>
      </c>
      <c r="BC42" s="44">
        <f t="shared" si="42"/>
        <v>1517278444.9523268</v>
      </c>
      <c r="BD42" s="44">
        <f t="shared" si="42"/>
        <v>1500419795.5639677</v>
      </c>
      <c r="BE42" s="44">
        <f t="shared" si="42"/>
        <v>1483561146.1756086</v>
      </c>
      <c r="BF42" s="44">
        <f t="shared" si="42"/>
        <v>1466702496.7872496</v>
      </c>
      <c r="BG42" s="44">
        <f t="shared" si="42"/>
        <v>1449843847.3988905</v>
      </c>
      <c r="BH42" s="44">
        <f t="shared" si="42"/>
        <v>1432985198.0105314</v>
      </c>
      <c r="BI42" s="44">
        <f t="shared" si="42"/>
        <v>1416126548.6221724</v>
      </c>
      <c r="BJ42" s="44">
        <f t="shared" si="42"/>
        <v>1399267899.2338133</v>
      </c>
      <c r="BK42" s="44">
        <f t="shared" si="42"/>
        <v>1382409249.8454542</v>
      </c>
      <c r="BL42" s="44">
        <f t="shared" si="42"/>
        <v>1365550600.4570951</v>
      </c>
      <c r="BM42" s="44">
        <f t="shared" si="42"/>
        <v>1348691951.0687361</v>
      </c>
      <c r="BN42" s="44">
        <f t="shared" si="42"/>
        <v>1331833301.680377</v>
      </c>
      <c r="BO42" s="44">
        <f t="shared" si="42"/>
        <v>1314974652.2920179</v>
      </c>
      <c r="BP42" s="44">
        <f t="shared" si="42"/>
        <v>1298116002.9036589</v>
      </c>
      <c r="BQ42" s="44">
        <f t="shared" si="42"/>
        <v>1281257353.5152998</v>
      </c>
      <c r="BR42" s="44">
        <f t="shared" si="42"/>
        <v>1264398704.1269407</v>
      </c>
      <c r="BS42" s="44">
        <f t="shared" si="42"/>
        <v>1247540054.7385817</v>
      </c>
      <c r="BT42" s="44">
        <f t="shared" si="42"/>
        <v>1230681405.3502226</v>
      </c>
      <c r="BU42" s="44">
        <f t="shared" ref="BU42:EF42" si="43">IF((BU40-BU41)&gt;0,(BU40-BU41),0)</f>
        <v>1213822755.9618635</v>
      </c>
      <c r="BV42" s="44">
        <f t="shared" si="43"/>
        <v>1196964106.5735044</v>
      </c>
      <c r="BW42" s="44">
        <f t="shared" si="43"/>
        <v>1180105457.1851454</v>
      </c>
      <c r="BX42" s="44">
        <f t="shared" si="43"/>
        <v>1163246807.7967863</v>
      </c>
      <c r="BY42" s="44">
        <f t="shared" si="43"/>
        <v>1146388158.4084272</v>
      </c>
      <c r="BZ42" s="44">
        <f t="shared" si="43"/>
        <v>1129529509.0200682</v>
      </c>
      <c r="CA42" s="44">
        <f t="shared" si="43"/>
        <v>1112670859.6317091</v>
      </c>
      <c r="CB42" s="44">
        <f t="shared" si="43"/>
        <v>1095812210.24335</v>
      </c>
      <c r="CC42" s="44">
        <f t="shared" si="43"/>
        <v>1078953560.854991</v>
      </c>
      <c r="CD42" s="44">
        <f t="shared" si="43"/>
        <v>1062094911.4666318</v>
      </c>
      <c r="CE42" s="44">
        <f t="shared" si="43"/>
        <v>1045236262.0782726</v>
      </c>
      <c r="CF42" s="44">
        <f t="shared" si="43"/>
        <v>1028377612.6899134</v>
      </c>
      <c r="CG42" s="44">
        <f t="shared" si="43"/>
        <v>1011518963.3015542</v>
      </c>
      <c r="CH42" s="44">
        <f t="shared" si="43"/>
        <v>994660313.91319501</v>
      </c>
      <c r="CI42" s="44">
        <f t="shared" si="43"/>
        <v>977801664.52483582</v>
      </c>
      <c r="CJ42" s="44">
        <f t="shared" si="43"/>
        <v>960943015.13647664</v>
      </c>
      <c r="CK42" s="44">
        <f t="shared" si="43"/>
        <v>944084365.74811745</v>
      </c>
      <c r="CL42" s="44">
        <f t="shared" si="43"/>
        <v>927225716.35975826</v>
      </c>
      <c r="CM42" s="44">
        <f t="shared" si="43"/>
        <v>910367066.97139907</v>
      </c>
      <c r="CN42" s="44">
        <f t="shared" si="43"/>
        <v>893508417.58303988</v>
      </c>
      <c r="CO42" s="44">
        <f t="shared" si="43"/>
        <v>876649768.19468069</v>
      </c>
      <c r="CP42" s="44">
        <f t="shared" si="43"/>
        <v>859791118.8063215</v>
      </c>
      <c r="CQ42" s="44">
        <f t="shared" si="43"/>
        <v>842932469.41796231</v>
      </c>
      <c r="CR42" s="44">
        <f t="shared" si="43"/>
        <v>826073820.02960312</v>
      </c>
      <c r="CS42" s="44">
        <f t="shared" si="43"/>
        <v>809215170.64124393</v>
      </c>
      <c r="CT42" s="44">
        <f t="shared" si="43"/>
        <v>792356521.25288475</v>
      </c>
      <c r="CU42" s="44">
        <f t="shared" si="43"/>
        <v>775497871.86452556</v>
      </c>
      <c r="CV42" s="44">
        <f t="shared" si="43"/>
        <v>758639222.47616637</v>
      </c>
      <c r="CW42" s="44">
        <f t="shared" si="43"/>
        <v>741780573.08780718</v>
      </c>
      <c r="CX42" s="44">
        <f t="shared" si="43"/>
        <v>724921923.69944799</v>
      </c>
      <c r="CY42" s="44">
        <f t="shared" si="43"/>
        <v>708063274.3110888</v>
      </c>
      <c r="CZ42" s="44">
        <f t="shared" si="43"/>
        <v>691204624.92272961</v>
      </c>
      <c r="DA42" s="44">
        <f t="shared" si="43"/>
        <v>674345975.53437042</v>
      </c>
      <c r="DB42" s="44">
        <f t="shared" si="43"/>
        <v>657487326.14601123</v>
      </c>
      <c r="DC42" s="44">
        <f t="shared" si="43"/>
        <v>640628676.75765204</v>
      </c>
      <c r="DD42" s="44">
        <f t="shared" si="43"/>
        <v>623770027.36929286</v>
      </c>
      <c r="DE42" s="44">
        <f t="shared" si="43"/>
        <v>606911377.98093367</v>
      </c>
      <c r="DF42" s="44">
        <f t="shared" si="43"/>
        <v>590052728.59257448</v>
      </c>
      <c r="DG42" s="44">
        <f t="shared" si="43"/>
        <v>573194079.20421529</v>
      </c>
      <c r="DH42" s="44">
        <f t="shared" si="43"/>
        <v>556335429.8158561</v>
      </c>
      <c r="DI42" s="44">
        <f t="shared" si="43"/>
        <v>539476780.42749691</v>
      </c>
      <c r="DJ42" s="44">
        <f t="shared" si="43"/>
        <v>522618131.03913778</v>
      </c>
      <c r="DK42" s="44">
        <f t="shared" si="43"/>
        <v>505759481.65077865</v>
      </c>
      <c r="DL42" s="44">
        <f t="shared" si="43"/>
        <v>488900832.26241952</v>
      </c>
      <c r="DM42" s="44">
        <f t="shared" si="43"/>
        <v>472042182.87406039</v>
      </c>
      <c r="DN42" s="44">
        <f t="shared" si="43"/>
        <v>455183533.48570126</v>
      </c>
      <c r="DO42" s="44">
        <f t="shared" si="43"/>
        <v>438324884.09734213</v>
      </c>
      <c r="DP42" s="44">
        <f t="shared" si="43"/>
        <v>421466234.708983</v>
      </c>
      <c r="DQ42" s="44">
        <f t="shared" si="43"/>
        <v>404607585.32062387</v>
      </c>
      <c r="DR42" s="44">
        <f t="shared" si="43"/>
        <v>387748935.93226475</v>
      </c>
      <c r="DS42" s="44">
        <f t="shared" si="43"/>
        <v>370890286.54390562</v>
      </c>
      <c r="DT42" s="44">
        <f t="shared" si="43"/>
        <v>354031637.15554649</v>
      </c>
      <c r="DU42" s="44">
        <f t="shared" si="43"/>
        <v>337172987.76718736</v>
      </c>
      <c r="DV42" s="44">
        <f t="shared" si="43"/>
        <v>320314338.37882823</v>
      </c>
      <c r="DW42" s="44">
        <f t="shared" si="43"/>
        <v>303455688.9904691</v>
      </c>
      <c r="DX42" s="44">
        <f t="shared" si="43"/>
        <v>286597039.60210997</v>
      </c>
      <c r="DY42" s="44">
        <f t="shared" si="43"/>
        <v>269738390.21375084</v>
      </c>
      <c r="DZ42" s="44">
        <f t="shared" si="43"/>
        <v>252879740.82539168</v>
      </c>
      <c r="EA42" s="44">
        <f t="shared" si="43"/>
        <v>236021091.43703252</v>
      </c>
      <c r="EB42" s="44">
        <f t="shared" si="43"/>
        <v>219162442.04867336</v>
      </c>
      <c r="EC42" s="44">
        <f t="shared" si="43"/>
        <v>202303792.6603142</v>
      </c>
      <c r="ED42" s="44">
        <f t="shared" si="43"/>
        <v>185445143.27195504</v>
      </c>
      <c r="EE42" s="44">
        <f t="shared" si="43"/>
        <v>168586493.88359588</v>
      </c>
      <c r="EF42" s="44">
        <f t="shared" si="43"/>
        <v>151727844.49523672</v>
      </c>
      <c r="EG42" s="44">
        <f t="shared" ref="EG42:EN42" si="44">IF((EG40-EG41)&gt;0,(EG40-EG41),0)</f>
        <v>134869195.10687757</v>
      </c>
      <c r="EH42" s="44">
        <f t="shared" si="44"/>
        <v>118010545.71851841</v>
      </c>
      <c r="EI42" s="44">
        <f t="shared" si="44"/>
        <v>101151896.33015925</v>
      </c>
      <c r="EJ42" s="44">
        <f t="shared" si="44"/>
        <v>84293246.941800088</v>
      </c>
      <c r="EK42" s="44">
        <f t="shared" si="44"/>
        <v>67434597.553440928</v>
      </c>
      <c r="EL42" s="44">
        <f t="shared" si="44"/>
        <v>50575948.165081769</v>
      </c>
      <c r="EM42" s="44">
        <f t="shared" si="44"/>
        <v>33717298.77672261</v>
      </c>
      <c r="EN42" s="44">
        <f t="shared" si="44"/>
        <v>16858649.388363454</v>
      </c>
    </row>
    <row r="43" spans="2:144" outlineLevel="1">
      <c r="B43" s="139" t="s">
        <v>43</v>
      </c>
      <c r="C43" s="151" t="s">
        <v>487</v>
      </c>
      <c r="D43" s="44"/>
      <c r="E43" s="44"/>
      <c r="F43" s="44"/>
      <c r="G43" s="44"/>
      <c r="H43" s="44">
        <f>IF(H36&gt;D38,(SUM(G42:H42)/2),IF(H36=D38,H42,0))</f>
        <v>0</v>
      </c>
      <c r="I43" s="44">
        <f>IF(I36&gt;D38,(SUM(H42:I42)/2),IF(I36=D38,I42,0))</f>
        <v>0</v>
      </c>
      <c r="J43" s="44">
        <f>IF(J36&gt;D38,(SUM(I42:J42)/2),IF(J36=D38,J42,0))</f>
        <v>0</v>
      </c>
      <c r="K43" s="44">
        <f>IF(K36&gt;D38,(SUM(J42:K42)/2),IF(K36=D38,K42,0))</f>
        <v>0</v>
      </c>
      <c r="L43" s="44">
        <f>IF(L36&gt;D38,(SUM(K42:L42)/2),IF(L36=D38,L42,0))</f>
        <v>0</v>
      </c>
      <c r="M43" s="44">
        <f>IF(M36&gt;D38,(SUM(L42:M42)/2),IF(M36=D38,M42,0))</f>
        <v>0</v>
      </c>
      <c r="N43" s="44">
        <f>IF(N36&gt;D38,(SUM(M42:N42)/2),IF(N36=D38,N42,0))</f>
        <v>0</v>
      </c>
      <c r="O43" s="44">
        <f>IF(O36&gt;D38,(SUM(N42:O42)/2),IF(O36=D38,O42,0))</f>
        <v>0</v>
      </c>
      <c r="P43" s="44">
        <f>IF(P36&gt;D38,(SUM(O42:P42)/2),IF(P36=D38,P42,0))</f>
        <v>0</v>
      </c>
      <c r="Q43" s="44">
        <f>IF(Q36&gt;D38,(SUM(P42:Q42)/2),IF(Q36=D38,Q42,0))</f>
        <v>0</v>
      </c>
      <c r="R43" s="44">
        <f>IF(R36&gt;D38,(SUM(Q42:R42)/2),IF(R36=D38,R42,0))</f>
        <v>0</v>
      </c>
      <c r="S43" s="44">
        <f>IF(S36&gt;D38,(SUM(R42:S42)/2),IF(S36=D38,S42,0))</f>
        <v>0</v>
      </c>
      <c r="T43" s="44">
        <f>IF(T36&gt;D38,(SUM(S42:T42)/2),IF(T36=D38,T42,0))</f>
        <v>0</v>
      </c>
      <c r="U43" s="44">
        <f>IF(U36&gt;D38,(SUM(T42:U42)/2),IF(U36=D38,U42,0))</f>
        <v>0</v>
      </c>
      <c r="V43" s="44">
        <f>IF(V36&gt;D38,(SUM(U42:V42)/2),IF(V36=D38,V42,0))</f>
        <v>0</v>
      </c>
      <c r="W43" s="44">
        <f>IF(W36&gt;D38,(SUM(V42:W42)/2),IF(W36=D38,W42,0))</f>
        <v>0</v>
      </c>
      <c r="X43" s="44">
        <f>IF(X36&gt;D38,(SUM(W42:X42)/2),IF(X36=D38,X42,0))</f>
        <v>0</v>
      </c>
      <c r="Y43" s="44">
        <f>IF(Y36&gt;D38,(SUM(X42:Y42)/2),IF(Y36=D38,Y42,0))</f>
        <v>0</v>
      </c>
      <c r="Z43" s="44">
        <f>IF(Z36&gt;D38,(SUM(Y42:Z42)/2),IF(Z36=D38,Z42,0))</f>
        <v>2006179277.2147398</v>
      </c>
      <c r="AA43" s="44">
        <f>IF(AA36&gt;D38,(SUM(Z42:AA42)/2),IF(AA36=D38,AA42,0))</f>
        <v>1997749952.5205603</v>
      </c>
      <c r="AB43" s="44">
        <f>IF(AB36&gt;D38,(SUM(AA42:AB42)/2),IF(AB36=D38,AB42,0))</f>
        <v>1980891303.1322012</v>
      </c>
      <c r="AC43" s="44">
        <f>IF(AC36&gt;D38,(SUM(AB42:AC42)/2),IF(AC36=D38,AC42,0))</f>
        <v>1964032653.7438421</v>
      </c>
      <c r="AD43" s="44">
        <f>IF(AD36&gt;D38,(SUM(AC42:AD42)/2),IF(AD36=D38,AD42,0))</f>
        <v>1947174004.3554831</v>
      </c>
      <c r="AE43" s="44">
        <f>IF(AE36&gt;D38,(SUM(AD42:AE42)/2),IF(AE36=D38,AE42,0))</f>
        <v>1930315354.967124</v>
      </c>
      <c r="AF43" s="44">
        <f>IF(AF36&gt;D38,(SUM(AE42:AF42)/2),IF(AF36=D38,AF42,0))</f>
        <v>1913456705.5787649</v>
      </c>
      <c r="AG43" s="44">
        <f>IF(AG36&gt;D38,(SUM(AF42:AG42)/2),IF(AG36=D38,AG42,0))</f>
        <v>1896598056.1904058</v>
      </c>
      <c r="AH43" s="44">
        <f>IF(AH36&gt;D38,(SUM(AG42:AH42)/2),IF(AH36=D38,AH42,0))</f>
        <v>1879739406.8020468</v>
      </c>
      <c r="AI43" s="44">
        <f>IF(AI36&gt;D38,(SUM(AH42:AI42)/2),IF(AI36=D38,AI42,0))</f>
        <v>1862880757.4136877</v>
      </c>
      <c r="AJ43" s="44">
        <f>IF(AJ36&gt;D38,(SUM(AI42:AJ42)/2),IF(AJ36=D38,AJ42,0))</f>
        <v>1846022108.0253286</v>
      </c>
      <c r="AK43" s="44">
        <f>IF(AK36&gt;D38,(SUM(AJ42:AK42)/2),IF(AK36=D38,AK42,0))</f>
        <v>1829163458.6369696</v>
      </c>
      <c r="AL43" s="44">
        <f>IF(AL36&gt;D38,(SUM(AK42:AL42)/2),IF(AL36=D38,AL42,0))</f>
        <v>1812304809.2486105</v>
      </c>
      <c r="AM43" s="44">
        <f>IF(AM36&gt;D38,(SUM(AL42:AM42)/2),IF(AM36=D38,AM42,0))</f>
        <v>1795446159.8602514</v>
      </c>
      <c r="AN43" s="44">
        <f>IF(AN36&gt;D38,(SUM(AM42:AN42)/2),IF(AN36=D38,AN42,0))</f>
        <v>1778587510.4718924</v>
      </c>
      <c r="AO43" s="44">
        <f>IF(AO36&gt;D38,(SUM(AN42:AO42)/2),IF(AO36=D38,AO42,0))</f>
        <v>1761728861.0835333</v>
      </c>
      <c r="AP43" s="44">
        <f>IF(AP36&gt;D38,(SUM(AO42:AP42)/2),IF(AP36=D38,AP42,0))</f>
        <v>1744870211.6951742</v>
      </c>
      <c r="AQ43" s="44">
        <f>IF(AQ36&gt;D38,(SUM(AP42:AQ42)/2),IF(AQ36=D38,AQ42,0))</f>
        <v>1728011562.3068151</v>
      </c>
      <c r="AR43" s="44">
        <f>IF(AR36&gt;D38,(SUM(AQ42:AR42)/2),IF(AR36=D38,AR42,0))</f>
        <v>1711152912.9184561</v>
      </c>
      <c r="AS43" s="44">
        <f>IF(AS36&gt;D38,(SUM(AR42:AS42)/2),IF(AS36=D38,AS42,0))</f>
        <v>1694294263.530097</v>
      </c>
      <c r="AT43" s="44">
        <f>IF(AT36&gt;D38,(SUM(AS42:AT42)/2),IF(AT36=D38,AT42,0))</f>
        <v>1677435614.1417379</v>
      </c>
      <c r="AU43" s="44">
        <f>IF(AU36&gt;D38,(SUM(AT42:AU42)/2),IF(AU36=D38,AU42,0))</f>
        <v>1660576964.7533789</v>
      </c>
      <c r="AV43" s="44">
        <f>IF(AV36&gt;D38,(SUM(AU42:AV42)/2),IF(AV36=D38,AV42,0))</f>
        <v>1643718315.3650198</v>
      </c>
      <c r="AW43" s="44">
        <f>IF(AW36&gt;D38,(SUM(AV42:AW42)/2),IF(AW36=D38,AW42,0))</f>
        <v>1626859665.9766607</v>
      </c>
      <c r="AX43" s="44">
        <f>IF(AX36&gt;D38,(SUM(AW42:AX42)/2),IF(AX36=D38,AX42,0))</f>
        <v>1610001016.5883017</v>
      </c>
      <c r="AY43" s="44">
        <f>IF(AY36&gt;D38,(SUM(AX42:AY42)/2),IF(AY36=D38,AY42,0))</f>
        <v>1593142367.1999426</v>
      </c>
      <c r="AZ43" s="44">
        <f>IF(AZ36&gt;D38,(SUM(AY42:AZ42)/2),IF(AZ36=D38,AZ42,0))</f>
        <v>1576283717.8115835</v>
      </c>
      <c r="BA43" s="44">
        <f>IF(BA36&gt;D38,(SUM(AZ42:BA42)/2),IF(BA36=D38,BA42,0))</f>
        <v>1559425068.4232244</v>
      </c>
      <c r="BB43" s="44">
        <f>IF(BB36&gt;D38,(SUM(BA42:BB42)/2),IF(BB36=D38,BB42,0))</f>
        <v>1542566419.0348654</v>
      </c>
      <c r="BC43" s="44">
        <f>IF(BC36&gt;D38,(SUM(BB42:BC42)/2),IF(BC36=D38,BC42,0))</f>
        <v>1525707769.6465063</v>
      </c>
      <c r="BD43" s="44">
        <f>IF(BD36&gt;D38,(SUM(BC42:BD42)/2),IF(BD36=D38,BD42,0))</f>
        <v>1508849120.2581472</v>
      </c>
      <c r="BE43" s="44">
        <f>IF(BE36&gt;D38,(SUM(BD42:BE42)/2),IF(BE36=D38,BE42,0))</f>
        <v>1491990470.8697882</v>
      </c>
      <c r="BF43" s="44">
        <f>IF(BF36&gt;D38,(SUM(BE42:BF42)/2),IF(BF36=D38,BF42,0))</f>
        <v>1475131821.4814291</v>
      </c>
      <c r="BG43" s="44">
        <f>IF(BG36&gt;D38,(SUM(BF42:BG42)/2),IF(BG36=D38,BG42,0))</f>
        <v>1458273172.09307</v>
      </c>
      <c r="BH43" s="44">
        <f>IF(BH36&gt;D38,(SUM(BG42:BH42)/2),IF(BH36=D38,BH42,0))</f>
        <v>1441414522.704711</v>
      </c>
      <c r="BI43" s="44">
        <f>IF(BI36&gt;D38,(SUM(BH42:BI42)/2),IF(BI36=D38,BI42,0))</f>
        <v>1424555873.3163519</v>
      </c>
      <c r="BJ43" s="44">
        <f>IF(BJ36&gt;D38,(SUM(BI42:BJ42)/2),IF(BJ36=D38,BJ42,0))</f>
        <v>1407697223.9279928</v>
      </c>
      <c r="BK43" s="44">
        <f>IF(BK36&gt;D38,(SUM(BJ42:BK42)/2),IF(BK36=D38,BK42,0))</f>
        <v>1390838574.5396338</v>
      </c>
      <c r="BL43" s="44">
        <f>IF(BL36&gt;D38,(SUM(BK42:BL42)/2),IF(BL36=D38,BL42,0))</f>
        <v>1373979925.1512747</v>
      </c>
      <c r="BM43" s="44">
        <f>IF(BM36&gt;D38,(SUM(BL42:BM42)/2),IF(BM36=D38,BM42,0))</f>
        <v>1357121275.7629156</v>
      </c>
      <c r="BN43" s="44">
        <f>IF(BN36&gt;D38,(SUM(BM42:BN42)/2),IF(BN36=D38,BN42,0))</f>
        <v>1340262626.3745565</v>
      </c>
      <c r="BO43" s="44">
        <f>IF(BO36&gt;D38,(SUM(BN42:BO42)/2),IF(BO36=D38,BO42,0))</f>
        <v>1323403976.9861975</v>
      </c>
      <c r="BP43" s="44">
        <f>IF(BP36&gt;D38,(SUM(BO42:BP42)/2),IF(BP36=D38,BP42,0))</f>
        <v>1306545327.5978384</v>
      </c>
      <c r="BQ43" s="44">
        <f>IF(BQ36&gt;D38,(SUM(BP42:BQ42)/2),IF(BQ36=D38,BQ42,0))</f>
        <v>1289686678.2094793</v>
      </c>
      <c r="BR43" s="44">
        <f>IF(BR36&gt;D38,(SUM(BQ42:BR42)/2),IF(BR36=D38,BR42,0))</f>
        <v>1272828028.8211203</v>
      </c>
      <c r="BS43" s="44">
        <f>IF(BS36&gt;D38,(SUM(BR42:BS42)/2),IF(BS36=D38,BS42,0))</f>
        <v>1255969379.4327612</v>
      </c>
      <c r="BT43" s="44">
        <f>IF(BT36&gt;D38,(SUM(BS42:BT42)/2),IF(BT36=D38,BT42,0))</f>
        <v>1239110730.0444021</v>
      </c>
      <c r="BU43" s="44">
        <f>IF(BU36&gt;D38,(SUM(BT42:BU42)/2),IF(BU36=D38,BU42,0))</f>
        <v>1222252080.6560431</v>
      </c>
      <c r="BV43" s="44">
        <f>IF(BV36&gt;D38,(SUM(BU42:BV42)/2),IF(BV36=D38,BV42,0))</f>
        <v>1205393431.267684</v>
      </c>
      <c r="BW43" s="44">
        <f>IF(BW36&gt;D38,(SUM(BV42:BW42)/2),IF(BW36=D38,BW42,0))</f>
        <v>1188534781.8793249</v>
      </c>
      <c r="BX43" s="44">
        <f>IF(BX36&gt;D38,(SUM(BW42:BX42)/2),IF(BX36=D38,BX42,0))</f>
        <v>1171676132.4909658</v>
      </c>
      <c r="BY43" s="44">
        <f>IF(BY36&gt;D38,(SUM(BX42:BY42)/2),IF(BY36=D38,BY42,0))</f>
        <v>1154817483.1026068</v>
      </c>
      <c r="BZ43" s="44">
        <f>IF(BZ36&gt;D38,(SUM(BY42:BZ42)/2),IF(BZ36=D38,BZ42,0))</f>
        <v>1137958833.7142477</v>
      </c>
      <c r="CA43" s="44">
        <f>IF(CA36&gt;D38,(SUM(BZ42:CA42)/2),IF(CA36=D38,CA42,0))</f>
        <v>1121100184.3258886</v>
      </c>
      <c r="CB43" s="44">
        <f>IF(CB36&gt;D38,(SUM(CA42:CB42)/2),IF(CB36=D38,CB42,0))</f>
        <v>1104241534.9375296</v>
      </c>
      <c r="CC43" s="44">
        <f>IF(CC36&gt;D38,(SUM(CB42:CC42)/2),IF(CC36=D38,CC42,0))</f>
        <v>1087382885.5491705</v>
      </c>
      <c r="CD43" s="44">
        <f>IF(CD36&gt;D38,(SUM(CC42:CD42)/2),IF(CD36=D38,CD42,0))</f>
        <v>1070524236.1608114</v>
      </c>
      <c r="CE43" s="44">
        <f>IF(CE36&gt;D38,(SUM(CD42:CE42)/2),IF(CE36=D38,CE42,0))</f>
        <v>1053665586.7724521</v>
      </c>
      <c r="CF43" s="44">
        <f>IF(CF36&gt;D38,(SUM(CE42:CF42)/2),IF(CF36=D38,CF42,0))</f>
        <v>1036806937.384093</v>
      </c>
      <c r="CG43" s="44">
        <f>IF(CG36&gt;D38,(SUM(CF42:CG42)/2),IF(CG36=D38,CG42,0))</f>
        <v>1019948287.9957337</v>
      </c>
      <c r="CH43" s="44">
        <f>IF(CH36&gt;D38,(SUM(CG42:CH42)/2),IF(CH36=D38,CH42,0))</f>
        <v>1003089638.6073747</v>
      </c>
      <c r="CI43" s="44">
        <f>IF(CI36&gt;D38,(SUM(CH42:CI42)/2),IF(CI36=D38,CI42,0))</f>
        <v>986230989.21901536</v>
      </c>
      <c r="CJ43" s="44">
        <f>IF(CJ36&gt;D38,(SUM(CI42:CJ42)/2),IF(CJ36=D38,CJ42,0))</f>
        <v>969372339.83065629</v>
      </c>
      <c r="CK43" s="44">
        <f>IF(CK36&gt;D38,(SUM(CJ42:CK42)/2),IF(CK36=D38,CK42,0))</f>
        <v>952513690.44229698</v>
      </c>
      <c r="CL43" s="44">
        <f>IF(CL36&gt;D38,(SUM(CK42:CL42)/2),IF(CL36=D38,CL42,0))</f>
        <v>935655041.05393791</v>
      </c>
      <c r="CM43" s="44">
        <f>IF(CM36&gt;D38,(SUM(CL42:CM42)/2),IF(CM36=D38,CM42,0))</f>
        <v>918796391.6655786</v>
      </c>
      <c r="CN43" s="44">
        <f>IF(CN36&gt;D38,(SUM(CM42:CN42)/2),IF(CN36=D38,CN42,0))</f>
        <v>901937742.27721953</v>
      </c>
      <c r="CO43" s="44">
        <f>IF(CO36&gt;D38,(SUM(CN42:CO42)/2),IF(CO36=D38,CO42,0))</f>
        <v>885079092.88886023</v>
      </c>
      <c r="CP43" s="44">
        <f>IF(CP36&gt;D38,(SUM(CO42:CP42)/2),IF(CP36=D38,CP42,0))</f>
        <v>868220443.50050116</v>
      </c>
      <c r="CQ43" s="44">
        <f>IF(CQ36&gt;D38,(SUM(CP42:CQ42)/2),IF(CQ36=D38,CQ42,0))</f>
        <v>851361794.11214185</v>
      </c>
      <c r="CR43" s="44">
        <f>IF(CR36&gt;D38,(SUM(CQ42:CR42)/2),IF(CR36=D38,CR42,0))</f>
        <v>834503144.72378278</v>
      </c>
      <c r="CS43" s="44">
        <f>IF(CS36&gt;D38,(SUM(CR42:CS42)/2),IF(CS36=D38,CS42,0))</f>
        <v>817644495.33542347</v>
      </c>
      <c r="CT43" s="44">
        <f>IF(CT36&gt;D38,(SUM(CS42:CT42)/2),IF(CT36=D38,CT42,0))</f>
        <v>800785845.9470644</v>
      </c>
      <c r="CU43" s="44">
        <f>IF(CU36&gt;D38,(SUM(CT42:CU42)/2),IF(CU36=D38,CU42,0))</f>
        <v>783927196.55870509</v>
      </c>
      <c r="CV43" s="44">
        <f>IF(CV36&gt;D38,(SUM(CU42:CV42)/2),IF(CV36=D38,CV42,0))</f>
        <v>767068547.17034602</v>
      </c>
      <c r="CW43" s="44">
        <f>IF(CW36&gt;D38,(SUM(CV42:CW42)/2),IF(CW36=D38,CW42,0))</f>
        <v>750209897.78198671</v>
      </c>
      <c r="CX43" s="44">
        <f>IF(CX36&gt;D38,(SUM(CW42:CX42)/2),IF(CX36=D38,CX42,0))</f>
        <v>733351248.39362764</v>
      </c>
      <c r="CY43" s="44">
        <f>IF(CY36&gt;D38,(SUM(CX42:CY42)/2),IF(CY36=D38,CY42,0))</f>
        <v>716492599.00526834</v>
      </c>
      <c r="CZ43" s="44">
        <f>IF(CZ36&gt;D38,(SUM(CY42:CZ42)/2),IF(CZ36=D38,CZ42,0))</f>
        <v>699633949.61690927</v>
      </c>
      <c r="DA43" s="44">
        <f>IF(DA36&gt;D38,(SUM(CZ42:DA42)/2),IF(DA36=D38,DA42,0))</f>
        <v>682775300.22854996</v>
      </c>
      <c r="DB43" s="44">
        <f>IF(DB36&gt;D38,(SUM(DA42:DB42)/2),IF(DB36=D38,DB42,0))</f>
        <v>665916650.84019089</v>
      </c>
      <c r="DC43" s="44">
        <f>IF(DC36&gt;D38,(SUM(DB42:DC42)/2),IF(DC36=D38,DC42,0))</f>
        <v>649058001.45183158</v>
      </c>
      <c r="DD43" s="44">
        <f>IF(DD36&gt;D38,(SUM(DC42:DD42)/2),IF(DD36=D38,DD42,0))</f>
        <v>632199352.06347251</v>
      </c>
      <c r="DE43" s="44">
        <f>IF(DE36&gt;D38,(SUM(DD42:DE42)/2),IF(DE36=D38,DE42,0))</f>
        <v>615340702.6751132</v>
      </c>
      <c r="DF43" s="44">
        <f>IF(DF36&gt;D38,(SUM(DE42:DF42)/2),IF(DF36=D38,DF42,0))</f>
        <v>598482053.28675413</v>
      </c>
      <c r="DG43" s="44">
        <f>IF(DG36&gt;D38,(SUM(DF42:DG42)/2),IF(DG36=D38,DG42,0))</f>
        <v>581623403.89839482</v>
      </c>
      <c r="DH43" s="44">
        <f>IF(DH36&gt;D38,(SUM(DG42:DH42)/2),IF(DH36=D38,DH42,0))</f>
        <v>564764754.51003575</v>
      </c>
      <c r="DI43" s="44">
        <f>IF(DI36&gt;D38,(SUM(DH42:DI42)/2),IF(DI36=D38,DI42,0))</f>
        <v>547906105.12167645</v>
      </c>
      <c r="DJ43" s="44">
        <f>IF(DJ36&gt;D38,(SUM(DI42:DJ42)/2),IF(DJ36=D38,DJ42,0))</f>
        <v>531047455.73331738</v>
      </c>
      <c r="DK43" s="44">
        <f>IF(DK36&gt;D38,(SUM(DJ42:DK42)/2),IF(DK36=D38,DK42,0))</f>
        <v>514188806.34495819</v>
      </c>
      <c r="DL43" s="44">
        <f>IF(DL36&gt;D38,(SUM(DK42:DL42)/2),IF(DL36=D38,DL42,0))</f>
        <v>497330156.95659912</v>
      </c>
      <c r="DM43" s="44">
        <f>IF(DM36&gt;D38,(SUM(DL42:DM42)/2),IF(DM36=D38,DM42,0))</f>
        <v>480471507.56823993</v>
      </c>
      <c r="DN43" s="44">
        <f>IF(DN36&gt;D38,(SUM(DM42:DN42)/2),IF(DN36=D38,DN42,0))</f>
        <v>463612858.17988086</v>
      </c>
      <c r="DO43" s="44">
        <f>IF(DO36&gt;D38,(SUM(DN42:DO42)/2),IF(DO36=D38,DO42,0))</f>
        <v>446754208.79152167</v>
      </c>
      <c r="DP43" s="44">
        <f>IF(DP36&gt;D38,(SUM(DO42:DP42)/2),IF(DP36=D38,DP42,0))</f>
        <v>429895559.4031626</v>
      </c>
      <c r="DQ43" s="44">
        <f>IF(DQ36&gt;D38,(SUM(DP42:DQ42)/2),IF(DQ36=D38,DQ42,0))</f>
        <v>413036910.01480341</v>
      </c>
      <c r="DR43" s="44">
        <f>IF(DR36&gt;D38,(SUM(DQ42:DR42)/2),IF(DR36=D38,DR42,0))</f>
        <v>396178260.62644434</v>
      </c>
      <c r="DS43" s="44">
        <f>IF(DS36&gt;D38,(SUM(DR42:DS42)/2),IF(DS36=D38,DS42,0))</f>
        <v>379319611.23808515</v>
      </c>
      <c r="DT43" s="44">
        <f>IF(DT36&gt;D38,(SUM(DS42:DT42)/2),IF(DT36=D38,DT42,0))</f>
        <v>362460961.84972608</v>
      </c>
      <c r="DU43" s="44">
        <f>IF(DU36&gt;D38,(SUM(DT42:DU42)/2),IF(DU36=D38,DU42,0))</f>
        <v>345602312.46136689</v>
      </c>
      <c r="DV43" s="44">
        <f>IF(DV36&gt;D38,(SUM(DU42:DV42)/2),IF(DV36=D38,DV42,0))</f>
        <v>328743663.07300782</v>
      </c>
      <c r="DW43" s="44">
        <f>IF(DW36&gt;D38,(SUM(DV42:DW42)/2),IF(DW36=D38,DW42,0))</f>
        <v>311885013.68464863</v>
      </c>
      <c r="DX43" s="44">
        <f>IF(DX36&gt;D38,(SUM(DW42:DX42)/2),IF(DX36=D38,DX42,0))</f>
        <v>295026364.29628956</v>
      </c>
      <c r="DY43" s="44">
        <f>IF(DY36&gt;D38,(SUM(DX42:DY42)/2),IF(DY36=D38,DY42,0))</f>
        <v>278167714.90793037</v>
      </c>
      <c r="DZ43" s="44">
        <f>IF(DZ36&gt;D38,(SUM(DY42:DZ42)/2),IF(DZ36=D38,DZ42,0))</f>
        <v>261309065.51957124</v>
      </c>
      <c r="EA43" s="44">
        <f>IF(EA36&gt;D38,(SUM(DZ42:EA42)/2),IF(EA36=D38,EA42,0))</f>
        <v>244450416.13121212</v>
      </c>
      <c r="EB43" s="44">
        <f>IF(EB36&gt;D38,(SUM(EA42:EB42)/2),IF(EB36=D38,EB42,0))</f>
        <v>227591766.74285293</v>
      </c>
      <c r="EC43" s="44">
        <f>IF(EC36&gt;D38,(SUM(EB42:EC42)/2),IF(EC36=D38,EC42,0))</f>
        <v>210733117.3544938</v>
      </c>
      <c r="ED43" s="44">
        <f>IF(ED36&gt;D38,(SUM(EC42:ED42)/2),IF(ED36=D38,ED42,0))</f>
        <v>193874467.96613461</v>
      </c>
      <c r="EE43" s="44">
        <f>IF(EE36&gt;D38,(SUM(ED42:EE42)/2),IF(EE36=D38,EE42,0))</f>
        <v>177015818.57777548</v>
      </c>
      <c r="EF43" s="44">
        <f>IF(EF36&gt;D38,(SUM(EE42:EF42)/2),IF(EF36=D38,EF42,0))</f>
        <v>160157169.18941629</v>
      </c>
      <c r="EG43" s="44">
        <f>IF(EG36&gt;D38,(SUM(EF42:EG42)/2),IF(EG36=D38,EG42,0))</f>
        <v>143298519.80105716</v>
      </c>
      <c r="EH43" s="44">
        <f>IF(EH36&gt;D38,(SUM(EG42:EH42)/2),IF(EH36=D38,EH42,0))</f>
        <v>126439870.41269799</v>
      </c>
      <c r="EI43" s="44">
        <f t="shared" ref="EI43:EN43" si="45">IF(EI36&gt;E38,(SUM(EH42:EI42)/2),IF(EI36=E38,EI42,0))</f>
        <v>109581221.02433883</v>
      </c>
      <c r="EJ43" s="44">
        <f t="shared" si="45"/>
        <v>92722571.635979667</v>
      </c>
      <c r="EK43" s="44">
        <f t="shared" si="45"/>
        <v>75863922.247620508</v>
      </c>
      <c r="EL43" s="44">
        <f t="shared" si="45"/>
        <v>59005272.859261349</v>
      </c>
      <c r="EM43" s="44">
        <f t="shared" si="45"/>
        <v>42146623.47090219</v>
      </c>
      <c r="EN43" s="44">
        <f t="shared" si="45"/>
        <v>25287974.08254303</v>
      </c>
    </row>
    <row r="44" spans="2:144" outlineLevel="1">
      <c r="C44" s="43" t="s">
        <v>176</v>
      </c>
      <c r="D44" s="44"/>
      <c r="E44" s="773">
        <f>E33</f>
        <v>10</v>
      </c>
      <c r="F44" s="44"/>
      <c r="G44" s="44"/>
      <c r="H44" s="120">
        <f>IF(H35&lt;$E38,0,IF(AND(H35&gt;=$E38,H35&lt;=($E38+$E44-1)),Вводные!$D$30,Вводные!$E$30))</f>
        <v>0</v>
      </c>
      <c r="I44" s="120">
        <f>IF(I35&lt;$E38,0,IF(AND(I35&gt;=$E38,I35&lt;=($E38+$E44-1)),Вводные!$D$30,Вводные!$E$30))</f>
        <v>0</v>
      </c>
      <c r="J44" s="120">
        <f>IF(J35&lt;$E38,0,IF(AND(J35&gt;=$E38,J35&lt;=($E38+$E44-1)),Вводные!$D$30,Вводные!$E$30))</f>
        <v>0</v>
      </c>
      <c r="K44" s="120">
        <f>IF(K35&lt;$E38,0,IF(AND(K35&gt;=$E38,K35&lt;=($E38+$E44-1)),Вводные!$D$30,Вводные!$E$30))</f>
        <v>0</v>
      </c>
      <c r="L44" s="120">
        <f>IF(L35&lt;$E38,0,IF(AND(L35&gt;=$E38,L35&lt;=($E38+$E44-1)),Вводные!$D$30,Вводные!$E$30))</f>
        <v>0</v>
      </c>
      <c r="M44" s="120">
        <f>IF(M35&lt;$E38,0,IF(AND(M35&gt;=$E38,M35&lt;=($E38+$E44-1)),Вводные!$D$30,Вводные!$E$30))</f>
        <v>0</v>
      </c>
      <c r="N44" s="120">
        <f>IF(N35&lt;$E38,0,IF(AND(N35&gt;=$E38,N35&lt;=($E38+$E44-1)),Вводные!$D$30,Вводные!$E$30))</f>
        <v>0</v>
      </c>
      <c r="O44" s="120">
        <f>IF(O35&lt;$E38,0,IF(AND(O35&gt;=$E38,O35&lt;=($E38+$E44-1)),Вводные!$D$30,Вводные!$E$30))</f>
        <v>0</v>
      </c>
      <c r="P44" s="120">
        <f>IF(P35&lt;$E38,0,IF(AND(P35&gt;=$E38,P35&lt;=($E38+$E44-1)),Вводные!$D$30,Вводные!$E$30))</f>
        <v>0</v>
      </c>
      <c r="Q44" s="120">
        <f>IF(Q35&lt;$E38,0,IF(AND(Q35&gt;=$E38,Q35&lt;=($E38+$E44-1)),Вводные!$D$30,Вводные!$E$30))</f>
        <v>0</v>
      </c>
      <c r="R44" s="120">
        <f>IF(R35&lt;$E38,0,IF(AND(R35&gt;=$E38,R35&lt;=($E38+$E44-1)),Вводные!$D$30,Вводные!$E$30))</f>
        <v>0</v>
      </c>
      <c r="S44" s="120">
        <f>IF(S35&lt;$E38,0,IF(AND(S35&gt;=$E38,S35&lt;=($E38+$E44-1)),Вводные!$D$30,Вводные!$E$30))</f>
        <v>0</v>
      </c>
      <c r="T44" s="120">
        <f>IF(T35&lt;$E38,0,IF(AND(T35&gt;=$E38,T35&lt;=($E38+$E44-1)),Вводные!$D$30,Вводные!$E$30))</f>
        <v>0</v>
      </c>
      <c r="U44" s="120">
        <f>IF(U35&lt;$E38,0,IF(AND(U35&gt;=$E38,U35&lt;=($E38+$E44-1)),Вводные!$D$30,Вводные!$E$30))</f>
        <v>0</v>
      </c>
      <c r="V44" s="120">
        <f>IF(V35&lt;$E38,0,IF(AND(V35&gt;=$E38,V35&lt;=($E38+$E44-1)),Вводные!$D$30,Вводные!$E$30))</f>
        <v>0</v>
      </c>
      <c r="W44" s="120">
        <f>IF(W35&lt;$E38,0,IF(AND(W35&gt;=$E38,W35&lt;=($E38+$E44-1)),Вводные!$D$30,Вводные!$E$30))</f>
        <v>0</v>
      </c>
      <c r="X44" s="120">
        <f>IF(X35&lt;$E38,0,IF(AND(X35&gt;=$E38,X35&lt;=($E38+$E44-1)),Вводные!$D$30,Вводные!$E$30))</f>
        <v>0</v>
      </c>
      <c r="Y44" s="120">
        <f>IF(Y35&lt;$E38,0,IF(AND(Y35&gt;=$E38,Y35&lt;=($E38+$E44-1)),Вводные!$D$30,Вводные!$E$30))</f>
        <v>0</v>
      </c>
      <c r="Z44" s="120">
        <f>IF(Z35&lt;$E38,0,IF(AND(Z35&gt;=$E38,Z35&lt;=($E38+$E44-1)),Вводные!$D$30,Вводные!$E$30))</f>
        <v>0</v>
      </c>
      <c r="AA44" s="120">
        <f>IF(AA35&lt;$E38,0,IF(AND(AA35&gt;=$E38,AA35&lt;=($E38+$E44-1)),Вводные!$D$30,Вводные!$E$30))</f>
        <v>0</v>
      </c>
      <c r="AB44" s="120">
        <f>IF(AB35&lt;$E38,0,IF(AND(AB35&gt;=$E38,AB35&lt;=($E38+$E44-1)),Вводные!$D$30,Вводные!$E$30))</f>
        <v>0</v>
      </c>
      <c r="AC44" s="120">
        <f>IF(AC35&lt;$E38,0,IF(AND(AC35&gt;=$E38,AC35&lt;=($E38+$E44-1)),Вводные!$D$30,Вводные!$E$30))</f>
        <v>0</v>
      </c>
      <c r="AD44" s="120">
        <f>IF(AD35&lt;$E38,0,IF(AND(AD35&gt;=$E38,AD35&lt;=($E38+$E44-1)),Вводные!$D$30,Вводные!$E$30))</f>
        <v>0</v>
      </c>
      <c r="AE44" s="120">
        <f>IF(AE35&lt;$E38,0,IF(AND(AE35&gt;=$E38,AE35&lt;=($E38+$E44-1)),Вводные!$D$30,Вводные!$E$30))</f>
        <v>0</v>
      </c>
      <c r="AF44" s="120">
        <f>IF(AF35&lt;$E38,0,IF(AND(AF35&gt;=$E38,AF35&lt;=($E38+$E44-1)),Вводные!$D$30,Вводные!$E$30))</f>
        <v>0</v>
      </c>
      <c r="AG44" s="120">
        <f>IF(AG35&lt;$E38,0,IF(AND(AG35&gt;=$E38,AG35&lt;=($E38+$E44-1)),Вводные!$D$30,Вводные!$E$30))</f>
        <v>0</v>
      </c>
      <c r="AH44" s="120">
        <f>IF(AH35&lt;$E38,0,IF(AND(AH35&gt;=$E38,AH35&lt;=($E38+$E44-1)),Вводные!$D$30,Вводные!$E$30))</f>
        <v>0</v>
      </c>
      <c r="AI44" s="120">
        <f>IF(AI35&lt;$E38,0,IF(AND(AI35&gt;=$E38,AI35&lt;=($E38+$E44-1)),Вводные!$D$30,Вводные!$E$30))</f>
        <v>0</v>
      </c>
      <c r="AJ44" s="120">
        <f>IF(AJ35&lt;$E38,0,IF(AND(AJ35&gt;=$E38,AJ35&lt;=($E38+$E44-1)),Вводные!$D$30,Вводные!$E$30))</f>
        <v>0</v>
      </c>
      <c r="AK44" s="120">
        <f>IF(AK35&lt;$E38,0,IF(AND(AK35&gt;=$E38,AK35&lt;=($E38+$E44-1)),Вводные!$D$30,Вводные!$E$30))</f>
        <v>0</v>
      </c>
      <c r="AL44" s="120">
        <f>IF(AL35&lt;$E38,0,IF(AND(AL35&gt;=$E38,AL35&lt;=($E38+$E44-1)),Вводные!$D$30,Вводные!$E$30))</f>
        <v>0</v>
      </c>
      <c r="AM44" s="120">
        <f>IF(AM35&lt;$E38,0,IF(AND(AM35&gt;=$E38,AM35&lt;=($E38+$E44-1)),Вводные!$D$30,Вводные!$E$30))</f>
        <v>0</v>
      </c>
      <c r="AN44" s="120">
        <f>IF(AN35&lt;$E38,0,IF(AND(AN35&gt;=$E38,AN35&lt;=($E38+$E44-1)),Вводные!$D$30,Вводные!$E$30))</f>
        <v>0</v>
      </c>
      <c r="AO44" s="120">
        <f>IF(AO35&lt;$E38,0,IF(AND(AO35&gt;=$E38,AO35&lt;=($E38+$E44-1)),Вводные!$D$30,Вводные!$E$30))</f>
        <v>0</v>
      </c>
      <c r="AP44" s="120">
        <f>IF(AP35&lt;$E38,0,IF(AND(AP35&gt;=$E38,AP35&lt;=($E38+$E44-1)),Вводные!$D$30,Вводные!$E$30))</f>
        <v>0</v>
      </c>
      <c r="AQ44" s="120">
        <f>IF(AQ35&lt;$E38,0,IF(AND(AQ35&gt;=$E38,AQ35&lt;=($E38+$E44-1)),Вводные!$D$30,Вводные!$E$30))</f>
        <v>0</v>
      </c>
      <c r="AR44" s="120">
        <f>IF(AR35&lt;$E38,0,IF(AND(AR35&gt;=$E38,AR35&lt;=($E38+$E44-1)),Вводные!$D$30,Вводные!$E$30))</f>
        <v>0</v>
      </c>
      <c r="AS44" s="120">
        <f>IF(AS35&lt;$E38,0,IF(AND(AS35&gt;=$E38,AS35&lt;=($E38+$E44-1)),Вводные!$D$30,Вводные!$E$30))</f>
        <v>0</v>
      </c>
      <c r="AT44" s="120">
        <f>IF(AT35&lt;$E38,0,IF(AND(AT35&gt;=$E38,AT35&lt;=($E38+$E44-1)),Вводные!$D$30,Вводные!$E$30))</f>
        <v>0</v>
      </c>
      <c r="AU44" s="120">
        <f>IF(AU35&lt;$E38,0,IF(AND(AU35&gt;=$E38,AU35&lt;=($E38+$E44-1)),Вводные!$D$30,Вводные!$E$30))</f>
        <v>0</v>
      </c>
      <c r="AV44" s="120">
        <f>IF(AV35&lt;$E38,0,IF(AND(AV35&gt;=$E38,AV35&lt;=($E38+$E44-1)),Вводные!$D$30,Вводные!$E$30))</f>
        <v>0</v>
      </c>
      <c r="AW44" s="120">
        <f>IF(AW35&lt;$E38,0,IF(AND(AW35&gt;=$E38,AW35&lt;=($E38+$E44-1)),Вводные!$D$30,Вводные!$E$30))</f>
        <v>0</v>
      </c>
      <c r="AX44" s="120">
        <f>IF(AX35&lt;$E38,0,IF(AND(AX35&gt;=$E38,AX35&lt;=($E38+$E44-1)),Вводные!$D$30,Вводные!$E$30))</f>
        <v>0</v>
      </c>
      <c r="AY44" s="120">
        <f>IF(AY35&lt;$E38,0,IF(AND(AY35&gt;=$E38,AY35&lt;=($E38+$E44-1)),Вводные!$D$30,Вводные!$E$30))</f>
        <v>0</v>
      </c>
      <c r="AZ44" s="120">
        <f>IF(AZ35&lt;$E38,0,IF(AND(AZ35&gt;=$E38,AZ35&lt;=($E38+$E44-1)),Вводные!$D$30,Вводные!$E$30))</f>
        <v>0</v>
      </c>
      <c r="BA44" s="120">
        <f>IF(BA35&lt;$E38,0,IF(AND(BA35&gt;=$E38,BA35&lt;=($E38+$E44-1)),Вводные!$D$30,Вводные!$E$30))</f>
        <v>0</v>
      </c>
      <c r="BB44" s="120">
        <f>IF(BB35&lt;$E38,0,IF(AND(BB35&gt;=$E38,BB35&lt;=($E38+$E44-1)),Вводные!$D$30,Вводные!$E$30))</f>
        <v>0</v>
      </c>
      <c r="BC44" s="120">
        <f>IF(BC35&lt;$E38,0,IF(AND(BC35&gt;=$E38,BC35&lt;=($E38+$E44-1)),Вводные!$D$30,Вводные!$E$30))</f>
        <v>0</v>
      </c>
      <c r="BD44" s="120">
        <f>IF(BD35&lt;$E38,0,IF(AND(BD35&gt;=$E38,BD35&lt;=($E38+$E44-1)),Вводные!$D$30,Вводные!$E$30))</f>
        <v>0</v>
      </c>
      <c r="BE44" s="120">
        <f>IF(BE35&lt;$E38,0,IF(AND(BE35&gt;=$E38,BE35&lt;=($E38+$E44-1)),Вводные!$D$30,Вводные!$E$30))</f>
        <v>0</v>
      </c>
      <c r="BF44" s="120">
        <f>IF(BF35&lt;$E38,0,IF(AND(BF35&gt;=$E38,BF35&lt;=($E38+$E44-1)),Вводные!$D$30,Вводные!$E$30))</f>
        <v>0</v>
      </c>
      <c r="BG44" s="120">
        <f>IF(BG35&lt;$E38,0,IF(AND(BG35&gt;=$E38,BG35&lt;=($E38+$E44-1)),Вводные!$D$30,Вводные!$E$30))</f>
        <v>0</v>
      </c>
      <c r="BH44" s="120">
        <f>IF(BH35&lt;$E38,0,IF(AND(BH35&gt;=$E38,BH35&lt;=($E38+$E44-1)),Вводные!$D$30,Вводные!$E$30))</f>
        <v>0</v>
      </c>
      <c r="BI44" s="120">
        <f>IF(BI35&lt;$E38,0,IF(AND(BI35&gt;=$E38,BI35&lt;=($E38+$E44-1)),Вводные!$D$30,Вводные!$E$30))</f>
        <v>0</v>
      </c>
      <c r="BJ44" s="120">
        <f>IF(BJ35&lt;$E38,0,IF(AND(BJ35&gt;=$E38,BJ35&lt;=($E38+$E44-1)),Вводные!$D$30,Вводные!$E$30))</f>
        <v>0</v>
      </c>
      <c r="BK44" s="120">
        <f>IF(BK35&lt;$E38,0,IF(AND(BK35&gt;=$E38,BK35&lt;=($E38+$E44-1)),Вводные!$D$30,Вводные!$E$30))</f>
        <v>0</v>
      </c>
      <c r="BL44" s="120">
        <f>IF(BL35&lt;$E38,0,IF(AND(BL35&gt;=$E38,BL35&lt;=($E38+$E44-1)),Вводные!$D$30,Вводные!$E$30))</f>
        <v>2.1999999999999999E-2</v>
      </c>
      <c r="BM44" s="120">
        <f>IF(BM35&lt;$E38,0,IF(AND(BM35&gt;=$E38,BM35&lt;=($E38+$E44-1)),Вводные!$D$30,Вводные!$E$30))</f>
        <v>2.1999999999999999E-2</v>
      </c>
      <c r="BN44" s="120">
        <f>IF(BN35&lt;$E38,0,IF(AND(BN35&gt;=$E38,BN35&lt;=($E38+$E44-1)),Вводные!$D$30,Вводные!$E$30))</f>
        <v>2.1999999999999999E-2</v>
      </c>
      <c r="BO44" s="120">
        <f>IF(BO35&lt;$E38,0,IF(AND(BO35&gt;=$E38,BO35&lt;=($E38+$E44-1)),Вводные!$D$30,Вводные!$E$30))</f>
        <v>2.1999999999999999E-2</v>
      </c>
      <c r="BP44" s="120">
        <f>IF(BP35&lt;$E38,0,IF(AND(BP35&gt;=$E38,BP35&lt;=($E38+$E44-1)),Вводные!$D$30,Вводные!$E$30))</f>
        <v>2.1999999999999999E-2</v>
      </c>
      <c r="BQ44" s="120">
        <f>IF(BQ35&lt;$E38,0,IF(AND(BQ35&gt;=$E38,BQ35&lt;=($E38+$E44-1)),Вводные!$D$30,Вводные!$E$30))</f>
        <v>2.1999999999999999E-2</v>
      </c>
      <c r="BR44" s="120">
        <f>IF(BR35&lt;$E38,0,IF(AND(BR35&gt;=$E38,BR35&lt;=($E38+$E44-1)),Вводные!$D$30,Вводные!$E$30))</f>
        <v>2.1999999999999999E-2</v>
      </c>
      <c r="BS44" s="120">
        <f>IF(BS35&lt;$E38,0,IF(AND(BS35&gt;=$E38,BS35&lt;=($E38+$E44-1)),Вводные!$D$30,Вводные!$E$30))</f>
        <v>2.1999999999999999E-2</v>
      </c>
      <c r="BT44" s="120">
        <f>IF(BT35&lt;$E38,0,IF(AND(BT35&gt;=$E38,BT35&lt;=($E38+$E44-1)),Вводные!$D$30,Вводные!$E$30))</f>
        <v>2.1999999999999999E-2</v>
      </c>
      <c r="BU44" s="120">
        <f>IF(BU35&lt;$E38,0,IF(AND(BU35&gt;=$E38,BU35&lt;=($E38+$E44-1)),Вводные!$D$30,Вводные!$E$30))</f>
        <v>2.1999999999999999E-2</v>
      </c>
      <c r="BV44" s="120">
        <f>IF(BV35&lt;$E38,0,IF(AND(BV35&gt;=$E38,BV35&lt;=($E38+$E44-1)),Вводные!$D$30,Вводные!$E$30))</f>
        <v>2.1999999999999999E-2</v>
      </c>
      <c r="BW44" s="120">
        <f>IF(BW35&lt;$E38,0,IF(AND(BW35&gt;=$E38,BW35&lt;=($E38+$E44-1)),Вводные!$D$30,Вводные!$E$30))</f>
        <v>2.1999999999999999E-2</v>
      </c>
      <c r="BX44" s="120">
        <f>IF(BX35&lt;$E38,0,IF(AND(BX35&gt;=$E38,BX35&lt;=($E38+$E44-1)),Вводные!$D$30,Вводные!$E$30))</f>
        <v>2.1999999999999999E-2</v>
      </c>
      <c r="BY44" s="120">
        <f>IF(BY35&lt;$E38,0,IF(AND(BY35&gt;=$E38,BY35&lt;=($E38+$E44-1)),Вводные!$D$30,Вводные!$E$30))</f>
        <v>2.1999999999999999E-2</v>
      </c>
      <c r="BZ44" s="120">
        <f>IF(BZ35&lt;$E38,0,IF(AND(BZ35&gt;=$E38,BZ35&lt;=($E38+$E44-1)),Вводные!$D$30,Вводные!$E$30))</f>
        <v>2.1999999999999999E-2</v>
      </c>
      <c r="CA44" s="120">
        <f>IF(CA35&lt;$E38,0,IF(AND(CA35&gt;=$E38,CA35&lt;=($E38+$E44-1)),Вводные!$D$30,Вводные!$E$30))</f>
        <v>2.1999999999999999E-2</v>
      </c>
      <c r="CB44" s="120">
        <f>IF(CB35&lt;$E38,0,IF(AND(CB35&gt;=$E38,CB35&lt;=($E38+$E44-1)),Вводные!$D$30,Вводные!$E$30))</f>
        <v>2.1999999999999999E-2</v>
      </c>
      <c r="CC44" s="120">
        <f>IF(CC35&lt;$E38,0,IF(AND(CC35&gt;=$E38,CC35&lt;=($E38+$E44-1)),Вводные!$D$30,Вводные!$E$30))</f>
        <v>2.1999999999999999E-2</v>
      </c>
      <c r="CD44" s="120">
        <f>IF(CD35&lt;$E38,0,IF(AND(CD35&gt;=$E38,CD35&lt;=($E38+$E44-1)),Вводные!$D$30,Вводные!$E$30))</f>
        <v>2.1999999999999999E-2</v>
      </c>
      <c r="CE44" s="120">
        <f>IF(CE35&lt;$E38,0,IF(AND(CE35&gt;=$E38,CE35&lt;=($E38+$E44-1)),Вводные!$D$30,Вводные!$E$30))</f>
        <v>2.1999999999999999E-2</v>
      </c>
      <c r="CF44" s="120">
        <f>IF(CF35&lt;$E38,0,IF(AND(CF35&gt;=$E38,CF35&lt;=($E38+$E44-1)),Вводные!$D$30,Вводные!$E$30))</f>
        <v>2.1999999999999999E-2</v>
      </c>
      <c r="CG44" s="120">
        <f>IF(CG35&lt;$E38,0,IF(AND(CG35&gt;=$E38,CG35&lt;=($E38+$E44-1)),Вводные!$D$30,Вводные!$E$30))</f>
        <v>2.1999999999999999E-2</v>
      </c>
      <c r="CH44" s="120">
        <f>IF(CH35&lt;$E38,0,IF(AND(CH35&gt;=$E38,CH35&lt;=($E38+$E44-1)),Вводные!$D$30,Вводные!$E$30))</f>
        <v>2.1999999999999999E-2</v>
      </c>
      <c r="CI44" s="120">
        <f>IF(CI35&lt;$E38,0,IF(AND(CI35&gt;=$E38,CI35&lt;=($E38+$E44-1)),Вводные!$D$30,Вводные!$E$30))</f>
        <v>2.1999999999999999E-2</v>
      </c>
      <c r="CJ44" s="120">
        <f>IF(CJ35&lt;$E38,0,IF(AND(CJ35&gt;=$E38,CJ35&lt;=($E38+$E44-1)),Вводные!$D$30,Вводные!$E$30))</f>
        <v>2.1999999999999999E-2</v>
      </c>
      <c r="CK44" s="120">
        <f>IF(CK35&lt;$E38,0,IF(AND(CK35&gt;=$E38,CK35&lt;=($E38+$E44-1)),Вводные!$D$30,Вводные!$E$30))</f>
        <v>2.1999999999999999E-2</v>
      </c>
      <c r="CL44" s="120">
        <f>IF(CL35&lt;$E38,0,IF(AND(CL35&gt;=$E38,CL35&lt;=($E38+$E44-1)),Вводные!$D$30,Вводные!$E$30))</f>
        <v>2.1999999999999999E-2</v>
      </c>
      <c r="CM44" s="120">
        <f>IF(CM35&lt;$E38,0,IF(AND(CM35&gt;=$E38,CM35&lt;=($E38+$E44-1)),Вводные!$D$30,Вводные!$E$30))</f>
        <v>2.1999999999999999E-2</v>
      </c>
      <c r="CN44" s="120">
        <f>IF(CN35&lt;$E38,0,IF(AND(CN35&gt;=$E38,CN35&lt;=($E38+$E44-1)),Вводные!$D$30,Вводные!$E$30))</f>
        <v>2.1999999999999999E-2</v>
      </c>
      <c r="CO44" s="120">
        <f>IF(CO35&lt;$E38,0,IF(AND(CO35&gt;=$E38,CO35&lt;=($E38+$E44-1)),Вводные!$D$30,Вводные!$E$30))</f>
        <v>2.1999999999999999E-2</v>
      </c>
      <c r="CP44" s="120">
        <f>IF(CP35&lt;$E38,0,IF(AND(CP35&gt;=$E38,CP35&lt;=($E38+$E44-1)),Вводные!$D$30,Вводные!$E$30))</f>
        <v>2.1999999999999999E-2</v>
      </c>
      <c r="CQ44" s="120">
        <f>IF(CQ35&lt;$E38,0,IF(AND(CQ35&gt;=$E38,CQ35&lt;=($E38+$E44-1)),Вводные!$D$30,Вводные!$E$30))</f>
        <v>2.1999999999999999E-2</v>
      </c>
      <c r="CR44" s="120">
        <f>IF(CR35&lt;$E38,0,IF(AND(CR35&gt;=$E38,CR35&lt;=($E38+$E44-1)),Вводные!$D$30,Вводные!$E$30))</f>
        <v>2.1999999999999999E-2</v>
      </c>
      <c r="CS44" s="120">
        <f>IF(CS35&lt;$E38,0,IF(AND(CS35&gt;=$E38,CS35&lt;=($E38+$E44-1)),Вводные!$D$30,Вводные!$E$30))</f>
        <v>2.1999999999999999E-2</v>
      </c>
      <c r="CT44" s="120">
        <f>IF(CT35&lt;$E38,0,IF(AND(CT35&gt;=$E38,CT35&lt;=($E38+$E44-1)),Вводные!$D$30,Вводные!$E$30))</f>
        <v>2.1999999999999999E-2</v>
      </c>
      <c r="CU44" s="120">
        <f>IF(CU35&lt;$E38,0,IF(AND(CU35&gt;=$E38,CU35&lt;=($E38+$E44-1)),Вводные!$D$30,Вводные!$E$30))</f>
        <v>2.1999999999999999E-2</v>
      </c>
      <c r="CV44" s="120">
        <f>IF(CV35&lt;$E38,0,IF(AND(CV35&gt;=$E38,CV35&lt;=($E38+$E44-1)),Вводные!$D$30,Вводные!$E$30))</f>
        <v>2.1999999999999999E-2</v>
      </c>
      <c r="CW44" s="120">
        <f>IF(CW35&lt;$E38,0,IF(AND(CW35&gt;=$E38,CW35&lt;=($E38+$E44-1)),Вводные!$D$30,Вводные!$E$30))</f>
        <v>2.1999999999999999E-2</v>
      </c>
      <c r="CX44" s="120">
        <f>IF(CX35&lt;$E38,0,IF(AND(CX35&gt;=$E38,CX35&lt;=($E38+$E44-1)),Вводные!$D$30,Вводные!$E$30))</f>
        <v>2.1999999999999999E-2</v>
      </c>
      <c r="CY44" s="120">
        <f>IF(CY35&lt;$E38,0,IF(AND(CY35&gt;=$E38,CY35&lt;=($E38+$E44-1)),Вводные!$D$30,Вводные!$E$30))</f>
        <v>2.1999999999999999E-2</v>
      </c>
      <c r="CZ44" s="120">
        <f>IF(CZ35&lt;$E38,0,IF(AND(CZ35&gt;=$E38,CZ35&lt;=($E38+$E44-1)),Вводные!$D$30,Вводные!$E$30))</f>
        <v>2.1999999999999999E-2</v>
      </c>
      <c r="DA44" s="120">
        <f>IF(DA35&lt;$E38,0,IF(AND(DA35&gt;=$E38,DA35&lt;=($E38+$E44-1)),Вводные!$D$30,Вводные!$E$30))</f>
        <v>2.1999999999999999E-2</v>
      </c>
      <c r="DB44" s="120">
        <f>IF(DB35&lt;$E38,0,IF(AND(DB35&gt;=$E38,DB35&lt;=($E38+$E44-1)),Вводные!$D$30,Вводные!$E$30))</f>
        <v>2.1999999999999999E-2</v>
      </c>
      <c r="DC44" s="120">
        <f>IF(DC35&lt;$E38,0,IF(AND(DC35&gt;=$E38,DC35&lt;=($E38+$E44-1)),Вводные!$D$30,Вводные!$E$30))</f>
        <v>2.1999999999999999E-2</v>
      </c>
      <c r="DD44" s="120">
        <f>IF(DD35&lt;$E38,0,IF(AND(DD35&gt;=$E38,DD35&lt;=($E38+$E44-1)),Вводные!$D$30,Вводные!$E$30))</f>
        <v>2.1999999999999999E-2</v>
      </c>
      <c r="DE44" s="120">
        <f>IF(DE35&lt;$E38,0,IF(AND(DE35&gt;=$E38,DE35&lt;=($E38+$E44-1)),Вводные!$D$30,Вводные!$E$30))</f>
        <v>2.1999999999999999E-2</v>
      </c>
      <c r="DF44" s="120">
        <f>IF(DF35&lt;$E38,0,IF(AND(DF35&gt;=$E38,DF35&lt;=($E38+$E44-1)),Вводные!$D$30,Вводные!$E$30))</f>
        <v>2.1999999999999999E-2</v>
      </c>
      <c r="DG44" s="120">
        <f>IF(DG35&lt;$E38,0,IF(AND(DG35&gt;=$E38,DG35&lt;=($E38+$E44-1)),Вводные!$D$30,Вводные!$E$30))</f>
        <v>2.1999999999999999E-2</v>
      </c>
      <c r="DH44" s="120">
        <f>IF(DH35&lt;$E38,0,IF(AND(DH35&gt;=$E38,DH35&lt;=($E38+$E44-1)),Вводные!$D$30,Вводные!$E$30))</f>
        <v>2.1999999999999999E-2</v>
      </c>
      <c r="DI44" s="120">
        <f>IF(DI35&lt;$E38,0,IF(AND(DI35&gt;=$E38,DI35&lt;=($E38+$E44-1)),Вводные!$D$30,Вводные!$E$30))</f>
        <v>2.1999999999999999E-2</v>
      </c>
      <c r="DJ44" s="120">
        <f>IF(DJ35&lt;$E38,0,IF(AND(DJ35&gt;=$E38,DJ35&lt;=($E38+$E44-1)),Вводные!$D$30,Вводные!$E$30))</f>
        <v>2.1999999999999999E-2</v>
      </c>
      <c r="DK44" s="120">
        <f>IF(DK35&lt;$E38,0,IF(AND(DK35&gt;=$E38,DK35&lt;=($E38+$E44-1)),Вводные!$D$30,Вводные!$E$30))</f>
        <v>2.1999999999999999E-2</v>
      </c>
      <c r="DL44" s="120">
        <f>IF(DL35&lt;$E38,0,IF(AND(DL35&gt;=$E38,DL35&lt;=($E38+$E44-1)),Вводные!$D$30,Вводные!$E$30))</f>
        <v>2.1999999999999999E-2</v>
      </c>
      <c r="DM44" s="120">
        <f>IF(DM35&lt;$E38,0,IF(AND(DM35&gt;=$E38,DM35&lt;=($E38+$E44-1)),Вводные!$D$30,Вводные!$E$30))</f>
        <v>2.1999999999999999E-2</v>
      </c>
      <c r="DN44" s="120">
        <f>IF(DN35&lt;$E38,0,IF(AND(DN35&gt;=$E38,DN35&lt;=($E38+$E44-1)),Вводные!$D$30,Вводные!$E$30))</f>
        <v>2.1999999999999999E-2</v>
      </c>
      <c r="DO44" s="120">
        <f>IF(DO35&lt;$E38,0,IF(AND(DO35&gt;=$E38,DO35&lt;=($E38+$E44-1)),Вводные!$D$30,Вводные!$E$30))</f>
        <v>2.1999999999999999E-2</v>
      </c>
      <c r="DP44" s="120">
        <f>IF(DP35&lt;$E38,0,IF(AND(DP35&gt;=$E38,DP35&lt;=($E38+$E44-1)),Вводные!$D$30,Вводные!$E$30))</f>
        <v>2.1999999999999999E-2</v>
      </c>
      <c r="DQ44" s="120">
        <f>IF(DQ35&lt;$E38,0,IF(AND(DQ35&gt;=$E38,DQ35&lt;=($E38+$E44-1)),Вводные!$D$30,Вводные!$E$30))</f>
        <v>2.1999999999999999E-2</v>
      </c>
      <c r="DR44" s="120">
        <f>IF(DR35&lt;$E38,0,IF(AND(DR35&gt;=$E38,DR35&lt;=($E38+$E44-1)),Вводные!$D$30,Вводные!$E$30))</f>
        <v>2.1999999999999999E-2</v>
      </c>
      <c r="DS44" s="120">
        <f>IF(DS35&lt;$E38,0,IF(AND(DS35&gt;=$E38,DS35&lt;=($E38+$E44-1)),Вводные!$D$30,Вводные!$E$30))</f>
        <v>2.1999999999999999E-2</v>
      </c>
      <c r="DT44" s="120">
        <f>IF(DT35&lt;$E38,0,IF(AND(DT35&gt;=$E38,DT35&lt;=($E38+$E44-1)),Вводные!$D$30,Вводные!$E$30))</f>
        <v>2.1999999999999999E-2</v>
      </c>
      <c r="DU44" s="120">
        <f>IF(DU35&lt;$E38,0,IF(AND(DU35&gt;=$E38,DU35&lt;=($E38+$E44-1)),Вводные!$D$30,Вводные!$E$30))</f>
        <v>2.1999999999999999E-2</v>
      </c>
      <c r="DV44" s="120">
        <f>IF(DV35&lt;$E38,0,IF(AND(DV35&gt;=$E38,DV35&lt;=($E38+$E44-1)),Вводные!$D$30,Вводные!$E$30))</f>
        <v>2.1999999999999999E-2</v>
      </c>
      <c r="DW44" s="120">
        <f>IF(DW35&lt;$E38,0,IF(AND(DW35&gt;=$E38,DW35&lt;=($E38+$E44-1)),Вводные!$D$30,Вводные!$E$30))</f>
        <v>2.1999999999999999E-2</v>
      </c>
      <c r="DX44" s="120">
        <f>IF(DX35&lt;$E38,0,IF(AND(DX35&gt;=$E38,DX35&lt;=($E38+$E44-1)),Вводные!$D$30,Вводные!$E$30))</f>
        <v>2.1999999999999999E-2</v>
      </c>
      <c r="DY44" s="120">
        <f>IF(DY35&lt;$E38,0,IF(AND(DY35&gt;=$E38,DY35&lt;=($E38+$E44-1)),Вводные!$D$30,Вводные!$E$30))</f>
        <v>2.1999999999999999E-2</v>
      </c>
      <c r="DZ44" s="120">
        <f>IF(DZ35&lt;$E38,0,IF(AND(DZ35&gt;=$E38,DZ35&lt;=($E38+$E44-1)),Вводные!$D$30,Вводные!$E$30))</f>
        <v>2.1999999999999999E-2</v>
      </c>
      <c r="EA44" s="120">
        <f>IF(EA35&lt;$E38,0,IF(AND(EA35&gt;=$E38,EA35&lt;=($E38+$E44-1)),Вводные!$D$30,Вводные!$E$30))</f>
        <v>2.1999999999999999E-2</v>
      </c>
      <c r="EB44" s="120">
        <f>IF(EB35&lt;$E38,0,IF(AND(EB35&gt;=$E38,EB35&lt;=($E38+$E44-1)),Вводные!$D$30,Вводные!$E$30))</f>
        <v>2.1999999999999999E-2</v>
      </c>
      <c r="EC44" s="120">
        <f>IF(EC35&lt;$E38,0,IF(AND(EC35&gt;=$E38,EC35&lt;=($E38+$E44-1)),Вводные!$D$30,Вводные!$E$30))</f>
        <v>2.1999999999999999E-2</v>
      </c>
      <c r="ED44" s="120">
        <f>IF(ED35&lt;$E38,0,IF(AND(ED35&gt;=$E38,ED35&lt;=($E38+$E44-1)),Вводные!$D$30,Вводные!$E$30))</f>
        <v>2.1999999999999999E-2</v>
      </c>
      <c r="EE44" s="120">
        <f>IF(EE35&lt;$E38,0,IF(AND(EE35&gt;=$E38,EE35&lt;=($E38+$E44-1)),Вводные!$D$30,Вводные!$E$30))</f>
        <v>2.1999999999999999E-2</v>
      </c>
      <c r="EF44" s="120">
        <f>IF(EF35&lt;$E38,0,IF(AND(EF35&gt;=$E38,EF35&lt;=($E38+$E44-1)),Вводные!$D$30,Вводные!$E$30))</f>
        <v>2.1999999999999999E-2</v>
      </c>
      <c r="EG44" s="120">
        <f>IF(EG35&lt;$E38,0,IF(AND(EG35&gt;=$E38,EG35&lt;=($E38+$E44-1)),Вводные!$D$30,Вводные!$E$30))</f>
        <v>2.1999999999999999E-2</v>
      </c>
      <c r="EH44" s="120">
        <f>IF(EH35&lt;$E38,0,IF(AND(EH35&gt;=$E38,EH35&lt;=($E38+$E44-1)),Вводные!$D$30,Вводные!$E$30))</f>
        <v>2.1999999999999999E-2</v>
      </c>
      <c r="EI44" s="120">
        <f>IF(EI35&lt;$E38,0,IF(AND(EI35&gt;=$E38,EI35&lt;=($E38+$E44-1)),Вводные!$D$30,Вводные!$E$30))</f>
        <v>2.1999999999999999E-2</v>
      </c>
      <c r="EJ44" s="120">
        <f>IF(EJ35&lt;$E38,0,IF(AND(EJ35&gt;=$E38,EJ35&lt;=($E38+$E44-1)),Вводные!$D$30,Вводные!$E$30))</f>
        <v>2.1999999999999999E-2</v>
      </c>
      <c r="EK44" s="120">
        <f>IF(EK35&lt;$E38,0,IF(AND(EK35&gt;=$E38,EK35&lt;=($E38+$E44-1)),Вводные!$D$30,Вводные!$E$30))</f>
        <v>2.1999999999999999E-2</v>
      </c>
      <c r="EL44" s="120">
        <f>IF(EL35&lt;$E38,0,IF(AND(EL35&gt;=$E38,EL35&lt;=($E38+$E44-1)),Вводные!$D$30,Вводные!$E$30))</f>
        <v>2.1999999999999999E-2</v>
      </c>
      <c r="EM44" s="120">
        <f>IF(EM35&lt;$E38,0,IF(AND(EM35&gt;=$E38,EM35&lt;=($E38+$E44-1)),Вводные!$D$30,Вводные!$E$30))</f>
        <v>2.1999999999999999E-2</v>
      </c>
      <c r="EN44" s="120">
        <f>IF(EN35&lt;$E38,0,IF(AND(EN35&gt;=$E38,EN35&lt;=($E38+$E44-1)),Вводные!$D$30,Вводные!$E$30))</f>
        <v>2.1999999999999999E-2</v>
      </c>
    </row>
    <row r="45" spans="2:144" outlineLevel="1">
      <c r="C45" s="151" t="s">
        <v>22</v>
      </c>
      <c r="D45" s="44"/>
      <c r="E45" s="469"/>
      <c r="F45" s="44"/>
      <c r="G45" s="44"/>
      <c r="H45" s="44">
        <f t="shared" ref="H45:AM45" si="46">H44*H43/4</f>
        <v>0</v>
      </c>
      <c r="I45" s="44">
        <f t="shared" si="46"/>
        <v>0</v>
      </c>
      <c r="J45" s="44">
        <f t="shared" si="46"/>
        <v>0</v>
      </c>
      <c r="K45" s="44">
        <f t="shared" si="46"/>
        <v>0</v>
      </c>
      <c r="L45" s="44">
        <f t="shared" si="46"/>
        <v>0</v>
      </c>
      <c r="M45" s="44">
        <f t="shared" si="46"/>
        <v>0</v>
      </c>
      <c r="N45" s="44">
        <f t="shared" si="46"/>
        <v>0</v>
      </c>
      <c r="O45" s="44">
        <f t="shared" si="46"/>
        <v>0</v>
      </c>
      <c r="P45" s="44">
        <f t="shared" si="46"/>
        <v>0</v>
      </c>
      <c r="Q45" s="44">
        <f t="shared" si="46"/>
        <v>0</v>
      </c>
      <c r="R45" s="44">
        <f t="shared" si="46"/>
        <v>0</v>
      </c>
      <c r="S45" s="44">
        <f t="shared" si="46"/>
        <v>0</v>
      </c>
      <c r="T45" s="44">
        <f t="shared" si="46"/>
        <v>0</v>
      </c>
      <c r="U45" s="44">
        <f t="shared" si="46"/>
        <v>0</v>
      </c>
      <c r="V45" s="44">
        <f t="shared" si="46"/>
        <v>0</v>
      </c>
      <c r="W45" s="44">
        <f t="shared" si="46"/>
        <v>0</v>
      </c>
      <c r="X45" s="44">
        <f t="shared" si="46"/>
        <v>0</v>
      </c>
      <c r="Y45" s="44">
        <f t="shared" si="46"/>
        <v>0</v>
      </c>
      <c r="Z45" s="44">
        <f t="shared" si="46"/>
        <v>0</v>
      </c>
      <c r="AA45" s="44">
        <f t="shared" si="46"/>
        <v>0</v>
      </c>
      <c r="AB45" s="44">
        <f t="shared" si="46"/>
        <v>0</v>
      </c>
      <c r="AC45" s="44">
        <f t="shared" si="46"/>
        <v>0</v>
      </c>
      <c r="AD45" s="44">
        <f t="shared" si="46"/>
        <v>0</v>
      </c>
      <c r="AE45" s="44">
        <f t="shared" si="46"/>
        <v>0</v>
      </c>
      <c r="AF45" s="44">
        <f t="shared" si="46"/>
        <v>0</v>
      </c>
      <c r="AG45" s="44">
        <f t="shared" si="46"/>
        <v>0</v>
      </c>
      <c r="AH45" s="44">
        <f t="shared" si="46"/>
        <v>0</v>
      </c>
      <c r="AI45" s="44">
        <f t="shared" si="46"/>
        <v>0</v>
      </c>
      <c r="AJ45" s="44">
        <f t="shared" si="46"/>
        <v>0</v>
      </c>
      <c r="AK45" s="44">
        <f t="shared" si="46"/>
        <v>0</v>
      </c>
      <c r="AL45" s="44">
        <f t="shared" si="46"/>
        <v>0</v>
      </c>
      <c r="AM45" s="44">
        <f t="shared" si="46"/>
        <v>0</v>
      </c>
      <c r="AN45" s="44">
        <f t="shared" ref="AN45:BS45" si="47">AN44*AN43/4</f>
        <v>0</v>
      </c>
      <c r="AO45" s="44">
        <f t="shared" si="47"/>
        <v>0</v>
      </c>
      <c r="AP45" s="44">
        <f t="shared" si="47"/>
        <v>0</v>
      </c>
      <c r="AQ45" s="44">
        <f t="shared" si="47"/>
        <v>0</v>
      </c>
      <c r="AR45" s="44">
        <f t="shared" si="47"/>
        <v>0</v>
      </c>
      <c r="AS45" s="44">
        <f t="shared" si="47"/>
        <v>0</v>
      </c>
      <c r="AT45" s="44">
        <f t="shared" si="47"/>
        <v>0</v>
      </c>
      <c r="AU45" s="44">
        <f t="shared" si="47"/>
        <v>0</v>
      </c>
      <c r="AV45" s="44">
        <f t="shared" si="47"/>
        <v>0</v>
      </c>
      <c r="AW45" s="44">
        <f t="shared" si="47"/>
        <v>0</v>
      </c>
      <c r="AX45" s="44">
        <f t="shared" si="47"/>
        <v>0</v>
      </c>
      <c r="AY45" s="44">
        <f t="shared" si="47"/>
        <v>0</v>
      </c>
      <c r="AZ45" s="44">
        <f t="shared" si="47"/>
        <v>0</v>
      </c>
      <c r="BA45" s="44">
        <f t="shared" si="47"/>
        <v>0</v>
      </c>
      <c r="BB45" s="44">
        <f t="shared" si="47"/>
        <v>0</v>
      </c>
      <c r="BC45" s="44">
        <f t="shared" si="47"/>
        <v>0</v>
      </c>
      <c r="BD45" s="44">
        <f t="shared" si="47"/>
        <v>0</v>
      </c>
      <c r="BE45" s="44">
        <f t="shared" si="47"/>
        <v>0</v>
      </c>
      <c r="BF45" s="44">
        <f t="shared" si="47"/>
        <v>0</v>
      </c>
      <c r="BG45" s="44">
        <f t="shared" si="47"/>
        <v>0</v>
      </c>
      <c r="BH45" s="44">
        <f t="shared" si="47"/>
        <v>0</v>
      </c>
      <c r="BI45" s="44">
        <f t="shared" si="47"/>
        <v>0</v>
      </c>
      <c r="BJ45" s="44">
        <f t="shared" si="47"/>
        <v>0</v>
      </c>
      <c r="BK45" s="44">
        <f t="shared" si="47"/>
        <v>0</v>
      </c>
      <c r="BL45" s="44">
        <f t="shared" si="47"/>
        <v>7556889.5883320104</v>
      </c>
      <c r="BM45" s="44">
        <f t="shared" si="47"/>
        <v>7464167.0166960359</v>
      </c>
      <c r="BN45" s="44">
        <f t="shared" si="47"/>
        <v>7371444.4450600604</v>
      </c>
      <c r="BO45" s="44">
        <f t="shared" si="47"/>
        <v>7278721.8734240858</v>
      </c>
      <c r="BP45" s="44">
        <f t="shared" si="47"/>
        <v>7185999.3017881112</v>
      </c>
      <c r="BQ45" s="44">
        <f t="shared" si="47"/>
        <v>7093276.7301521357</v>
      </c>
      <c r="BR45" s="44">
        <f t="shared" si="47"/>
        <v>7000554.1585161611</v>
      </c>
      <c r="BS45" s="44">
        <f t="shared" si="47"/>
        <v>6907831.5868801866</v>
      </c>
      <c r="BT45" s="44">
        <f t="shared" ref="BT45:CY45" si="48">BT44*BT43/4</f>
        <v>6815109.0152442111</v>
      </c>
      <c r="BU45" s="44">
        <f t="shared" si="48"/>
        <v>6722386.4436082365</v>
      </c>
      <c r="BV45" s="44">
        <f t="shared" si="48"/>
        <v>6629663.8719722619</v>
      </c>
      <c r="BW45" s="44">
        <f t="shared" si="48"/>
        <v>6536941.3003362864</v>
      </c>
      <c r="BX45" s="44">
        <f t="shared" si="48"/>
        <v>6444218.7287003119</v>
      </c>
      <c r="BY45" s="44">
        <f t="shared" si="48"/>
        <v>6351496.1570643373</v>
      </c>
      <c r="BZ45" s="44">
        <f t="shared" si="48"/>
        <v>6258773.5854283618</v>
      </c>
      <c r="CA45" s="44">
        <f t="shared" si="48"/>
        <v>6166051.0137923872</v>
      </c>
      <c r="CB45" s="44">
        <f t="shared" si="48"/>
        <v>6073328.4421564126</v>
      </c>
      <c r="CC45" s="44">
        <f t="shared" si="48"/>
        <v>5980605.8705204371</v>
      </c>
      <c r="CD45" s="44">
        <f t="shared" si="48"/>
        <v>5887883.2988844626</v>
      </c>
      <c r="CE45" s="44">
        <f t="shared" si="48"/>
        <v>5795160.7272484861</v>
      </c>
      <c r="CF45" s="44">
        <f t="shared" si="48"/>
        <v>5702438.1556125116</v>
      </c>
      <c r="CG45" s="44">
        <f t="shared" si="48"/>
        <v>5609715.5839765351</v>
      </c>
      <c r="CH45" s="44">
        <f t="shared" si="48"/>
        <v>5516993.0123405606</v>
      </c>
      <c r="CI45" s="44">
        <f t="shared" si="48"/>
        <v>5424270.4407045841</v>
      </c>
      <c r="CJ45" s="44">
        <f t="shared" si="48"/>
        <v>5331547.8690686096</v>
      </c>
      <c r="CK45" s="44">
        <f t="shared" si="48"/>
        <v>5238825.2974326331</v>
      </c>
      <c r="CL45" s="44">
        <f t="shared" si="48"/>
        <v>5146102.7257966585</v>
      </c>
      <c r="CM45" s="44">
        <f t="shared" si="48"/>
        <v>5053380.1541606821</v>
      </c>
      <c r="CN45" s="44">
        <f t="shared" si="48"/>
        <v>4960657.5825247075</v>
      </c>
      <c r="CO45" s="44">
        <f t="shared" si="48"/>
        <v>4867935.0108887311</v>
      </c>
      <c r="CP45" s="44">
        <f t="shared" si="48"/>
        <v>4775212.4392527565</v>
      </c>
      <c r="CQ45" s="44">
        <f t="shared" si="48"/>
        <v>4682489.8676167801</v>
      </c>
      <c r="CR45" s="44">
        <f t="shared" si="48"/>
        <v>4589767.2959808046</v>
      </c>
      <c r="CS45" s="44">
        <f t="shared" si="48"/>
        <v>4497044.7243448291</v>
      </c>
      <c r="CT45" s="44">
        <f t="shared" si="48"/>
        <v>4404322.1527088536</v>
      </c>
      <c r="CU45" s="44">
        <f t="shared" si="48"/>
        <v>4311599.5810728781</v>
      </c>
      <c r="CV45" s="44">
        <f t="shared" si="48"/>
        <v>4218877.0094369026</v>
      </c>
      <c r="CW45" s="44">
        <f t="shared" si="48"/>
        <v>4126154.4378009266</v>
      </c>
      <c r="CX45" s="44">
        <f t="shared" si="48"/>
        <v>4033431.8661649516</v>
      </c>
      <c r="CY45" s="44">
        <f t="shared" si="48"/>
        <v>3940709.2945289756</v>
      </c>
      <c r="CZ45" s="44">
        <f t="shared" ref="CZ45:EE45" si="49">CZ44*CZ43/4</f>
        <v>3847986.7228930006</v>
      </c>
      <c r="DA45" s="44">
        <f t="shared" si="49"/>
        <v>3755264.1512570246</v>
      </c>
      <c r="DB45" s="44">
        <f t="shared" si="49"/>
        <v>3662541.5796210496</v>
      </c>
      <c r="DC45" s="44">
        <f t="shared" si="49"/>
        <v>3569819.0079850736</v>
      </c>
      <c r="DD45" s="44">
        <f t="shared" si="49"/>
        <v>3477096.4363490986</v>
      </c>
      <c r="DE45" s="44">
        <f t="shared" si="49"/>
        <v>3384373.8647131226</v>
      </c>
      <c r="DF45" s="44">
        <f t="shared" si="49"/>
        <v>3291651.2930771476</v>
      </c>
      <c r="DG45" s="44">
        <f t="shared" si="49"/>
        <v>3198928.7214411711</v>
      </c>
      <c r="DH45" s="44">
        <f t="shared" si="49"/>
        <v>3106206.1498051966</v>
      </c>
      <c r="DI45" s="44">
        <f t="shared" si="49"/>
        <v>3013483.5781692201</v>
      </c>
      <c r="DJ45" s="44">
        <f t="shared" si="49"/>
        <v>2920761.0065332456</v>
      </c>
      <c r="DK45" s="44">
        <f t="shared" si="49"/>
        <v>2828038.4348972701</v>
      </c>
      <c r="DL45" s="44">
        <f t="shared" si="49"/>
        <v>2735315.863261295</v>
      </c>
      <c r="DM45" s="44">
        <f t="shared" si="49"/>
        <v>2642593.2916253195</v>
      </c>
      <c r="DN45" s="44">
        <f t="shared" si="49"/>
        <v>2549870.7199893445</v>
      </c>
      <c r="DO45" s="44">
        <f t="shared" si="49"/>
        <v>2457148.148353369</v>
      </c>
      <c r="DP45" s="44">
        <f t="shared" si="49"/>
        <v>2364425.5767173939</v>
      </c>
      <c r="DQ45" s="44">
        <f t="shared" si="49"/>
        <v>2271703.0050814184</v>
      </c>
      <c r="DR45" s="44">
        <f t="shared" si="49"/>
        <v>2178980.4334454439</v>
      </c>
      <c r="DS45" s="44">
        <f t="shared" si="49"/>
        <v>2086257.8618094681</v>
      </c>
      <c r="DT45" s="44">
        <f t="shared" si="49"/>
        <v>1993535.2901734933</v>
      </c>
      <c r="DU45" s="44">
        <f t="shared" si="49"/>
        <v>1900812.7185375178</v>
      </c>
      <c r="DV45" s="44">
        <f t="shared" si="49"/>
        <v>1808090.146901543</v>
      </c>
      <c r="DW45" s="44">
        <f t="shared" si="49"/>
        <v>1715367.5752655673</v>
      </c>
      <c r="DX45" s="44">
        <f t="shared" si="49"/>
        <v>1622645.0036295925</v>
      </c>
      <c r="DY45" s="44">
        <f t="shared" si="49"/>
        <v>1529922.431993617</v>
      </c>
      <c r="DZ45" s="44">
        <f t="shared" si="49"/>
        <v>1437199.8603576417</v>
      </c>
      <c r="EA45" s="44">
        <f t="shared" si="49"/>
        <v>1344477.2887216667</v>
      </c>
      <c r="EB45" s="44">
        <f t="shared" si="49"/>
        <v>1251754.7170856909</v>
      </c>
      <c r="EC45" s="44">
        <f t="shared" si="49"/>
        <v>1159032.1454497159</v>
      </c>
      <c r="ED45" s="44">
        <f t="shared" si="49"/>
        <v>1066309.5738137404</v>
      </c>
      <c r="EE45" s="44">
        <f t="shared" si="49"/>
        <v>973587.00217776513</v>
      </c>
      <c r="EF45" s="44">
        <f t="shared" ref="EF45:EN45" si="50">EF44*EF43/4</f>
        <v>880864.43054178951</v>
      </c>
      <c r="EG45" s="44">
        <f t="shared" si="50"/>
        <v>788141.85890581436</v>
      </c>
      <c r="EH45" s="44">
        <f t="shared" si="50"/>
        <v>695419.28726983885</v>
      </c>
      <c r="EI45" s="44">
        <f t="shared" si="50"/>
        <v>602696.71563386347</v>
      </c>
      <c r="EJ45" s="44">
        <f t="shared" si="50"/>
        <v>509974.14399788814</v>
      </c>
      <c r="EK45" s="44">
        <f t="shared" si="50"/>
        <v>417251.57236191275</v>
      </c>
      <c r="EL45" s="44">
        <f t="shared" si="50"/>
        <v>324529.00072593743</v>
      </c>
      <c r="EM45" s="44">
        <f t="shared" si="50"/>
        <v>231806.42908996204</v>
      </c>
      <c r="EN45" s="44">
        <f t="shared" si="50"/>
        <v>139083.85745398665</v>
      </c>
    </row>
    <row r="46" spans="2:144" ht="15.75">
      <c r="B46" s="40"/>
      <c r="C46" s="22"/>
      <c r="E46" s="40"/>
      <c r="F46" s="40"/>
      <c r="G46" s="40"/>
      <c r="H46" s="463">
        <f t="shared" ref="H46:BD46" si="51">YEAR(H48)</f>
        <v>2022</v>
      </c>
      <c r="I46" s="463">
        <f t="shared" si="51"/>
        <v>2022</v>
      </c>
      <c r="J46" s="463">
        <f t="shared" si="51"/>
        <v>2022</v>
      </c>
      <c r="K46" s="463">
        <f t="shared" si="51"/>
        <v>2022</v>
      </c>
      <c r="L46" s="463">
        <f t="shared" si="51"/>
        <v>2023</v>
      </c>
      <c r="M46" s="463">
        <f t="shared" si="51"/>
        <v>2023</v>
      </c>
      <c r="N46" s="463">
        <f t="shared" si="51"/>
        <v>2023</v>
      </c>
      <c r="O46" s="463">
        <f t="shared" si="51"/>
        <v>2023</v>
      </c>
      <c r="P46" s="463">
        <f t="shared" si="51"/>
        <v>2024</v>
      </c>
      <c r="Q46" s="463">
        <f t="shared" si="51"/>
        <v>2024</v>
      </c>
      <c r="R46" s="463">
        <f t="shared" si="51"/>
        <v>2024</v>
      </c>
      <c r="S46" s="463">
        <f t="shared" si="51"/>
        <v>2024</v>
      </c>
      <c r="T46" s="463">
        <f t="shared" si="51"/>
        <v>2025</v>
      </c>
      <c r="U46" s="463">
        <f t="shared" si="51"/>
        <v>2025</v>
      </c>
      <c r="V46" s="463">
        <f t="shared" si="51"/>
        <v>2025</v>
      </c>
      <c r="W46" s="463">
        <f t="shared" si="51"/>
        <v>2025</v>
      </c>
      <c r="X46" s="463">
        <f t="shared" si="51"/>
        <v>2026</v>
      </c>
      <c r="Y46" s="463">
        <f t="shared" si="51"/>
        <v>2026</v>
      </c>
      <c r="Z46" s="463">
        <f t="shared" si="51"/>
        <v>2026</v>
      </c>
      <c r="AA46" s="463">
        <f t="shared" si="51"/>
        <v>2026</v>
      </c>
      <c r="AB46" s="463">
        <f t="shared" si="51"/>
        <v>2027</v>
      </c>
      <c r="AC46" s="463">
        <f t="shared" si="51"/>
        <v>2027</v>
      </c>
      <c r="AD46" s="463">
        <f t="shared" si="51"/>
        <v>2027</v>
      </c>
      <c r="AE46" s="463">
        <f t="shared" si="51"/>
        <v>2027</v>
      </c>
      <c r="AF46" s="463">
        <f t="shared" si="51"/>
        <v>2028</v>
      </c>
      <c r="AG46" s="463">
        <f t="shared" si="51"/>
        <v>2028</v>
      </c>
      <c r="AH46" s="463">
        <f t="shared" si="51"/>
        <v>2028</v>
      </c>
      <c r="AI46" s="463">
        <f t="shared" si="51"/>
        <v>2028</v>
      </c>
      <c r="AJ46" s="463">
        <f t="shared" si="51"/>
        <v>2029</v>
      </c>
      <c r="AK46" s="463">
        <f t="shared" si="51"/>
        <v>2029</v>
      </c>
      <c r="AL46" s="463">
        <f t="shared" si="51"/>
        <v>2029</v>
      </c>
      <c r="AM46" s="463">
        <f t="shared" si="51"/>
        <v>2029</v>
      </c>
      <c r="AN46" s="463">
        <f t="shared" si="51"/>
        <v>2030</v>
      </c>
      <c r="AO46" s="463">
        <f t="shared" si="51"/>
        <v>2030</v>
      </c>
      <c r="AP46" s="463">
        <f t="shared" si="51"/>
        <v>2030</v>
      </c>
      <c r="AQ46" s="463">
        <f t="shared" si="51"/>
        <v>2030</v>
      </c>
      <c r="AR46" s="463">
        <f t="shared" si="51"/>
        <v>2031</v>
      </c>
      <c r="AS46" s="463">
        <f t="shared" si="51"/>
        <v>2031</v>
      </c>
      <c r="AT46" s="463">
        <f t="shared" si="51"/>
        <v>2031</v>
      </c>
      <c r="AU46" s="463">
        <f t="shared" si="51"/>
        <v>2031</v>
      </c>
      <c r="AV46" s="463">
        <f t="shared" si="51"/>
        <v>2032</v>
      </c>
      <c r="AW46" s="463">
        <f t="shared" si="51"/>
        <v>2032</v>
      </c>
      <c r="AX46" s="463">
        <f t="shared" si="51"/>
        <v>2032</v>
      </c>
      <c r="AY46" s="463">
        <f t="shared" si="51"/>
        <v>2032</v>
      </c>
      <c r="AZ46" s="463">
        <f t="shared" si="51"/>
        <v>2033</v>
      </c>
      <c r="BA46" s="463">
        <f t="shared" si="51"/>
        <v>2033</v>
      </c>
      <c r="BB46" s="463">
        <f t="shared" si="51"/>
        <v>2033</v>
      </c>
      <c r="BC46" s="463">
        <f t="shared" si="51"/>
        <v>2033</v>
      </c>
      <c r="BD46" s="463">
        <f t="shared" si="51"/>
        <v>2034</v>
      </c>
      <c r="BE46" s="463">
        <f>YEAR(BE48)</f>
        <v>2034</v>
      </c>
      <c r="BF46" s="463">
        <f>YEAR(BF48)</f>
        <v>2034</v>
      </c>
      <c r="BG46" s="463">
        <f t="shared" ref="BG46:DR46" si="52">YEAR(BG48)</f>
        <v>2034</v>
      </c>
      <c r="BH46" s="463">
        <f t="shared" si="52"/>
        <v>2035</v>
      </c>
      <c r="BI46" s="463">
        <f t="shared" si="52"/>
        <v>2035</v>
      </c>
      <c r="BJ46" s="463">
        <f t="shared" si="52"/>
        <v>2035</v>
      </c>
      <c r="BK46" s="463">
        <f t="shared" si="52"/>
        <v>2035</v>
      </c>
      <c r="BL46" s="463">
        <f t="shared" si="52"/>
        <v>2036</v>
      </c>
      <c r="BM46" s="463">
        <f t="shared" si="52"/>
        <v>2036</v>
      </c>
      <c r="BN46" s="463">
        <f t="shared" si="52"/>
        <v>2036</v>
      </c>
      <c r="BO46" s="463">
        <f t="shared" si="52"/>
        <v>2036</v>
      </c>
      <c r="BP46" s="463">
        <f t="shared" si="52"/>
        <v>2037</v>
      </c>
      <c r="BQ46" s="463">
        <f t="shared" si="52"/>
        <v>2037</v>
      </c>
      <c r="BR46" s="463">
        <f t="shared" si="52"/>
        <v>2037</v>
      </c>
      <c r="BS46" s="463">
        <f t="shared" si="52"/>
        <v>2037</v>
      </c>
      <c r="BT46" s="463">
        <f t="shared" si="52"/>
        <v>2038</v>
      </c>
      <c r="BU46" s="463">
        <f t="shared" si="52"/>
        <v>2038</v>
      </c>
      <c r="BV46" s="463">
        <f t="shared" si="52"/>
        <v>2038</v>
      </c>
      <c r="BW46" s="463">
        <f t="shared" si="52"/>
        <v>2038</v>
      </c>
      <c r="BX46" s="463">
        <f t="shared" si="52"/>
        <v>2039</v>
      </c>
      <c r="BY46" s="463">
        <f t="shared" si="52"/>
        <v>2039</v>
      </c>
      <c r="BZ46" s="463">
        <f t="shared" si="52"/>
        <v>2039</v>
      </c>
      <c r="CA46" s="463">
        <f t="shared" si="52"/>
        <v>2039</v>
      </c>
      <c r="CB46" s="463">
        <f t="shared" si="52"/>
        <v>2040</v>
      </c>
      <c r="CC46" s="463">
        <f t="shared" si="52"/>
        <v>2040</v>
      </c>
      <c r="CD46" s="463">
        <f t="shared" si="52"/>
        <v>2040</v>
      </c>
      <c r="CE46" s="463">
        <f t="shared" si="52"/>
        <v>2040</v>
      </c>
      <c r="CF46" s="463">
        <f t="shared" si="52"/>
        <v>2041</v>
      </c>
      <c r="CG46" s="463">
        <f t="shared" si="52"/>
        <v>2041</v>
      </c>
      <c r="CH46" s="463">
        <f t="shared" si="52"/>
        <v>2041</v>
      </c>
      <c r="CI46" s="463">
        <f t="shared" si="52"/>
        <v>2041</v>
      </c>
      <c r="CJ46" s="463">
        <f t="shared" si="52"/>
        <v>2042</v>
      </c>
      <c r="CK46" s="463">
        <f t="shared" si="52"/>
        <v>2042</v>
      </c>
      <c r="CL46" s="463">
        <f t="shared" si="52"/>
        <v>2042</v>
      </c>
      <c r="CM46" s="463">
        <f t="shared" si="52"/>
        <v>2042</v>
      </c>
      <c r="CN46" s="463">
        <f t="shared" si="52"/>
        <v>2043</v>
      </c>
      <c r="CO46" s="463">
        <f t="shared" si="52"/>
        <v>2043</v>
      </c>
      <c r="CP46" s="463">
        <f t="shared" si="52"/>
        <v>2043</v>
      </c>
      <c r="CQ46" s="463">
        <f t="shared" si="52"/>
        <v>2043</v>
      </c>
      <c r="CR46" s="463">
        <f t="shared" si="52"/>
        <v>2044</v>
      </c>
      <c r="CS46" s="463">
        <f t="shared" si="52"/>
        <v>2044</v>
      </c>
      <c r="CT46" s="463">
        <f t="shared" si="52"/>
        <v>2044</v>
      </c>
      <c r="CU46" s="463">
        <f t="shared" si="52"/>
        <v>2044</v>
      </c>
      <c r="CV46" s="463">
        <f t="shared" si="52"/>
        <v>2045</v>
      </c>
      <c r="CW46" s="463">
        <f t="shared" si="52"/>
        <v>2045</v>
      </c>
      <c r="CX46" s="463">
        <f t="shared" si="52"/>
        <v>2045</v>
      </c>
      <c r="CY46" s="463">
        <f t="shared" si="52"/>
        <v>2045</v>
      </c>
      <c r="CZ46" s="463">
        <f t="shared" si="52"/>
        <v>2046</v>
      </c>
      <c r="DA46" s="463">
        <f t="shared" si="52"/>
        <v>2046</v>
      </c>
      <c r="DB46" s="463">
        <f t="shared" si="52"/>
        <v>2046</v>
      </c>
      <c r="DC46" s="463">
        <f t="shared" si="52"/>
        <v>2046</v>
      </c>
      <c r="DD46" s="463">
        <f t="shared" si="52"/>
        <v>2047</v>
      </c>
      <c r="DE46" s="463">
        <f t="shared" si="52"/>
        <v>2047</v>
      </c>
      <c r="DF46" s="463">
        <f t="shared" si="52"/>
        <v>2047</v>
      </c>
      <c r="DG46" s="463">
        <f t="shared" si="52"/>
        <v>2047</v>
      </c>
      <c r="DH46" s="463">
        <f t="shared" si="52"/>
        <v>2048</v>
      </c>
      <c r="DI46" s="463">
        <f t="shared" si="52"/>
        <v>2048</v>
      </c>
      <c r="DJ46" s="463">
        <f t="shared" si="52"/>
        <v>2048</v>
      </c>
      <c r="DK46" s="463">
        <f t="shared" si="52"/>
        <v>2048</v>
      </c>
      <c r="DL46" s="463">
        <f t="shared" si="52"/>
        <v>2049</v>
      </c>
      <c r="DM46" s="463">
        <f t="shared" si="52"/>
        <v>2049</v>
      </c>
      <c r="DN46" s="463">
        <f t="shared" si="52"/>
        <v>2049</v>
      </c>
      <c r="DO46" s="463">
        <f t="shared" si="52"/>
        <v>2049</v>
      </c>
      <c r="DP46" s="463">
        <f t="shared" si="52"/>
        <v>2050</v>
      </c>
      <c r="DQ46" s="463">
        <f t="shared" si="52"/>
        <v>2050</v>
      </c>
      <c r="DR46" s="463">
        <f t="shared" si="52"/>
        <v>2050</v>
      </c>
      <c r="DS46" s="463">
        <f t="shared" ref="DS46:EN46" si="53">YEAR(DS48)</f>
        <v>2050</v>
      </c>
      <c r="DT46" s="463">
        <f t="shared" si="53"/>
        <v>2051</v>
      </c>
      <c r="DU46" s="463">
        <f t="shared" si="53"/>
        <v>2051</v>
      </c>
      <c r="DV46" s="463">
        <f t="shared" si="53"/>
        <v>2051</v>
      </c>
      <c r="DW46" s="463">
        <f t="shared" si="53"/>
        <v>2051</v>
      </c>
      <c r="DX46" s="463">
        <f t="shared" si="53"/>
        <v>2052</v>
      </c>
      <c r="DY46" s="463">
        <f t="shared" si="53"/>
        <v>2052</v>
      </c>
      <c r="DZ46" s="463">
        <f t="shared" si="53"/>
        <v>2052</v>
      </c>
      <c r="EA46" s="463">
        <f t="shared" si="53"/>
        <v>2052</v>
      </c>
      <c r="EB46" s="463">
        <f t="shared" si="53"/>
        <v>2053</v>
      </c>
      <c r="EC46" s="463">
        <f t="shared" si="53"/>
        <v>2053</v>
      </c>
      <c r="ED46" s="463">
        <f t="shared" si="53"/>
        <v>2053</v>
      </c>
      <c r="EE46" s="463">
        <f t="shared" si="53"/>
        <v>2053</v>
      </c>
      <c r="EF46" s="463">
        <f t="shared" si="53"/>
        <v>2054</v>
      </c>
      <c r="EG46" s="463">
        <f t="shared" si="53"/>
        <v>2054</v>
      </c>
      <c r="EH46" s="463">
        <f t="shared" si="53"/>
        <v>2054</v>
      </c>
      <c r="EI46" s="463">
        <f t="shared" si="53"/>
        <v>2054</v>
      </c>
      <c r="EJ46" s="463">
        <f t="shared" si="53"/>
        <v>2055</v>
      </c>
      <c r="EK46" s="463">
        <f t="shared" si="53"/>
        <v>2055</v>
      </c>
      <c r="EL46" s="463">
        <f t="shared" si="53"/>
        <v>2055</v>
      </c>
      <c r="EM46" s="463">
        <f t="shared" si="53"/>
        <v>2055</v>
      </c>
      <c r="EN46" s="463">
        <f t="shared" si="53"/>
        <v>2056</v>
      </c>
    </row>
    <row r="47" spans="2:144" ht="15.75">
      <c r="B47" s="40"/>
      <c r="C47" s="22"/>
      <c r="E47" s="40"/>
      <c r="F47" s="40"/>
      <c r="G47" s="40"/>
      <c r="H47" s="464">
        <f t="shared" ref="H47:AM47" si="54">H36</f>
        <v>44593</v>
      </c>
      <c r="I47" s="464">
        <f t="shared" si="54"/>
        <v>44652</v>
      </c>
      <c r="J47" s="464">
        <f t="shared" si="54"/>
        <v>44743</v>
      </c>
      <c r="K47" s="464">
        <f t="shared" si="54"/>
        <v>44835</v>
      </c>
      <c r="L47" s="464">
        <f t="shared" si="54"/>
        <v>44927</v>
      </c>
      <c r="M47" s="464">
        <f t="shared" si="54"/>
        <v>45017</v>
      </c>
      <c r="N47" s="464">
        <f t="shared" si="54"/>
        <v>45108</v>
      </c>
      <c r="O47" s="464">
        <f t="shared" si="54"/>
        <v>45200</v>
      </c>
      <c r="P47" s="464">
        <f t="shared" si="54"/>
        <v>45292</v>
      </c>
      <c r="Q47" s="464">
        <f t="shared" si="54"/>
        <v>45383</v>
      </c>
      <c r="R47" s="464">
        <f t="shared" si="54"/>
        <v>45474</v>
      </c>
      <c r="S47" s="464">
        <f t="shared" si="54"/>
        <v>45566</v>
      </c>
      <c r="T47" s="464">
        <f t="shared" si="54"/>
        <v>45658</v>
      </c>
      <c r="U47" s="464">
        <f t="shared" si="54"/>
        <v>45748</v>
      </c>
      <c r="V47" s="464">
        <f t="shared" si="54"/>
        <v>45839</v>
      </c>
      <c r="W47" s="464">
        <f t="shared" si="54"/>
        <v>45931</v>
      </c>
      <c r="X47" s="464">
        <f t="shared" si="54"/>
        <v>46023</v>
      </c>
      <c r="Y47" s="464">
        <f t="shared" si="54"/>
        <v>46113</v>
      </c>
      <c r="Z47" s="464">
        <f t="shared" si="54"/>
        <v>46204</v>
      </c>
      <c r="AA47" s="464">
        <f t="shared" si="54"/>
        <v>46296</v>
      </c>
      <c r="AB47" s="464">
        <f t="shared" si="54"/>
        <v>46388</v>
      </c>
      <c r="AC47" s="464">
        <f t="shared" si="54"/>
        <v>46478</v>
      </c>
      <c r="AD47" s="464">
        <f t="shared" si="54"/>
        <v>46569</v>
      </c>
      <c r="AE47" s="464">
        <f t="shared" si="54"/>
        <v>46661</v>
      </c>
      <c r="AF47" s="464">
        <f t="shared" si="54"/>
        <v>46753</v>
      </c>
      <c r="AG47" s="464">
        <f t="shared" si="54"/>
        <v>46844</v>
      </c>
      <c r="AH47" s="464">
        <f t="shared" si="54"/>
        <v>46935</v>
      </c>
      <c r="AI47" s="464">
        <f t="shared" si="54"/>
        <v>47027</v>
      </c>
      <c r="AJ47" s="464">
        <f t="shared" si="54"/>
        <v>47119</v>
      </c>
      <c r="AK47" s="464">
        <f t="shared" si="54"/>
        <v>47209</v>
      </c>
      <c r="AL47" s="464">
        <f t="shared" si="54"/>
        <v>47300</v>
      </c>
      <c r="AM47" s="464">
        <f t="shared" si="54"/>
        <v>47392</v>
      </c>
      <c r="AN47" s="464">
        <f t="shared" ref="AN47:BS47" si="55">AN36</f>
        <v>47484</v>
      </c>
      <c r="AO47" s="464">
        <f t="shared" si="55"/>
        <v>47574</v>
      </c>
      <c r="AP47" s="464">
        <f t="shared" si="55"/>
        <v>47665</v>
      </c>
      <c r="AQ47" s="464">
        <f t="shared" si="55"/>
        <v>47757</v>
      </c>
      <c r="AR47" s="464">
        <f t="shared" si="55"/>
        <v>47849</v>
      </c>
      <c r="AS47" s="464">
        <f t="shared" si="55"/>
        <v>47939</v>
      </c>
      <c r="AT47" s="464">
        <f t="shared" si="55"/>
        <v>48030</v>
      </c>
      <c r="AU47" s="464">
        <f t="shared" si="55"/>
        <v>48122</v>
      </c>
      <c r="AV47" s="464">
        <f t="shared" si="55"/>
        <v>48214</v>
      </c>
      <c r="AW47" s="464">
        <f t="shared" si="55"/>
        <v>48305</v>
      </c>
      <c r="AX47" s="464">
        <f t="shared" si="55"/>
        <v>48396</v>
      </c>
      <c r="AY47" s="464">
        <f t="shared" si="55"/>
        <v>48488</v>
      </c>
      <c r="AZ47" s="464">
        <f t="shared" si="55"/>
        <v>48580</v>
      </c>
      <c r="BA47" s="464">
        <f t="shared" si="55"/>
        <v>48670</v>
      </c>
      <c r="BB47" s="464">
        <f t="shared" si="55"/>
        <v>48761</v>
      </c>
      <c r="BC47" s="464">
        <f t="shared" si="55"/>
        <v>48853</v>
      </c>
      <c r="BD47" s="464">
        <f t="shared" si="55"/>
        <v>48945</v>
      </c>
      <c r="BE47" s="464">
        <f t="shared" si="55"/>
        <v>49035</v>
      </c>
      <c r="BF47" s="464">
        <f t="shared" si="55"/>
        <v>49126</v>
      </c>
      <c r="BG47" s="464">
        <f t="shared" si="55"/>
        <v>49218</v>
      </c>
      <c r="BH47" s="464">
        <f t="shared" si="55"/>
        <v>49310</v>
      </c>
      <c r="BI47" s="464">
        <f t="shared" si="55"/>
        <v>49400</v>
      </c>
      <c r="BJ47" s="464">
        <f t="shared" si="55"/>
        <v>49491</v>
      </c>
      <c r="BK47" s="464">
        <f t="shared" si="55"/>
        <v>49583</v>
      </c>
      <c r="BL47" s="464">
        <f t="shared" si="55"/>
        <v>49675</v>
      </c>
      <c r="BM47" s="464">
        <f t="shared" si="55"/>
        <v>49766</v>
      </c>
      <c r="BN47" s="464">
        <f t="shared" si="55"/>
        <v>49857</v>
      </c>
      <c r="BO47" s="464">
        <f t="shared" si="55"/>
        <v>49949</v>
      </c>
      <c r="BP47" s="464">
        <f t="shared" si="55"/>
        <v>50041</v>
      </c>
      <c r="BQ47" s="464">
        <f t="shared" si="55"/>
        <v>50131</v>
      </c>
      <c r="BR47" s="464">
        <f t="shared" si="55"/>
        <v>50222</v>
      </c>
      <c r="BS47" s="464">
        <f t="shared" si="55"/>
        <v>50314</v>
      </c>
      <c r="BT47" s="464">
        <f t="shared" ref="BT47:CY47" si="56">BT36</f>
        <v>50406</v>
      </c>
      <c r="BU47" s="464">
        <f t="shared" si="56"/>
        <v>50496</v>
      </c>
      <c r="BV47" s="464">
        <f t="shared" si="56"/>
        <v>50587</v>
      </c>
      <c r="BW47" s="464">
        <f t="shared" si="56"/>
        <v>50679</v>
      </c>
      <c r="BX47" s="464">
        <f t="shared" si="56"/>
        <v>50771</v>
      </c>
      <c r="BY47" s="464">
        <f t="shared" si="56"/>
        <v>50861</v>
      </c>
      <c r="BZ47" s="464">
        <f t="shared" si="56"/>
        <v>50952</v>
      </c>
      <c r="CA47" s="464">
        <f t="shared" si="56"/>
        <v>51044</v>
      </c>
      <c r="CB47" s="464">
        <f t="shared" si="56"/>
        <v>51136</v>
      </c>
      <c r="CC47" s="464">
        <f t="shared" si="56"/>
        <v>51227</v>
      </c>
      <c r="CD47" s="464">
        <f t="shared" si="56"/>
        <v>51318</v>
      </c>
      <c r="CE47" s="464">
        <f t="shared" si="56"/>
        <v>51410</v>
      </c>
      <c r="CF47" s="464">
        <f t="shared" si="56"/>
        <v>51502</v>
      </c>
      <c r="CG47" s="464">
        <f t="shared" si="56"/>
        <v>51592</v>
      </c>
      <c r="CH47" s="464">
        <f t="shared" si="56"/>
        <v>51683</v>
      </c>
      <c r="CI47" s="464">
        <f t="shared" si="56"/>
        <v>51775</v>
      </c>
      <c r="CJ47" s="464">
        <f t="shared" si="56"/>
        <v>51867</v>
      </c>
      <c r="CK47" s="464">
        <f t="shared" si="56"/>
        <v>51957</v>
      </c>
      <c r="CL47" s="464">
        <f t="shared" si="56"/>
        <v>52048</v>
      </c>
      <c r="CM47" s="464">
        <f t="shared" si="56"/>
        <v>52140</v>
      </c>
      <c r="CN47" s="464">
        <f t="shared" si="56"/>
        <v>52232</v>
      </c>
      <c r="CO47" s="464">
        <f t="shared" si="56"/>
        <v>52322</v>
      </c>
      <c r="CP47" s="464">
        <f t="shared" si="56"/>
        <v>52413</v>
      </c>
      <c r="CQ47" s="464">
        <f t="shared" si="56"/>
        <v>52505</v>
      </c>
      <c r="CR47" s="464">
        <f t="shared" si="56"/>
        <v>52597</v>
      </c>
      <c r="CS47" s="464">
        <f t="shared" si="56"/>
        <v>52688</v>
      </c>
      <c r="CT47" s="464">
        <f t="shared" si="56"/>
        <v>52779</v>
      </c>
      <c r="CU47" s="464">
        <f t="shared" si="56"/>
        <v>52871</v>
      </c>
      <c r="CV47" s="464">
        <f t="shared" si="56"/>
        <v>52963</v>
      </c>
      <c r="CW47" s="464">
        <f t="shared" si="56"/>
        <v>53053</v>
      </c>
      <c r="CX47" s="464">
        <f t="shared" si="56"/>
        <v>53144</v>
      </c>
      <c r="CY47" s="464">
        <f t="shared" si="56"/>
        <v>53236</v>
      </c>
      <c r="CZ47" s="464">
        <f t="shared" ref="CZ47:EE47" si="57">CZ36</f>
        <v>53328</v>
      </c>
      <c r="DA47" s="464">
        <f t="shared" si="57"/>
        <v>53418</v>
      </c>
      <c r="DB47" s="464">
        <f t="shared" si="57"/>
        <v>53509</v>
      </c>
      <c r="DC47" s="464">
        <f t="shared" si="57"/>
        <v>53601</v>
      </c>
      <c r="DD47" s="464">
        <f t="shared" si="57"/>
        <v>53693</v>
      </c>
      <c r="DE47" s="464">
        <f t="shared" si="57"/>
        <v>53783</v>
      </c>
      <c r="DF47" s="464">
        <f t="shared" si="57"/>
        <v>53874</v>
      </c>
      <c r="DG47" s="464">
        <f t="shared" si="57"/>
        <v>53966</v>
      </c>
      <c r="DH47" s="464">
        <f t="shared" si="57"/>
        <v>54058</v>
      </c>
      <c r="DI47" s="464">
        <f t="shared" si="57"/>
        <v>54149</v>
      </c>
      <c r="DJ47" s="464">
        <f t="shared" si="57"/>
        <v>54240</v>
      </c>
      <c r="DK47" s="464">
        <f t="shared" si="57"/>
        <v>54332</v>
      </c>
      <c r="DL47" s="464">
        <f t="shared" si="57"/>
        <v>54424</v>
      </c>
      <c r="DM47" s="464">
        <f t="shared" si="57"/>
        <v>54514</v>
      </c>
      <c r="DN47" s="464">
        <f t="shared" si="57"/>
        <v>54605</v>
      </c>
      <c r="DO47" s="464">
        <f t="shared" si="57"/>
        <v>54697</v>
      </c>
      <c r="DP47" s="464">
        <f t="shared" si="57"/>
        <v>54789</v>
      </c>
      <c r="DQ47" s="464">
        <f t="shared" si="57"/>
        <v>54879</v>
      </c>
      <c r="DR47" s="464">
        <f t="shared" si="57"/>
        <v>54970</v>
      </c>
      <c r="DS47" s="464">
        <f t="shared" si="57"/>
        <v>55062</v>
      </c>
      <c r="DT47" s="464">
        <f t="shared" si="57"/>
        <v>55154</v>
      </c>
      <c r="DU47" s="464">
        <f t="shared" si="57"/>
        <v>55244</v>
      </c>
      <c r="DV47" s="464">
        <f t="shared" si="57"/>
        <v>55335</v>
      </c>
      <c r="DW47" s="464">
        <f t="shared" si="57"/>
        <v>55427</v>
      </c>
      <c r="DX47" s="464">
        <f t="shared" si="57"/>
        <v>55519</v>
      </c>
      <c r="DY47" s="464">
        <f t="shared" si="57"/>
        <v>55610</v>
      </c>
      <c r="DZ47" s="464">
        <f t="shared" si="57"/>
        <v>55701</v>
      </c>
      <c r="EA47" s="464">
        <f t="shared" si="57"/>
        <v>55793</v>
      </c>
      <c r="EB47" s="464">
        <f t="shared" si="57"/>
        <v>55885</v>
      </c>
      <c r="EC47" s="464">
        <f t="shared" si="57"/>
        <v>55975</v>
      </c>
      <c r="ED47" s="464">
        <f t="shared" si="57"/>
        <v>56066</v>
      </c>
      <c r="EE47" s="464">
        <f t="shared" si="57"/>
        <v>56158</v>
      </c>
      <c r="EF47" s="464">
        <f t="shared" ref="EF47:EN47" si="58">EF36</f>
        <v>56250</v>
      </c>
      <c r="EG47" s="464">
        <f t="shared" si="58"/>
        <v>56340</v>
      </c>
      <c r="EH47" s="464">
        <f t="shared" si="58"/>
        <v>56431</v>
      </c>
      <c r="EI47" s="464">
        <f t="shared" si="58"/>
        <v>56523</v>
      </c>
      <c r="EJ47" s="464">
        <f t="shared" si="58"/>
        <v>56615</v>
      </c>
      <c r="EK47" s="464">
        <f t="shared" si="58"/>
        <v>56705</v>
      </c>
      <c r="EL47" s="464">
        <f t="shared" si="58"/>
        <v>56796</v>
      </c>
      <c r="EM47" s="464">
        <f t="shared" si="58"/>
        <v>56888</v>
      </c>
      <c r="EN47" s="464">
        <f t="shared" si="58"/>
        <v>56980</v>
      </c>
    </row>
    <row r="48" spans="2:144" ht="15.75">
      <c r="C48" s="22"/>
      <c r="E48" s="42"/>
      <c r="F48" s="42"/>
      <c r="G48" s="42"/>
      <c r="H48" s="464">
        <f t="shared" ref="H48:AM48" si="59">H37</f>
        <v>44651</v>
      </c>
      <c r="I48" s="464">
        <f t="shared" si="59"/>
        <v>44742</v>
      </c>
      <c r="J48" s="464">
        <f t="shared" si="59"/>
        <v>44834</v>
      </c>
      <c r="K48" s="464">
        <f t="shared" si="59"/>
        <v>44926</v>
      </c>
      <c r="L48" s="464">
        <f t="shared" si="59"/>
        <v>45016</v>
      </c>
      <c r="M48" s="464">
        <f t="shared" si="59"/>
        <v>45107</v>
      </c>
      <c r="N48" s="464">
        <f t="shared" si="59"/>
        <v>45199</v>
      </c>
      <c r="O48" s="464">
        <f t="shared" si="59"/>
        <v>45291</v>
      </c>
      <c r="P48" s="464">
        <f t="shared" si="59"/>
        <v>45382</v>
      </c>
      <c r="Q48" s="464">
        <f t="shared" si="59"/>
        <v>45473</v>
      </c>
      <c r="R48" s="464">
        <f t="shared" si="59"/>
        <v>45565</v>
      </c>
      <c r="S48" s="464">
        <f t="shared" si="59"/>
        <v>45657</v>
      </c>
      <c r="T48" s="464">
        <f t="shared" si="59"/>
        <v>45747</v>
      </c>
      <c r="U48" s="464">
        <f t="shared" si="59"/>
        <v>45838</v>
      </c>
      <c r="V48" s="464">
        <f t="shared" si="59"/>
        <v>45930</v>
      </c>
      <c r="W48" s="464">
        <f t="shared" si="59"/>
        <v>46022</v>
      </c>
      <c r="X48" s="464">
        <f t="shared" si="59"/>
        <v>46112</v>
      </c>
      <c r="Y48" s="464">
        <f t="shared" si="59"/>
        <v>46203</v>
      </c>
      <c r="Z48" s="464">
        <f t="shared" si="59"/>
        <v>46295</v>
      </c>
      <c r="AA48" s="464">
        <f t="shared" si="59"/>
        <v>46387</v>
      </c>
      <c r="AB48" s="464">
        <f t="shared" si="59"/>
        <v>46477</v>
      </c>
      <c r="AC48" s="464">
        <f t="shared" si="59"/>
        <v>46568</v>
      </c>
      <c r="AD48" s="464">
        <f t="shared" si="59"/>
        <v>46660</v>
      </c>
      <c r="AE48" s="464">
        <f t="shared" si="59"/>
        <v>46752</v>
      </c>
      <c r="AF48" s="464">
        <f t="shared" si="59"/>
        <v>46843</v>
      </c>
      <c r="AG48" s="464">
        <f t="shared" si="59"/>
        <v>46934</v>
      </c>
      <c r="AH48" s="464">
        <f t="shared" si="59"/>
        <v>47026</v>
      </c>
      <c r="AI48" s="464">
        <f t="shared" si="59"/>
        <v>47118</v>
      </c>
      <c r="AJ48" s="464">
        <f t="shared" si="59"/>
        <v>47208</v>
      </c>
      <c r="AK48" s="464">
        <f t="shared" si="59"/>
        <v>47299</v>
      </c>
      <c r="AL48" s="464">
        <f t="shared" si="59"/>
        <v>47391</v>
      </c>
      <c r="AM48" s="464">
        <f t="shared" si="59"/>
        <v>47483</v>
      </c>
      <c r="AN48" s="464">
        <f t="shared" ref="AN48:BS48" si="60">AN37</f>
        <v>47573</v>
      </c>
      <c r="AO48" s="464">
        <f t="shared" si="60"/>
        <v>47664</v>
      </c>
      <c r="AP48" s="464">
        <f t="shared" si="60"/>
        <v>47756</v>
      </c>
      <c r="AQ48" s="464">
        <f t="shared" si="60"/>
        <v>47848</v>
      </c>
      <c r="AR48" s="464">
        <f t="shared" si="60"/>
        <v>47938</v>
      </c>
      <c r="AS48" s="464">
        <f t="shared" si="60"/>
        <v>48029</v>
      </c>
      <c r="AT48" s="464">
        <f t="shared" si="60"/>
        <v>48121</v>
      </c>
      <c r="AU48" s="464">
        <f t="shared" si="60"/>
        <v>48213</v>
      </c>
      <c r="AV48" s="464">
        <f t="shared" si="60"/>
        <v>48304</v>
      </c>
      <c r="AW48" s="464">
        <f t="shared" si="60"/>
        <v>48395</v>
      </c>
      <c r="AX48" s="464">
        <f t="shared" si="60"/>
        <v>48487</v>
      </c>
      <c r="AY48" s="464">
        <f t="shared" si="60"/>
        <v>48579</v>
      </c>
      <c r="AZ48" s="464">
        <f t="shared" si="60"/>
        <v>48669</v>
      </c>
      <c r="BA48" s="464">
        <f t="shared" si="60"/>
        <v>48760</v>
      </c>
      <c r="BB48" s="464">
        <f t="shared" si="60"/>
        <v>48852</v>
      </c>
      <c r="BC48" s="464">
        <f t="shared" si="60"/>
        <v>48944</v>
      </c>
      <c r="BD48" s="464">
        <f t="shared" si="60"/>
        <v>49034</v>
      </c>
      <c r="BE48" s="464">
        <f t="shared" si="60"/>
        <v>49125</v>
      </c>
      <c r="BF48" s="464">
        <f t="shared" si="60"/>
        <v>49217</v>
      </c>
      <c r="BG48" s="464">
        <f t="shared" si="60"/>
        <v>49309</v>
      </c>
      <c r="BH48" s="464">
        <f t="shared" si="60"/>
        <v>49399</v>
      </c>
      <c r="BI48" s="464">
        <f t="shared" si="60"/>
        <v>49490</v>
      </c>
      <c r="BJ48" s="464">
        <f t="shared" si="60"/>
        <v>49582</v>
      </c>
      <c r="BK48" s="464">
        <f t="shared" si="60"/>
        <v>49674</v>
      </c>
      <c r="BL48" s="464">
        <f t="shared" si="60"/>
        <v>49765</v>
      </c>
      <c r="BM48" s="464">
        <f t="shared" si="60"/>
        <v>49856</v>
      </c>
      <c r="BN48" s="464">
        <f t="shared" si="60"/>
        <v>49948</v>
      </c>
      <c r="BO48" s="464">
        <f t="shared" si="60"/>
        <v>50040</v>
      </c>
      <c r="BP48" s="464">
        <f t="shared" si="60"/>
        <v>50130</v>
      </c>
      <c r="BQ48" s="464">
        <f t="shared" si="60"/>
        <v>50221</v>
      </c>
      <c r="BR48" s="464">
        <f t="shared" si="60"/>
        <v>50313</v>
      </c>
      <c r="BS48" s="464">
        <f t="shared" si="60"/>
        <v>50405</v>
      </c>
      <c r="BT48" s="464">
        <f t="shared" ref="BT48:CY48" si="61">BT37</f>
        <v>50495</v>
      </c>
      <c r="BU48" s="464">
        <f t="shared" si="61"/>
        <v>50586</v>
      </c>
      <c r="BV48" s="464">
        <f t="shared" si="61"/>
        <v>50678</v>
      </c>
      <c r="BW48" s="464">
        <f t="shared" si="61"/>
        <v>50770</v>
      </c>
      <c r="BX48" s="464">
        <f t="shared" si="61"/>
        <v>50860</v>
      </c>
      <c r="BY48" s="464">
        <f t="shared" si="61"/>
        <v>50951</v>
      </c>
      <c r="BZ48" s="464">
        <f t="shared" si="61"/>
        <v>51043</v>
      </c>
      <c r="CA48" s="464">
        <f t="shared" si="61"/>
        <v>51135</v>
      </c>
      <c r="CB48" s="464">
        <f t="shared" si="61"/>
        <v>51226</v>
      </c>
      <c r="CC48" s="464">
        <f t="shared" si="61"/>
        <v>51317</v>
      </c>
      <c r="CD48" s="464">
        <f t="shared" si="61"/>
        <v>51409</v>
      </c>
      <c r="CE48" s="464">
        <f t="shared" si="61"/>
        <v>51501</v>
      </c>
      <c r="CF48" s="464">
        <f t="shared" si="61"/>
        <v>51591</v>
      </c>
      <c r="CG48" s="464">
        <f t="shared" si="61"/>
        <v>51682</v>
      </c>
      <c r="CH48" s="464">
        <f t="shared" si="61"/>
        <v>51774</v>
      </c>
      <c r="CI48" s="464">
        <f t="shared" si="61"/>
        <v>51866</v>
      </c>
      <c r="CJ48" s="464">
        <f t="shared" si="61"/>
        <v>51956</v>
      </c>
      <c r="CK48" s="464">
        <f t="shared" si="61"/>
        <v>52047</v>
      </c>
      <c r="CL48" s="464">
        <f t="shared" si="61"/>
        <v>52139</v>
      </c>
      <c r="CM48" s="464">
        <f t="shared" si="61"/>
        <v>52231</v>
      </c>
      <c r="CN48" s="464">
        <f t="shared" si="61"/>
        <v>52321</v>
      </c>
      <c r="CO48" s="464">
        <f t="shared" si="61"/>
        <v>52412</v>
      </c>
      <c r="CP48" s="464">
        <f t="shared" si="61"/>
        <v>52504</v>
      </c>
      <c r="CQ48" s="464">
        <f t="shared" si="61"/>
        <v>52596</v>
      </c>
      <c r="CR48" s="464">
        <f t="shared" si="61"/>
        <v>52687</v>
      </c>
      <c r="CS48" s="464">
        <f t="shared" si="61"/>
        <v>52778</v>
      </c>
      <c r="CT48" s="464">
        <f t="shared" si="61"/>
        <v>52870</v>
      </c>
      <c r="CU48" s="464">
        <f t="shared" si="61"/>
        <v>52962</v>
      </c>
      <c r="CV48" s="464">
        <f t="shared" si="61"/>
        <v>53052</v>
      </c>
      <c r="CW48" s="464">
        <f t="shared" si="61"/>
        <v>53143</v>
      </c>
      <c r="CX48" s="464">
        <f t="shared" si="61"/>
        <v>53235</v>
      </c>
      <c r="CY48" s="464">
        <f t="shared" si="61"/>
        <v>53327</v>
      </c>
      <c r="CZ48" s="464">
        <f t="shared" ref="CZ48:EE48" si="62">CZ37</f>
        <v>53417</v>
      </c>
      <c r="DA48" s="464">
        <f t="shared" si="62"/>
        <v>53508</v>
      </c>
      <c r="DB48" s="464">
        <f t="shared" si="62"/>
        <v>53600</v>
      </c>
      <c r="DC48" s="464">
        <f t="shared" si="62"/>
        <v>53692</v>
      </c>
      <c r="DD48" s="464">
        <f t="shared" si="62"/>
        <v>53782</v>
      </c>
      <c r="DE48" s="464">
        <f t="shared" si="62"/>
        <v>53873</v>
      </c>
      <c r="DF48" s="464">
        <f t="shared" si="62"/>
        <v>53965</v>
      </c>
      <c r="DG48" s="464">
        <f t="shared" si="62"/>
        <v>54057</v>
      </c>
      <c r="DH48" s="464">
        <f t="shared" si="62"/>
        <v>54148</v>
      </c>
      <c r="DI48" s="464">
        <f t="shared" si="62"/>
        <v>54239</v>
      </c>
      <c r="DJ48" s="464">
        <f t="shared" si="62"/>
        <v>54331</v>
      </c>
      <c r="DK48" s="464">
        <f t="shared" si="62"/>
        <v>54423</v>
      </c>
      <c r="DL48" s="464">
        <f t="shared" si="62"/>
        <v>54513</v>
      </c>
      <c r="DM48" s="464">
        <f t="shared" si="62"/>
        <v>54604</v>
      </c>
      <c r="DN48" s="464">
        <f t="shared" si="62"/>
        <v>54696</v>
      </c>
      <c r="DO48" s="464">
        <f t="shared" si="62"/>
        <v>54788</v>
      </c>
      <c r="DP48" s="464">
        <f t="shared" si="62"/>
        <v>54878</v>
      </c>
      <c r="DQ48" s="464">
        <f t="shared" si="62"/>
        <v>54969</v>
      </c>
      <c r="DR48" s="464">
        <f t="shared" si="62"/>
        <v>55061</v>
      </c>
      <c r="DS48" s="464">
        <f t="shared" si="62"/>
        <v>55153</v>
      </c>
      <c r="DT48" s="464">
        <f t="shared" si="62"/>
        <v>55243</v>
      </c>
      <c r="DU48" s="464">
        <f t="shared" si="62"/>
        <v>55334</v>
      </c>
      <c r="DV48" s="464">
        <f t="shared" si="62"/>
        <v>55426</v>
      </c>
      <c r="DW48" s="464">
        <f t="shared" si="62"/>
        <v>55518</v>
      </c>
      <c r="DX48" s="464">
        <f t="shared" si="62"/>
        <v>55609</v>
      </c>
      <c r="DY48" s="464">
        <f t="shared" si="62"/>
        <v>55700</v>
      </c>
      <c r="DZ48" s="464">
        <f t="shared" si="62"/>
        <v>55792</v>
      </c>
      <c r="EA48" s="464">
        <f t="shared" si="62"/>
        <v>55884</v>
      </c>
      <c r="EB48" s="464">
        <f t="shared" si="62"/>
        <v>55974</v>
      </c>
      <c r="EC48" s="464">
        <f t="shared" si="62"/>
        <v>56065</v>
      </c>
      <c r="ED48" s="464">
        <f t="shared" si="62"/>
        <v>56157</v>
      </c>
      <c r="EE48" s="464">
        <f t="shared" si="62"/>
        <v>56249</v>
      </c>
      <c r="EF48" s="464">
        <f t="shared" ref="EF48:EN48" si="63">EF37</f>
        <v>56339</v>
      </c>
      <c r="EG48" s="464">
        <f t="shared" si="63"/>
        <v>56430</v>
      </c>
      <c r="EH48" s="464">
        <f t="shared" si="63"/>
        <v>56522</v>
      </c>
      <c r="EI48" s="464">
        <f t="shared" si="63"/>
        <v>56614</v>
      </c>
      <c r="EJ48" s="464">
        <f t="shared" si="63"/>
        <v>56704</v>
      </c>
      <c r="EK48" s="464">
        <f t="shared" si="63"/>
        <v>56795</v>
      </c>
      <c r="EL48" s="464">
        <f t="shared" si="63"/>
        <v>56887</v>
      </c>
      <c r="EM48" s="464">
        <f t="shared" si="63"/>
        <v>56979</v>
      </c>
      <c r="EN48" s="464">
        <f t="shared" si="63"/>
        <v>57070</v>
      </c>
    </row>
    <row r="49" spans="2:144">
      <c r="B49" s="776" t="str">
        <f>C6</f>
        <v>Гостиница 3*</v>
      </c>
      <c r="C49" s="465"/>
      <c r="D49" s="430">
        <f>SUMIF($C$4:$C$18,B49,$I$4:$I$18)</f>
        <v>45839</v>
      </c>
      <c r="E49" s="772">
        <f>YEAR(D49)</f>
        <v>2025</v>
      </c>
      <c r="F49" s="466"/>
      <c r="G49" s="466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6"/>
      <c r="AN49" s="466"/>
      <c r="AO49" s="466"/>
      <c r="AP49" s="466"/>
      <c r="AQ49" s="466"/>
      <c r="AR49" s="466"/>
      <c r="AS49" s="466"/>
      <c r="AT49" s="466"/>
      <c r="AU49" s="466"/>
      <c r="AV49" s="466"/>
      <c r="AW49" s="466"/>
      <c r="AX49" s="466"/>
      <c r="AY49" s="466"/>
      <c r="AZ49" s="466"/>
      <c r="BA49" s="466"/>
      <c r="BB49" s="466"/>
      <c r="BC49" s="466"/>
      <c r="BD49" s="466"/>
      <c r="BE49" s="466"/>
      <c r="BF49" s="466"/>
      <c r="BG49" s="466"/>
      <c r="BH49" s="466"/>
      <c r="BI49" s="466"/>
      <c r="BJ49" s="466"/>
      <c r="BK49" s="466"/>
      <c r="BL49" s="466"/>
      <c r="BM49" s="466"/>
      <c r="BN49" s="466"/>
      <c r="BO49" s="466"/>
      <c r="BP49" s="466"/>
      <c r="BQ49" s="466"/>
      <c r="BR49" s="466"/>
      <c r="BS49" s="466"/>
      <c r="BT49" s="466"/>
      <c r="BU49" s="466"/>
      <c r="BV49" s="466"/>
      <c r="BW49" s="466"/>
      <c r="BX49" s="466"/>
      <c r="BY49" s="466"/>
      <c r="BZ49" s="466"/>
      <c r="CA49" s="466"/>
      <c r="CB49" s="466"/>
      <c r="CC49" s="466"/>
      <c r="CD49" s="466"/>
      <c r="CE49" s="466"/>
      <c r="CF49" s="466"/>
      <c r="CG49" s="466"/>
      <c r="CH49" s="466"/>
      <c r="CI49" s="466"/>
      <c r="CJ49" s="466"/>
      <c r="CK49" s="466"/>
      <c r="CL49" s="466"/>
      <c r="CM49" s="466"/>
      <c r="CN49" s="466"/>
      <c r="CO49" s="466"/>
      <c r="CP49" s="466"/>
      <c r="CQ49" s="466"/>
      <c r="CR49" s="466"/>
      <c r="CS49" s="466"/>
      <c r="CT49" s="466"/>
      <c r="CU49" s="466"/>
      <c r="CV49" s="466"/>
      <c r="CW49" s="466"/>
      <c r="CX49" s="466"/>
      <c r="CY49" s="466"/>
      <c r="CZ49" s="466"/>
      <c r="DA49" s="466"/>
      <c r="DB49" s="466"/>
      <c r="DC49" s="466"/>
      <c r="DD49" s="466"/>
      <c r="DE49" s="466"/>
      <c r="DF49" s="466"/>
      <c r="DG49" s="466"/>
      <c r="DH49" s="466"/>
      <c r="DI49" s="466"/>
      <c r="DJ49" s="466"/>
      <c r="DK49" s="466"/>
      <c r="DL49" s="466"/>
      <c r="DM49" s="466"/>
      <c r="DN49" s="466"/>
      <c r="DO49" s="466"/>
      <c r="DP49" s="466"/>
      <c r="DQ49" s="466"/>
      <c r="DR49" s="466"/>
      <c r="DS49" s="466"/>
      <c r="DT49" s="466"/>
      <c r="DU49" s="466"/>
      <c r="DV49" s="466"/>
      <c r="DW49" s="466"/>
      <c r="DX49" s="466"/>
      <c r="DY49" s="466"/>
      <c r="DZ49" s="466"/>
      <c r="EA49" s="466"/>
      <c r="EB49" s="466"/>
      <c r="EC49" s="466"/>
      <c r="ED49" s="466"/>
      <c r="EE49" s="466"/>
      <c r="EF49" s="466"/>
      <c r="EG49" s="466"/>
      <c r="EH49" s="466"/>
      <c r="EI49" s="466"/>
      <c r="EJ49" s="466"/>
      <c r="EK49" s="466"/>
      <c r="EL49" s="466"/>
      <c r="EM49" s="466"/>
      <c r="EN49" s="466"/>
    </row>
    <row r="50" spans="2:144" outlineLevel="1">
      <c r="C50" s="151" t="s">
        <v>72</v>
      </c>
      <c r="D50" s="771">
        <f>SUMIF($C$4:$C$18,B49,$H$4:$H$18)</f>
        <v>799759030.09139013</v>
      </c>
      <c r="E50" s="44"/>
      <c r="F50" s="44"/>
      <c r="G50" s="44"/>
      <c r="H50" s="44">
        <f>IF(H47=D49,D50,0)</f>
        <v>0</v>
      </c>
      <c r="I50" s="44">
        <f>IF(I47=D49,D50,0)</f>
        <v>0</v>
      </c>
      <c r="J50" s="44">
        <f>IF(J47=D49,D50,0)</f>
        <v>0</v>
      </c>
      <c r="K50" s="44">
        <f>IF(K47=D49,D50,0)</f>
        <v>0</v>
      </c>
      <c r="L50" s="44">
        <f>IF(L47=D49,D50,0)</f>
        <v>0</v>
      </c>
      <c r="M50" s="44">
        <f>IF(M47=D49,D50,0)</f>
        <v>0</v>
      </c>
      <c r="N50" s="44">
        <f>IF(N47=D49,D50,0)</f>
        <v>0</v>
      </c>
      <c r="O50" s="44">
        <f>IF(O47=D49,D50,0)</f>
        <v>0</v>
      </c>
      <c r="P50" s="44">
        <f>IF(P47=D49,D50,0)</f>
        <v>0</v>
      </c>
      <c r="Q50" s="44">
        <f>IF(Q47=D49,D50,0)</f>
        <v>0</v>
      </c>
      <c r="R50" s="44">
        <f>IF(R47=D49,D50,0)</f>
        <v>0</v>
      </c>
      <c r="S50" s="44">
        <f>IF(S47=D49,D50,0)</f>
        <v>0</v>
      </c>
      <c r="T50" s="44">
        <f>IF(T47=D49,D50,0)</f>
        <v>0</v>
      </c>
      <c r="U50" s="44">
        <f>IF(U47=D49,D50,0)</f>
        <v>0</v>
      </c>
      <c r="V50" s="44">
        <f>IF(V47=D49,D50,0)</f>
        <v>799759030.09139013</v>
      </c>
      <c r="W50" s="44">
        <f>IF(W47=D49,D50,0)</f>
        <v>0</v>
      </c>
      <c r="X50" s="44">
        <f>IF(X47=D49,D50,0)</f>
        <v>0</v>
      </c>
      <c r="Y50" s="44">
        <f>IF(Y47=D49,D50,0)</f>
        <v>0</v>
      </c>
      <c r="Z50" s="44">
        <f>IF(Z47=D49,D50,0)</f>
        <v>0</v>
      </c>
      <c r="AA50" s="44">
        <f>IF(AA47=D49,D50,0)</f>
        <v>0</v>
      </c>
      <c r="AB50" s="44">
        <f>IF(AB47=D49,D50,0)</f>
        <v>0</v>
      </c>
      <c r="AC50" s="44">
        <f>IF(AC47=D49,D50,0)</f>
        <v>0</v>
      </c>
      <c r="AD50" s="44">
        <f>IF(AD47=D49,D50,0)</f>
        <v>0</v>
      </c>
      <c r="AE50" s="44">
        <f>IF(AE47=D49,D50,0)</f>
        <v>0</v>
      </c>
      <c r="AF50" s="44">
        <f>IF(AF47=D49,D50,0)</f>
        <v>0</v>
      </c>
      <c r="AG50" s="44">
        <f>IF(AG47=D49,D50,0)</f>
        <v>0</v>
      </c>
      <c r="AH50" s="44">
        <f>IF(AH47=D49,D50,0)</f>
        <v>0</v>
      </c>
      <c r="AI50" s="44">
        <f>IF(AI47=D49,D50,0)</f>
        <v>0</v>
      </c>
      <c r="AJ50" s="44">
        <f>IF(AJ47=D49,D50,0)</f>
        <v>0</v>
      </c>
      <c r="AK50" s="44">
        <f>IF(AK47=D49,D50,0)</f>
        <v>0</v>
      </c>
      <c r="AL50" s="44">
        <f>IF(AL47=D49,D50,0)</f>
        <v>0</v>
      </c>
      <c r="AM50" s="44">
        <f>IF(AM47=D49,D50,0)</f>
        <v>0</v>
      </c>
      <c r="AN50" s="44">
        <f>IF(AN47=D49,D50,0)</f>
        <v>0</v>
      </c>
      <c r="AO50" s="44">
        <f>IF(AO47=D49,D50,0)</f>
        <v>0</v>
      </c>
      <c r="AP50" s="44">
        <f>IF(AP47=D49,D50,0)</f>
        <v>0</v>
      </c>
      <c r="AQ50" s="44">
        <f>IF(AQ47=D49,D50,0)</f>
        <v>0</v>
      </c>
      <c r="AR50" s="44">
        <f>IF(AR47=D49,D50,0)</f>
        <v>0</v>
      </c>
      <c r="AS50" s="44">
        <f>IF(AS47=D49,D50,0)</f>
        <v>0</v>
      </c>
      <c r="AT50" s="44">
        <f>IF(AT47=D49,D50,0)</f>
        <v>0</v>
      </c>
      <c r="AU50" s="44">
        <f>IF(AU47=D49,D50,0)</f>
        <v>0</v>
      </c>
      <c r="AV50" s="44">
        <f>IF(AV47=D49,D50,0)</f>
        <v>0</v>
      </c>
      <c r="AW50" s="44">
        <f>IF(AW47=D49,D50,0)</f>
        <v>0</v>
      </c>
      <c r="AX50" s="44">
        <f>IF(AX47=D49,D50,0)</f>
        <v>0</v>
      </c>
      <c r="AY50" s="44">
        <f>IF(AY47=D49,D50,0)</f>
        <v>0</v>
      </c>
      <c r="AZ50" s="44">
        <f>IF(AZ47=D49,D50,0)</f>
        <v>0</v>
      </c>
      <c r="BA50" s="44">
        <f>IF(BA47=D49,D50,0)</f>
        <v>0</v>
      </c>
      <c r="BB50" s="44">
        <f>IF(BB47=D49,D50,0)</f>
        <v>0</v>
      </c>
      <c r="BC50" s="44">
        <f>IF(BC47=D49,D50,0)</f>
        <v>0</v>
      </c>
      <c r="BD50" s="44">
        <f>IF(BD47=D49,D50,0)</f>
        <v>0</v>
      </c>
      <c r="BE50" s="44">
        <f>IF(BE47=D49,D50,0)</f>
        <v>0</v>
      </c>
      <c r="BF50" s="44">
        <f>IF(BF47=D49,D50,0)</f>
        <v>0</v>
      </c>
      <c r="BG50" s="44">
        <f>IF(BG47=D49,D50,0)</f>
        <v>0</v>
      </c>
      <c r="BH50" s="44">
        <f>IF(BH47=D49,D50,0)</f>
        <v>0</v>
      </c>
      <c r="BI50" s="44">
        <f>IF(BI47=D49,D50,0)</f>
        <v>0</v>
      </c>
      <c r="BJ50" s="44">
        <f>IF(BJ47=D49,D50,0)</f>
        <v>0</v>
      </c>
      <c r="BK50" s="44">
        <f>IF(BK47=D49,D50,0)</f>
        <v>0</v>
      </c>
      <c r="BL50" s="44">
        <f>IF(BL47=D49,D50,0)</f>
        <v>0</v>
      </c>
      <c r="BM50" s="44">
        <f>IF(BM47=D49,D50,0)</f>
        <v>0</v>
      </c>
      <c r="BN50" s="44">
        <f>IF(BN47=D49,D50,0)</f>
        <v>0</v>
      </c>
      <c r="BO50" s="44">
        <f>IF(BO47=D49,D50,0)</f>
        <v>0</v>
      </c>
      <c r="BP50" s="44">
        <f>IF(BP47=D49,D50,0)</f>
        <v>0</v>
      </c>
      <c r="BQ50" s="44">
        <f>IF(BQ47=D49,D50,0)</f>
        <v>0</v>
      </c>
      <c r="BR50" s="44">
        <f>IF(BR47=D49,D50,0)</f>
        <v>0</v>
      </c>
      <c r="BS50" s="44">
        <f>IF(BS47=D49,D50,0)</f>
        <v>0</v>
      </c>
      <c r="BT50" s="44">
        <f>IF(BT47=D49,D50,0)</f>
        <v>0</v>
      </c>
      <c r="BU50" s="44">
        <f>IF(BU47=D49,D50,0)</f>
        <v>0</v>
      </c>
      <c r="BV50" s="44">
        <f>IF(BV47=D49,D50,0)</f>
        <v>0</v>
      </c>
      <c r="BW50" s="44">
        <f>IF(BW47=D49,D50,0)</f>
        <v>0</v>
      </c>
      <c r="BX50" s="44">
        <f>IF(BX47=D49,D50,0)</f>
        <v>0</v>
      </c>
      <c r="BY50" s="44">
        <f>IF(BY47=D49,D50,0)</f>
        <v>0</v>
      </c>
      <c r="BZ50" s="44">
        <f>IF(BZ47=D49,D50,0)</f>
        <v>0</v>
      </c>
      <c r="CA50" s="44">
        <f>IF(CA47=D49,D50,0)</f>
        <v>0</v>
      </c>
      <c r="CB50" s="44">
        <f>IF(CB47=D49,D50,0)</f>
        <v>0</v>
      </c>
      <c r="CC50" s="44">
        <f>IF(CC47=D49,D50,0)</f>
        <v>0</v>
      </c>
      <c r="CD50" s="44">
        <f>IF(CD47=D49,D50,0)</f>
        <v>0</v>
      </c>
      <c r="CE50" s="44">
        <f>IF(CE47=D49,D50,0)</f>
        <v>0</v>
      </c>
      <c r="CF50" s="44">
        <f>IF(CF47=D49,D50,0)</f>
        <v>0</v>
      </c>
      <c r="CG50" s="44">
        <f>IF(CG47=D49,D50,0)</f>
        <v>0</v>
      </c>
      <c r="CH50" s="44">
        <f>IF(CH47=D49,D50,0)</f>
        <v>0</v>
      </c>
      <c r="CI50" s="44">
        <f>IF(CI47=D49,D50,0)</f>
        <v>0</v>
      </c>
      <c r="CJ50" s="44">
        <f>IF(CJ47=D49,D50,0)</f>
        <v>0</v>
      </c>
      <c r="CK50" s="44">
        <f>IF(CK47=D49,D50,0)</f>
        <v>0</v>
      </c>
      <c r="CL50" s="44">
        <f>IF(CL47=D49,D50,0)</f>
        <v>0</v>
      </c>
      <c r="CM50" s="44">
        <f>IF(CM47=D49,D50,0)</f>
        <v>0</v>
      </c>
      <c r="CN50" s="44">
        <f>IF(CN47=D49,D50,0)</f>
        <v>0</v>
      </c>
      <c r="CO50" s="44">
        <f>IF(CO47=D49,D50,0)</f>
        <v>0</v>
      </c>
      <c r="CP50" s="44">
        <f>IF(CP47=D49,D50,0)</f>
        <v>0</v>
      </c>
      <c r="CQ50" s="44">
        <f>IF(CQ47=D49,D50,0)</f>
        <v>0</v>
      </c>
      <c r="CR50" s="44">
        <f>IF(CR47=D49,D50,0)</f>
        <v>0</v>
      </c>
      <c r="CS50" s="44">
        <f>IF(CS47=D49,D50,0)</f>
        <v>0</v>
      </c>
      <c r="CT50" s="44">
        <f>IF(CT47=D49,D50,0)</f>
        <v>0</v>
      </c>
      <c r="CU50" s="44">
        <f>IF(CU47=D49,D50,0)</f>
        <v>0</v>
      </c>
      <c r="CV50" s="44">
        <f>IF(CV47=D49,D50,0)</f>
        <v>0</v>
      </c>
      <c r="CW50" s="44">
        <f>IF(CW47=D49,D50,0)</f>
        <v>0</v>
      </c>
      <c r="CX50" s="44">
        <f>IF(CX47=D49,D50,0)</f>
        <v>0</v>
      </c>
      <c r="CY50" s="44">
        <f>IF(CY47=D49,D50,0)</f>
        <v>0</v>
      </c>
      <c r="CZ50" s="44">
        <f>IF(CZ47=D49,D50,0)</f>
        <v>0</v>
      </c>
      <c r="DA50" s="44">
        <f>IF(DA47=D49,D50,0)</f>
        <v>0</v>
      </c>
      <c r="DB50" s="44">
        <f>IF(DB47=D49,D50,0)</f>
        <v>0</v>
      </c>
      <c r="DC50" s="44">
        <f>IF(DC47=D49,D50,0)</f>
        <v>0</v>
      </c>
      <c r="DD50" s="44">
        <f>IF(DD47=D49,D50,0)</f>
        <v>0</v>
      </c>
      <c r="DE50" s="44">
        <f>IF(DE47=D49,D50,0)</f>
        <v>0</v>
      </c>
      <c r="DF50" s="44">
        <f>IF(DF47=D49,D50,0)</f>
        <v>0</v>
      </c>
      <c r="DG50" s="44">
        <f>IF(DG47=D49,D50,0)</f>
        <v>0</v>
      </c>
      <c r="DH50" s="44">
        <f>IF(DH47=D49,D50,0)</f>
        <v>0</v>
      </c>
      <c r="DI50" s="44">
        <f>IF(DI47=D49,D50,0)</f>
        <v>0</v>
      </c>
      <c r="DJ50" s="44">
        <f>IF(DJ47=D49,D50,0)</f>
        <v>0</v>
      </c>
      <c r="DK50" s="44">
        <f>IF(DK47=D49,D50,0)</f>
        <v>0</v>
      </c>
      <c r="DL50" s="44">
        <f>IF(DL47=D49,D50,0)</f>
        <v>0</v>
      </c>
      <c r="DM50" s="44">
        <f>IF(DM47=D49,D50,0)</f>
        <v>0</v>
      </c>
      <c r="DN50" s="44">
        <f>IF(DN47=D49,D50,0)</f>
        <v>0</v>
      </c>
      <c r="DO50" s="44">
        <f>IF(DO47=D49,D50,0)</f>
        <v>0</v>
      </c>
      <c r="DP50" s="44">
        <f>IF(DP47=D49,D50,0)</f>
        <v>0</v>
      </c>
      <c r="DQ50" s="44">
        <f>IF(DQ47=D49,D50,0)</f>
        <v>0</v>
      </c>
      <c r="DR50" s="44">
        <f>IF(DR47=D49,D50,0)</f>
        <v>0</v>
      </c>
      <c r="DS50" s="44">
        <f>IF(DS47=D49,D50,0)</f>
        <v>0</v>
      </c>
      <c r="DT50" s="44">
        <f>IF(DT47=D49,D50,0)</f>
        <v>0</v>
      </c>
      <c r="DU50" s="44">
        <f>IF(DU47=D49,D50,0)</f>
        <v>0</v>
      </c>
      <c r="DV50" s="44">
        <f>IF(DV47=D49,D50,0)</f>
        <v>0</v>
      </c>
      <c r="DW50" s="44">
        <f>IF(DW47=D49,D50,0)</f>
        <v>0</v>
      </c>
      <c r="DX50" s="44">
        <f>IF(DX47=D49,D50,0)</f>
        <v>0</v>
      </c>
      <c r="DY50" s="44">
        <f>IF(DY47=D49,D50,0)</f>
        <v>0</v>
      </c>
      <c r="DZ50" s="44">
        <f>IF(DZ47=D49,D50,0)</f>
        <v>0</v>
      </c>
      <c r="EA50" s="44">
        <f>IF(EA47=D49,D50,0)</f>
        <v>0</v>
      </c>
      <c r="EB50" s="44">
        <f>IF(EB47=D49,D50,0)</f>
        <v>0</v>
      </c>
      <c r="EC50" s="44">
        <f>IF(EC47=D49,D50,0)</f>
        <v>0</v>
      </c>
      <c r="ED50" s="44">
        <f>IF(ED47=D49,D50,0)</f>
        <v>0</v>
      </c>
      <c r="EE50" s="44">
        <f>IF(EE47=D49,D50,0)</f>
        <v>0</v>
      </c>
      <c r="EF50" s="44">
        <f>IF(EF47=D49,D50,0)</f>
        <v>0</v>
      </c>
      <c r="EG50" s="44">
        <f>IF(EG47=D49,D50,0)</f>
        <v>0</v>
      </c>
      <c r="EH50" s="44">
        <f>IF(EH47=D49,D50,0)</f>
        <v>0</v>
      </c>
      <c r="EI50" s="44">
        <f t="shared" ref="EI50:EN50" si="64">IF(EI47=E49,E50,0)</f>
        <v>0</v>
      </c>
      <c r="EJ50" s="44">
        <f t="shared" si="64"/>
        <v>0</v>
      </c>
      <c r="EK50" s="44">
        <f t="shared" si="64"/>
        <v>0</v>
      </c>
      <c r="EL50" s="44">
        <f t="shared" si="64"/>
        <v>0</v>
      </c>
      <c r="EM50" s="44">
        <f t="shared" si="64"/>
        <v>0</v>
      </c>
      <c r="EN50" s="44">
        <f t="shared" si="64"/>
        <v>0</v>
      </c>
    </row>
    <row r="51" spans="2:144" outlineLevel="1">
      <c r="C51" s="151" t="s">
        <v>73</v>
      </c>
      <c r="D51" s="45"/>
      <c r="E51" s="44"/>
      <c r="F51" s="44"/>
      <c r="G51" s="44"/>
      <c r="H51" s="44">
        <f>(IF(H47=D49,H50,G53))</f>
        <v>0</v>
      </c>
      <c r="I51" s="44">
        <f>(IF(I47=D49,I50,H53))</f>
        <v>0</v>
      </c>
      <c r="J51" s="44">
        <f>(IF(J47=D49,J50,I53))</f>
        <v>0</v>
      </c>
      <c r="K51" s="44">
        <f>(IF(K47=D49,K50,J53))</f>
        <v>0</v>
      </c>
      <c r="L51" s="44">
        <f>(IF(L47=D49,L50,K53))</f>
        <v>0</v>
      </c>
      <c r="M51" s="44">
        <f>(IF(M47=D49,M50,L53))</f>
        <v>0</v>
      </c>
      <c r="N51" s="44">
        <f>(IF(N47=D49,N50,M53))</f>
        <v>0</v>
      </c>
      <c r="O51" s="44">
        <f>(IF(O47=D49,O50,N53))</f>
        <v>0</v>
      </c>
      <c r="P51" s="44">
        <f>(IF(P47=D49,P50,O53))</f>
        <v>0</v>
      </c>
      <c r="Q51" s="44">
        <f>(IF(Q47=D49,Q50,P53))</f>
        <v>0</v>
      </c>
      <c r="R51" s="44">
        <f>(IF(R47=D49,R50,Q53))</f>
        <v>0</v>
      </c>
      <c r="S51" s="44">
        <f>(IF(S47=D49,S50,R53))</f>
        <v>0</v>
      </c>
      <c r="T51" s="44">
        <f>(IF(T47=D49,T50,S53))</f>
        <v>0</v>
      </c>
      <c r="U51" s="44">
        <f>(IF(U47=D49,U50,T53))</f>
        <v>0</v>
      </c>
      <c r="V51" s="44">
        <f>(IF(V47=D49,V50,U53))</f>
        <v>799759030.09139013</v>
      </c>
      <c r="W51" s="44">
        <f>(IF(W47=D49,W50,V53))</f>
        <v>793094371.50729525</v>
      </c>
      <c r="X51" s="44">
        <f>(IF(X47=D49,X50,W53))</f>
        <v>786429712.92320037</v>
      </c>
      <c r="Y51" s="44">
        <f>(IF(Y47=D49,Y50,X53))</f>
        <v>779765054.33910549</v>
      </c>
      <c r="Z51" s="44">
        <f>(IF(Z47=D49,Z50,Y53))</f>
        <v>773100395.7550106</v>
      </c>
      <c r="AA51" s="44">
        <f>(IF(AA47=D49,AA50,Z53))</f>
        <v>766435737.17091572</v>
      </c>
      <c r="AB51" s="44">
        <f>(IF(AB47=D49,AB50,AA53))</f>
        <v>759771078.58682084</v>
      </c>
      <c r="AC51" s="44">
        <f>(IF(AC47=D49,AC50,AB53))</f>
        <v>753106420.00272596</v>
      </c>
      <c r="AD51" s="44">
        <f>(IF(AD47=D49,AD50,AC53))</f>
        <v>746441761.41863108</v>
      </c>
      <c r="AE51" s="44">
        <f>(IF(AE47=D49,AE50,AD53))</f>
        <v>739777102.83453619</v>
      </c>
      <c r="AF51" s="44">
        <f>(IF(AF47=D49,AF50,AE53))</f>
        <v>733112444.25044131</v>
      </c>
      <c r="AG51" s="44">
        <f>(IF(AG47=D49,AG50,AF53))</f>
        <v>726447785.66634643</v>
      </c>
      <c r="AH51" s="44">
        <f>(IF(AH47=D49,AH50,AG53))</f>
        <v>719783127.08225155</v>
      </c>
      <c r="AI51" s="44">
        <f>(IF(AI47=D49,AI50,AH53))</f>
        <v>713118468.49815667</v>
      </c>
      <c r="AJ51" s="44">
        <f>(IF(AJ47=D49,AJ50,AI53))</f>
        <v>706453809.91406178</v>
      </c>
      <c r="AK51" s="44">
        <f>(IF(AK47=D49,AK50,AJ53))</f>
        <v>699789151.3299669</v>
      </c>
      <c r="AL51" s="44">
        <f>(IF(AL47=D49,AL50,AK53))</f>
        <v>693124492.74587202</v>
      </c>
      <c r="AM51" s="44">
        <f>(IF(AM47=D49,AM50,AL53))</f>
        <v>686459834.16177714</v>
      </c>
      <c r="AN51" s="44">
        <f>(IF(AN47=D49,AN50,AM53))</f>
        <v>679795175.57768226</v>
      </c>
      <c r="AO51" s="44">
        <f>(IF(AO47=D49,AO50,AN53))</f>
        <v>673130516.99358737</v>
      </c>
      <c r="AP51" s="44">
        <f>(IF(AP47=D49,AP50,AO53))</f>
        <v>666465858.40949249</v>
      </c>
      <c r="AQ51" s="44">
        <f>(IF(AQ47=D49,AQ50,AP53))</f>
        <v>659801199.82539761</v>
      </c>
      <c r="AR51" s="44">
        <f>(IF(AR47=D49,AR50,AQ53))</f>
        <v>653136541.24130273</v>
      </c>
      <c r="AS51" s="44">
        <f>(IF(AS47=D49,AS50,AR53))</f>
        <v>646471882.65720785</v>
      </c>
      <c r="AT51" s="44">
        <f>(IF(AT47=D49,AT50,AS53))</f>
        <v>639807224.07311296</v>
      </c>
      <c r="AU51" s="44">
        <f>(IF(AU47=D49,AU50,AT53))</f>
        <v>633142565.48901808</v>
      </c>
      <c r="AV51" s="44">
        <f>(IF(AV47=D49,AV50,AU53))</f>
        <v>626477906.9049232</v>
      </c>
      <c r="AW51" s="44">
        <f>(IF(AW47=D49,AW50,AV53))</f>
        <v>619813248.32082832</v>
      </c>
      <c r="AX51" s="44">
        <f>(IF(AX47=D49,AX50,AW53))</f>
        <v>613148589.73673344</v>
      </c>
      <c r="AY51" s="44">
        <f>(IF(AY47=D49,AY50,AX53))</f>
        <v>606483931.15263855</v>
      </c>
      <c r="AZ51" s="44">
        <f>(IF(AZ47=D49,AZ50,AY53))</f>
        <v>599819272.56854367</v>
      </c>
      <c r="BA51" s="44">
        <f>(IF(BA47=D49,BA50,AZ53))</f>
        <v>593154613.98444879</v>
      </c>
      <c r="BB51" s="44">
        <f>(IF(BB47=D49,BB50,BA53))</f>
        <v>586489955.40035391</v>
      </c>
      <c r="BC51" s="44">
        <f>(IF(BC47=D49,BC50,BB53))</f>
        <v>579825296.81625903</v>
      </c>
      <c r="BD51" s="44">
        <f>(IF(BD47=D49,BD50,BC53))</f>
        <v>573160638.23216414</v>
      </c>
      <c r="BE51" s="44">
        <f>(IF(BE47=D49,BE50,BD53))</f>
        <v>566495979.64806926</v>
      </c>
      <c r="BF51" s="44">
        <f>(IF(BF47=D49,BF50,BE53))</f>
        <v>559831321.06397438</v>
      </c>
      <c r="BG51" s="44">
        <f>(IF(BG47=D49,BG50,BF53))</f>
        <v>553166662.4798795</v>
      </c>
      <c r="BH51" s="44">
        <f>(IF(BH47=D49,BH50,BG53))</f>
        <v>546502003.89578462</v>
      </c>
      <c r="BI51" s="44">
        <f>(IF(BI47=D49,BI50,BH53))</f>
        <v>539837345.31168973</v>
      </c>
      <c r="BJ51" s="44">
        <f>(IF(BJ47=D49,BJ50,BI53))</f>
        <v>533172686.72759479</v>
      </c>
      <c r="BK51" s="44">
        <f>(IF(BK47=D49,BK50,BJ53))</f>
        <v>526508028.14349985</v>
      </c>
      <c r="BL51" s="44">
        <f>(IF(BL47=D49,BL50,BK53))</f>
        <v>519843369.55940491</v>
      </c>
      <c r="BM51" s="44">
        <f>(IF(BM47=D49,BM50,BL53))</f>
        <v>513178710.97530997</v>
      </c>
      <c r="BN51" s="44">
        <f>(IF(BN47=D49,BN50,BM53))</f>
        <v>506514052.39121503</v>
      </c>
      <c r="BO51" s="44">
        <f>(IF(BO47=D49,BO50,BN53))</f>
        <v>499849393.80712008</v>
      </c>
      <c r="BP51" s="44">
        <f>(IF(BP47=D49,BP50,BO53))</f>
        <v>493184735.22302514</v>
      </c>
      <c r="BQ51" s="44">
        <f>(IF(BQ47=D49,BQ50,BP53))</f>
        <v>486520076.6389302</v>
      </c>
      <c r="BR51" s="44">
        <f>(IF(BR47=D49,BR50,BQ53))</f>
        <v>479855418.05483526</v>
      </c>
      <c r="BS51" s="44">
        <f>(IF(BS47=D49,BS50,BR53))</f>
        <v>473190759.47074032</v>
      </c>
      <c r="BT51" s="44">
        <f>(IF(BT47=D49,BT50,BS53))</f>
        <v>466526100.88664538</v>
      </c>
      <c r="BU51" s="44">
        <f>(IF(BU47=D49,BU50,BT53))</f>
        <v>459861442.30255044</v>
      </c>
      <c r="BV51" s="44">
        <f>(IF(BV47=D49,BV50,BU53))</f>
        <v>453196783.71845549</v>
      </c>
      <c r="BW51" s="44">
        <f>(IF(BW47=D49,BW50,BV53))</f>
        <v>446532125.13436055</v>
      </c>
      <c r="BX51" s="44">
        <f>(IF(BX47=D49,BX50,BW53))</f>
        <v>439867466.55026561</v>
      </c>
      <c r="BY51" s="44">
        <f>(IF(BY47=D49,BY50,BX53))</f>
        <v>433202807.96617067</v>
      </c>
      <c r="BZ51" s="44">
        <f>(IF(BZ47=D49,BZ50,BY53))</f>
        <v>426538149.38207573</v>
      </c>
      <c r="CA51" s="44">
        <f>(IF(CA47=D49,CA50,BZ53))</f>
        <v>419873490.79798079</v>
      </c>
      <c r="CB51" s="44">
        <f>(IF(CB47=D49,CB50,CA53))</f>
        <v>413208832.21388584</v>
      </c>
      <c r="CC51" s="44">
        <f>(IF(CC47=D49,CC50,CB53))</f>
        <v>406544173.6297909</v>
      </c>
      <c r="CD51" s="44">
        <f>(IF(CD47=D49,CD50,CC53))</f>
        <v>399879515.04569596</v>
      </c>
      <c r="CE51" s="44">
        <f>(IF(CE47=D49,CE50,CD53))</f>
        <v>393214856.46160102</v>
      </c>
      <c r="CF51" s="44">
        <f>(IF(CF47=D49,CF50,CE53))</f>
        <v>386550197.87750608</v>
      </c>
      <c r="CG51" s="44">
        <f>(IF(CG47=D49,CG50,CF53))</f>
        <v>379885539.29341114</v>
      </c>
      <c r="CH51" s="44">
        <f>(IF(CH47=D49,CH50,CG53))</f>
        <v>373220880.70931619</v>
      </c>
      <c r="CI51" s="44">
        <f>(IF(CI47=D49,CI50,CH53))</f>
        <v>366556222.12522125</v>
      </c>
      <c r="CJ51" s="44">
        <f>(IF(CJ47=D49,CJ50,CI53))</f>
        <v>359891563.54112631</v>
      </c>
      <c r="CK51" s="44">
        <f>(IF(CK47=D49,CK50,CJ53))</f>
        <v>353226904.95703137</v>
      </c>
      <c r="CL51" s="44">
        <f>(IF(CL47=D49,CL50,CK53))</f>
        <v>346562246.37293643</v>
      </c>
      <c r="CM51" s="44">
        <f>(IF(CM47=D49,CM50,CL53))</f>
        <v>339897587.78884149</v>
      </c>
      <c r="CN51" s="44">
        <f>(IF(CN47=D49,CN50,CM53))</f>
        <v>333232929.20474654</v>
      </c>
      <c r="CO51" s="44">
        <f>(IF(CO47=D49,CO50,CN53))</f>
        <v>326568270.6206516</v>
      </c>
      <c r="CP51" s="44">
        <f>(IF(CP47=D49,CP50,CO53))</f>
        <v>319903612.03655666</v>
      </c>
      <c r="CQ51" s="44">
        <f>(IF(CQ47=D49,CQ50,CP53))</f>
        <v>313238953.45246172</v>
      </c>
      <c r="CR51" s="44">
        <f>(IF(CR47=D49,CR50,CQ53))</f>
        <v>306574294.86836678</v>
      </c>
      <c r="CS51" s="44">
        <f>(IF(CS47=D49,CS50,CR53))</f>
        <v>299909636.28427184</v>
      </c>
      <c r="CT51" s="44">
        <f>(IF(CT47=D49,CT50,CS53))</f>
        <v>293244977.70017689</v>
      </c>
      <c r="CU51" s="44">
        <f>(IF(CU47=D49,CU50,CT53))</f>
        <v>286580319.11608195</v>
      </c>
      <c r="CV51" s="44">
        <f>(IF(CV47=D49,CV50,CU53))</f>
        <v>279915660.53198701</v>
      </c>
      <c r="CW51" s="44">
        <f>(IF(CW47=D49,CW50,CV53))</f>
        <v>273251001.94789207</v>
      </c>
      <c r="CX51" s="44">
        <f>(IF(CX47=D49,CX50,CW53))</f>
        <v>266586343.36379716</v>
      </c>
      <c r="CY51" s="44">
        <f>(IF(CY47=D49,CY50,CX53))</f>
        <v>259921684.77970225</v>
      </c>
      <c r="CZ51" s="44">
        <f>(IF(CZ47=D49,CZ50,CY53))</f>
        <v>253257026.19560733</v>
      </c>
      <c r="DA51" s="44">
        <f>(IF(DA47=D49,DA50,CZ53))</f>
        <v>246592367.61151242</v>
      </c>
      <c r="DB51" s="44">
        <f>(IF(DB47=D49,DB50,DA53))</f>
        <v>239927709.02741751</v>
      </c>
      <c r="DC51" s="44">
        <f>(IF(DC47=D49,DC50,DB53))</f>
        <v>233263050.4433226</v>
      </c>
      <c r="DD51" s="44">
        <f>(IF(DD47=D49,DD50,DC53))</f>
        <v>226598391.85922769</v>
      </c>
      <c r="DE51" s="44">
        <f>(IF(DE47=D49,DE50,DD53))</f>
        <v>219933733.27513278</v>
      </c>
      <c r="DF51" s="44">
        <f>(IF(DF47=D49,DF50,DE53))</f>
        <v>213269074.69103786</v>
      </c>
      <c r="DG51" s="44">
        <f>(IF(DG47=D49,DG50,DF53))</f>
        <v>206604416.10694295</v>
      </c>
      <c r="DH51" s="44">
        <f>(IF(DH47=D49,DH50,DG53))</f>
        <v>199939757.52284804</v>
      </c>
      <c r="DI51" s="44">
        <f>(IF(DI47=D49,DI50,DH53))</f>
        <v>193275098.93875313</v>
      </c>
      <c r="DJ51" s="44">
        <f>(IF(DJ47=D49,DJ50,DI53))</f>
        <v>186610440.35465822</v>
      </c>
      <c r="DK51" s="44">
        <f>(IF(DK47=D49,DK50,DJ53))</f>
        <v>179945781.7705633</v>
      </c>
      <c r="DL51" s="44">
        <f>(IF(DL47=D49,DL50,DK53))</f>
        <v>173281123.18646839</v>
      </c>
      <c r="DM51" s="44">
        <f>(IF(DM47=D49,DM50,DL53))</f>
        <v>166616464.60237348</v>
      </c>
      <c r="DN51" s="44">
        <f>(IF(DN47=D49,DN50,DM53))</f>
        <v>159951806.01827857</v>
      </c>
      <c r="DO51" s="44">
        <f>(IF(DO47=D49,DO50,DN53))</f>
        <v>153287147.43418366</v>
      </c>
      <c r="DP51" s="44">
        <f>(IF(DP47=D49,DP50,DO53))</f>
        <v>146622488.85008875</v>
      </c>
      <c r="DQ51" s="44">
        <f>(IF(DQ47=D49,DQ50,DP53))</f>
        <v>139957830.26599383</v>
      </c>
      <c r="DR51" s="44">
        <f>(IF(DR47=D49,DR50,DQ53))</f>
        <v>133293171.68189892</v>
      </c>
      <c r="DS51" s="44">
        <f>(IF(DS47=D49,DS50,DR53))</f>
        <v>126628513.09780401</v>
      </c>
      <c r="DT51" s="44">
        <f>(IF(DT47=D49,DT50,DS53))</f>
        <v>119963854.5137091</v>
      </c>
      <c r="DU51" s="44">
        <f>(IF(DU47=D49,DU50,DT53))</f>
        <v>113299195.92961419</v>
      </c>
      <c r="DV51" s="44">
        <f>(IF(DV47=D49,DV50,DU53))</f>
        <v>106634537.34551927</v>
      </c>
      <c r="DW51" s="44">
        <f>(IF(DW47=D49,DW50,DV53))</f>
        <v>99969878.761424363</v>
      </c>
      <c r="DX51" s="44">
        <f>(IF(DX47=D49,DX50,DW53))</f>
        <v>93305220.177329451</v>
      </c>
      <c r="DY51" s="44">
        <f>(IF(DY47=D49,DY50,DX53))</f>
        <v>86640561.593234539</v>
      </c>
      <c r="DZ51" s="44">
        <f>(IF(DZ47=D49,DZ50,DY53))</f>
        <v>79975903.009139627</v>
      </c>
      <c r="EA51" s="44">
        <f>(IF(EA47=D49,EA50,DZ53))</f>
        <v>73311244.425044715</v>
      </c>
      <c r="EB51" s="44">
        <f>(IF(EB47=D49,EB50,EA53))</f>
        <v>66646585.840949796</v>
      </c>
      <c r="EC51" s="44">
        <f>(IF(EC47=D49,EC50,EB53))</f>
        <v>59981927.256854877</v>
      </c>
      <c r="ED51" s="44">
        <f>(IF(ED47=D49,ED50,EC53))</f>
        <v>53317268.672759958</v>
      </c>
      <c r="EE51" s="44">
        <f>(IF(EE47=D49,EE50,ED53))</f>
        <v>46652610.088665038</v>
      </c>
      <c r="EF51" s="44">
        <f>(IF(EF47=D49,EF50,EE53))</f>
        <v>39987951.504570119</v>
      </c>
      <c r="EG51" s="44">
        <f>(IF(EG47=D49,EG50,EF53))</f>
        <v>33323292.9204752</v>
      </c>
      <c r="EH51" s="44">
        <f>(IF(EH47=D49,EH50,EG53))</f>
        <v>26658634.336380281</v>
      </c>
      <c r="EI51" s="44">
        <f t="shared" ref="EI51:EN51" si="65">(IF(EI47=E49,EI50,EH53))</f>
        <v>19993975.752285361</v>
      </c>
      <c r="EJ51" s="44">
        <f t="shared" si="65"/>
        <v>13329317.168190444</v>
      </c>
      <c r="EK51" s="44">
        <f t="shared" si="65"/>
        <v>6664658.5840955265</v>
      </c>
      <c r="EL51" s="44">
        <f t="shared" si="65"/>
        <v>6.0908496379852295E-7</v>
      </c>
      <c r="EM51" s="44">
        <f t="shared" si="65"/>
        <v>6.0908496379852295E-7</v>
      </c>
      <c r="EN51" s="44">
        <f t="shared" si="65"/>
        <v>6.0908496379852295E-7</v>
      </c>
    </row>
    <row r="52" spans="2:144" outlineLevel="1">
      <c r="B52" s="459">
        <f>SUM(H52:XX52)</f>
        <v>799759030.09138954</v>
      </c>
      <c r="C52" s="151" t="s">
        <v>24</v>
      </c>
      <c r="D52" s="467">
        <f>SUMIF($C$4:$C$18,B49,$J$4:$J$18)</f>
        <v>30</v>
      </c>
      <c r="E52" s="468">
        <f>1/D52</f>
        <v>3.3333333333333333E-2</v>
      </c>
      <c r="F52" s="44">
        <f>D50*E52</f>
        <v>26658634.33637967</v>
      </c>
      <c r="G52" s="44"/>
      <c r="H52" s="44">
        <f>IF(H51&gt;1,$F52/4,0)</f>
        <v>0</v>
      </c>
      <c r="I52" s="44">
        <f t="shared" ref="I52:BT52" si="66">IF(I51&gt;1,$F52/4,0)</f>
        <v>0</v>
      </c>
      <c r="J52" s="44">
        <f t="shared" si="66"/>
        <v>0</v>
      </c>
      <c r="K52" s="44">
        <f t="shared" si="66"/>
        <v>0</v>
      </c>
      <c r="L52" s="44">
        <f t="shared" si="66"/>
        <v>0</v>
      </c>
      <c r="M52" s="44">
        <f t="shared" si="66"/>
        <v>0</v>
      </c>
      <c r="N52" s="44">
        <f t="shared" si="66"/>
        <v>0</v>
      </c>
      <c r="O52" s="44">
        <f t="shared" si="66"/>
        <v>0</v>
      </c>
      <c r="P52" s="44">
        <f t="shared" si="66"/>
        <v>0</v>
      </c>
      <c r="Q52" s="44">
        <f t="shared" si="66"/>
        <v>0</v>
      </c>
      <c r="R52" s="44">
        <f t="shared" si="66"/>
        <v>0</v>
      </c>
      <c r="S52" s="44">
        <f t="shared" si="66"/>
        <v>0</v>
      </c>
      <c r="T52" s="44">
        <f t="shared" si="66"/>
        <v>0</v>
      </c>
      <c r="U52" s="44">
        <f t="shared" si="66"/>
        <v>0</v>
      </c>
      <c r="V52" s="44">
        <f t="shared" si="66"/>
        <v>6664658.5840949174</v>
      </c>
      <c r="W52" s="44">
        <f t="shared" si="66"/>
        <v>6664658.5840949174</v>
      </c>
      <c r="X52" s="44">
        <f t="shared" si="66"/>
        <v>6664658.5840949174</v>
      </c>
      <c r="Y52" s="44">
        <f t="shared" si="66"/>
        <v>6664658.5840949174</v>
      </c>
      <c r="Z52" s="44">
        <f t="shared" si="66"/>
        <v>6664658.5840949174</v>
      </c>
      <c r="AA52" s="44">
        <f t="shared" si="66"/>
        <v>6664658.5840949174</v>
      </c>
      <c r="AB52" s="44">
        <f t="shared" si="66"/>
        <v>6664658.5840949174</v>
      </c>
      <c r="AC52" s="44">
        <f t="shared" si="66"/>
        <v>6664658.5840949174</v>
      </c>
      <c r="AD52" s="44">
        <f t="shared" si="66"/>
        <v>6664658.5840949174</v>
      </c>
      <c r="AE52" s="44">
        <f t="shared" si="66"/>
        <v>6664658.5840949174</v>
      </c>
      <c r="AF52" s="44">
        <f t="shared" si="66"/>
        <v>6664658.5840949174</v>
      </c>
      <c r="AG52" s="44">
        <f t="shared" si="66"/>
        <v>6664658.5840949174</v>
      </c>
      <c r="AH52" s="44">
        <f t="shared" si="66"/>
        <v>6664658.5840949174</v>
      </c>
      <c r="AI52" s="44">
        <f t="shared" si="66"/>
        <v>6664658.5840949174</v>
      </c>
      <c r="AJ52" s="44">
        <f t="shared" si="66"/>
        <v>6664658.5840949174</v>
      </c>
      <c r="AK52" s="44">
        <f t="shared" si="66"/>
        <v>6664658.5840949174</v>
      </c>
      <c r="AL52" s="44">
        <f t="shared" si="66"/>
        <v>6664658.5840949174</v>
      </c>
      <c r="AM52" s="44">
        <f t="shared" si="66"/>
        <v>6664658.5840949174</v>
      </c>
      <c r="AN52" s="44">
        <f t="shared" si="66"/>
        <v>6664658.5840949174</v>
      </c>
      <c r="AO52" s="44">
        <f t="shared" si="66"/>
        <v>6664658.5840949174</v>
      </c>
      <c r="AP52" s="44">
        <f t="shared" si="66"/>
        <v>6664658.5840949174</v>
      </c>
      <c r="AQ52" s="44">
        <f t="shared" si="66"/>
        <v>6664658.5840949174</v>
      </c>
      <c r="AR52" s="44">
        <f t="shared" si="66"/>
        <v>6664658.5840949174</v>
      </c>
      <c r="AS52" s="44">
        <f t="shared" si="66"/>
        <v>6664658.5840949174</v>
      </c>
      <c r="AT52" s="44">
        <f t="shared" si="66"/>
        <v>6664658.5840949174</v>
      </c>
      <c r="AU52" s="44">
        <f t="shared" si="66"/>
        <v>6664658.5840949174</v>
      </c>
      <c r="AV52" s="44">
        <f t="shared" si="66"/>
        <v>6664658.5840949174</v>
      </c>
      <c r="AW52" s="44">
        <f t="shared" si="66"/>
        <v>6664658.5840949174</v>
      </c>
      <c r="AX52" s="44">
        <f t="shared" si="66"/>
        <v>6664658.5840949174</v>
      </c>
      <c r="AY52" s="44">
        <f t="shared" si="66"/>
        <v>6664658.5840949174</v>
      </c>
      <c r="AZ52" s="44">
        <f t="shared" si="66"/>
        <v>6664658.5840949174</v>
      </c>
      <c r="BA52" s="44">
        <f t="shared" si="66"/>
        <v>6664658.5840949174</v>
      </c>
      <c r="BB52" s="44">
        <f t="shared" si="66"/>
        <v>6664658.5840949174</v>
      </c>
      <c r="BC52" s="44">
        <f t="shared" si="66"/>
        <v>6664658.5840949174</v>
      </c>
      <c r="BD52" s="44">
        <f t="shared" si="66"/>
        <v>6664658.5840949174</v>
      </c>
      <c r="BE52" s="44">
        <f t="shared" si="66"/>
        <v>6664658.5840949174</v>
      </c>
      <c r="BF52" s="44">
        <f t="shared" si="66"/>
        <v>6664658.5840949174</v>
      </c>
      <c r="BG52" s="44">
        <f t="shared" si="66"/>
        <v>6664658.5840949174</v>
      </c>
      <c r="BH52" s="44">
        <f t="shared" si="66"/>
        <v>6664658.5840949174</v>
      </c>
      <c r="BI52" s="44">
        <f t="shared" si="66"/>
        <v>6664658.5840949174</v>
      </c>
      <c r="BJ52" s="44">
        <f t="shared" si="66"/>
        <v>6664658.5840949174</v>
      </c>
      <c r="BK52" s="44">
        <f t="shared" si="66"/>
        <v>6664658.5840949174</v>
      </c>
      <c r="BL52" s="44">
        <f t="shared" si="66"/>
        <v>6664658.5840949174</v>
      </c>
      <c r="BM52" s="44">
        <f t="shared" si="66"/>
        <v>6664658.5840949174</v>
      </c>
      <c r="BN52" s="44">
        <f t="shared" si="66"/>
        <v>6664658.5840949174</v>
      </c>
      <c r="BO52" s="44">
        <f t="shared" si="66"/>
        <v>6664658.5840949174</v>
      </c>
      <c r="BP52" s="44">
        <f t="shared" si="66"/>
        <v>6664658.5840949174</v>
      </c>
      <c r="BQ52" s="44">
        <f t="shared" si="66"/>
        <v>6664658.5840949174</v>
      </c>
      <c r="BR52" s="44">
        <f t="shared" si="66"/>
        <v>6664658.5840949174</v>
      </c>
      <c r="BS52" s="44">
        <f t="shared" si="66"/>
        <v>6664658.5840949174</v>
      </c>
      <c r="BT52" s="44">
        <f t="shared" si="66"/>
        <v>6664658.5840949174</v>
      </c>
      <c r="BU52" s="44">
        <f t="shared" ref="BU52:EF52" si="67">IF(BU51&gt;1,$F52/4,0)</f>
        <v>6664658.5840949174</v>
      </c>
      <c r="BV52" s="44">
        <f t="shared" si="67"/>
        <v>6664658.5840949174</v>
      </c>
      <c r="BW52" s="44">
        <f t="shared" si="67"/>
        <v>6664658.5840949174</v>
      </c>
      <c r="BX52" s="44">
        <f t="shared" si="67"/>
        <v>6664658.5840949174</v>
      </c>
      <c r="BY52" s="44">
        <f t="shared" si="67"/>
        <v>6664658.5840949174</v>
      </c>
      <c r="BZ52" s="44">
        <f t="shared" si="67"/>
        <v>6664658.5840949174</v>
      </c>
      <c r="CA52" s="44">
        <f t="shared" si="67"/>
        <v>6664658.5840949174</v>
      </c>
      <c r="CB52" s="44">
        <f t="shared" si="67"/>
        <v>6664658.5840949174</v>
      </c>
      <c r="CC52" s="44">
        <f t="shared" si="67"/>
        <v>6664658.5840949174</v>
      </c>
      <c r="CD52" s="44">
        <f t="shared" si="67"/>
        <v>6664658.5840949174</v>
      </c>
      <c r="CE52" s="44">
        <f t="shared" si="67"/>
        <v>6664658.5840949174</v>
      </c>
      <c r="CF52" s="44">
        <f t="shared" si="67"/>
        <v>6664658.5840949174</v>
      </c>
      <c r="CG52" s="44">
        <f t="shared" si="67"/>
        <v>6664658.5840949174</v>
      </c>
      <c r="CH52" s="44">
        <f t="shared" si="67"/>
        <v>6664658.5840949174</v>
      </c>
      <c r="CI52" s="44">
        <f t="shared" si="67"/>
        <v>6664658.5840949174</v>
      </c>
      <c r="CJ52" s="44">
        <f t="shared" si="67"/>
        <v>6664658.5840949174</v>
      </c>
      <c r="CK52" s="44">
        <f t="shared" si="67"/>
        <v>6664658.5840949174</v>
      </c>
      <c r="CL52" s="44">
        <f t="shared" si="67"/>
        <v>6664658.5840949174</v>
      </c>
      <c r="CM52" s="44">
        <f t="shared" si="67"/>
        <v>6664658.5840949174</v>
      </c>
      <c r="CN52" s="44">
        <f t="shared" si="67"/>
        <v>6664658.5840949174</v>
      </c>
      <c r="CO52" s="44">
        <f t="shared" si="67"/>
        <v>6664658.5840949174</v>
      </c>
      <c r="CP52" s="44">
        <f t="shared" si="67"/>
        <v>6664658.5840949174</v>
      </c>
      <c r="CQ52" s="44">
        <f t="shared" si="67"/>
        <v>6664658.5840949174</v>
      </c>
      <c r="CR52" s="44">
        <f t="shared" si="67"/>
        <v>6664658.5840949174</v>
      </c>
      <c r="CS52" s="44">
        <f t="shared" si="67"/>
        <v>6664658.5840949174</v>
      </c>
      <c r="CT52" s="44">
        <f t="shared" si="67"/>
        <v>6664658.5840949174</v>
      </c>
      <c r="CU52" s="44">
        <f t="shared" si="67"/>
        <v>6664658.5840949174</v>
      </c>
      <c r="CV52" s="44">
        <f t="shared" si="67"/>
        <v>6664658.5840949174</v>
      </c>
      <c r="CW52" s="44">
        <f t="shared" si="67"/>
        <v>6664658.5840949174</v>
      </c>
      <c r="CX52" s="44">
        <f t="shared" si="67"/>
        <v>6664658.5840949174</v>
      </c>
      <c r="CY52" s="44">
        <f t="shared" si="67"/>
        <v>6664658.5840949174</v>
      </c>
      <c r="CZ52" s="44">
        <f t="shared" si="67"/>
        <v>6664658.5840949174</v>
      </c>
      <c r="DA52" s="44">
        <f t="shared" si="67"/>
        <v>6664658.5840949174</v>
      </c>
      <c r="DB52" s="44">
        <f t="shared" si="67"/>
        <v>6664658.5840949174</v>
      </c>
      <c r="DC52" s="44">
        <f t="shared" si="67"/>
        <v>6664658.5840949174</v>
      </c>
      <c r="DD52" s="44">
        <f t="shared" si="67"/>
        <v>6664658.5840949174</v>
      </c>
      <c r="DE52" s="44">
        <f t="shared" si="67"/>
        <v>6664658.5840949174</v>
      </c>
      <c r="DF52" s="44">
        <f t="shared" si="67"/>
        <v>6664658.5840949174</v>
      </c>
      <c r="DG52" s="44">
        <f t="shared" si="67"/>
        <v>6664658.5840949174</v>
      </c>
      <c r="DH52" s="44">
        <f t="shared" si="67"/>
        <v>6664658.5840949174</v>
      </c>
      <c r="DI52" s="44">
        <f t="shared" si="67"/>
        <v>6664658.5840949174</v>
      </c>
      <c r="DJ52" s="44">
        <f t="shared" si="67"/>
        <v>6664658.5840949174</v>
      </c>
      <c r="DK52" s="44">
        <f t="shared" si="67"/>
        <v>6664658.5840949174</v>
      </c>
      <c r="DL52" s="44">
        <f t="shared" si="67"/>
        <v>6664658.5840949174</v>
      </c>
      <c r="DM52" s="44">
        <f t="shared" si="67"/>
        <v>6664658.5840949174</v>
      </c>
      <c r="DN52" s="44">
        <f t="shared" si="67"/>
        <v>6664658.5840949174</v>
      </c>
      <c r="DO52" s="44">
        <f t="shared" si="67"/>
        <v>6664658.5840949174</v>
      </c>
      <c r="DP52" s="44">
        <f t="shared" si="67"/>
        <v>6664658.5840949174</v>
      </c>
      <c r="DQ52" s="44">
        <f t="shared" si="67"/>
        <v>6664658.5840949174</v>
      </c>
      <c r="DR52" s="44">
        <f t="shared" si="67"/>
        <v>6664658.5840949174</v>
      </c>
      <c r="DS52" s="44">
        <f t="shared" si="67"/>
        <v>6664658.5840949174</v>
      </c>
      <c r="DT52" s="44">
        <f t="shared" si="67"/>
        <v>6664658.5840949174</v>
      </c>
      <c r="DU52" s="44">
        <f t="shared" si="67"/>
        <v>6664658.5840949174</v>
      </c>
      <c r="DV52" s="44">
        <f t="shared" si="67"/>
        <v>6664658.5840949174</v>
      </c>
      <c r="DW52" s="44">
        <f t="shared" si="67"/>
        <v>6664658.5840949174</v>
      </c>
      <c r="DX52" s="44">
        <f t="shared" si="67"/>
        <v>6664658.5840949174</v>
      </c>
      <c r="DY52" s="44">
        <f t="shared" si="67"/>
        <v>6664658.5840949174</v>
      </c>
      <c r="DZ52" s="44">
        <f t="shared" si="67"/>
        <v>6664658.5840949174</v>
      </c>
      <c r="EA52" s="44">
        <f t="shared" si="67"/>
        <v>6664658.5840949174</v>
      </c>
      <c r="EB52" s="44">
        <f t="shared" si="67"/>
        <v>6664658.5840949174</v>
      </c>
      <c r="EC52" s="44">
        <f t="shared" si="67"/>
        <v>6664658.5840949174</v>
      </c>
      <c r="ED52" s="44">
        <f t="shared" si="67"/>
        <v>6664658.5840949174</v>
      </c>
      <c r="EE52" s="44">
        <f t="shared" si="67"/>
        <v>6664658.5840949174</v>
      </c>
      <c r="EF52" s="44">
        <f t="shared" si="67"/>
        <v>6664658.5840949174</v>
      </c>
      <c r="EG52" s="44">
        <f t="shared" ref="EG52:EN52" si="68">IF(EG51&gt;1,$F52/4,0)</f>
        <v>6664658.5840949174</v>
      </c>
      <c r="EH52" s="44">
        <f t="shared" si="68"/>
        <v>6664658.5840949174</v>
      </c>
      <c r="EI52" s="44">
        <f t="shared" si="68"/>
        <v>6664658.5840949174</v>
      </c>
      <c r="EJ52" s="44">
        <f t="shared" si="68"/>
        <v>6664658.5840949174</v>
      </c>
      <c r="EK52" s="44">
        <f t="shared" si="68"/>
        <v>6664658.5840949174</v>
      </c>
      <c r="EL52" s="44">
        <f t="shared" si="68"/>
        <v>0</v>
      </c>
      <c r="EM52" s="44">
        <f t="shared" si="68"/>
        <v>0</v>
      </c>
      <c r="EN52" s="44">
        <f t="shared" si="68"/>
        <v>0</v>
      </c>
    </row>
    <row r="53" spans="2:144" outlineLevel="1">
      <c r="B53" s="459">
        <f>D50-B52</f>
        <v>0</v>
      </c>
      <c r="C53" s="151" t="s">
        <v>74</v>
      </c>
      <c r="D53" s="44"/>
      <c r="E53" s="44"/>
      <c r="F53" s="44"/>
      <c r="G53" s="44"/>
      <c r="H53" s="44">
        <f>IF((H51-H52)&gt;0,(H51-H52),0)</f>
        <v>0</v>
      </c>
      <c r="I53" s="44">
        <f t="shared" ref="I53:BT53" si="69">IF((I51-I52)&gt;0,(I51-I52),0)</f>
        <v>0</v>
      </c>
      <c r="J53" s="44">
        <f t="shared" si="69"/>
        <v>0</v>
      </c>
      <c r="K53" s="44">
        <f t="shared" si="69"/>
        <v>0</v>
      </c>
      <c r="L53" s="44">
        <f t="shared" si="69"/>
        <v>0</v>
      </c>
      <c r="M53" s="44">
        <f t="shared" si="69"/>
        <v>0</v>
      </c>
      <c r="N53" s="44">
        <f t="shared" si="69"/>
        <v>0</v>
      </c>
      <c r="O53" s="44">
        <f t="shared" si="69"/>
        <v>0</v>
      </c>
      <c r="P53" s="44">
        <f t="shared" si="69"/>
        <v>0</v>
      </c>
      <c r="Q53" s="44">
        <f t="shared" si="69"/>
        <v>0</v>
      </c>
      <c r="R53" s="44">
        <f t="shared" si="69"/>
        <v>0</v>
      </c>
      <c r="S53" s="44">
        <f t="shared" si="69"/>
        <v>0</v>
      </c>
      <c r="T53" s="44">
        <f t="shared" si="69"/>
        <v>0</v>
      </c>
      <c r="U53" s="44">
        <f t="shared" si="69"/>
        <v>0</v>
      </c>
      <c r="V53" s="44">
        <f t="shared" si="69"/>
        <v>793094371.50729525</v>
      </c>
      <c r="W53" s="44">
        <f t="shared" si="69"/>
        <v>786429712.92320037</v>
      </c>
      <c r="X53" s="44">
        <f t="shared" si="69"/>
        <v>779765054.33910549</v>
      </c>
      <c r="Y53" s="44">
        <f t="shared" si="69"/>
        <v>773100395.7550106</v>
      </c>
      <c r="Z53" s="44">
        <f t="shared" si="69"/>
        <v>766435737.17091572</v>
      </c>
      <c r="AA53" s="44">
        <f t="shared" si="69"/>
        <v>759771078.58682084</v>
      </c>
      <c r="AB53" s="44">
        <f t="shared" si="69"/>
        <v>753106420.00272596</v>
      </c>
      <c r="AC53" s="44">
        <f t="shared" si="69"/>
        <v>746441761.41863108</v>
      </c>
      <c r="AD53" s="44">
        <f t="shared" si="69"/>
        <v>739777102.83453619</v>
      </c>
      <c r="AE53" s="44">
        <f t="shared" si="69"/>
        <v>733112444.25044131</v>
      </c>
      <c r="AF53" s="44">
        <f t="shared" si="69"/>
        <v>726447785.66634643</v>
      </c>
      <c r="AG53" s="44">
        <f t="shared" si="69"/>
        <v>719783127.08225155</v>
      </c>
      <c r="AH53" s="44">
        <f t="shared" si="69"/>
        <v>713118468.49815667</v>
      </c>
      <c r="AI53" s="44">
        <f t="shared" si="69"/>
        <v>706453809.91406178</v>
      </c>
      <c r="AJ53" s="44">
        <f t="shared" si="69"/>
        <v>699789151.3299669</v>
      </c>
      <c r="AK53" s="44">
        <f t="shared" si="69"/>
        <v>693124492.74587202</v>
      </c>
      <c r="AL53" s="44">
        <f t="shared" si="69"/>
        <v>686459834.16177714</v>
      </c>
      <c r="AM53" s="44">
        <f t="shared" si="69"/>
        <v>679795175.57768226</v>
      </c>
      <c r="AN53" s="44">
        <f t="shared" si="69"/>
        <v>673130516.99358737</v>
      </c>
      <c r="AO53" s="44">
        <f t="shared" si="69"/>
        <v>666465858.40949249</v>
      </c>
      <c r="AP53" s="44">
        <f t="shared" si="69"/>
        <v>659801199.82539761</v>
      </c>
      <c r="AQ53" s="44">
        <f t="shared" si="69"/>
        <v>653136541.24130273</v>
      </c>
      <c r="AR53" s="44">
        <f t="shared" si="69"/>
        <v>646471882.65720785</v>
      </c>
      <c r="AS53" s="44">
        <f t="shared" si="69"/>
        <v>639807224.07311296</v>
      </c>
      <c r="AT53" s="44">
        <f t="shared" si="69"/>
        <v>633142565.48901808</v>
      </c>
      <c r="AU53" s="44">
        <f t="shared" si="69"/>
        <v>626477906.9049232</v>
      </c>
      <c r="AV53" s="44">
        <f t="shared" si="69"/>
        <v>619813248.32082832</v>
      </c>
      <c r="AW53" s="44">
        <f t="shared" si="69"/>
        <v>613148589.73673344</v>
      </c>
      <c r="AX53" s="44">
        <f t="shared" si="69"/>
        <v>606483931.15263855</v>
      </c>
      <c r="AY53" s="44">
        <f t="shared" si="69"/>
        <v>599819272.56854367</v>
      </c>
      <c r="AZ53" s="44">
        <f t="shared" si="69"/>
        <v>593154613.98444879</v>
      </c>
      <c r="BA53" s="44">
        <f t="shared" si="69"/>
        <v>586489955.40035391</v>
      </c>
      <c r="BB53" s="44">
        <f t="shared" si="69"/>
        <v>579825296.81625903</v>
      </c>
      <c r="BC53" s="44">
        <f t="shared" si="69"/>
        <v>573160638.23216414</v>
      </c>
      <c r="BD53" s="44">
        <f t="shared" si="69"/>
        <v>566495979.64806926</v>
      </c>
      <c r="BE53" s="44">
        <f t="shared" si="69"/>
        <v>559831321.06397438</v>
      </c>
      <c r="BF53" s="44">
        <f t="shared" si="69"/>
        <v>553166662.4798795</v>
      </c>
      <c r="BG53" s="44">
        <f t="shared" si="69"/>
        <v>546502003.89578462</v>
      </c>
      <c r="BH53" s="44">
        <f t="shared" si="69"/>
        <v>539837345.31168973</v>
      </c>
      <c r="BI53" s="44">
        <f t="shared" si="69"/>
        <v>533172686.72759479</v>
      </c>
      <c r="BJ53" s="44">
        <f t="shared" si="69"/>
        <v>526508028.14349985</v>
      </c>
      <c r="BK53" s="44">
        <f t="shared" si="69"/>
        <v>519843369.55940491</v>
      </c>
      <c r="BL53" s="44">
        <f t="shared" si="69"/>
        <v>513178710.97530997</v>
      </c>
      <c r="BM53" s="44">
        <f t="shared" si="69"/>
        <v>506514052.39121503</v>
      </c>
      <c r="BN53" s="44">
        <f t="shared" si="69"/>
        <v>499849393.80712008</v>
      </c>
      <c r="BO53" s="44">
        <f t="shared" si="69"/>
        <v>493184735.22302514</v>
      </c>
      <c r="BP53" s="44">
        <f t="shared" si="69"/>
        <v>486520076.6389302</v>
      </c>
      <c r="BQ53" s="44">
        <f t="shared" si="69"/>
        <v>479855418.05483526</v>
      </c>
      <c r="BR53" s="44">
        <f t="shared" si="69"/>
        <v>473190759.47074032</v>
      </c>
      <c r="BS53" s="44">
        <f t="shared" si="69"/>
        <v>466526100.88664538</v>
      </c>
      <c r="BT53" s="44">
        <f t="shared" si="69"/>
        <v>459861442.30255044</v>
      </c>
      <c r="BU53" s="44">
        <f t="shared" ref="BU53:EF53" si="70">IF((BU51-BU52)&gt;0,(BU51-BU52),0)</f>
        <v>453196783.71845549</v>
      </c>
      <c r="BV53" s="44">
        <f t="shared" si="70"/>
        <v>446532125.13436055</v>
      </c>
      <c r="BW53" s="44">
        <f t="shared" si="70"/>
        <v>439867466.55026561</v>
      </c>
      <c r="BX53" s="44">
        <f t="shared" si="70"/>
        <v>433202807.96617067</v>
      </c>
      <c r="BY53" s="44">
        <f t="shared" si="70"/>
        <v>426538149.38207573</v>
      </c>
      <c r="BZ53" s="44">
        <f t="shared" si="70"/>
        <v>419873490.79798079</v>
      </c>
      <c r="CA53" s="44">
        <f t="shared" si="70"/>
        <v>413208832.21388584</v>
      </c>
      <c r="CB53" s="44">
        <f t="shared" si="70"/>
        <v>406544173.6297909</v>
      </c>
      <c r="CC53" s="44">
        <f t="shared" si="70"/>
        <v>399879515.04569596</v>
      </c>
      <c r="CD53" s="44">
        <f t="shared" si="70"/>
        <v>393214856.46160102</v>
      </c>
      <c r="CE53" s="44">
        <f t="shared" si="70"/>
        <v>386550197.87750608</v>
      </c>
      <c r="CF53" s="44">
        <f t="shared" si="70"/>
        <v>379885539.29341114</v>
      </c>
      <c r="CG53" s="44">
        <f t="shared" si="70"/>
        <v>373220880.70931619</v>
      </c>
      <c r="CH53" s="44">
        <f t="shared" si="70"/>
        <v>366556222.12522125</v>
      </c>
      <c r="CI53" s="44">
        <f t="shared" si="70"/>
        <v>359891563.54112631</v>
      </c>
      <c r="CJ53" s="44">
        <f t="shared" si="70"/>
        <v>353226904.95703137</v>
      </c>
      <c r="CK53" s="44">
        <f t="shared" si="70"/>
        <v>346562246.37293643</v>
      </c>
      <c r="CL53" s="44">
        <f t="shared" si="70"/>
        <v>339897587.78884149</v>
      </c>
      <c r="CM53" s="44">
        <f t="shared" si="70"/>
        <v>333232929.20474654</v>
      </c>
      <c r="CN53" s="44">
        <f t="shared" si="70"/>
        <v>326568270.6206516</v>
      </c>
      <c r="CO53" s="44">
        <f t="shared" si="70"/>
        <v>319903612.03655666</v>
      </c>
      <c r="CP53" s="44">
        <f t="shared" si="70"/>
        <v>313238953.45246172</v>
      </c>
      <c r="CQ53" s="44">
        <f t="shared" si="70"/>
        <v>306574294.86836678</v>
      </c>
      <c r="CR53" s="44">
        <f t="shared" si="70"/>
        <v>299909636.28427184</v>
      </c>
      <c r="CS53" s="44">
        <f t="shared" si="70"/>
        <v>293244977.70017689</v>
      </c>
      <c r="CT53" s="44">
        <f t="shared" si="70"/>
        <v>286580319.11608195</v>
      </c>
      <c r="CU53" s="44">
        <f t="shared" si="70"/>
        <v>279915660.53198701</v>
      </c>
      <c r="CV53" s="44">
        <f t="shared" si="70"/>
        <v>273251001.94789207</v>
      </c>
      <c r="CW53" s="44">
        <f t="shared" si="70"/>
        <v>266586343.36379716</v>
      </c>
      <c r="CX53" s="44">
        <f t="shared" si="70"/>
        <v>259921684.77970225</v>
      </c>
      <c r="CY53" s="44">
        <f t="shared" si="70"/>
        <v>253257026.19560733</v>
      </c>
      <c r="CZ53" s="44">
        <f t="shared" si="70"/>
        <v>246592367.61151242</v>
      </c>
      <c r="DA53" s="44">
        <f t="shared" si="70"/>
        <v>239927709.02741751</v>
      </c>
      <c r="DB53" s="44">
        <f t="shared" si="70"/>
        <v>233263050.4433226</v>
      </c>
      <c r="DC53" s="44">
        <f t="shared" si="70"/>
        <v>226598391.85922769</v>
      </c>
      <c r="DD53" s="44">
        <f t="shared" si="70"/>
        <v>219933733.27513278</v>
      </c>
      <c r="DE53" s="44">
        <f t="shared" si="70"/>
        <v>213269074.69103786</v>
      </c>
      <c r="DF53" s="44">
        <f t="shared" si="70"/>
        <v>206604416.10694295</v>
      </c>
      <c r="DG53" s="44">
        <f t="shared" si="70"/>
        <v>199939757.52284804</v>
      </c>
      <c r="DH53" s="44">
        <f t="shared" si="70"/>
        <v>193275098.93875313</v>
      </c>
      <c r="DI53" s="44">
        <f t="shared" si="70"/>
        <v>186610440.35465822</v>
      </c>
      <c r="DJ53" s="44">
        <f t="shared" si="70"/>
        <v>179945781.7705633</v>
      </c>
      <c r="DK53" s="44">
        <f t="shared" si="70"/>
        <v>173281123.18646839</v>
      </c>
      <c r="DL53" s="44">
        <f t="shared" si="70"/>
        <v>166616464.60237348</v>
      </c>
      <c r="DM53" s="44">
        <f t="shared" si="70"/>
        <v>159951806.01827857</v>
      </c>
      <c r="DN53" s="44">
        <f t="shared" si="70"/>
        <v>153287147.43418366</v>
      </c>
      <c r="DO53" s="44">
        <f t="shared" si="70"/>
        <v>146622488.85008875</v>
      </c>
      <c r="DP53" s="44">
        <f t="shared" si="70"/>
        <v>139957830.26599383</v>
      </c>
      <c r="DQ53" s="44">
        <f t="shared" si="70"/>
        <v>133293171.68189892</v>
      </c>
      <c r="DR53" s="44">
        <f t="shared" si="70"/>
        <v>126628513.09780401</v>
      </c>
      <c r="DS53" s="44">
        <f t="shared" si="70"/>
        <v>119963854.5137091</v>
      </c>
      <c r="DT53" s="44">
        <f t="shared" si="70"/>
        <v>113299195.92961419</v>
      </c>
      <c r="DU53" s="44">
        <f t="shared" si="70"/>
        <v>106634537.34551927</v>
      </c>
      <c r="DV53" s="44">
        <f t="shared" si="70"/>
        <v>99969878.761424363</v>
      </c>
      <c r="DW53" s="44">
        <f t="shared" si="70"/>
        <v>93305220.177329451</v>
      </c>
      <c r="DX53" s="44">
        <f t="shared" si="70"/>
        <v>86640561.593234539</v>
      </c>
      <c r="DY53" s="44">
        <f t="shared" si="70"/>
        <v>79975903.009139627</v>
      </c>
      <c r="DZ53" s="44">
        <f t="shared" si="70"/>
        <v>73311244.425044715</v>
      </c>
      <c r="EA53" s="44">
        <f t="shared" si="70"/>
        <v>66646585.840949796</v>
      </c>
      <c r="EB53" s="44">
        <f t="shared" si="70"/>
        <v>59981927.256854877</v>
      </c>
      <c r="EC53" s="44">
        <f t="shared" si="70"/>
        <v>53317268.672759958</v>
      </c>
      <c r="ED53" s="44">
        <f t="shared" si="70"/>
        <v>46652610.088665038</v>
      </c>
      <c r="EE53" s="44">
        <f t="shared" si="70"/>
        <v>39987951.504570119</v>
      </c>
      <c r="EF53" s="44">
        <f t="shared" si="70"/>
        <v>33323292.9204752</v>
      </c>
      <c r="EG53" s="44">
        <f t="shared" ref="EG53:EN53" si="71">IF((EG51-EG52)&gt;0,(EG51-EG52),0)</f>
        <v>26658634.336380281</v>
      </c>
      <c r="EH53" s="44">
        <f t="shared" si="71"/>
        <v>19993975.752285361</v>
      </c>
      <c r="EI53" s="44">
        <f t="shared" si="71"/>
        <v>13329317.168190444</v>
      </c>
      <c r="EJ53" s="44">
        <f t="shared" si="71"/>
        <v>6664658.5840955265</v>
      </c>
      <c r="EK53" s="44">
        <f t="shared" si="71"/>
        <v>6.0908496379852295E-7</v>
      </c>
      <c r="EL53" s="44">
        <f t="shared" si="71"/>
        <v>6.0908496379852295E-7</v>
      </c>
      <c r="EM53" s="44">
        <f t="shared" si="71"/>
        <v>6.0908496379852295E-7</v>
      </c>
      <c r="EN53" s="44">
        <f t="shared" si="71"/>
        <v>6.0908496379852295E-7</v>
      </c>
    </row>
    <row r="54" spans="2:144" outlineLevel="1">
      <c r="B54" s="139" t="s">
        <v>43</v>
      </c>
      <c r="C54" s="151" t="s">
        <v>487</v>
      </c>
      <c r="D54" s="44"/>
      <c r="E54" s="44"/>
      <c r="F54" s="44"/>
      <c r="G54" s="44"/>
      <c r="H54" s="44">
        <f>IF(H47&gt;D49,(SUM(G53:H53)/2),IF(H47=D49,H53,0))</f>
        <v>0</v>
      </c>
      <c r="I54" s="44">
        <f>IF(I47&gt;D49,(SUM(H53:I53)/2),IF(I47=D49,I53,0))</f>
        <v>0</v>
      </c>
      <c r="J54" s="44">
        <f>IF(J47&gt;D49,(SUM(I53:J53)/2),IF(J47=D49,J53,0))</f>
        <v>0</v>
      </c>
      <c r="K54" s="44">
        <f>IF(K47&gt;D49,(SUM(J53:K53)/2),IF(K47=D49,K53,0))</f>
        <v>0</v>
      </c>
      <c r="L54" s="44">
        <f>IF(L47&gt;D49,(SUM(K53:L53)/2),IF(L47=D49,L53,0))</f>
        <v>0</v>
      </c>
      <c r="M54" s="44">
        <f>IF(M47&gt;D49,(SUM(L53:M53)/2),IF(M47=D49,M53,0))</f>
        <v>0</v>
      </c>
      <c r="N54" s="44">
        <f>IF(N47&gt;D49,(SUM(M53:N53)/2),IF(N47=D49,N53,0))</f>
        <v>0</v>
      </c>
      <c r="O54" s="44">
        <f>IF(O47&gt;D49,(SUM(N53:O53)/2),IF(O47=D49,O53,0))</f>
        <v>0</v>
      </c>
      <c r="P54" s="44">
        <f>IF(P47&gt;D49,(SUM(O53:P53)/2),IF(P47=D49,P53,0))</f>
        <v>0</v>
      </c>
      <c r="Q54" s="44">
        <f>IF(Q47&gt;D49,(SUM(P53:Q53)/2),IF(Q47=D49,Q53,0))</f>
        <v>0</v>
      </c>
      <c r="R54" s="44">
        <f>IF(R47&gt;D49,(SUM(Q53:R53)/2),IF(R47=D49,R53,0))</f>
        <v>0</v>
      </c>
      <c r="S54" s="44">
        <f>IF(S47&gt;D49,(SUM(R53:S53)/2),IF(S47=D49,S53,0))</f>
        <v>0</v>
      </c>
      <c r="T54" s="44">
        <f>IF(T47&gt;D49,(SUM(S53:T53)/2),IF(T47=D49,T53,0))</f>
        <v>0</v>
      </c>
      <c r="U54" s="44">
        <f>IF(U47&gt;D49,(SUM(T53:U53)/2),IF(U47=D49,U53,0))</f>
        <v>0</v>
      </c>
      <c r="V54" s="44">
        <f>IF(V47&gt;D49,(SUM(U53:V53)/2),IF(V47=D49,V53,0))</f>
        <v>793094371.50729525</v>
      </c>
      <c r="W54" s="44">
        <f>IF(W47&gt;D49,(SUM(V53:W53)/2),IF(W47=D49,W53,0))</f>
        <v>789762042.21524787</v>
      </c>
      <c r="X54" s="44">
        <f>IF(X47&gt;D49,(SUM(W53:X53)/2),IF(X47=D49,X53,0))</f>
        <v>783097383.63115287</v>
      </c>
      <c r="Y54" s="44">
        <f>IF(Y47&gt;D49,(SUM(X53:Y53)/2),IF(Y47=D49,Y53,0))</f>
        <v>776432725.04705811</v>
      </c>
      <c r="Z54" s="44">
        <f>IF(Z47&gt;D49,(SUM(Y53:Z53)/2),IF(Z47=D49,Z53,0))</f>
        <v>769768066.4629631</v>
      </c>
      <c r="AA54" s="44">
        <f>IF(AA47&gt;D49,(SUM(Z53:AA53)/2),IF(AA47=D49,AA53,0))</f>
        <v>763103407.87886834</v>
      </c>
      <c r="AB54" s="44">
        <f>IF(AB47&gt;D49,(SUM(AA53:AB53)/2),IF(AB47=D49,AB53,0))</f>
        <v>756438749.29477334</v>
      </c>
      <c r="AC54" s="44">
        <f>IF(AC47&gt;D49,(SUM(AB53:AC53)/2),IF(AC47=D49,AC53,0))</f>
        <v>749774090.71067858</v>
      </c>
      <c r="AD54" s="44">
        <f>IF(AD47&gt;D49,(SUM(AC53:AD53)/2),IF(AD47=D49,AD53,0))</f>
        <v>743109432.12658358</v>
      </c>
      <c r="AE54" s="44">
        <f>IF(AE47&gt;D49,(SUM(AD53:AE53)/2),IF(AE47=D49,AE53,0))</f>
        <v>736444773.54248881</v>
      </c>
      <c r="AF54" s="44">
        <f>IF(AF47&gt;D49,(SUM(AE53:AF53)/2),IF(AF47=D49,AF53,0))</f>
        <v>729780114.95839381</v>
      </c>
      <c r="AG54" s="44">
        <f>IF(AG47&gt;D49,(SUM(AF53:AG53)/2),IF(AG47=D49,AG53,0))</f>
        <v>723115456.37429905</v>
      </c>
      <c r="AH54" s="44">
        <f>IF(AH47&gt;D49,(SUM(AG53:AH53)/2),IF(AH47=D49,AH53,0))</f>
        <v>716450797.79020405</v>
      </c>
      <c r="AI54" s="44">
        <f>IF(AI47&gt;D49,(SUM(AH53:AI53)/2),IF(AI47=D49,AI53,0))</f>
        <v>709786139.20610929</v>
      </c>
      <c r="AJ54" s="44">
        <f>IF(AJ47&gt;D49,(SUM(AI53:AJ53)/2),IF(AJ47=D49,AJ53,0))</f>
        <v>703121480.62201428</v>
      </c>
      <c r="AK54" s="44">
        <f>IF(AK47&gt;D49,(SUM(AJ53:AK53)/2),IF(AK47=D49,AK53,0))</f>
        <v>696456822.03791952</v>
      </c>
      <c r="AL54" s="44">
        <f>IF(AL47&gt;D49,(SUM(AK53:AL53)/2),IF(AL47=D49,AL53,0))</f>
        <v>689792163.45382452</v>
      </c>
      <c r="AM54" s="44">
        <f>IF(AM47&gt;D49,(SUM(AL53:AM53)/2),IF(AM47=D49,AM53,0))</f>
        <v>683127504.86972976</v>
      </c>
      <c r="AN54" s="44">
        <f>IF(AN47&gt;D49,(SUM(AM53:AN53)/2),IF(AN47=D49,AN53,0))</f>
        <v>676462846.28563476</v>
      </c>
      <c r="AO54" s="44">
        <f>IF(AO47&gt;D49,(SUM(AN53:AO53)/2),IF(AO47=D49,AO53,0))</f>
        <v>669798187.70153999</v>
      </c>
      <c r="AP54" s="44">
        <f>IF(AP47&gt;D49,(SUM(AO53:AP53)/2),IF(AP47=D49,AP53,0))</f>
        <v>663133529.11744499</v>
      </c>
      <c r="AQ54" s="44">
        <f>IF(AQ47&gt;D49,(SUM(AP53:AQ53)/2),IF(AQ47=D49,AQ53,0))</f>
        <v>656468870.53335023</v>
      </c>
      <c r="AR54" s="44">
        <f>IF(AR47&gt;D49,(SUM(AQ53:AR53)/2),IF(AR47=D49,AR53,0))</f>
        <v>649804211.94925523</v>
      </c>
      <c r="AS54" s="44">
        <f>IF(AS47&gt;D49,(SUM(AR53:AS53)/2),IF(AS47=D49,AS53,0))</f>
        <v>643139553.36516047</v>
      </c>
      <c r="AT54" s="44">
        <f>IF(AT47&gt;D49,(SUM(AS53:AT53)/2),IF(AT47=D49,AT53,0))</f>
        <v>636474894.78106546</v>
      </c>
      <c r="AU54" s="44">
        <f>IF(AU47&gt;D49,(SUM(AT53:AU53)/2),IF(AU47=D49,AU53,0))</f>
        <v>629810236.1969707</v>
      </c>
      <c r="AV54" s="44">
        <f>IF(AV47&gt;D49,(SUM(AU53:AV53)/2),IF(AV47=D49,AV53,0))</f>
        <v>623145577.6128757</v>
      </c>
      <c r="AW54" s="44">
        <f>IF(AW47&gt;D49,(SUM(AV53:AW53)/2),IF(AW47=D49,AW53,0))</f>
        <v>616480919.02878094</v>
      </c>
      <c r="AX54" s="44">
        <f>IF(AX47&gt;D49,(SUM(AW53:AX53)/2),IF(AX47=D49,AX53,0))</f>
        <v>609816260.44468594</v>
      </c>
      <c r="AY54" s="44">
        <f>IF(AY47&gt;D49,(SUM(AX53:AY53)/2),IF(AY47=D49,AY53,0))</f>
        <v>603151601.86059117</v>
      </c>
      <c r="AZ54" s="44">
        <f>IF(AZ47&gt;D49,(SUM(AY53:AZ53)/2),IF(AZ47=D49,AZ53,0))</f>
        <v>596486943.27649617</v>
      </c>
      <c r="BA54" s="44">
        <f>IF(BA47&gt;D49,(SUM(AZ53:BA53)/2),IF(BA47=D49,BA53,0))</f>
        <v>589822284.69240141</v>
      </c>
      <c r="BB54" s="44">
        <f>IF(BB47&gt;D49,(SUM(BA53:BB53)/2),IF(BB47=D49,BB53,0))</f>
        <v>583157626.10830641</v>
      </c>
      <c r="BC54" s="44">
        <f>IF(BC47&gt;D49,(SUM(BB53:BC53)/2),IF(BC47=D49,BC53,0))</f>
        <v>576492967.52421165</v>
      </c>
      <c r="BD54" s="44">
        <f>IF(BD47&gt;D49,(SUM(BC53:BD53)/2),IF(BD47=D49,BD53,0))</f>
        <v>569828308.94011664</v>
      </c>
      <c r="BE54" s="44">
        <f>IF(BE47&gt;D49,(SUM(BD53:BE53)/2),IF(BE47=D49,BE53,0))</f>
        <v>563163650.35602188</v>
      </c>
      <c r="BF54" s="44">
        <f>IF(BF47&gt;D49,(SUM(BE53:BF53)/2),IF(BF47=D49,BF53,0))</f>
        <v>556498991.77192688</v>
      </c>
      <c r="BG54" s="44">
        <f>IF(BG47&gt;D49,(SUM(BF53:BG53)/2),IF(BG47=D49,BG53,0))</f>
        <v>549834333.18783212</v>
      </c>
      <c r="BH54" s="44">
        <f>IF(BH47&gt;D49,(SUM(BG53:BH53)/2),IF(BH47=D49,BH53,0))</f>
        <v>543169674.60373712</v>
      </c>
      <c r="BI54" s="44">
        <f>IF(BI47&gt;D49,(SUM(BH53:BI53)/2),IF(BI47=D49,BI53,0))</f>
        <v>536505016.01964223</v>
      </c>
      <c r="BJ54" s="44">
        <f>IF(BJ47&gt;D49,(SUM(BI53:BJ53)/2),IF(BJ47=D49,BJ53,0))</f>
        <v>529840357.43554735</v>
      </c>
      <c r="BK54" s="44">
        <f>IF(BK47&gt;D49,(SUM(BJ53:BK53)/2),IF(BK47=D49,BK53,0))</f>
        <v>523175698.85145235</v>
      </c>
      <c r="BL54" s="44">
        <f>IF(BL47&gt;D49,(SUM(BK53:BL53)/2),IF(BL47=D49,BL53,0))</f>
        <v>516511040.26735747</v>
      </c>
      <c r="BM54" s="44">
        <f>IF(BM47&gt;D49,(SUM(BL53:BM53)/2),IF(BM47=D49,BM53,0))</f>
        <v>509846381.68326247</v>
      </c>
      <c r="BN54" s="44">
        <f>IF(BN47&gt;D49,(SUM(BM53:BN53)/2),IF(BN47=D49,BN53,0))</f>
        <v>503181723.09916759</v>
      </c>
      <c r="BO54" s="44">
        <f>IF(BO47&gt;D49,(SUM(BN53:BO53)/2),IF(BO47=D49,BO53,0))</f>
        <v>496517064.51507258</v>
      </c>
      <c r="BP54" s="44">
        <f>IF(BP47&gt;D49,(SUM(BO53:BP53)/2),IF(BP47=D49,BP53,0))</f>
        <v>489852405.9309777</v>
      </c>
      <c r="BQ54" s="44">
        <f>IF(BQ47&gt;D49,(SUM(BP53:BQ53)/2),IF(BQ47=D49,BQ53,0))</f>
        <v>483187747.3468827</v>
      </c>
      <c r="BR54" s="44">
        <f>IF(BR47&gt;D49,(SUM(BQ53:BR53)/2),IF(BR47=D49,BR53,0))</f>
        <v>476523088.76278782</v>
      </c>
      <c r="BS54" s="44">
        <f>IF(BS47&gt;D49,(SUM(BR53:BS53)/2),IF(BS47=D49,BS53,0))</f>
        <v>469858430.17869282</v>
      </c>
      <c r="BT54" s="44">
        <f>IF(BT47&gt;D49,(SUM(BS53:BT53)/2),IF(BT47=D49,BT53,0))</f>
        <v>463193771.59459794</v>
      </c>
      <c r="BU54" s="44">
        <f>IF(BU47&gt;D49,(SUM(BT53:BU53)/2),IF(BU47=D49,BU53,0))</f>
        <v>456529113.01050293</v>
      </c>
      <c r="BV54" s="44">
        <f>IF(BV47&gt;D49,(SUM(BU53:BV53)/2),IF(BV47=D49,BV53,0))</f>
        <v>449864454.42640805</v>
      </c>
      <c r="BW54" s="44">
        <f>IF(BW47&gt;D49,(SUM(BV53:BW53)/2),IF(BW47=D49,BW53,0))</f>
        <v>443199795.84231305</v>
      </c>
      <c r="BX54" s="44">
        <f>IF(BX47&gt;D49,(SUM(BW53:BX53)/2),IF(BX47=D49,BX53,0))</f>
        <v>436535137.25821817</v>
      </c>
      <c r="BY54" s="44">
        <f>IF(BY47&gt;D49,(SUM(BX53:BY53)/2),IF(BY47=D49,BY53,0))</f>
        <v>429870478.67412317</v>
      </c>
      <c r="BZ54" s="44">
        <f>IF(BZ47&gt;D49,(SUM(BY53:BZ53)/2),IF(BZ47=D49,BZ53,0))</f>
        <v>423205820.09002829</v>
      </c>
      <c r="CA54" s="44">
        <f>IF(CA47&gt;D49,(SUM(BZ53:CA53)/2),IF(CA47=D49,CA53,0))</f>
        <v>416541161.50593328</v>
      </c>
      <c r="CB54" s="44">
        <f>IF(CB47&gt;D49,(SUM(CA53:CB53)/2),IF(CB47=D49,CB53,0))</f>
        <v>409876502.9218384</v>
      </c>
      <c r="CC54" s="44">
        <f>IF(CC47&gt;D49,(SUM(CB53:CC53)/2),IF(CC47=D49,CC53,0))</f>
        <v>403211844.3377434</v>
      </c>
      <c r="CD54" s="44">
        <f>IF(CD47&gt;D49,(SUM(CC53:CD53)/2),IF(CD47=D49,CD53,0))</f>
        <v>396547185.75364852</v>
      </c>
      <c r="CE54" s="44">
        <f>IF(CE47&gt;D49,(SUM(CD53:CE53)/2),IF(CE47=D49,CE53,0))</f>
        <v>389882527.16955352</v>
      </c>
      <c r="CF54" s="44">
        <f>IF(CF47&gt;D49,(SUM(CE53:CF53)/2),IF(CF47=D49,CF53,0))</f>
        <v>383217868.58545864</v>
      </c>
      <c r="CG54" s="44">
        <f>IF(CG47&gt;D49,(SUM(CF53:CG53)/2),IF(CG47=D49,CG53,0))</f>
        <v>376553210.00136364</v>
      </c>
      <c r="CH54" s="44">
        <f>IF(CH47&gt;D49,(SUM(CG53:CH53)/2),IF(CH47=D49,CH53,0))</f>
        <v>369888551.41726875</v>
      </c>
      <c r="CI54" s="44">
        <f>IF(CI47&gt;D49,(SUM(CH53:CI53)/2),IF(CI47=D49,CI53,0))</f>
        <v>363223892.83317375</v>
      </c>
      <c r="CJ54" s="44">
        <f>IF(CJ47&gt;D49,(SUM(CI53:CJ53)/2),IF(CJ47=D49,CJ53,0))</f>
        <v>356559234.24907887</v>
      </c>
      <c r="CK54" s="44">
        <f>IF(CK47&gt;D49,(SUM(CJ53:CK53)/2),IF(CK47=D49,CK53,0))</f>
        <v>349894575.66498387</v>
      </c>
      <c r="CL54" s="44">
        <f>IF(CL47&gt;D49,(SUM(CK53:CL53)/2),IF(CL47=D49,CL53,0))</f>
        <v>343229917.08088899</v>
      </c>
      <c r="CM54" s="44">
        <f>IF(CM47&gt;D49,(SUM(CL53:CM53)/2),IF(CM47=D49,CM53,0))</f>
        <v>336565258.49679399</v>
      </c>
      <c r="CN54" s="44">
        <f>IF(CN47&gt;D49,(SUM(CM53:CN53)/2),IF(CN47=D49,CN53,0))</f>
        <v>329900599.9126991</v>
      </c>
      <c r="CO54" s="44">
        <f>IF(CO47&gt;D49,(SUM(CN53:CO53)/2),IF(CO47=D49,CO53,0))</f>
        <v>323235941.3286041</v>
      </c>
      <c r="CP54" s="44">
        <f>IF(CP47&gt;D49,(SUM(CO53:CP53)/2),IF(CP47=D49,CP53,0))</f>
        <v>316571282.74450922</v>
      </c>
      <c r="CQ54" s="44">
        <f>IF(CQ47&gt;D49,(SUM(CP53:CQ53)/2),IF(CQ47=D49,CQ53,0))</f>
        <v>309906624.16041422</v>
      </c>
      <c r="CR54" s="44">
        <f>IF(CR47&gt;D49,(SUM(CQ53:CR53)/2),IF(CR47=D49,CR53,0))</f>
        <v>303241965.57631934</v>
      </c>
      <c r="CS54" s="44">
        <f>IF(CS47&gt;D49,(SUM(CR53:CS53)/2),IF(CS47=D49,CS53,0))</f>
        <v>296577306.99222434</v>
      </c>
      <c r="CT54" s="44">
        <f>IF(CT47&gt;D49,(SUM(CS53:CT53)/2),IF(CT47=D49,CT53,0))</f>
        <v>289912648.40812945</v>
      </c>
      <c r="CU54" s="44">
        <f>IF(CU47&gt;D49,(SUM(CT53:CU53)/2),IF(CU47=D49,CU53,0))</f>
        <v>283247989.82403445</v>
      </c>
      <c r="CV54" s="44">
        <f>IF(CV47&gt;D49,(SUM(CU53:CV53)/2),IF(CV47=D49,CV53,0))</f>
        <v>276583331.23993957</v>
      </c>
      <c r="CW54" s="44">
        <f>IF(CW47&gt;D49,(SUM(CV53:CW53)/2),IF(CW47=D49,CW53,0))</f>
        <v>269918672.65584463</v>
      </c>
      <c r="CX54" s="44">
        <f>IF(CX47&gt;D49,(SUM(CW53:CX53)/2),IF(CX47=D49,CX53,0))</f>
        <v>263254014.07174969</v>
      </c>
      <c r="CY54" s="44">
        <f>IF(CY47&gt;D49,(SUM(CX53:CY53)/2),IF(CY47=D49,CY53,0))</f>
        <v>256589355.48765481</v>
      </c>
      <c r="CZ54" s="44">
        <f>IF(CZ47&gt;D49,(SUM(CY53:CZ53)/2),IF(CZ47=D49,CZ53,0))</f>
        <v>249924696.90355986</v>
      </c>
      <c r="DA54" s="44">
        <f>IF(DA47&gt;D49,(SUM(CZ53:DA53)/2),IF(DA47=D49,DA53,0))</f>
        <v>243260038.31946498</v>
      </c>
      <c r="DB54" s="44">
        <f>IF(DB47&gt;D49,(SUM(DA53:DB53)/2),IF(DB47=D49,DB53,0))</f>
        <v>236595379.73537004</v>
      </c>
      <c r="DC54" s="44">
        <f>IF(DC47&gt;D49,(SUM(DB53:DC53)/2),IF(DC47=D49,DC53,0))</f>
        <v>229930721.15127516</v>
      </c>
      <c r="DD54" s="44">
        <f>IF(DD47&gt;D49,(SUM(DC53:DD53)/2),IF(DD47=D49,DD53,0))</f>
        <v>223266062.56718022</v>
      </c>
      <c r="DE54" s="44">
        <f>IF(DE47&gt;D49,(SUM(DD53:DE53)/2),IF(DE47=D49,DE53,0))</f>
        <v>216601403.98308533</v>
      </c>
      <c r="DF54" s="44">
        <f>IF(DF47&gt;D49,(SUM(DE53:DF53)/2),IF(DF47=D49,DF53,0))</f>
        <v>209936745.39899039</v>
      </c>
      <c r="DG54" s="44">
        <f>IF(DG47&gt;D49,(SUM(DF53:DG53)/2),IF(DG47=D49,DG53,0))</f>
        <v>203272086.81489551</v>
      </c>
      <c r="DH54" s="44">
        <f>IF(DH47&gt;D49,(SUM(DG53:DH53)/2),IF(DH47=D49,DH53,0))</f>
        <v>196607428.23080057</v>
      </c>
      <c r="DI54" s="44">
        <f>IF(DI47&gt;D49,(SUM(DH53:DI53)/2),IF(DI47=D49,DI53,0))</f>
        <v>189942769.64670569</v>
      </c>
      <c r="DJ54" s="44">
        <f>IF(DJ47&gt;D49,(SUM(DI53:DJ53)/2),IF(DJ47=D49,DJ53,0))</f>
        <v>183278111.06261075</v>
      </c>
      <c r="DK54" s="44">
        <f>IF(DK47&gt;D49,(SUM(DJ53:DK53)/2),IF(DK47=D49,DK53,0))</f>
        <v>176613452.47851586</v>
      </c>
      <c r="DL54" s="44">
        <f>IF(DL47&gt;D49,(SUM(DK53:DL53)/2),IF(DL47=D49,DL53,0))</f>
        <v>169948793.89442092</v>
      </c>
      <c r="DM54" s="44">
        <f>IF(DM47&gt;D49,(SUM(DL53:DM53)/2),IF(DM47=D49,DM53,0))</f>
        <v>163284135.31032604</v>
      </c>
      <c r="DN54" s="44">
        <f>IF(DN47&gt;D49,(SUM(DM53:DN53)/2),IF(DN47=D49,DN53,0))</f>
        <v>156619476.7262311</v>
      </c>
      <c r="DO54" s="44">
        <f>IF(DO47&gt;D49,(SUM(DN53:DO53)/2),IF(DO47=D49,DO53,0))</f>
        <v>149954818.14213622</v>
      </c>
      <c r="DP54" s="44">
        <f>IF(DP47&gt;D49,(SUM(DO53:DP53)/2),IF(DP47=D49,DP53,0))</f>
        <v>143290159.55804127</v>
      </c>
      <c r="DQ54" s="44">
        <f>IF(DQ47&gt;D49,(SUM(DP53:DQ53)/2),IF(DQ47=D49,DQ53,0))</f>
        <v>136625500.97394639</v>
      </c>
      <c r="DR54" s="44">
        <f>IF(DR47&gt;D49,(SUM(DQ53:DR53)/2),IF(DR47=D49,DR53,0))</f>
        <v>129960842.38985147</v>
      </c>
      <c r="DS54" s="44">
        <f>IF(DS47&gt;D49,(SUM(DR53:DS53)/2),IF(DS47=D49,DS53,0))</f>
        <v>123296183.80575655</v>
      </c>
      <c r="DT54" s="44">
        <f>IF(DT47&gt;D49,(SUM(DS53:DT53)/2),IF(DT47=D49,DT53,0))</f>
        <v>116631525.22166164</v>
      </c>
      <c r="DU54" s="44">
        <f>IF(DU47&gt;D49,(SUM(DT53:DU53)/2),IF(DU47=D49,DU53,0))</f>
        <v>109966866.63756673</v>
      </c>
      <c r="DV54" s="44">
        <f>IF(DV47&gt;D49,(SUM(DU53:DV53)/2),IF(DV47=D49,DV53,0))</f>
        <v>103302208.05347182</v>
      </c>
      <c r="DW54" s="44">
        <f>IF(DW47&gt;D49,(SUM(DV53:DW53)/2),IF(DW47=D49,DW53,0))</f>
        <v>96637549.469376907</v>
      </c>
      <c r="DX54" s="44">
        <f>IF(DX47&gt;D49,(SUM(DW53:DX53)/2),IF(DX47=D49,DX53,0))</f>
        <v>89972890.885281995</v>
      </c>
      <c r="DY54" s="44">
        <f>IF(DY47&gt;D49,(SUM(DX53:DY53)/2),IF(DY47=D49,DY53,0))</f>
        <v>83308232.301187083</v>
      </c>
      <c r="DZ54" s="44">
        <f>IF(DZ47&gt;D49,(SUM(DY53:DZ53)/2),IF(DZ47=D49,DZ53,0))</f>
        <v>76643573.717092171</v>
      </c>
      <c r="EA54" s="44">
        <f>IF(EA47&gt;D49,(SUM(DZ53:EA53)/2),IF(EA47=D49,EA53,0))</f>
        <v>69978915.132997259</v>
      </c>
      <c r="EB54" s="44">
        <f>IF(EB47&gt;D49,(SUM(EA53:EB53)/2),IF(EB47=D49,EB53,0))</f>
        <v>63314256.548902333</v>
      </c>
      <c r="EC54" s="44">
        <f>IF(EC47&gt;D49,(SUM(EB53:EC53)/2),IF(EC47=D49,EC53,0))</f>
        <v>56649597.964807421</v>
      </c>
      <c r="ED54" s="44">
        <f>IF(ED47&gt;D49,(SUM(EC53:ED53)/2),IF(ED47=D49,ED53,0))</f>
        <v>49984939.380712494</v>
      </c>
      <c r="EE54" s="44">
        <f>IF(EE47&gt;D49,(SUM(ED53:EE53)/2),IF(EE47=D49,EE53,0))</f>
        <v>43320280.796617582</v>
      </c>
      <c r="EF54" s="44">
        <f>IF(EF47&gt;D49,(SUM(EE53:EF53)/2),IF(EF47=D49,EF53,0))</f>
        <v>36655622.212522656</v>
      </c>
      <c r="EG54" s="44">
        <f>IF(EG47&gt;D49,(SUM(EF53:EG53)/2),IF(EG47=D49,EG53,0))</f>
        <v>29990963.62842774</v>
      </c>
      <c r="EH54" s="44">
        <f>IF(EH47&gt;D49,(SUM(EG53:EH53)/2),IF(EH47=D49,EH53,0))</f>
        <v>23326305.044332821</v>
      </c>
      <c r="EI54" s="44">
        <f t="shared" ref="EI54:EN54" si="72">IF(EI47&gt;E49,(SUM(EH53:EI53)/2),IF(EI47=E49,EI53,0))</f>
        <v>16661646.460237902</v>
      </c>
      <c r="EJ54" s="44">
        <f t="shared" si="72"/>
        <v>9996987.8761429861</v>
      </c>
      <c r="EK54" s="44">
        <f t="shared" si="72"/>
        <v>3332329.2920480678</v>
      </c>
      <c r="EL54" s="44">
        <f t="shared" si="72"/>
        <v>6.0908496379852295E-7</v>
      </c>
      <c r="EM54" s="44">
        <f t="shared" si="72"/>
        <v>6.0908496379852295E-7</v>
      </c>
      <c r="EN54" s="44">
        <f t="shared" si="72"/>
        <v>6.0908496379852295E-7</v>
      </c>
    </row>
    <row r="55" spans="2:144" outlineLevel="1">
      <c r="C55" s="43" t="s">
        <v>176</v>
      </c>
      <c r="D55" s="44"/>
      <c r="E55" s="773">
        <f>E44</f>
        <v>10</v>
      </c>
      <c r="F55" s="44"/>
      <c r="G55" s="44"/>
      <c r="H55" s="120">
        <f>IF(H46&lt;$E49,0,IF(AND(H46&gt;=$E49,H46&lt;=($E49+$E55-1)),Вводные!$D$30,Вводные!$E$30))</f>
        <v>0</v>
      </c>
      <c r="I55" s="120">
        <f>IF(I46&lt;$E49,0,IF(AND(I46&gt;=$E49,I46&lt;=($E49+$E55-1)),Вводные!$D$30,Вводные!$E$30))</f>
        <v>0</v>
      </c>
      <c r="J55" s="120">
        <f>IF(J46&lt;$E49,0,IF(AND(J46&gt;=$E49,J46&lt;=($E49+$E55-1)),Вводные!$D$30,Вводные!$E$30))</f>
        <v>0</v>
      </c>
      <c r="K55" s="120">
        <f>IF(K46&lt;$E49,0,IF(AND(K46&gt;=$E49,K46&lt;=($E49+$E55-1)),Вводные!$D$30,Вводные!$E$30))</f>
        <v>0</v>
      </c>
      <c r="L55" s="120">
        <f>IF(L46&lt;$E49,0,IF(AND(L46&gt;=$E49,L46&lt;=($E49+$E55-1)),Вводные!$D$30,Вводные!$E$30))</f>
        <v>0</v>
      </c>
      <c r="M55" s="120">
        <f>IF(M46&lt;$E49,0,IF(AND(M46&gt;=$E49,M46&lt;=($E49+$E55-1)),Вводные!$D$30,Вводные!$E$30))</f>
        <v>0</v>
      </c>
      <c r="N55" s="120">
        <f>IF(N46&lt;$E49,0,IF(AND(N46&gt;=$E49,N46&lt;=($E49+$E55-1)),Вводные!$D$30,Вводные!$E$30))</f>
        <v>0</v>
      </c>
      <c r="O55" s="120">
        <f>IF(O46&lt;$E49,0,IF(AND(O46&gt;=$E49,O46&lt;=($E49+$E55-1)),Вводные!$D$30,Вводные!$E$30))</f>
        <v>0</v>
      </c>
      <c r="P55" s="120">
        <f>IF(P46&lt;$E49,0,IF(AND(P46&gt;=$E49,P46&lt;=($E49+$E55-1)),Вводные!$D$30,Вводные!$E$30))</f>
        <v>0</v>
      </c>
      <c r="Q55" s="120">
        <f>IF(Q46&lt;$E49,0,IF(AND(Q46&gt;=$E49,Q46&lt;=($E49+$E55-1)),Вводные!$D$30,Вводные!$E$30))</f>
        <v>0</v>
      </c>
      <c r="R55" s="120">
        <f>IF(R46&lt;$E49,0,IF(AND(R46&gt;=$E49,R46&lt;=($E49+$E55-1)),Вводные!$D$30,Вводные!$E$30))</f>
        <v>0</v>
      </c>
      <c r="S55" s="120">
        <f>IF(S46&lt;$E49,0,IF(AND(S46&gt;=$E49,S46&lt;=($E49+$E55-1)),Вводные!$D$30,Вводные!$E$30))</f>
        <v>0</v>
      </c>
      <c r="T55" s="120">
        <f>IF(T46&lt;$E49,0,IF(AND(T46&gt;=$E49,T46&lt;=($E49+$E55-1)),Вводные!$D$30,Вводные!$E$30))</f>
        <v>0</v>
      </c>
      <c r="U55" s="120">
        <f>IF(U46&lt;$E49,0,IF(AND(U46&gt;=$E49,U46&lt;=($E49+$E55-1)),Вводные!$D$30,Вводные!$E$30))</f>
        <v>0</v>
      </c>
      <c r="V55" s="120">
        <f>IF(V46&lt;$E49,0,IF(AND(V46&gt;=$E49,V46&lt;=($E49+$E55-1)),Вводные!$D$30,Вводные!$E$30))</f>
        <v>0</v>
      </c>
      <c r="W55" s="120">
        <f>IF(W46&lt;$E49,0,IF(AND(W46&gt;=$E49,W46&lt;=($E49+$E55-1)),Вводные!$D$30,Вводные!$E$30))</f>
        <v>0</v>
      </c>
      <c r="X55" s="120">
        <f>IF(X46&lt;$E49,0,IF(AND(X46&gt;=$E49,X46&lt;=($E49+$E55-1)),Вводные!$D$30,Вводные!$E$30))</f>
        <v>0</v>
      </c>
      <c r="Y55" s="120">
        <f>IF(Y46&lt;$E49,0,IF(AND(Y46&gt;=$E49,Y46&lt;=($E49+$E55-1)),Вводные!$D$30,Вводные!$E$30))</f>
        <v>0</v>
      </c>
      <c r="Z55" s="120">
        <f>IF(Z46&lt;$E49,0,IF(AND(Z46&gt;=$E49,Z46&lt;=($E49+$E55-1)),Вводные!$D$30,Вводные!$E$30))</f>
        <v>0</v>
      </c>
      <c r="AA55" s="120">
        <f>IF(AA46&lt;$E49,0,IF(AND(AA46&gt;=$E49,AA46&lt;=($E49+$E55-1)),Вводные!$D$30,Вводные!$E$30))</f>
        <v>0</v>
      </c>
      <c r="AB55" s="120">
        <f>IF(AB46&lt;$E49,0,IF(AND(AB46&gt;=$E49,AB46&lt;=($E49+$E55-1)),Вводные!$D$30,Вводные!$E$30))</f>
        <v>0</v>
      </c>
      <c r="AC55" s="120">
        <f>IF(AC46&lt;$E49,0,IF(AND(AC46&gt;=$E49,AC46&lt;=($E49+$E55-1)),Вводные!$D$30,Вводные!$E$30))</f>
        <v>0</v>
      </c>
      <c r="AD55" s="120">
        <f>IF(AD46&lt;$E49,0,IF(AND(AD46&gt;=$E49,AD46&lt;=($E49+$E55-1)),Вводные!$D$30,Вводные!$E$30))</f>
        <v>0</v>
      </c>
      <c r="AE55" s="120">
        <f>IF(AE46&lt;$E49,0,IF(AND(AE46&gt;=$E49,AE46&lt;=($E49+$E55-1)),Вводные!$D$30,Вводные!$E$30))</f>
        <v>0</v>
      </c>
      <c r="AF55" s="120">
        <f>IF(AF46&lt;$E49,0,IF(AND(AF46&gt;=$E49,AF46&lt;=($E49+$E55-1)),Вводные!$D$30,Вводные!$E$30))</f>
        <v>0</v>
      </c>
      <c r="AG55" s="120">
        <f>IF(AG46&lt;$E49,0,IF(AND(AG46&gt;=$E49,AG46&lt;=($E49+$E55-1)),Вводные!$D$30,Вводные!$E$30))</f>
        <v>0</v>
      </c>
      <c r="AH55" s="120">
        <f>IF(AH46&lt;$E49,0,IF(AND(AH46&gt;=$E49,AH46&lt;=($E49+$E55-1)),Вводные!$D$30,Вводные!$E$30))</f>
        <v>0</v>
      </c>
      <c r="AI55" s="120">
        <f>IF(AI46&lt;$E49,0,IF(AND(AI46&gt;=$E49,AI46&lt;=($E49+$E55-1)),Вводные!$D$30,Вводные!$E$30))</f>
        <v>0</v>
      </c>
      <c r="AJ55" s="120">
        <f>IF(AJ46&lt;$E49,0,IF(AND(AJ46&gt;=$E49,AJ46&lt;=($E49+$E55-1)),Вводные!$D$30,Вводные!$E$30))</f>
        <v>0</v>
      </c>
      <c r="AK55" s="120">
        <f>IF(AK46&lt;$E49,0,IF(AND(AK46&gt;=$E49,AK46&lt;=($E49+$E55-1)),Вводные!$D$30,Вводные!$E$30))</f>
        <v>0</v>
      </c>
      <c r="AL55" s="120">
        <f>IF(AL46&lt;$E49,0,IF(AND(AL46&gt;=$E49,AL46&lt;=($E49+$E55-1)),Вводные!$D$30,Вводные!$E$30))</f>
        <v>0</v>
      </c>
      <c r="AM55" s="120">
        <f>IF(AM46&lt;$E49,0,IF(AND(AM46&gt;=$E49,AM46&lt;=($E49+$E55-1)),Вводные!$D$30,Вводные!$E$30))</f>
        <v>0</v>
      </c>
      <c r="AN55" s="120">
        <f>IF(AN46&lt;$E49,0,IF(AND(AN46&gt;=$E49,AN46&lt;=($E49+$E55-1)),Вводные!$D$30,Вводные!$E$30))</f>
        <v>0</v>
      </c>
      <c r="AO55" s="120">
        <f>IF(AO46&lt;$E49,0,IF(AND(AO46&gt;=$E49,AO46&lt;=($E49+$E55-1)),Вводные!$D$30,Вводные!$E$30))</f>
        <v>0</v>
      </c>
      <c r="AP55" s="120">
        <f>IF(AP46&lt;$E49,0,IF(AND(AP46&gt;=$E49,AP46&lt;=($E49+$E55-1)),Вводные!$D$30,Вводные!$E$30))</f>
        <v>0</v>
      </c>
      <c r="AQ55" s="120">
        <f>IF(AQ46&lt;$E49,0,IF(AND(AQ46&gt;=$E49,AQ46&lt;=($E49+$E55-1)),Вводные!$D$30,Вводные!$E$30))</f>
        <v>0</v>
      </c>
      <c r="AR55" s="120">
        <f>IF(AR46&lt;$E49,0,IF(AND(AR46&gt;=$E49,AR46&lt;=($E49+$E55-1)),Вводные!$D$30,Вводные!$E$30))</f>
        <v>0</v>
      </c>
      <c r="AS55" s="120">
        <f>IF(AS46&lt;$E49,0,IF(AND(AS46&gt;=$E49,AS46&lt;=($E49+$E55-1)),Вводные!$D$30,Вводные!$E$30))</f>
        <v>0</v>
      </c>
      <c r="AT55" s="120">
        <f>IF(AT46&lt;$E49,0,IF(AND(AT46&gt;=$E49,AT46&lt;=($E49+$E55-1)),Вводные!$D$30,Вводные!$E$30))</f>
        <v>0</v>
      </c>
      <c r="AU55" s="120">
        <f>IF(AU46&lt;$E49,0,IF(AND(AU46&gt;=$E49,AU46&lt;=($E49+$E55-1)),Вводные!$D$30,Вводные!$E$30))</f>
        <v>0</v>
      </c>
      <c r="AV55" s="120">
        <f>IF(AV46&lt;$E49,0,IF(AND(AV46&gt;=$E49,AV46&lt;=($E49+$E55-1)),Вводные!$D$30,Вводные!$E$30))</f>
        <v>0</v>
      </c>
      <c r="AW55" s="120">
        <f>IF(AW46&lt;$E49,0,IF(AND(AW46&gt;=$E49,AW46&lt;=($E49+$E55-1)),Вводные!$D$30,Вводные!$E$30))</f>
        <v>0</v>
      </c>
      <c r="AX55" s="120">
        <f>IF(AX46&lt;$E49,0,IF(AND(AX46&gt;=$E49,AX46&lt;=($E49+$E55-1)),Вводные!$D$30,Вводные!$E$30))</f>
        <v>0</v>
      </c>
      <c r="AY55" s="120">
        <f>IF(AY46&lt;$E49,0,IF(AND(AY46&gt;=$E49,AY46&lt;=($E49+$E55-1)),Вводные!$D$30,Вводные!$E$30))</f>
        <v>0</v>
      </c>
      <c r="AZ55" s="120">
        <f>IF(AZ46&lt;$E49,0,IF(AND(AZ46&gt;=$E49,AZ46&lt;=($E49+$E55-1)),Вводные!$D$30,Вводные!$E$30))</f>
        <v>0</v>
      </c>
      <c r="BA55" s="120">
        <f>IF(BA46&lt;$E49,0,IF(AND(BA46&gt;=$E49,BA46&lt;=($E49+$E55-1)),Вводные!$D$30,Вводные!$E$30))</f>
        <v>0</v>
      </c>
      <c r="BB55" s="120">
        <f>IF(BB46&lt;$E49,0,IF(AND(BB46&gt;=$E49,BB46&lt;=($E49+$E55-1)),Вводные!$D$30,Вводные!$E$30))</f>
        <v>0</v>
      </c>
      <c r="BC55" s="120">
        <f>IF(BC46&lt;$E49,0,IF(AND(BC46&gt;=$E49,BC46&lt;=($E49+$E55-1)),Вводные!$D$30,Вводные!$E$30))</f>
        <v>0</v>
      </c>
      <c r="BD55" s="120">
        <f>IF(BD46&lt;$E49,0,IF(AND(BD46&gt;=$E49,BD46&lt;=($E49+$E55-1)),Вводные!$D$30,Вводные!$E$30))</f>
        <v>0</v>
      </c>
      <c r="BE55" s="120">
        <f>IF(BE46&lt;$E49,0,IF(AND(BE46&gt;=$E49,BE46&lt;=($E49+$E55-1)),Вводные!$D$30,Вводные!$E$30))</f>
        <v>0</v>
      </c>
      <c r="BF55" s="120">
        <f>IF(BF46&lt;$E49,0,IF(AND(BF46&gt;=$E49,BF46&lt;=($E49+$E55-1)),Вводные!$D$30,Вводные!$E$30))</f>
        <v>0</v>
      </c>
      <c r="BG55" s="120">
        <f>IF(BG46&lt;$E49,0,IF(AND(BG46&gt;=$E49,BG46&lt;=($E49+$E55-1)),Вводные!$D$30,Вводные!$E$30))</f>
        <v>0</v>
      </c>
      <c r="BH55" s="120">
        <f>IF(BH46&lt;$E49,0,IF(AND(BH46&gt;=$E49,BH46&lt;=($E49+$E55-1)),Вводные!$D$30,Вводные!$E$30))</f>
        <v>2.1999999999999999E-2</v>
      </c>
      <c r="BI55" s="120">
        <f>IF(BI46&lt;$E49,0,IF(AND(BI46&gt;=$E49,BI46&lt;=($E49+$E55-1)),Вводные!$D$30,Вводные!$E$30))</f>
        <v>2.1999999999999999E-2</v>
      </c>
      <c r="BJ55" s="120">
        <f>IF(BJ46&lt;$E49,0,IF(AND(BJ46&gt;=$E49,BJ46&lt;=($E49+$E55-1)),Вводные!$D$30,Вводные!$E$30))</f>
        <v>2.1999999999999999E-2</v>
      </c>
      <c r="BK55" s="120">
        <f>IF(BK46&lt;$E49,0,IF(AND(BK46&gt;=$E49,BK46&lt;=($E49+$E55-1)),Вводные!$D$30,Вводные!$E$30))</f>
        <v>2.1999999999999999E-2</v>
      </c>
      <c r="BL55" s="120">
        <f>IF(BL46&lt;$E49,0,IF(AND(BL46&gt;=$E49,BL46&lt;=($E49+$E55-1)),Вводные!$D$30,Вводные!$E$30))</f>
        <v>2.1999999999999999E-2</v>
      </c>
      <c r="BM55" s="120">
        <f>IF(BM46&lt;$E49,0,IF(AND(BM46&gt;=$E49,BM46&lt;=($E49+$E55-1)),Вводные!$D$30,Вводные!$E$30))</f>
        <v>2.1999999999999999E-2</v>
      </c>
      <c r="BN55" s="120">
        <f>IF(BN46&lt;$E49,0,IF(AND(BN46&gt;=$E49,BN46&lt;=($E49+$E55-1)),Вводные!$D$30,Вводные!$E$30))</f>
        <v>2.1999999999999999E-2</v>
      </c>
      <c r="BO55" s="120">
        <f>IF(BO46&lt;$E49,0,IF(AND(BO46&gt;=$E49,BO46&lt;=($E49+$E55-1)),Вводные!$D$30,Вводные!$E$30))</f>
        <v>2.1999999999999999E-2</v>
      </c>
      <c r="BP55" s="120">
        <f>IF(BP46&lt;$E49,0,IF(AND(BP46&gt;=$E49,BP46&lt;=($E49+$E55-1)),Вводные!$D$30,Вводные!$E$30))</f>
        <v>2.1999999999999999E-2</v>
      </c>
      <c r="BQ55" s="120">
        <f>IF(BQ46&lt;$E49,0,IF(AND(BQ46&gt;=$E49,BQ46&lt;=($E49+$E55-1)),Вводные!$D$30,Вводные!$E$30))</f>
        <v>2.1999999999999999E-2</v>
      </c>
      <c r="BR55" s="120">
        <f>IF(BR46&lt;$E49,0,IF(AND(BR46&gt;=$E49,BR46&lt;=($E49+$E55-1)),Вводные!$D$30,Вводные!$E$30))</f>
        <v>2.1999999999999999E-2</v>
      </c>
      <c r="BS55" s="120">
        <f>IF(BS46&lt;$E49,0,IF(AND(BS46&gt;=$E49,BS46&lt;=($E49+$E55-1)),Вводные!$D$30,Вводные!$E$30))</f>
        <v>2.1999999999999999E-2</v>
      </c>
      <c r="BT55" s="120">
        <f>IF(BT46&lt;$E49,0,IF(AND(BT46&gt;=$E49,BT46&lt;=($E49+$E55-1)),Вводные!$D$30,Вводные!$E$30))</f>
        <v>2.1999999999999999E-2</v>
      </c>
      <c r="BU55" s="120">
        <f>IF(BU46&lt;$E49,0,IF(AND(BU46&gt;=$E49,BU46&lt;=($E49+$E55-1)),Вводные!$D$30,Вводные!$E$30))</f>
        <v>2.1999999999999999E-2</v>
      </c>
      <c r="BV55" s="120">
        <f>IF(BV46&lt;$E49,0,IF(AND(BV46&gt;=$E49,BV46&lt;=($E49+$E55-1)),Вводные!$D$30,Вводные!$E$30))</f>
        <v>2.1999999999999999E-2</v>
      </c>
      <c r="BW55" s="120">
        <f>IF(BW46&lt;$E49,0,IF(AND(BW46&gt;=$E49,BW46&lt;=($E49+$E55-1)),Вводные!$D$30,Вводные!$E$30))</f>
        <v>2.1999999999999999E-2</v>
      </c>
      <c r="BX55" s="120">
        <f>IF(BX46&lt;$E49,0,IF(AND(BX46&gt;=$E49,BX46&lt;=($E49+$E55-1)),Вводные!$D$30,Вводные!$E$30))</f>
        <v>2.1999999999999999E-2</v>
      </c>
      <c r="BY55" s="120">
        <f>IF(BY46&lt;$E49,0,IF(AND(BY46&gt;=$E49,BY46&lt;=($E49+$E55-1)),Вводные!$D$30,Вводные!$E$30))</f>
        <v>2.1999999999999999E-2</v>
      </c>
      <c r="BZ55" s="120">
        <f>IF(BZ46&lt;$E49,0,IF(AND(BZ46&gt;=$E49,BZ46&lt;=($E49+$E55-1)),Вводные!$D$30,Вводные!$E$30))</f>
        <v>2.1999999999999999E-2</v>
      </c>
      <c r="CA55" s="120">
        <f>IF(CA46&lt;$E49,0,IF(AND(CA46&gt;=$E49,CA46&lt;=($E49+$E55-1)),Вводные!$D$30,Вводные!$E$30))</f>
        <v>2.1999999999999999E-2</v>
      </c>
      <c r="CB55" s="120">
        <f>IF(CB46&lt;$E49,0,IF(AND(CB46&gt;=$E49,CB46&lt;=($E49+$E55-1)),Вводные!$D$30,Вводные!$E$30))</f>
        <v>2.1999999999999999E-2</v>
      </c>
      <c r="CC55" s="120">
        <f>IF(CC46&lt;$E49,0,IF(AND(CC46&gt;=$E49,CC46&lt;=($E49+$E55-1)),Вводные!$D$30,Вводные!$E$30))</f>
        <v>2.1999999999999999E-2</v>
      </c>
      <c r="CD55" s="120">
        <f>IF(CD46&lt;$E49,0,IF(AND(CD46&gt;=$E49,CD46&lt;=($E49+$E55-1)),Вводные!$D$30,Вводные!$E$30))</f>
        <v>2.1999999999999999E-2</v>
      </c>
      <c r="CE55" s="120">
        <f>IF(CE46&lt;$E49,0,IF(AND(CE46&gt;=$E49,CE46&lt;=($E49+$E55-1)),Вводные!$D$30,Вводные!$E$30))</f>
        <v>2.1999999999999999E-2</v>
      </c>
      <c r="CF55" s="120">
        <f>IF(CF46&lt;$E49,0,IF(AND(CF46&gt;=$E49,CF46&lt;=($E49+$E55-1)),Вводные!$D$30,Вводные!$E$30))</f>
        <v>2.1999999999999999E-2</v>
      </c>
      <c r="CG55" s="120">
        <f>IF(CG46&lt;$E49,0,IF(AND(CG46&gt;=$E49,CG46&lt;=($E49+$E55-1)),Вводные!$D$30,Вводные!$E$30))</f>
        <v>2.1999999999999999E-2</v>
      </c>
      <c r="CH55" s="120">
        <f>IF(CH46&lt;$E49,0,IF(AND(CH46&gt;=$E49,CH46&lt;=($E49+$E55-1)),Вводные!$D$30,Вводные!$E$30))</f>
        <v>2.1999999999999999E-2</v>
      </c>
      <c r="CI55" s="120">
        <f>IF(CI46&lt;$E49,0,IF(AND(CI46&gt;=$E49,CI46&lt;=($E49+$E55-1)),Вводные!$D$30,Вводные!$E$30))</f>
        <v>2.1999999999999999E-2</v>
      </c>
      <c r="CJ55" s="120">
        <f>IF(CJ46&lt;$E49,0,IF(AND(CJ46&gt;=$E49,CJ46&lt;=($E49+$E55-1)),Вводные!$D$30,Вводные!$E$30))</f>
        <v>2.1999999999999999E-2</v>
      </c>
      <c r="CK55" s="120">
        <f>IF(CK46&lt;$E49,0,IF(AND(CK46&gt;=$E49,CK46&lt;=($E49+$E55-1)),Вводные!$D$30,Вводные!$E$30))</f>
        <v>2.1999999999999999E-2</v>
      </c>
      <c r="CL55" s="120">
        <f>IF(CL46&lt;$E49,0,IF(AND(CL46&gt;=$E49,CL46&lt;=($E49+$E55-1)),Вводные!$D$30,Вводные!$E$30))</f>
        <v>2.1999999999999999E-2</v>
      </c>
      <c r="CM55" s="120">
        <f>IF(CM46&lt;$E49,0,IF(AND(CM46&gt;=$E49,CM46&lt;=($E49+$E55-1)),Вводные!$D$30,Вводные!$E$30))</f>
        <v>2.1999999999999999E-2</v>
      </c>
      <c r="CN55" s="120">
        <f>IF(CN46&lt;$E49,0,IF(AND(CN46&gt;=$E49,CN46&lt;=($E49+$E55-1)),Вводные!$D$30,Вводные!$E$30))</f>
        <v>2.1999999999999999E-2</v>
      </c>
      <c r="CO55" s="120">
        <f>IF(CO46&lt;$E49,0,IF(AND(CO46&gt;=$E49,CO46&lt;=($E49+$E55-1)),Вводные!$D$30,Вводные!$E$30))</f>
        <v>2.1999999999999999E-2</v>
      </c>
      <c r="CP55" s="120">
        <f>IF(CP46&lt;$E49,0,IF(AND(CP46&gt;=$E49,CP46&lt;=($E49+$E55-1)),Вводные!$D$30,Вводные!$E$30))</f>
        <v>2.1999999999999999E-2</v>
      </c>
      <c r="CQ55" s="120">
        <f>IF(CQ46&lt;$E49,0,IF(AND(CQ46&gt;=$E49,CQ46&lt;=($E49+$E55-1)),Вводные!$D$30,Вводные!$E$30))</f>
        <v>2.1999999999999999E-2</v>
      </c>
      <c r="CR55" s="120">
        <f>IF(CR46&lt;$E49,0,IF(AND(CR46&gt;=$E49,CR46&lt;=($E49+$E55-1)),Вводные!$D$30,Вводные!$E$30))</f>
        <v>2.1999999999999999E-2</v>
      </c>
      <c r="CS55" s="120">
        <f>IF(CS46&lt;$E49,0,IF(AND(CS46&gt;=$E49,CS46&lt;=($E49+$E55-1)),Вводные!$D$30,Вводные!$E$30))</f>
        <v>2.1999999999999999E-2</v>
      </c>
      <c r="CT55" s="120">
        <f>IF(CT46&lt;$E49,0,IF(AND(CT46&gt;=$E49,CT46&lt;=($E49+$E55-1)),Вводные!$D$30,Вводные!$E$30))</f>
        <v>2.1999999999999999E-2</v>
      </c>
      <c r="CU55" s="120">
        <f>IF(CU46&lt;$E49,0,IF(AND(CU46&gt;=$E49,CU46&lt;=($E49+$E55-1)),Вводные!$D$30,Вводные!$E$30))</f>
        <v>2.1999999999999999E-2</v>
      </c>
      <c r="CV55" s="120">
        <f>IF(CV46&lt;$E49,0,IF(AND(CV46&gt;=$E49,CV46&lt;=($E49+$E55-1)),Вводные!$D$30,Вводные!$E$30))</f>
        <v>2.1999999999999999E-2</v>
      </c>
      <c r="CW55" s="120">
        <f>IF(CW46&lt;$E49,0,IF(AND(CW46&gt;=$E49,CW46&lt;=($E49+$E55-1)),Вводные!$D$30,Вводные!$E$30))</f>
        <v>2.1999999999999999E-2</v>
      </c>
      <c r="CX55" s="120">
        <f>IF(CX46&lt;$E49,0,IF(AND(CX46&gt;=$E49,CX46&lt;=($E49+$E55-1)),Вводные!$D$30,Вводные!$E$30))</f>
        <v>2.1999999999999999E-2</v>
      </c>
      <c r="CY55" s="120">
        <f>IF(CY46&lt;$E49,0,IF(AND(CY46&gt;=$E49,CY46&lt;=($E49+$E55-1)),Вводные!$D$30,Вводные!$E$30))</f>
        <v>2.1999999999999999E-2</v>
      </c>
      <c r="CZ55" s="120">
        <f>IF(CZ46&lt;$E49,0,IF(AND(CZ46&gt;=$E49,CZ46&lt;=($E49+$E55-1)),Вводные!$D$30,Вводные!$E$30))</f>
        <v>2.1999999999999999E-2</v>
      </c>
      <c r="DA55" s="120">
        <f>IF(DA46&lt;$E49,0,IF(AND(DA46&gt;=$E49,DA46&lt;=($E49+$E55-1)),Вводные!$D$30,Вводные!$E$30))</f>
        <v>2.1999999999999999E-2</v>
      </c>
      <c r="DB55" s="120">
        <f>IF(DB46&lt;$E49,0,IF(AND(DB46&gt;=$E49,DB46&lt;=($E49+$E55-1)),Вводные!$D$30,Вводные!$E$30))</f>
        <v>2.1999999999999999E-2</v>
      </c>
      <c r="DC55" s="120">
        <f>IF(DC46&lt;$E49,0,IF(AND(DC46&gt;=$E49,DC46&lt;=($E49+$E55-1)),Вводные!$D$30,Вводные!$E$30))</f>
        <v>2.1999999999999999E-2</v>
      </c>
      <c r="DD55" s="120">
        <f>IF(DD46&lt;$E49,0,IF(AND(DD46&gt;=$E49,DD46&lt;=($E49+$E55-1)),Вводные!$D$30,Вводные!$E$30))</f>
        <v>2.1999999999999999E-2</v>
      </c>
      <c r="DE55" s="120">
        <f>IF(DE46&lt;$E49,0,IF(AND(DE46&gt;=$E49,DE46&lt;=($E49+$E55-1)),Вводные!$D$30,Вводные!$E$30))</f>
        <v>2.1999999999999999E-2</v>
      </c>
      <c r="DF55" s="120">
        <f>IF(DF46&lt;$E49,0,IF(AND(DF46&gt;=$E49,DF46&lt;=($E49+$E55-1)),Вводные!$D$30,Вводные!$E$30))</f>
        <v>2.1999999999999999E-2</v>
      </c>
      <c r="DG55" s="120">
        <f>IF(DG46&lt;$E49,0,IF(AND(DG46&gt;=$E49,DG46&lt;=($E49+$E55-1)),Вводные!$D$30,Вводные!$E$30))</f>
        <v>2.1999999999999999E-2</v>
      </c>
      <c r="DH55" s="120">
        <f>IF(DH46&lt;$E49,0,IF(AND(DH46&gt;=$E49,DH46&lt;=($E49+$E55-1)),Вводные!$D$30,Вводные!$E$30))</f>
        <v>2.1999999999999999E-2</v>
      </c>
      <c r="DI55" s="120">
        <f>IF(DI46&lt;$E49,0,IF(AND(DI46&gt;=$E49,DI46&lt;=($E49+$E55-1)),Вводные!$D$30,Вводные!$E$30))</f>
        <v>2.1999999999999999E-2</v>
      </c>
      <c r="DJ55" s="120">
        <f>IF(DJ46&lt;$E49,0,IF(AND(DJ46&gt;=$E49,DJ46&lt;=($E49+$E55-1)),Вводные!$D$30,Вводные!$E$30))</f>
        <v>2.1999999999999999E-2</v>
      </c>
      <c r="DK55" s="120">
        <f>IF(DK46&lt;$E49,0,IF(AND(DK46&gt;=$E49,DK46&lt;=($E49+$E55-1)),Вводные!$D$30,Вводные!$E$30))</f>
        <v>2.1999999999999999E-2</v>
      </c>
      <c r="DL55" s="120">
        <f>IF(DL46&lt;$E49,0,IF(AND(DL46&gt;=$E49,DL46&lt;=($E49+$E55-1)),Вводные!$D$30,Вводные!$E$30))</f>
        <v>2.1999999999999999E-2</v>
      </c>
      <c r="DM55" s="120">
        <f>IF(DM46&lt;$E49,0,IF(AND(DM46&gt;=$E49,DM46&lt;=($E49+$E55-1)),Вводные!$D$30,Вводные!$E$30))</f>
        <v>2.1999999999999999E-2</v>
      </c>
      <c r="DN55" s="120">
        <f>IF(DN46&lt;$E49,0,IF(AND(DN46&gt;=$E49,DN46&lt;=($E49+$E55-1)),Вводные!$D$30,Вводные!$E$30))</f>
        <v>2.1999999999999999E-2</v>
      </c>
      <c r="DO55" s="120">
        <f>IF(DO46&lt;$E49,0,IF(AND(DO46&gt;=$E49,DO46&lt;=($E49+$E55-1)),Вводные!$D$30,Вводные!$E$30))</f>
        <v>2.1999999999999999E-2</v>
      </c>
      <c r="DP55" s="120">
        <f>IF(DP46&lt;$E49,0,IF(AND(DP46&gt;=$E49,DP46&lt;=($E49+$E55-1)),Вводные!$D$30,Вводные!$E$30))</f>
        <v>2.1999999999999999E-2</v>
      </c>
      <c r="DQ55" s="120">
        <f>IF(DQ46&lt;$E49,0,IF(AND(DQ46&gt;=$E49,DQ46&lt;=($E49+$E55-1)),Вводные!$D$30,Вводные!$E$30))</f>
        <v>2.1999999999999999E-2</v>
      </c>
      <c r="DR55" s="120">
        <f>IF(DR46&lt;$E49,0,IF(AND(DR46&gt;=$E49,DR46&lt;=($E49+$E55-1)),Вводные!$D$30,Вводные!$E$30))</f>
        <v>2.1999999999999999E-2</v>
      </c>
      <c r="DS55" s="120">
        <f>IF(DS46&lt;$E49,0,IF(AND(DS46&gt;=$E49,DS46&lt;=($E49+$E55-1)),Вводные!$D$30,Вводные!$E$30))</f>
        <v>2.1999999999999999E-2</v>
      </c>
      <c r="DT55" s="120">
        <f>IF(DT46&lt;$E49,0,IF(AND(DT46&gt;=$E49,DT46&lt;=($E49+$E55-1)),Вводные!$D$30,Вводные!$E$30))</f>
        <v>2.1999999999999999E-2</v>
      </c>
      <c r="DU55" s="120">
        <f>IF(DU46&lt;$E49,0,IF(AND(DU46&gt;=$E49,DU46&lt;=($E49+$E55-1)),Вводные!$D$30,Вводные!$E$30))</f>
        <v>2.1999999999999999E-2</v>
      </c>
      <c r="DV55" s="120">
        <f>IF(DV46&lt;$E49,0,IF(AND(DV46&gt;=$E49,DV46&lt;=($E49+$E55-1)),Вводные!$D$30,Вводные!$E$30))</f>
        <v>2.1999999999999999E-2</v>
      </c>
      <c r="DW55" s="120">
        <f>IF(DW46&lt;$E49,0,IF(AND(DW46&gt;=$E49,DW46&lt;=($E49+$E55-1)),Вводные!$D$30,Вводные!$E$30))</f>
        <v>2.1999999999999999E-2</v>
      </c>
      <c r="DX55" s="120">
        <f>IF(DX46&lt;$E49,0,IF(AND(DX46&gt;=$E49,DX46&lt;=($E49+$E55-1)),Вводные!$D$30,Вводные!$E$30))</f>
        <v>2.1999999999999999E-2</v>
      </c>
      <c r="DY55" s="120">
        <f>IF(DY46&lt;$E49,0,IF(AND(DY46&gt;=$E49,DY46&lt;=($E49+$E55-1)),Вводные!$D$30,Вводные!$E$30))</f>
        <v>2.1999999999999999E-2</v>
      </c>
      <c r="DZ55" s="120">
        <f>IF(DZ46&lt;$E49,0,IF(AND(DZ46&gt;=$E49,DZ46&lt;=($E49+$E55-1)),Вводные!$D$30,Вводные!$E$30))</f>
        <v>2.1999999999999999E-2</v>
      </c>
      <c r="EA55" s="120">
        <f>IF(EA46&lt;$E49,0,IF(AND(EA46&gt;=$E49,EA46&lt;=($E49+$E55-1)),Вводные!$D$30,Вводные!$E$30))</f>
        <v>2.1999999999999999E-2</v>
      </c>
      <c r="EB55" s="120">
        <f>IF(EB46&lt;$E49,0,IF(AND(EB46&gt;=$E49,EB46&lt;=($E49+$E55-1)),Вводные!$D$30,Вводные!$E$30))</f>
        <v>2.1999999999999999E-2</v>
      </c>
      <c r="EC55" s="120">
        <f>IF(EC46&lt;$E49,0,IF(AND(EC46&gt;=$E49,EC46&lt;=($E49+$E55-1)),Вводные!$D$30,Вводные!$E$30))</f>
        <v>2.1999999999999999E-2</v>
      </c>
      <c r="ED55" s="120">
        <f>IF(ED46&lt;$E49,0,IF(AND(ED46&gt;=$E49,ED46&lt;=($E49+$E55-1)),Вводные!$D$30,Вводные!$E$30))</f>
        <v>2.1999999999999999E-2</v>
      </c>
      <c r="EE55" s="120">
        <f>IF(EE46&lt;$E49,0,IF(AND(EE46&gt;=$E49,EE46&lt;=($E49+$E55-1)),Вводные!$D$30,Вводные!$E$30))</f>
        <v>2.1999999999999999E-2</v>
      </c>
      <c r="EF55" s="120">
        <f>IF(EF46&lt;$E49,0,IF(AND(EF46&gt;=$E49,EF46&lt;=($E49+$E55-1)),Вводные!$D$30,Вводные!$E$30))</f>
        <v>2.1999999999999999E-2</v>
      </c>
      <c r="EG55" s="120">
        <f>IF(EG46&lt;$E49,0,IF(AND(EG46&gt;=$E49,EG46&lt;=($E49+$E55-1)),Вводные!$D$30,Вводные!$E$30))</f>
        <v>2.1999999999999999E-2</v>
      </c>
      <c r="EH55" s="120">
        <f>IF(EH46&lt;$E49,0,IF(AND(EH46&gt;=$E49,EH46&lt;=($E49+$E55-1)),Вводные!$D$30,Вводные!$E$30))</f>
        <v>2.1999999999999999E-2</v>
      </c>
      <c r="EI55" s="120">
        <f>IF(EI46&lt;$E49,0,IF(AND(EI46&gt;=$E49,EI46&lt;=($E49+$E55-1)),Вводные!$D$30,Вводные!$E$30))</f>
        <v>2.1999999999999999E-2</v>
      </c>
      <c r="EJ55" s="120">
        <f>IF(EJ46&lt;$E49,0,IF(AND(EJ46&gt;=$E49,EJ46&lt;=($E49+$E55-1)),Вводные!$D$30,Вводные!$E$30))</f>
        <v>2.1999999999999999E-2</v>
      </c>
      <c r="EK55" s="120">
        <f>IF(EK46&lt;$E49,0,IF(AND(EK46&gt;=$E49,EK46&lt;=($E49+$E55-1)),Вводные!$D$30,Вводные!$E$30))</f>
        <v>2.1999999999999999E-2</v>
      </c>
      <c r="EL55" s="120">
        <f>IF(EL46&lt;$E49,0,IF(AND(EL46&gt;=$E49,EL46&lt;=($E49+$E55-1)),Вводные!$D$30,Вводные!$E$30))</f>
        <v>2.1999999999999999E-2</v>
      </c>
      <c r="EM55" s="120">
        <f>IF(EM46&lt;$E49,0,IF(AND(EM46&gt;=$E49,EM46&lt;=($E49+$E55-1)),Вводные!$D$30,Вводные!$E$30))</f>
        <v>2.1999999999999999E-2</v>
      </c>
      <c r="EN55" s="120">
        <f>IF(EN46&lt;$E49,0,IF(AND(EN46&gt;=$E49,EN46&lt;=($E49+$E55-1)),Вводные!$D$30,Вводные!$E$30))</f>
        <v>2.1999999999999999E-2</v>
      </c>
    </row>
    <row r="56" spans="2:144" outlineLevel="1">
      <c r="C56" s="151" t="s">
        <v>22</v>
      </c>
      <c r="D56" s="44"/>
      <c r="E56" s="469"/>
      <c r="F56" s="44"/>
      <c r="G56" s="44"/>
      <c r="H56" s="44">
        <f t="shared" ref="H56:AM56" si="73">H55*H54/4</f>
        <v>0</v>
      </c>
      <c r="I56" s="44">
        <f t="shared" si="73"/>
        <v>0</v>
      </c>
      <c r="J56" s="44">
        <f t="shared" si="73"/>
        <v>0</v>
      </c>
      <c r="K56" s="44">
        <f t="shared" si="73"/>
        <v>0</v>
      </c>
      <c r="L56" s="44">
        <f t="shared" si="73"/>
        <v>0</v>
      </c>
      <c r="M56" s="44">
        <f t="shared" si="73"/>
        <v>0</v>
      </c>
      <c r="N56" s="44">
        <f t="shared" si="73"/>
        <v>0</v>
      </c>
      <c r="O56" s="44">
        <f t="shared" si="73"/>
        <v>0</v>
      </c>
      <c r="P56" s="44">
        <f t="shared" si="73"/>
        <v>0</v>
      </c>
      <c r="Q56" s="44">
        <f t="shared" si="73"/>
        <v>0</v>
      </c>
      <c r="R56" s="44">
        <f t="shared" si="73"/>
        <v>0</v>
      </c>
      <c r="S56" s="44">
        <f t="shared" si="73"/>
        <v>0</v>
      </c>
      <c r="T56" s="44">
        <f t="shared" si="73"/>
        <v>0</v>
      </c>
      <c r="U56" s="44">
        <f t="shared" si="73"/>
        <v>0</v>
      </c>
      <c r="V56" s="44">
        <f t="shared" si="73"/>
        <v>0</v>
      </c>
      <c r="W56" s="44">
        <f t="shared" si="73"/>
        <v>0</v>
      </c>
      <c r="X56" s="44">
        <f t="shared" si="73"/>
        <v>0</v>
      </c>
      <c r="Y56" s="44">
        <f t="shared" si="73"/>
        <v>0</v>
      </c>
      <c r="Z56" s="44">
        <f t="shared" si="73"/>
        <v>0</v>
      </c>
      <c r="AA56" s="44">
        <f t="shared" si="73"/>
        <v>0</v>
      </c>
      <c r="AB56" s="44">
        <f t="shared" si="73"/>
        <v>0</v>
      </c>
      <c r="AC56" s="44">
        <f t="shared" si="73"/>
        <v>0</v>
      </c>
      <c r="AD56" s="44">
        <f t="shared" si="73"/>
        <v>0</v>
      </c>
      <c r="AE56" s="44">
        <f t="shared" si="73"/>
        <v>0</v>
      </c>
      <c r="AF56" s="44">
        <f t="shared" si="73"/>
        <v>0</v>
      </c>
      <c r="AG56" s="44">
        <f t="shared" si="73"/>
        <v>0</v>
      </c>
      <c r="AH56" s="44">
        <f t="shared" si="73"/>
        <v>0</v>
      </c>
      <c r="AI56" s="44">
        <f t="shared" si="73"/>
        <v>0</v>
      </c>
      <c r="AJ56" s="44">
        <f t="shared" si="73"/>
        <v>0</v>
      </c>
      <c r="AK56" s="44">
        <f t="shared" si="73"/>
        <v>0</v>
      </c>
      <c r="AL56" s="44">
        <f t="shared" si="73"/>
        <v>0</v>
      </c>
      <c r="AM56" s="44">
        <f t="shared" si="73"/>
        <v>0</v>
      </c>
      <c r="AN56" s="44">
        <f t="shared" ref="AN56:BS56" si="74">AN55*AN54/4</f>
        <v>0</v>
      </c>
      <c r="AO56" s="44">
        <f t="shared" si="74"/>
        <v>0</v>
      </c>
      <c r="AP56" s="44">
        <f t="shared" si="74"/>
        <v>0</v>
      </c>
      <c r="AQ56" s="44">
        <f t="shared" si="74"/>
        <v>0</v>
      </c>
      <c r="AR56" s="44">
        <f t="shared" si="74"/>
        <v>0</v>
      </c>
      <c r="AS56" s="44">
        <f t="shared" si="74"/>
        <v>0</v>
      </c>
      <c r="AT56" s="44">
        <f t="shared" si="74"/>
        <v>0</v>
      </c>
      <c r="AU56" s="44">
        <f t="shared" si="74"/>
        <v>0</v>
      </c>
      <c r="AV56" s="44">
        <f t="shared" si="74"/>
        <v>0</v>
      </c>
      <c r="AW56" s="44">
        <f t="shared" si="74"/>
        <v>0</v>
      </c>
      <c r="AX56" s="44">
        <f t="shared" si="74"/>
        <v>0</v>
      </c>
      <c r="AY56" s="44">
        <f t="shared" si="74"/>
        <v>0</v>
      </c>
      <c r="AZ56" s="44">
        <f t="shared" si="74"/>
        <v>0</v>
      </c>
      <c r="BA56" s="44">
        <f t="shared" si="74"/>
        <v>0</v>
      </c>
      <c r="BB56" s="44">
        <f t="shared" si="74"/>
        <v>0</v>
      </c>
      <c r="BC56" s="44">
        <f t="shared" si="74"/>
        <v>0</v>
      </c>
      <c r="BD56" s="44">
        <f t="shared" si="74"/>
        <v>0</v>
      </c>
      <c r="BE56" s="44">
        <f t="shared" si="74"/>
        <v>0</v>
      </c>
      <c r="BF56" s="44">
        <f t="shared" si="74"/>
        <v>0</v>
      </c>
      <c r="BG56" s="44">
        <f t="shared" si="74"/>
        <v>0</v>
      </c>
      <c r="BH56" s="44">
        <f t="shared" si="74"/>
        <v>2987433.2103205537</v>
      </c>
      <c r="BI56" s="44">
        <f t="shared" si="74"/>
        <v>2950777.588108032</v>
      </c>
      <c r="BJ56" s="44">
        <f t="shared" si="74"/>
        <v>2914121.9658955103</v>
      </c>
      <c r="BK56" s="44">
        <f t="shared" si="74"/>
        <v>2877466.3436829876</v>
      </c>
      <c r="BL56" s="44">
        <f t="shared" si="74"/>
        <v>2840810.7214704659</v>
      </c>
      <c r="BM56" s="44">
        <f t="shared" si="74"/>
        <v>2804155.0992579432</v>
      </c>
      <c r="BN56" s="44">
        <f t="shared" si="74"/>
        <v>2767499.4770454215</v>
      </c>
      <c r="BO56" s="44">
        <f t="shared" si="74"/>
        <v>2730843.8548328988</v>
      </c>
      <c r="BP56" s="44">
        <f t="shared" si="74"/>
        <v>2694188.2326203771</v>
      </c>
      <c r="BQ56" s="44">
        <f t="shared" si="74"/>
        <v>2657532.6104078549</v>
      </c>
      <c r="BR56" s="44">
        <f t="shared" si="74"/>
        <v>2620876.9881953327</v>
      </c>
      <c r="BS56" s="44">
        <f t="shared" si="74"/>
        <v>2584221.3659828105</v>
      </c>
      <c r="BT56" s="44">
        <f t="shared" ref="BT56:CY56" si="75">BT55*BT54/4</f>
        <v>2547565.7437702883</v>
      </c>
      <c r="BU56" s="44">
        <f t="shared" si="75"/>
        <v>2510910.1215577661</v>
      </c>
      <c r="BV56" s="44">
        <f t="shared" si="75"/>
        <v>2474254.4993452444</v>
      </c>
      <c r="BW56" s="44">
        <f t="shared" si="75"/>
        <v>2437598.8771327217</v>
      </c>
      <c r="BX56" s="44">
        <f t="shared" si="75"/>
        <v>2400943.2549202</v>
      </c>
      <c r="BY56" s="44">
        <f t="shared" si="75"/>
        <v>2364287.6327076773</v>
      </c>
      <c r="BZ56" s="44">
        <f t="shared" si="75"/>
        <v>2327632.0104951556</v>
      </c>
      <c r="CA56" s="44">
        <f t="shared" si="75"/>
        <v>2290976.3882826329</v>
      </c>
      <c r="CB56" s="44">
        <f t="shared" si="75"/>
        <v>2254320.7660701112</v>
      </c>
      <c r="CC56" s="44">
        <f t="shared" si="75"/>
        <v>2217665.1438575885</v>
      </c>
      <c r="CD56" s="44">
        <f t="shared" si="75"/>
        <v>2181009.5216450668</v>
      </c>
      <c r="CE56" s="44">
        <f t="shared" si="75"/>
        <v>2144353.8994325441</v>
      </c>
      <c r="CF56" s="44">
        <f t="shared" si="75"/>
        <v>2107698.2772200224</v>
      </c>
      <c r="CG56" s="44">
        <f t="shared" si="75"/>
        <v>2071042.6550075</v>
      </c>
      <c r="CH56" s="44">
        <f t="shared" si="75"/>
        <v>2034387.032794978</v>
      </c>
      <c r="CI56" s="44">
        <f t="shared" si="75"/>
        <v>1997731.4105824556</v>
      </c>
      <c r="CJ56" s="44">
        <f t="shared" si="75"/>
        <v>1961075.7883699336</v>
      </c>
      <c r="CK56" s="44">
        <f t="shared" si="75"/>
        <v>1924420.1661574112</v>
      </c>
      <c r="CL56" s="44">
        <f t="shared" si="75"/>
        <v>1887764.5439448892</v>
      </c>
      <c r="CM56" s="44">
        <f t="shared" si="75"/>
        <v>1851108.9217323668</v>
      </c>
      <c r="CN56" s="44">
        <f t="shared" si="75"/>
        <v>1814453.2995198451</v>
      </c>
      <c r="CO56" s="44">
        <f t="shared" si="75"/>
        <v>1777797.6773073224</v>
      </c>
      <c r="CP56" s="44">
        <f t="shared" si="75"/>
        <v>1741142.0550948007</v>
      </c>
      <c r="CQ56" s="44">
        <f t="shared" si="75"/>
        <v>1704486.432882278</v>
      </c>
      <c r="CR56" s="44">
        <f t="shared" si="75"/>
        <v>1667830.8106697563</v>
      </c>
      <c r="CS56" s="44">
        <f t="shared" si="75"/>
        <v>1631175.1884572338</v>
      </c>
      <c r="CT56" s="44">
        <f t="shared" si="75"/>
        <v>1594519.5662447119</v>
      </c>
      <c r="CU56" s="44">
        <f t="shared" si="75"/>
        <v>1557863.9440321894</v>
      </c>
      <c r="CV56" s="44">
        <f t="shared" si="75"/>
        <v>1521208.3218196675</v>
      </c>
      <c r="CW56" s="44">
        <f t="shared" si="75"/>
        <v>1484552.6996071453</v>
      </c>
      <c r="CX56" s="44">
        <f t="shared" si="75"/>
        <v>1447897.0773946233</v>
      </c>
      <c r="CY56" s="44">
        <f t="shared" si="75"/>
        <v>1411241.4551821013</v>
      </c>
      <c r="CZ56" s="44">
        <f t="shared" ref="CZ56:EE56" si="76">CZ55*CZ54/4</f>
        <v>1374585.8329695791</v>
      </c>
      <c r="DA56" s="44">
        <f t="shared" si="76"/>
        <v>1337930.2107570574</v>
      </c>
      <c r="DB56" s="44">
        <f t="shared" si="76"/>
        <v>1301274.5885445352</v>
      </c>
      <c r="DC56" s="44">
        <f t="shared" si="76"/>
        <v>1264618.9663320133</v>
      </c>
      <c r="DD56" s="44">
        <f t="shared" si="76"/>
        <v>1227963.3441194911</v>
      </c>
      <c r="DE56" s="44">
        <f t="shared" si="76"/>
        <v>1191307.7219069693</v>
      </c>
      <c r="DF56" s="44">
        <f t="shared" si="76"/>
        <v>1154652.0996944471</v>
      </c>
      <c r="DG56" s="44">
        <f t="shared" si="76"/>
        <v>1117996.4774819252</v>
      </c>
      <c r="DH56" s="44">
        <f t="shared" si="76"/>
        <v>1081340.855269403</v>
      </c>
      <c r="DI56" s="44">
        <f t="shared" si="76"/>
        <v>1044685.2330568812</v>
      </c>
      <c r="DJ56" s="44">
        <f t="shared" si="76"/>
        <v>1008029.610844359</v>
      </c>
      <c r="DK56" s="44">
        <f t="shared" si="76"/>
        <v>971373.98863183719</v>
      </c>
      <c r="DL56" s="44">
        <f t="shared" si="76"/>
        <v>934718.36641931499</v>
      </c>
      <c r="DM56" s="44">
        <f t="shared" si="76"/>
        <v>898062.74420679314</v>
      </c>
      <c r="DN56" s="44">
        <f t="shared" si="76"/>
        <v>861407.12199427094</v>
      </c>
      <c r="DO56" s="44">
        <f t="shared" si="76"/>
        <v>824751.49978174909</v>
      </c>
      <c r="DP56" s="44">
        <f t="shared" si="76"/>
        <v>788095.87756922701</v>
      </c>
      <c r="DQ56" s="44">
        <f t="shared" si="76"/>
        <v>751440.25535670517</v>
      </c>
      <c r="DR56" s="44">
        <f t="shared" si="76"/>
        <v>714784.63314418297</v>
      </c>
      <c r="DS56" s="44">
        <f t="shared" si="76"/>
        <v>678129.010931661</v>
      </c>
      <c r="DT56" s="44">
        <f t="shared" si="76"/>
        <v>641473.38871913904</v>
      </c>
      <c r="DU56" s="44">
        <f t="shared" si="76"/>
        <v>604817.76650661696</v>
      </c>
      <c r="DV56" s="44">
        <f t="shared" si="76"/>
        <v>568162.14429409499</v>
      </c>
      <c r="DW56" s="44">
        <f t="shared" si="76"/>
        <v>531506.52208157291</v>
      </c>
      <c r="DX56" s="44">
        <f t="shared" si="76"/>
        <v>494850.89986905095</v>
      </c>
      <c r="DY56" s="44">
        <f t="shared" si="76"/>
        <v>458195.27765652892</v>
      </c>
      <c r="DZ56" s="44">
        <f t="shared" si="76"/>
        <v>421539.6554440069</v>
      </c>
      <c r="EA56" s="44">
        <f t="shared" si="76"/>
        <v>384884.03323148488</v>
      </c>
      <c r="EB56" s="44">
        <f t="shared" si="76"/>
        <v>348228.4110189628</v>
      </c>
      <c r="EC56" s="44">
        <f t="shared" si="76"/>
        <v>311572.78880644077</v>
      </c>
      <c r="ED56" s="44">
        <f t="shared" si="76"/>
        <v>274917.16659391869</v>
      </c>
      <c r="EE56" s="44">
        <f t="shared" si="76"/>
        <v>238261.5443813967</v>
      </c>
      <c r="EF56" s="44">
        <f t="shared" ref="EF56:EN56" si="77">EF55*EF54/4</f>
        <v>201605.92216887459</v>
      </c>
      <c r="EG56" s="44">
        <f t="shared" si="77"/>
        <v>164950.29995635257</v>
      </c>
      <c r="EH56" s="44">
        <f t="shared" si="77"/>
        <v>128294.67774383051</v>
      </c>
      <c r="EI56" s="44">
        <f t="shared" si="77"/>
        <v>91639.055531308448</v>
      </c>
      <c r="EJ56" s="44">
        <f t="shared" si="77"/>
        <v>54983.433318786418</v>
      </c>
      <c r="EK56" s="44">
        <f t="shared" si="77"/>
        <v>18327.811106264373</v>
      </c>
      <c r="EL56" s="44">
        <f t="shared" si="77"/>
        <v>3.3499673008918762E-9</v>
      </c>
      <c r="EM56" s="44">
        <f t="shared" si="77"/>
        <v>3.3499673008918762E-9</v>
      </c>
      <c r="EN56" s="44">
        <f t="shared" si="77"/>
        <v>3.3499673008918762E-9</v>
      </c>
    </row>
    <row r="57" spans="2:144" ht="15.75">
      <c r="B57" s="40"/>
      <c r="C57" s="22"/>
      <c r="E57" s="40"/>
      <c r="F57" s="40"/>
      <c r="G57" s="40"/>
      <c r="H57" s="463">
        <f t="shared" ref="H57:BD57" si="78">YEAR(H59)</f>
        <v>2022</v>
      </c>
      <c r="I57" s="463">
        <f t="shared" si="78"/>
        <v>2022</v>
      </c>
      <c r="J57" s="463">
        <f t="shared" si="78"/>
        <v>2022</v>
      </c>
      <c r="K57" s="463">
        <f t="shared" si="78"/>
        <v>2022</v>
      </c>
      <c r="L57" s="463">
        <f t="shared" si="78"/>
        <v>2023</v>
      </c>
      <c r="M57" s="463">
        <f t="shared" si="78"/>
        <v>2023</v>
      </c>
      <c r="N57" s="463">
        <f t="shared" si="78"/>
        <v>2023</v>
      </c>
      <c r="O57" s="463">
        <f t="shared" si="78"/>
        <v>2023</v>
      </c>
      <c r="P57" s="463">
        <f t="shared" si="78"/>
        <v>2024</v>
      </c>
      <c r="Q57" s="463">
        <f t="shared" si="78"/>
        <v>2024</v>
      </c>
      <c r="R57" s="463">
        <f t="shared" si="78"/>
        <v>2024</v>
      </c>
      <c r="S57" s="463">
        <f t="shared" si="78"/>
        <v>2024</v>
      </c>
      <c r="T57" s="463">
        <f t="shared" si="78"/>
        <v>2025</v>
      </c>
      <c r="U57" s="463">
        <f t="shared" si="78"/>
        <v>2025</v>
      </c>
      <c r="V57" s="463">
        <f t="shared" si="78"/>
        <v>2025</v>
      </c>
      <c r="W57" s="463">
        <f t="shared" si="78"/>
        <v>2025</v>
      </c>
      <c r="X57" s="463">
        <f t="shared" si="78"/>
        <v>2026</v>
      </c>
      <c r="Y57" s="463">
        <f t="shared" si="78"/>
        <v>2026</v>
      </c>
      <c r="Z57" s="463">
        <f t="shared" si="78"/>
        <v>2026</v>
      </c>
      <c r="AA57" s="463">
        <f t="shared" si="78"/>
        <v>2026</v>
      </c>
      <c r="AB57" s="463">
        <f t="shared" si="78"/>
        <v>2027</v>
      </c>
      <c r="AC57" s="463">
        <f t="shared" si="78"/>
        <v>2027</v>
      </c>
      <c r="AD57" s="463">
        <f t="shared" si="78"/>
        <v>2027</v>
      </c>
      <c r="AE57" s="463">
        <f t="shared" si="78"/>
        <v>2027</v>
      </c>
      <c r="AF57" s="463">
        <f t="shared" si="78"/>
        <v>2028</v>
      </c>
      <c r="AG57" s="463">
        <f t="shared" si="78"/>
        <v>2028</v>
      </c>
      <c r="AH57" s="463">
        <f t="shared" si="78"/>
        <v>2028</v>
      </c>
      <c r="AI57" s="463">
        <f t="shared" si="78"/>
        <v>2028</v>
      </c>
      <c r="AJ57" s="463">
        <f t="shared" si="78"/>
        <v>2029</v>
      </c>
      <c r="AK57" s="463">
        <f t="shared" si="78"/>
        <v>2029</v>
      </c>
      <c r="AL57" s="463">
        <f t="shared" si="78"/>
        <v>2029</v>
      </c>
      <c r="AM57" s="463">
        <f t="shared" si="78"/>
        <v>2029</v>
      </c>
      <c r="AN57" s="463">
        <f t="shared" si="78"/>
        <v>2030</v>
      </c>
      <c r="AO57" s="463">
        <f t="shared" si="78"/>
        <v>2030</v>
      </c>
      <c r="AP57" s="463">
        <f t="shared" si="78"/>
        <v>2030</v>
      </c>
      <c r="AQ57" s="463">
        <f t="shared" si="78"/>
        <v>2030</v>
      </c>
      <c r="AR57" s="463">
        <f t="shared" si="78"/>
        <v>2031</v>
      </c>
      <c r="AS57" s="463">
        <f t="shared" si="78"/>
        <v>2031</v>
      </c>
      <c r="AT57" s="463">
        <f t="shared" si="78"/>
        <v>2031</v>
      </c>
      <c r="AU57" s="463">
        <f t="shared" si="78"/>
        <v>2031</v>
      </c>
      <c r="AV57" s="463">
        <f t="shared" si="78"/>
        <v>2032</v>
      </c>
      <c r="AW57" s="463">
        <f t="shared" si="78"/>
        <v>2032</v>
      </c>
      <c r="AX57" s="463">
        <f t="shared" si="78"/>
        <v>2032</v>
      </c>
      <c r="AY57" s="463">
        <f t="shared" si="78"/>
        <v>2032</v>
      </c>
      <c r="AZ57" s="463">
        <f t="shared" si="78"/>
        <v>2033</v>
      </c>
      <c r="BA57" s="463">
        <f t="shared" si="78"/>
        <v>2033</v>
      </c>
      <c r="BB57" s="463">
        <f t="shared" si="78"/>
        <v>2033</v>
      </c>
      <c r="BC57" s="463">
        <f t="shared" si="78"/>
        <v>2033</v>
      </c>
      <c r="BD57" s="463">
        <f t="shared" si="78"/>
        <v>2034</v>
      </c>
      <c r="BE57" s="463">
        <f>YEAR(BE59)</f>
        <v>2034</v>
      </c>
      <c r="BF57" s="463">
        <f>YEAR(BF59)</f>
        <v>2034</v>
      </c>
      <c r="BG57" s="463">
        <f t="shared" ref="BG57:DR57" si="79">YEAR(BG59)</f>
        <v>2034</v>
      </c>
      <c r="BH57" s="463">
        <f t="shared" si="79"/>
        <v>2035</v>
      </c>
      <c r="BI57" s="463">
        <f t="shared" si="79"/>
        <v>2035</v>
      </c>
      <c r="BJ57" s="463">
        <f t="shared" si="79"/>
        <v>2035</v>
      </c>
      <c r="BK57" s="463">
        <f t="shared" si="79"/>
        <v>2035</v>
      </c>
      <c r="BL57" s="463">
        <f t="shared" si="79"/>
        <v>2036</v>
      </c>
      <c r="BM57" s="463">
        <f t="shared" si="79"/>
        <v>2036</v>
      </c>
      <c r="BN57" s="463">
        <f t="shared" si="79"/>
        <v>2036</v>
      </c>
      <c r="BO57" s="463">
        <f t="shared" si="79"/>
        <v>2036</v>
      </c>
      <c r="BP57" s="463">
        <f t="shared" si="79"/>
        <v>2037</v>
      </c>
      <c r="BQ57" s="463">
        <f t="shared" si="79"/>
        <v>2037</v>
      </c>
      <c r="BR57" s="463">
        <f t="shared" si="79"/>
        <v>2037</v>
      </c>
      <c r="BS57" s="463">
        <f t="shared" si="79"/>
        <v>2037</v>
      </c>
      <c r="BT57" s="463">
        <f t="shared" si="79"/>
        <v>2038</v>
      </c>
      <c r="BU57" s="463">
        <f t="shared" si="79"/>
        <v>2038</v>
      </c>
      <c r="BV57" s="463">
        <f t="shared" si="79"/>
        <v>2038</v>
      </c>
      <c r="BW57" s="463">
        <f t="shared" si="79"/>
        <v>2038</v>
      </c>
      <c r="BX57" s="463">
        <f t="shared" si="79"/>
        <v>2039</v>
      </c>
      <c r="BY57" s="463">
        <f t="shared" si="79"/>
        <v>2039</v>
      </c>
      <c r="BZ57" s="463">
        <f t="shared" si="79"/>
        <v>2039</v>
      </c>
      <c r="CA57" s="463">
        <f t="shared" si="79"/>
        <v>2039</v>
      </c>
      <c r="CB57" s="463">
        <f t="shared" si="79"/>
        <v>2040</v>
      </c>
      <c r="CC57" s="463">
        <f t="shared" si="79"/>
        <v>2040</v>
      </c>
      <c r="CD57" s="463">
        <f t="shared" si="79"/>
        <v>2040</v>
      </c>
      <c r="CE57" s="463">
        <f t="shared" si="79"/>
        <v>2040</v>
      </c>
      <c r="CF57" s="463">
        <f t="shared" si="79"/>
        <v>2041</v>
      </c>
      <c r="CG57" s="463">
        <f t="shared" si="79"/>
        <v>2041</v>
      </c>
      <c r="CH57" s="463">
        <f t="shared" si="79"/>
        <v>2041</v>
      </c>
      <c r="CI57" s="463">
        <f t="shared" si="79"/>
        <v>2041</v>
      </c>
      <c r="CJ57" s="463">
        <f t="shared" si="79"/>
        <v>2042</v>
      </c>
      <c r="CK57" s="463">
        <f t="shared" si="79"/>
        <v>2042</v>
      </c>
      <c r="CL57" s="463">
        <f t="shared" si="79"/>
        <v>2042</v>
      </c>
      <c r="CM57" s="463">
        <f t="shared" si="79"/>
        <v>2042</v>
      </c>
      <c r="CN57" s="463">
        <f t="shared" si="79"/>
        <v>2043</v>
      </c>
      <c r="CO57" s="463">
        <f t="shared" si="79"/>
        <v>2043</v>
      </c>
      <c r="CP57" s="463">
        <f t="shared" si="79"/>
        <v>2043</v>
      </c>
      <c r="CQ57" s="463">
        <f t="shared" si="79"/>
        <v>2043</v>
      </c>
      <c r="CR57" s="463">
        <f t="shared" si="79"/>
        <v>2044</v>
      </c>
      <c r="CS57" s="463">
        <f t="shared" si="79"/>
        <v>2044</v>
      </c>
      <c r="CT57" s="463">
        <f t="shared" si="79"/>
        <v>2044</v>
      </c>
      <c r="CU57" s="463">
        <f t="shared" si="79"/>
        <v>2044</v>
      </c>
      <c r="CV57" s="463">
        <f t="shared" si="79"/>
        <v>2045</v>
      </c>
      <c r="CW57" s="463">
        <f t="shared" si="79"/>
        <v>2045</v>
      </c>
      <c r="CX57" s="463">
        <f t="shared" si="79"/>
        <v>2045</v>
      </c>
      <c r="CY57" s="463">
        <f t="shared" si="79"/>
        <v>2045</v>
      </c>
      <c r="CZ57" s="463">
        <f t="shared" si="79"/>
        <v>2046</v>
      </c>
      <c r="DA57" s="463">
        <f t="shared" si="79"/>
        <v>2046</v>
      </c>
      <c r="DB57" s="463">
        <f t="shared" si="79"/>
        <v>2046</v>
      </c>
      <c r="DC57" s="463">
        <f t="shared" si="79"/>
        <v>2046</v>
      </c>
      <c r="DD57" s="463">
        <f t="shared" si="79"/>
        <v>2047</v>
      </c>
      <c r="DE57" s="463">
        <f t="shared" si="79"/>
        <v>2047</v>
      </c>
      <c r="DF57" s="463">
        <f t="shared" si="79"/>
        <v>2047</v>
      </c>
      <c r="DG57" s="463">
        <f t="shared" si="79"/>
        <v>2047</v>
      </c>
      <c r="DH57" s="463">
        <f t="shared" si="79"/>
        <v>2048</v>
      </c>
      <c r="DI57" s="463">
        <f t="shared" si="79"/>
        <v>2048</v>
      </c>
      <c r="DJ57" s="463">
        <f t="shared" si="79"/>
        <v>2048</v>
      </c>
      <c r="DK57" s="463">
        <f t="shared" si="79"/>
        <v>2048</v>
      </c>
      <c r="DL57" s="463">
        <f t="shared" si="79"/>
        <v>2049</v>
      </c>
      <c r="DM57" s="463">
        <f t="shared" si="79"/>
        <v>2049</v>
      </c>
      <c r="DN57" s="463">
        <f t="shared" si="79"/>
        <v>2049</v>
      </c>
      <c r="DO57" s="463">
        <f t="shared" si="79"/>
        <v>2049</v>
      </c>
      <c r="DP57" s="463">
        <f t="shared" si="79"/>
        <v>2050</v>
      </c>
      <c r="DQ57" s="463">
        <f t="shared" si="79"/>
        <v>2050</v>
      </c>
      <c r="DR57" s="463">
        <f t="shared" si="79"/>
        <v>2050</v>
      </c>
      <c r="DS57" s="463">
        <f t="shared" ref="DS57:EN57" si="80">YEAR(DS59)</f>
        <v>2050</v>
      </c>
      <c r="DT57" s="463">
        <f t="shared" si="80"/>
        <v>2051</v>
      </c>
      <c r="DU57" s="463">
        <f t="shared" si="80"/>
        <v>2051</v>
      </c>
      <c r="DV57" s="463">
        <f t="shared" si="80"/>
        <v>2051</v>
      </c>
      <c r="DW57" s="463">
        <f t="shared" si="80"/>
        <v>2051</v>
      </c>
      <c r="DX57" s="463">
        <f t="shared" si="80"/>
        <v>2052</v>
      </c>
      <c r="DY57" s="463">
        <f t="shared" si="80"/>
        <v>2052</v>
      </c>
      <c r="DZ57" s="463">
        <f t="shared" si="80"/>
        <v>2052</v>
      </c>
      <c r="EA57" s="463">
        <f t="shared" si="80"/>
        <v>2052</v>
      </c>
      <c r="EB57" s="463">
        <f t="shared" si="80"/>
        <v>2053</v>
      </c>
      <c r="EC57" s="463">
        <f t="shared" si="80"/>
        <v>2053</v>
      </c>
      <c r="ED57" s="463">
        <f t="shared" si="80"/>
        <v>2053</v>
      </c>
      <c r="EE57" s="463">
        <f t="shared" si="80"/>
        <v>2053</v>
      </c>
      <c r="EF57" s="463">
        <f t="shared" si="80"/>
        <v>2054</v>
      </c>
      <c r="EG57" s="463">
        <f t="shared" si="80"/>
        <v>2054</v>
      </c>
      <c r="EH57" s="463">
        <f t="shared" si="80"/>
        <v>2054</v>
      </c>
      <c r="EI57" s="463">
        <f t="shared" si="80"/>
        <v>2054</v>
      </c>
      <c r="EJ57" s="463">
        <f t="shared" si="80"/>
        <v>2055</v>
      </c>
      <c r="EK57" s="463">
        <f t="shared" si="80"/>
        <v>2055</v>
      </c>
      <c r="EL57" s="463">
        <f t="shared" si="80"/>
        <v>2055</v>
      </c>
      <c r="EM57" s="463">
        <f t="shared" si="80"/>
        <v>2055</v>
      </c>
      <c r="EN57" s="463">
        <f t="shared" si="80"/>
        <v>2056</v>
      </c>
    </row>
    <row r="58" spans="2:144" ht="15.75">
      <c r="B58" s="40"/>
      <c r="C58" s="22"/>
      <c r="E58" s="40"/>
      <c r="F58" s="40"/>
      <c r="G58" s="40"/>
      <c r="H58" s="464">
        <f t="shared" ref="H58:AM58" si="81">H47</f>
        <v>44593</v>
      </c>
      <c r="I58" s="464">
        <f t="shared" si="81"/>
        <v>44652</v>
      </c>
      <c r="J58" s="464">
        <f t="shared" si="81"/>
        <v>44743</v>
      </c>
      <c r="K58" s="464">
        <f t="shared" si="81"/>
        <v>44835</v>
      </c>
      <c r="L58" s="464">
        <f t="shared" si="81"/>
        <v>44927</v>
      </c>
      <c r="M58" s="464">
        <f t="shared" si="81"/>
        <v>45017</v>
      </c>
      <c r="N58" s="464">
        <f t="shared" si="81"/>
        <v>45108</v>
      </c>
      <c r="O58" s="464">
        <f t="shared" si="81"/>
        <v>45200</v>
      </c>
      <c r="P58" s="464">
        <f t="shared" si="81"/>
        <v>45292</v>
      </c>
      <c r="Q58" s="464">
        <f t="shared" si="81"/>
        <v>45383</v>
      </c>
      <c r="R58" s="464">
        <f t="shared" si="81"/>
        <v>45474</v>
      </c>
      <c r="S58" s="464">
        <f t="shared" si="81"/>
        <v>45566</v>
      </c>
      <c r="T58" s="464">
        <f t="shared" si="81"/>
        <v>45658</v>
      </c>
      <c r="U58" s="464">
        <f t="shared" si="81"/>
        <v>45748</v>
      </c>
      <c r="V58" s="464">
        <f t="shared" si="81"/>
        <v>45839</v>
      </c>
      <c r="W58" s="464">
        <f t="shared" si="81"/>
        <v>45931</v>
      </c>
      <c r="X58" s="464">
        <f t="shared" si="81"/>
        <v>46023</v>
      </c>
      <c r="Y58" s="464">
        <f t="shared" si="81"/>
        <v>46113</v>
      </c>
      <c r="Z58" s="464">
        <f t="shared" si="81"/>
        <v>46204</v>
      </c>
      <c r="AA58" s="464">
        <f t="shared" si="81"/>
        <v>46296</v>
      </c>
      <c r="AB58" s="464">
        <f t="shared" si="81"/>
        <v>46388</v>
      </c>
      <c r="AC58" s="464">
        <f t="shared" si="81"/>
        <v>46478</v>
      </c>
      <c r="AD58" s="464">
        <f t="shared" si="81"/>
        <v>46569</v>
      </c>
      <c r="AE58" s="464">
        <f t="shared" si="81"/>
        <v>46661</v>
      </c>
      <c r="AF58" s="464">
        <f t="shared" si="81"/>
        <v>46753</v>
      </c>
      <c r="AG58" s="464">
        <f t="shared" si="81"/>
        <v>46844</v>
      </c>
      <c r="AH58" s="464">
        <f t="shared" si="81"/>
        <v>46935</v>
      </c>
      <c r="AI58" s="464">
        <f t="shared" si="81"/>
        <v>47027</v>
      </c>
      <c r="AJ58" s="464">
        <f t="shared" si="81"/>
        <v>47119</v>
      </c>
      <c r="AK58" s="464">
        <f t="shared" si="81"/>
        <v>47209</v>
      </c>
      <c r="AL58" s="464">
        <f t="shared" si="81"/>
        <v>47300</v>
      </c>
      <c r="AM58" s="464">
        <f t="shared" si="81"/>
        <v>47392</v>
      </c>
      <c r="AN58" s="464">
        <f t="shared" ref="AN58:BS58" si="82">AN47</f>
        <v>47484</v>
      </c>
      <c r="AO58" s="464">
        <f t="shared" si="82"/>
        <v>47574</v>
      </c>
      <c r="AP58" s="464">
        <f t="shared" si="82"/>
        <v>47665</v>
      </c>
      <c r="AQ58" s="464">
        <f t="shared" si="82"/>
        <v>47757</v>
      </c>
      <c r="AR58" s="464">
        <f t="shared" si="82"/>
        <v>47849</v>
      </c>
      <c r="AS58" s="464">
        <f t="shared" si="82"/>
        <v>47939</v>
      </c>
      <c r="AT58" s="464">
        <f t="shared" si="82"/>
        <v>48030</v>
      </c>
      <c r="AU58" s="464">
        <f t="shared" si="82"/>
        <v>48122</v>
      </c>
      <c r="AV58" s="464">
        <f t="shared" si="82"/>
        <v>48214</v>
      </c>
      <c r="AW58" s="464">
        <f t="shared" si="82"/>
        <v>48305</v>
      </c>
      <c r="AX58" s="464">
        <f t="shared" si="82"/>
        <v>48396</v>
      </c>
      <c r="AY58" s="464">
        <f t="shared" si="82"/>
        <v>48488</v>
      </c>
      <c r="AZ58" s="464">
        <f t="shared" si="82"/>
        <v>48580</v>
      </c>
      <c r="BA58" s="464">
        <f t="shared" si="82"/>
        <v>48670</v>
      </c>
      <c r="BB58" s="464">
        <f t="shared" si="82"/>
        <v>48761</v>
      </c>
      <c r="BC58" s="464">
        <f t="shared" si="82"/>
        <v>48853</v>
      </c>
      <c r="BD58" s="464">
        <f t="shared" si="82"/>
        <v>48945</v>
      </c>
      <c r="BE58" s="464">
        <f t="shared" si="82"/>
        <v>49035</v>
      </c>
      <c r="BF58" s="464">
        <f t="shared" si="82"/>
        <v>49126</v>
      </c>
      <c r="BG58" s="464">
        <f t="shared" si="82"/>
        <v>49218</v>
      </c>
      <c r="BH58" s="464">
        <f t="shared" si="82"/>
        <v>49310</v>
      </c>
      <c r="BI58" s="464">
        <f t="shared" si="82"/>
        <v>49400</v>
      </c>
      <c r="BJ58" s="464">
        <f t="shared" si="82"/>
        <v>49491</v>
      </c>
      <c r="BK58" s="464">
        <f t="shared" si="82"/>
        <v>49583</v>
      </c>
      <c r="BL58" s="464">
        <f t="shared" si="82"/>
        <v>49675</v>
      </c>
      <c r="BM58" s="464">
        <f t="shared" si="82"/>
        <v>49766</v>
      </c>
      <c r="BN58" s="464">
        <f t="shared" si="82"/>
        <v>49857</v>
      </c>
      <c r="BO58" s="464">
        <f t="shared" si="82"/>
        <v>49949</v>
      </c>
      <c r="BP58" s="464">
        <f t="shared" si="82"/>
        <v>50041</v>
      </c>
      <c r="BQ58" s="464">
        <f t="shared" si="82"/>
        <v>50131</v>
      </c>
      <c r="BR58" s="464">
        <f t="shared" si="82"/>
        <v>50222</v>
      </c>
      <c r="BS58" s="464">
        <f t="shared" si="82"/>
        <v>50314</v>
      </c>
      <c r="BT58" s="464">
        <f t="shared" ref="BT58:CY58" si="83">BT47</f>
        <v>50406</v>
      </c>
      <c r="BU58" s="464">
        <f t="shared" si="83"/>
        <v>50496</v>
      </c>
      <c r="BV58" s="464">
        <f t="shared" si="83"/>
        <v>50587</v>
      </c>
      <c r="BW58" s="464">
        <f t="shared" si="83"/>
        <v>50679</v>
      </c>
      <c r="BX58" s="464">
        <f t="shared" si="83"/>
        <v>50771</v>
      </c>
      <c r="BY58" s="464">
        <f t="shared" si="83"/>
        <v>50861</v>
      </c>
      <c r="BZ58" s="464">
        <f t="shared" si="83"/>
        <v>50952</v>
      </c>
      <c r="CA58" s="464">
        <f t="shared" si="83"/>
        <v>51044</v>
      </c>
      <c r="CB58" s="464">
        <f t="shared" si="83"/>
        <v>51136</v>
      </c>
      <c r="CC58" s="464">
        <f t="shared" si="83"/>
        <v>51227</v>
      </c>
      <c r="CD58" s="464">
        <f t="shared" si="83"/>
        <v>51318</v>
      </c>
      <c r="CE58" s="464">
        <f t="shared" si="83"/>
        <v>51410</v>
      </c>
      <c r="CF58" s="464">
        <f t="shared" si="83"/>
        <v>51502</v>
      </c>
      <c r="CG58" s="464">
        <f t="shared" si="83"/>
        <v>51592</v>
      </c>
      <c r="CH58" s="464">
        <f t="shared" si="83"/>
        <v>51683</v>
      </c>
      <c r="CI58" s="464">
        <f t="shared" si="83"/>
        <v>51775</v>
      </c>
      <c r="CJ58" s="464">
        <f t="shared" si="83"/>
        <v>51867</v>
      </c>
      <c r="CK58" s="464">
        <f t="shared" si="83"/>
        <v>51957</v>
      </c>
      <c r="CL58" s="464">
        <f t="shared" si="83"/>
        <v>52048</v>
      </c>
      <c r="CM58" s="464">
        <f t="shared" si="83"/>
        <v>52140</v>
      </c>
      <c r="CN58" s="464">
        <f t="shared" si="83"/>
        <v>52232</v>
      </c>
      <c r="CO58" s="464">
        <f t="shared" si="83"/>
        <v>52322</v>
      </c>
      <c r="CP58" s="464">
        <f t="shared" si="83"/>
        <v>52413</v>
      </c>
      <c r="CQ58" s="464">
        <f t="shared" si="83"/>
        <v>52505</v>
      </c>
      <c r="CR58" s="464">
        <f t="shared" si="83"/>
        <v>52597</v>
      </c>
      <c r="CS58" s="464">
        <f t="shared" si="83"/>
        <v>52688</v>
      </c>
      <c r="CT58" s="464">
        <f t="shared" si="83"/>
        <v>52779</v>
      </c>
      <c r="CU58" s="464">
        <f t="shared" si="83"/>
        <v>52871</v>
      </c>
      <c r="CV58" s="464">
        <f t="shared" si="83"/>
        <v>52963</v>
      </c>
      <c r="CW58" s="464">
        <f t="shared" si="83"/>
        <v>53053</v>
      </c>
      <c r="CX58" s="464">
        <f t="shared" si="83"/>
        <v>53144</v>
      </c>
      <c r="CY58" s="464">
        <f t="shared" si="83"/>
        <v>53236</v>
      </c>
      <c r="CZ58" s="464">
        <f t="shared" ref="CZ58:EE58" si="84">CZ47</f>
        <v>53328</v>
      </c>
      <c r="DA58" s="464">
        <f t="shared" si="84"/>
        <v>53418</v>
      </c>
      <c r="DB58" s="464">
        <f t="shared" si="84"/>
        <v>53509</v>
      </c>
      <c r="DC58" s="464">
        <f t="shared" si="84"/>
        <v>53601</v>
      </c>
      <c r="DD58" s="464">
        <f t="shared" si="84"/>
        <v>53693</v>
      </c>
      <c r="DE58" s="464">
        <f t="shared" si="84"/>
        <v>53783</v>
      </c>
      <c r="DF58" s="464">
        <f t="shared" si="84"/>
        <v>53874</v>
      </c>
      <c r="DG58" s="464">
        <f t="shared" si="84"/>
        <v>53966</v>
      </c>
      <c r="DH58" s="464">
        <f t="shared" si="84"/>
        <v>54058</v>
      </c>
      <c r="DI58" s="464">
        <f t="shared" si="84"/>
        <v>54149</v>
      </c>
      <c r="DJ58" s="464">
        <f t="shared" si="84"/>
        <v>54240</v>
      </c>
      <c r="DK58" s="464">
        <f t="shared" si="84"/>
        <v>54332</v>
      </c>
      <c r="DL58" s="464">
        <f t="shared" si="84"/>
        <v>54424</v>
      </c>
      <c r="DM58" s="464">
        <f t="shared" si="84"/>
        <v>54514</v>
      </c>
      <c r="DN58" s="464">
        <f t="shared" si="84"/>
        <v>54605</v>
      </c>
      <c r="DO58" s="464">
        <f t="shared" si="84"/>
        <v>54697</v>
      </c>
      <c r="DP58" s="464">
        <f t="shared" si="84"/>
        <v>54789</v>
      </c>
      <c r="DQ58" s="464">
        <f t="shared" si="84"/>
        <v>54879</v>
      </c>
      <c r="DR58" s="464">
        <f t="shared" si="84"/>
        <v>54970</v>
      </c>
      <c r="DS58" s="464">
        <f t="shared" si="84"/>
        <v>55062</v>
      </c>
      <c r="DT58" s="464">
        <f t="shared" si="84"/>
        <v>55154</v>
      </c>
      <c r="DU58" s="464">
        <f t="shared" si="84"/>
        <v>55244</v>
      </c>
      <c r="DV58" s="464">
        <f t="shared" si="84"/>
        <v>55335</v>
      </c>
      <c r="DW58" s="464">
        <f t="shared" si="84"/>
        <v>55427</v>
      </c>
      <c r="DX58" s="464">
        <f t="shared" si="84"/>
        <v>55519</v>
      </c>
      <c r="DY58" s="464">
        <f t="shared" si="84"/>
        <v>55610</v>
      </c>
      <c r="DZ58" s="464">
        <f t="shared" si="84"/>
        <v>55701</v>
      </c>
      <c r="EA58" s="464">
        <f t="shared" si="84"/>
        <v>55793</v>
      </c>
      <c r="EB58" s="464">
        <f t="shared" si="84"/>
        <v>55885</v>
      </c>
      <c r="EC58" s="464">
        <f t="shared" si="84"/>
        <v>55975</v>
      </c>
      <c r="ED58" s="464">
        <f t="shared" si="84"/>
        <v>56066</v>
      </c>
      <c r="EE58" s="464">
        <f t="shared" si="84"/>
        <v>56158</v>
      </c>
      <c r="EF58" s="464">
        <f t="shared" ref="EF58:EN58" si="85">EF47</f>
        <v>56250</v>
      </c>
      <c r="EG58" s="464">
        <f t="shared" si="85"/>
        <v>56340</v>
      </c>
      <c r="EH58" s="464">
        <f t="shared" si="85"/>
        <v>56431</v>
      </c>
      <c r="EI58" s="464">
        <f t="shared" si="85"/>
        <v>56523</v>
      </c>
      <c r="EJ58" s="464">
        <f t="shared" si="85"/>
        <v>56615</v>
      </c>
      <c r="EK58" s="464">
        <f t="shared" si="85"/>
        <v>56705</v>
      </c>
      <c r="EL58" s="464">
        <f t="shared" si="85"/>
        <v>56796</v>
      </c>
      <c r="EM58" s="464">
        <f t="shared" si="85"/>
        <v>56888</v>
      </c>
      <c r="EN58" s="464">
        <f t="shared" si="85"/>
        <v>56980</v>
      </c>
    </row>
    <row r="59" spans="2:144" ht="15.75">
      <c r="C59" s="22"/>
      <c r="E59" s="42"/>
      <c r="F59" s="42"/>
      <c r="G59" s="42"/>
      <c r="H59" s="464">
        <f t="shared" ref="H59:AM59" si="86">H48</f>
        <v>44651</v>
      </c>
      <c r="I59" s="464">
        <f t="shared" si="86"/>
        <v>44742</v>
      </c>
      <c r="J59" s="464">
        <f t="shared" si="86"/>
        <v>44834</v>
      </c>
      <c r="K59" s="464">
        <f t="shared" si="86"/>
        <v>44926</v>
      </c>
      <c r="L59" s="464">
        <f t="shared" si="86"/>
        <v>45016</v>
      </c>
      <c r="M59" s="464">
        <f t="shared" si="86"/>
        <v>45107</v>
      </c>
      <c r="N59" s="464">
        <f t="shared" si="86"/>
        <v>45199</v>
      </c>
      <c r="O59" s="464">
        <f t="shared" si="86"/>
        <v>45291</v>
      </c>
      <c r="P59" s="464">
        <f t="shared" si="86"/>
        <v>45382</v>
      </c>
      <c r="Q59" s="464">
        <f t="shared" si="86"/>
        <v>45473</v>
      </c>
      <c r="R59" s="464">
        <f t="shared" si="86"/>
        <v>45565</v>
      </c>
      <c r="S59" s="464">
        <f t="shared" si="86"/>
        <v>45657</v>
      </c>
      <c r="T59" s="464">
        <f t="shared" si="86"/>
        <v>45747</v>
      </c>
      <c r="U59" s="464">
        <f t="shared" si="86"/>
        <v>45838</v>
      </c>
      <c r="V59" s="464">
        <f t="shared" si="86"/>
        <v>45930</v>
      </c>
      <c r="W59" s="464">
        <f t="shared" si="86"/>
        <v>46022</v>
      </c>
      <c r="X59" s="464">
        <f t="shared" si="86"/>
        <v>46112</v>
      </c>
      <c r="Y59" s="464">
        <f t="shared" si="86"/>
        <v>46203</v>
      </c>
      <c r="Z59" s="464">
        <f t="shared" si="86"/>
        <v>46295</v>
      </c>
      <c r="AA59" s="464">
        <f t="shared" si="86"/>
        <v>46387</v>
      </c>
      <c r="AB59" s="464">
        <f t="shared" si="86"/>
        <v>46477</v>
      </c>
      <c r="AC59" s="464">
        <f t="shared" si="86"/>
        <v>46568</v>
      </c>
      <c r="AD59" s="464">
        <f t="shared" si="86"/>
        <v>46660</v>
      </c>
      <c r="AE59" s="464">
        <f t="shared" si="86"/>
        <v>46752</v>
      </c>
      <c r="AF59" s="464">
        <f t="shared" si="86"/>
        <v>46843</v>
      </c>
      <c r="AG59" s="464">
        <f t="shared" si="86"/>
        <v>46934</v>
      </c>
      <c r="AH59" s="464">
        <f t="shared" si="86"/>
        <v>47026</v>
      </c>
      <c r="AI59" s="464">
        <f t="shared" si="86"/>
        <v>47118</v>
      </c>
      <c r="AJ59" s="464">
        <f t="shared" si="86"/>
        <v>47208</v>
      </c>
      <c r="AK59" s="464">
        <f t="shared" si="86"/>
        <v>47299</v>
      </c>
      <c r="AL59" s="464">
        <f t="shared" si="86"/>
        <v>47391</v>
      </c>
      <c r="AM59" s="464">
        <f t="shared" si="86"/>
        <v>47483</v>
      </c>
      <c r="AN59" s="464">
        <f t="shared" ref="AN59:BS59" si="87">AN48</f>
        <v>47573</v>
      </c>
      <c r="AO59" s="464">
        <f t="shared" si="87"/>
        <v>47664</v>
      </c>
      <c r="AP59" s="464">
        <f t="shared" si="87"/>
        <v>47756</v>
      </c>
      <c r="AQ59" s="464">
        <f t="shared" si="87"/>
        <v>47848</v>
      </c>
      <c r="AR59" s="464">
        <f t="shared" si="87"/>
        <v>47938</v>
      </c>
      <c r="AS59" s="464">
        <f t="shared" si="87"/>
        <v>48029</v>
      </c>
      <c r="AT59" s="464">
        <f t="shared" si="87"/>
        <v>48121</v>
      </c>
      <c r="AU59" s="464">
        <f t="shared" si="87"/>
        <v>48213</v>
      </c>
      <c r="AV59" s="464">
        <f t="shared" si="87"/>
        <v>48304</v>
      </c>
      <c r="AW59" s="464">
        <f t="shared" si="87"/>
        <v>48395</v>
      </c>
      <c r="AX59" s="464">
        <f t="shared" si="87"/>
        <v>48487</v>
      </c>
      <c r="AY59" s="464">
        <f t="shared" si="87"/>
        <v>48579</v>
      </c>
      <c r="AZ59" s="464">
        <f t="shared" si="87"/>
        <v>48669</v>
      </c>
      <c r="BA59" s="464">
        <f t="shared" si="87"/>
        <v>48760</v>
      </c>
      <c r="BB59" s="464">
        <f t="shared" si="87"/>
        <v>48852</v>
      </c>
      <c r="BC59" s="464">
        <f t="shared" si="87"/>
        <v>48944</v>
      </c>
      <c r="BD59" s="464">
        <f t="shared" si="87"/>
        <v>49034</v>
      </c>
      <c r="BE59" s="464">
        <f t="shared" si="87"/>
        <v>49125</v>
      </c>
      <c r="BF59" s="464">
        <f t="shared" si="87"/>
        <v>49217</v>
      </c>
      <c r="BG59" s="464">
        <f t="shared" si="87"/>
        <v>49309</v>
      </c>
      <c r="BH59" s="464">
        <f t="shared" si="87"/>
        <v>49399</v>
      </c>
      <c r="BI59" s="464">
        <f t="shared" si="87"/>
        <v>49490</v>
      </c>
      <c r="BJ59" s="464">
        <f t="shared" si="87"/>
        <v>49582</v>
      </c>
      <c r="BK59" s="464">
        <f t="shared" si="87"/>
        <v>49674</v>
      </c>
      <c r="BL59" s="464">
        <f t="shared" si="87"/>
        <v>49765</v>
      </c>
      <c r="BM59" s="464">
        <f t="shared" si="87"/>
        <v>49856</v>
      </c>
      <c r="BN59" s="464">
        <f t="shared" si="87"/>
        <v>49948</v>
      </c>
      <c r="BO59" s="464">
        <f t="shared" si="87"/>
        <v>50040</v>
      </c>
      <c r="BP59" s="464">
        <f t="shared" si="87"/>
        <v>50130</v>
      </c>
      <c r="BQ59" s="464">
        <f t="shared" si="87"/>
        <v>50221</v>
      </c>
      <c r="BR59" s="464">
        <f t="shared" si="87"/>
        <v>50313</v>
      </c>
      <c r="BS59" s="464">
        <f t="shared" si="87"/>
        <v>50405</v>
      </c>
      <c r="BT59" s="464">
        <f t="shared" ref="BT59:CY59" si="88">BT48</f>
        <v>50495</v>
      </c>
      <c r="BU59" s="464">
        <f t="shared" si="88"/>
        <v>50586</v>
      </c>
      <c r="BV59" s="464">
        <f t="shared" si="88"/>
        <v>50678</v>
      </c>
      <c r="BW59" s="464">
        <f t="shared" si="88"/>
        <v>50770</v>
      </c>
      <c r="BX59" s="464">
        <f t="shared" si="88"/>
        <v>50860</v>
      </c>
      <c r="BY59" s="464">
        <f t="shared" si="88"/>
        <v>50951</v>
      </c>
      <c r="BZ59" s="464">
        <f t="shared" si="88"/>
        <v>51043</v>
      </c>
      <c r="CA59" s="464">
        <f t="shared" si="88"/>
        <v>51135</v>
      </c>
      <c r="CB59" s="464">
        <f t="shared" si="88"/>
        <v>51226</v>
      </c>
      <c r="CC59" s="464">
        <f t="shared" si="88"/>
        <v>51317</v>
      </c>
      <c r="CD59" s="464">
        <f t="shared" si="88"/>
        <v>51409</v>
      </c>
      <c r="CE59" s="464">
        <f t="shared" si="88"/>
        <v>51501</v>
      </c>
      <c r="CF59" s="464">
        <f t="shared" si="88"/>
        <v>51591</v>
      </c>
      <c r="CG59" s="464">
        <f t="shared" si="88"/>
        <v>51682</v>
      </c>
      <c r="CH59" s="464">
        <f t="shared" si="88"/>
        <v>51774</v>
      </c>
      <c r="CI59" s="464">
        <f t="shared" si="88"/>
        <v>51866</v>
      </c>
      <c r="CJ59" s="464">
        <f t="shared" si="88"/>
        <v>51956</v>
      </c>
      <c r="CK59" s="464">
        <f t="shared" si="88"/>
        <v>52047</v>
      </c>
      <c r="CL59" s="464">
        <f t="shared" si="88"/>
        <v>52139</v>
      </c>
      <c r="CM59" s="464">
        <f t="shared" si="88"/>
        <v>52231</v>
      </c>
      <c r="CN59" s="464">
        <f t="shared" si="88"/>
        <v>52321</v>
      </c>
      <c r="CO59" s="464">
        <f t="shared" si="88"/>
        <v>52412</v>
      </c>
      <c r="CP59" s="464">
        <f t="shared" si="88"/>
        <v>52504</v>
      </c>
      <c r="CQ59" s="464">
        <f t="shared" si="88"/>
        <v>52596</v>
      </c>
      <c r="CR59" s="464">
        <f t="shared" si="88"/>
        <v>52687</v>
      </c>
      <c r="CS59" s="464">
        <f t="shared" si="88"/>
        <v>52778</v>
      </c>
      <c r="CT59" s="464">
        <f t="shared" si="88"/>
        <v>52870</v>
      </c>
      <c r="CU59" s="464">
        <f t="shared" si="88"/>
        <v>52962</v>
      </c>
      <c r="CV59" s="464">
        <f t="shared" si="88"/>
        <v>53052</v>
      </c>
      <c r="CW59" s="464">
        <f t="shared" si="88"/>
        <v>53143</v>
      </c>
      <c r="CX59" s="464">
        <f t="shared" si="88"/>
        <v>53235</v>
      </c>
      <c r="CY59" s="464">
        <f t="shared" si="88"/>
        <v>53327</v>
      </c>
      <c r="CZ59" s="464">
        <f t="shared" ref="CZ59:EE59" si="89">CZ48</f>
        <v>53417</v>
      </c>
      <c r="DA59" s="464">
        <f t="shared" si="89"/>
        <v>53508</v>
      </c>
      <c r="DB59" s="464">
        <f t="shared" si="89"/>
        <v>53600</v>
      </c>
      <c r="DC59" s="464">
        <f t="shared" si="89"/>
        <v>53692</v>
      </c>
      <c r="DD59" s="464">
        <f t="shared" si="89"/>
        <v>53782</v>
      </c>
      <c r="DE59" s="464">
        <f t="shared" si="89"/>
        <v>53873</v>
      </c>
      <c r="DF59" s="464">
        <f t="shared" si="89"/>
        <v>53965</v>
      </c>
      <c r="DG59" s="464">
        <f t="shared" si="89"/>
        <v>54057</v>
      </c>
      <c r="DH59" s="464">
        <f t="shared" si="89"/>
        <v>54148</v>
      </c>
      <c r="DI59" s="464">
        <f t="shared" si="89"/>
        <v>54239</v>
      </c>
      <c r="DJ59" s="464">
        <f t="shared" si="89"/>
        <v>54331</v>
      </c>
      <c r="DK59" s="464">
        <f t="shared" si="89"/>
        <v>54423</v>
      </c>
      <c r="DL59" s="464">
        <f t="shared" si="89"/>
        <v>54513</v>
      </c>
      <c r="DM59" s="464">
        <f t="shared" si="89"/>
        <v>54604</v>
      </c>
      <c r="DN59" s="464">
        <f t="shared" si="89"/>
        <v>54696</v>
      </c>
      <c r="DO59" s="464">
        <f t="shared" si="89"/>
        <v>54788</v>
      </c>
      <c r="DP59" s="464">
        <f t="shared" si="89"/>
        <v>54878</v>
      </c>
      <c r="DQ59" s="464">
        <f t="shared" si="89"/>
        <v>54969</v>
      </c>
      <c r="DR59" s="464">
        <f t="shared" si="89"/>
        <v>55061</v>
      </c>
      <c r="DS59" s="464">
        <f t="shared" si="89"/>
        <v>55153</v>
      </c>
      <c r="DT59" s="464">
        <f t="shared" si="89"/>
        <v>55243</v>
      </c>
      <c r="DU59" s="464">
        <f t="shared" si="89"/>
        <v>55334</v>
      </c>
      <c r="DV59" s="464">
        <f t="shared" si="89"/>
        <v>55426</v>
      </c>
      <c r="DW59" s="464">
        <f t="shared" si="89"/>
        <v>55518</v>
      </c>
      <c r="DX59" s="464">
        <f t="shared" si="89"/>
        <v>55609</v>
      </c>
      <c r="DY59" s="464">
        <f t="shared" si="89"/>
        <v>55700</v>
      </c>
      <c r="DZ59" s="464">
        <f t="shared" si="89"/>
        <v>55792</v>
      </c>
      <c r="EA59" s="464">
        <f t="shared" si="89"/>
        <v>55884</v>
      </c>
      <c r="EB59" s="464">
        <f t="shared" si="89"/>
        <v>55974</v>
      </c>
      <c r="EC59" s="464">
        <f t="shared" si="89"/>
        <v>56065</v>
      </c>
      <c r="ED59" s="464">
        <f t="shared" si="89"/>
        <v>56157</v>
      </c>
      <c r="EE59" s="464">
        <f t="shared" si="89"/>
        <v>56249</v>
      </c>
      <c r="EF59" s="464">
        <f t="shared" ref="EF59:EN59" si="90">EF48</f>
        <v>56339</v>
      </c>
      <c r="EG59" s="464">
        <f t="shared" si="90"/>
        <v>56430</v>
      </c>
      <c r="EH59" s="464">
        <f t="shared" si="90"/>
        <v>56522</v>
      </c>
      <c r="EI59" s="464">
        <f t="shared" si="90"/>
        <v>56614</v>
      </c>
      <c r="EJ59" s="464">
        <f t="shared" si="90"/>
        <v>56704</v>
      </c>
      <c r="EK59" s="464">
        <f t="shared" si="90"/>
        <v>56795</v>
      </c>
      <c r="EL59" s="464">
        <f t="shared" si="90"/>
        <v>56887</v>
      </c>
      <c r="EM59" s="464">
        <f t="shared" si="90"/>
        <v>56979</v>
      </c>
      <c r="EN59" s="464">
        <f t="shared" si="90"/>
        <v>57070</v>
      </c>
    </row>
    <row r="60" spans="2:144">
      <c r="B60" s="776" t="str">
        <f>C7</f>
        <v>Гостиница 2*</v>
      </c>
      <c r="C60" s="465"/>
      <c r="D60" s="430">
        <f>SUMIF($C$4:$C$18,B60,$I$4:$I$18)</f>
        <v>0</v>
      </c>
      <c r="E60" s="772">
        <f>YEAR(D60)</f>
        <v>1900</v>
      </c>
      <c r="F60" s="466"/>
      <c r="G60" s="466"/>
      <c r="H60" s="466"/>
      <c r="I60" s="466"/>
      <c r="J60" s="466"/>
      <c r="K60" s="466"/>
      <c r="L60" s="466"/>
      <c r="M60" s="466"/>
      <c r="N60" s="466"/>
      <c r="O60" s="466"/>
      <c r="P60" s="466"/>
      <c r="Q60" s="466"/>
      <c r="R60" s="466"/>
      <c r="S60" s="466"/>
      <c r="T60" s="466"/>
      <c r="U60" s="466"/>
      <c r="V60" s="466"/>
      <c r="W60" s="466"/>
      <c r="X60" s="466"/>
      <c r="Y60" s="466"/>
      <c r="Z60" s="466"/>
      <c r="AA60" s="466"/>
      <c r="AB60" s="466"/>
      <c r="AC60" s="466"/>
      <c r="AD60" s="466"/>
      <c r="AE60" s="466"/>
      <c r="AF60" s="466"/>
      <c r="AG60" s="466"/>
      <c r="AH60" s="466"/>
      <c r="AI60" s="466"/>
      <c r="AJ60" s="466"/>
      <c r="AK60" s="466"/>
      <c r="AL60" s="466"/>
      <c r="AM60" s="466"/>
      <c r="AN60" s="466"/>
      <c r="AO60" s="466"/>
      <c r="AP60" s="466"/>
      <c r="AQ60" s="466"/>
      <c r="AR60" s="466"/>
      <c r="AS60" s="466"/>
      <c r="AT60" s="466"/>
      <c r="AU60" s="466"/>
      <c r="AV60" s="466"/>
      <c r="AW60" s="466"/>
      <c r="AX60" s="466"/>
      <c r="AY60" s="466"/>
      <c r="AZ60" s="466"/>
      <c r="BA60" s="466"/>
      <c r="BB60" s="466"/>
      <c r="BC60" s="466"/>
      <c r="BD60" s="466"/>
      <c r="BE60" s="466"/>
      <c r="BF60" s="466"/>
      <c r="BG60" s="466"/>
      <c r="BH60" s="466"/>
      <c r="BI60" s="466"/>
      <c r="BJ60" s="466"/>
      <c r="BK60" s="466"/>
      <c r="BL60" s="466"/>
      <c r="BM60" s="466"/>
      <c r="BN60" s="466"/>
      <c r="BO60" s="466"/>
      <c r="BP60" s="466"/>
      <c r="BQ60" s="466"/>
      <c r="BR60" s="466"/>
      <c r="BS60" s="466"/>
      <c r="BT60" s="466"/>
      <c r="BU60" s="466"/>
      <c r="BV60" s="466"/>
      <c r="BW60" s="466"/>
      <c r="BX60" s="466"/>
      <c r="BY60" s="466"/>
      <c r="BZ60" s="466"/>
      <c r="CA60" s="466"/>
      <c r="CB60" s="466"/>
      <c r="CC60" s="466"/>
      <c r="CD60" s="466"/>
      <c r="CE60" s="466"/>
      <c r="CF60" s="466"/>
      <c r="CG60" s="466"/>
      <c r="CH60" s="466"/>
      <c r="CI60" s="466"/>
      <c r="CJ60" s="466"/>
      <c r="CK60" s="466"/>
      <c r="CL60" s="466"/>
      <c r="CM60" s="466"/>
      <c r="CN60" s="466"/>
      <c r="CO60" s="466"/>
      <c r="CP60" s="466"/>
      <c r="CQ60" s="466"/>
      <c r="CR60" s="466"/>
      <c r="CS60" s="466"/>
      <c r="CT60" s="466"/>
      <c r="CU60" s="466"/>
      <c r="CV60" s="466"/>
      <c r="CW60" s="466"/>
      <c r="CX60" s="466"/>
      <c r="CY60" s="466"/>
      <c r="CZ60" s="466"/>
      <c r="DA60" s="466"/>
      <c r="DB60" s="466"/>
      <c r="DC60" s="466"/>
      <c r="DD60" s="466"/>
      <c r="DE60" s="466"/>
      <c r="DF60" s="466"/>
      <c r="DG60" s="466"/>
      <c r="DH60" s="466"/>
      <c r="DI60" s="466"/>
      <c r="DJ60" s="466"/>
      <c r="DK60" s="466"/>
      <c r="DL60" s="466"/>
      <c r="DM60" s="466"/>
      <c r="DN60" s="466"/>
      <c r="DO60" s="466"/>
      <c r="DP60" s="466"/>
      <c r="DQ60" s="466"/>
      <c r="DR60" s="466"/>
      <c r="DS60" s="466"/>
      <c r="DT60" s="466"/>
      <c r="DU60" s="466"/>
      <c r="DV60" s="466"/>
      <c r="DW60" s="466"/>
      <c r="DX60" s="466"/>
      <c r="DY60" s="466"/>
      <c r="DZ60" s="466"/>
      <c r="EA60" s="466"/>
      <c r="EB60" s="466"/>
      <c r="EC60" s="466"/>
      <c r="ED60" s="466"/>
      <c r="EE60" s="466"/>
      <c r="EF60" s="466"/>
      <c r="EG60" s="466"/>
      <c r="EH60" s="466"/>
      <c r="EI60" s="466"/>
      <c r="EJ60" s="466"/>
      <c r="EK60" s="466"/>
      <c r="EL60" s="466"/>
      <c r="EM60" s="466"/>
      <c r="EN60" s="466"/>
    </row>
    <row r="61" spans="2:144" outlineLevel="1">
      <c r="C61" s="151" t="s">
        <v>72</v>
      </c>
      <c r="D61" s="771">
        <f>SUMIF($C$4:$C$18,B60,$H$4:$H$18)</f>
        <v>0</v>
      </c>
      <c r="E61" s="44"/>
      <c r="F61" s="44"/>
      <c r="G61" s="44"/>
      <c r="H61" s="44">
        <f>IF(H58=D60,D61,0)</f>
        <v>0</v>
      </c>
      <c r="I61" s="44">
        <f>IF(I58=D60,D61,0)</f>
        <v>0</v>
      </c>
      <c r="J61" s="44">
        <f>IF(J58=D60,D61,0)</f>
        <v>0</v>
      </c>
      <c r="K61" s="44">
        <f>IF(K58=D60,D61,0)</f>
        <v>0</v>
      </c>
      <c r="L61" s="44">
        <f>IF(L58=D60,D61,0)</f>
        <v>0</v>
      </c>
      <c r="M61" s="44">
        <f>IF(M58=D60,D61,0)</f>
        <v>0</v>
      </c>
      <c r="N61" s="44">
        <f>IF(N58=D60,D61,0)</f>
        <v>0</v>
      </c>
      <c r="O61" s="44">
        <f>IF(O58=D60,D61,0)</f>
        <v>0</v>
      </c>
      <c r="P61" s="44">
        <f>IF(P58=D60,D61,0)</f>
        <v>0</v>
      </c>
      <c r="Q61" s="44">
        <f>IF(Q58=D60,D61,0)</f>
        <v>0</v>
      </c>
      <c r="R61" s="44">
        <f>IF(R58=D60,D61,0)</f>
        <v>0</v>
      </c>
      <c r="S61" s="44">
        <f>IF(S58=D60,D61,0)</f>
        <v>0</v>
      </c>
      <c r="T61" s="44">
        <f>IF(T58=D60,D61,0)</f>
        <v>0</v>
      </c>
      <c r="U61" s="44">
        <f>IF(U58=D60,D61,0)</f>
        <v>0</v>
      </c>
      <c r="V61" s="44">
        <f>IF(V58=D60,D61,0)</f>
        <v>0</v>
      </c>
      <c r="W61" s="44">
        <f>IF(W58=D60,D61,0)</f>
        <v>0</v>
      </c>
      <c r="X61" s="44">
        <f>IF(X58=D60,D61,0)</f>
        <v>0</v>
      </c>
      <c r="Y61" s="44">
        <f>IF(Y58=D60,D61,0)</f>
        <v>0</v>
      </c>
      <c r="Z61" s="44">
        <f>IF(Z58=D60,D61,0)</f>
        <v>0</v>
      </c>
      <c r="AA61" s="44">
        <f>IF(AA58=D60,D61,0)</f>
        <v>0</v>
      </c>
      <c r="AB61" s="44">
        <f>IF(AB58=D60,D61,0)</f>
        <v>0</v>
      </c>
      <c r="AC61" s="44">
        <f>IF(AC58=D60,D61,0)</f>
        <v>0</v>
      </c>
      <c r="AD61" s="44">
        <f>IF(AD58=D60,D61,0)</f>
        <v>0</v>
      </c>
      <c r="AE61" s="44">
        <f>IF(AE58=D60,D61,0)</f>
        <v>0</v>
      </c>
      <c r="AF61" s="44">
        <f>IF(AF58=D60,D61,0)</f>
        <v>0</v>
      </c>
      <c r="AG61" s="44">
        <f>IF(AG58=D60,D61,0)</f>
        <v>0</v>
      </c>
      <c r="AH61" s="44">
        <f>IF(AH58=D60,D61,0)</f>
        <v>0</v>
      </c>
      <c r="AI61" s="44">
        <f>IF(AI58=D60,D61,0)</f>
        <v>0</v>
      </c>
      <c r="AJ61" s="44">
        <f>IF(AJ58=D60,D61,0)</f>
        <v>0</v>
      </c>
      <c r="AK61" s="44">
        <f>IF(AK58=D60,D61,0)</f>
        <v>0</v>
      </c>
      <c r="AL61" s="44">
        <f>IF(AL58=D60,D61,0)</f>
        <v>0</v>
      </c>
      <c r="AM61" s="44">
        <f>IF(AM58=D60,D61,0)</f>
        <v>0</v>
      </c>
      <c r="AN61" s="44">
        <f>IF(AN58=D60,D61,0)</f>
        <v>0</v>
      </c>
      <c r="AO61" s="44">
        <f>IF(AO58=D60,D61,0)</f>
        <v>0</v>
      </c>
      <c r="AP61" s="44">
        <f>IF(AP58=D60,D61,0)</f>
        <v>0</v>
      </c>
      <c r="AQ61" s="44">
        <f>IF(AQ58=D60,D61,0)</f>
        <v>0</v>
      </c>
      <c r="AR61" s="44">
        <f>IF(AR58=D60,D61,0)</f>
        <v>0</v>
      </c>
      <c r="AS61" s="44">
        <f>IF(AS58=D60,D61,0)</f>
        <v>0</v>
      </c>
      <c r="AT61" s="44">
        <f>IF(AT58=D60,D61,0)</f>
        <v>0</v>
      </c>
      <c r="AU61" s="44">
        <f>IF(AU58=D60,D61,0)</f>
        <v>0</v>
      </c>
      <c r="AV61" s="44">
        <f>IF(AV58=D60,D61,0)</f>
        <v>0</v>
      </c>
      <c r="AW61" s="44">
        <f>IF(AW58=D60,D61,0)</f>
        <v>0</v>
      </c>
      <c r="AX61" s="44">
        <f>IF(AX58=D60,D61,0)</f>
        <v>0</v>
      </c>
      <c r="AY61" s="44">
        <f>IF(AY58=D60,D61,0)</f>
        <v>0</v>
      </c>
      <c r="AZ61" s="44">
        <f>IF(AZ58=D60,D61,0)</f>
        <v>0</v>
      </c>
      <c r="BA61" s="44">
        <f>IF(BA58=D60,D61,0)</f>
        <v>0</v>
      </c>
      <c r="BB61" s="44">
        <f>IF(BB58=D60,D61,0)</f>
        <v>0</v>
      </c>
      <c r="BC61" s="44">
        <f>IF(BC58=D60,D61,0)</f>
        <v>0</v>
      </c>
      <c r="BD61" s="44">
        <f>IF(BD58=D60,D61,0)</f>
        <v>0</v>
      </c>
      <c r="BE61" s="44">
        <f>IF(BE58=D60,D61,0)</f>
        <v>0</v>
      </c>
      <c r="BF61" s="44">
        <f>IF(BF58=D60,D61,0)</f>
        <v>0</v>
      </c>
      <c r="BG61" s="44">
        <f>IF(BG58=D60,D61,0)</f>
        <v>0</v>
      </c>
      <c r="BH61" s="44">
        <f>IF(BH58=D60,D61,0)</f>
        <v>0</v>
      </c>
      <c r="BI61" s="44">
        <f>IF(BI58=D60,D61,0)</f>
        <v>0</v>
      </c>
      <c r="BJ61" s="44">
        <f>IF(BJ58=D60,D61,0)</f>
        <v>0</v>
      </c>
      <c r="BK61" s="44">
        <f>IF(BK58=D60,D61,0)</f>
        <v>0</v>
      </c>
      <c r="BL61" s="44">
        <f>IF(BL58=D60,D61,0)</f>
        <v>0</v>
      </c>
      <c r="BM61" s="44">
        <f>IF(BM58=D60,D61,0)</f>
        <v>0</v>
      </c>
      <c r="BN61" s="44">
        <f>IF(BN58=D60,D61,0)</f>
        <v>0</v>
      </c>
      <c r="BO61" s="44">
        <f>IF(BO58=D60,D61,0)</f>
        <v>0</v>
      </c>
      <c r="BP61" s="44">
        <f>IF(BP58=D60,D61,0)</f>
        <v>0</v>
      </c>
      <c r="BQ61" s="44">
        <f>IF(BQ58=D60,D61,0)</f>
        <v>0</v>
      </c>
      <c r="BR61" s="44">
        <f>IF(BR58=D60,D61,0)</f>
        <v>0</v>
      </c>
      <c r="BS61" s="44">
        <f>IF(BS58=D60,D61,0)</f>
        <v>0</v>
      </c>
      <c r="BT61" s="44">
        <f>IF(BT58=D60,D61,0)</f>
        <v>0</v>
      </c>
      <c r="BU61" s="44">
        <f>IF(BU58=D60,D61,0)</f>
        <v>0</v>
      </c>
      <c r="BV61" s="44">
        <f>IF(BV58=D60,D61,0)</f>
        <v>0</v>
      </c>
      <c r="BW61" s="44">
        <f>IF(BW58=D60,D61,0)</f>
        <v>0</v>
      </c>
      <c r="BX61" s="44">
        <f>IF(BX58=D60,D61,0)</f>
        <v>0</v>
      </c>
      <c r="BY61" s="44">
        <f>IF(BY58=D60,D61,0)</f>
        <v>0</v>
      </c>
      <c r="BZ61" s="44">
        <f>IF(BZ58=D60,D61,0)</f>
        <v>0</v>
      </c>
      <c r="CA61" s="44">
        <f>IF(CA58=D60,D61,0)</f>
        <v>0</v>
      </c>
      <c r="CB61" s="44">
        <f>IF(CB58=D60,D61,0)</f>
        <v>0</v>
      </c>
      <c r="CC61" s="44">
        <f>IF(CC58=D60,D61,0)</f>
        <v>0</v>
      </c>
      <c r="CD61" s="44">
        <f>IF(CD58=D60,D61,0)</f>
        <v>0</v>
      </c>
      <c r="CE61" s="44">
        <f>IF(CE58=D60,D61,0)</f>
        <v>0</v>
      </c>
      <c r="CF61" s="44">
        <f>IF(CF58=D60,D61,0)</f>
        <v>0</v>
      </c>
      <c r="CG61" s="44">
        <f>IF(CG58=D60,D61,0)</f>
        <v>0</v>
      </c>
      <c r="CH61" s="44">
        <f>IF(CH58=D60,D61,0)</f>
        <v>0</v>
      </c>
      <c r="CI61" s="44">
        <f>IF(CI58=D60,D61,0)</f>
        <v>0</v>
      </c>
      <c r="CJ61" s="44">
        <f>IF(CJ58=D60,D61,0)</f>
        <v>0</v>
      </c>
      <c r="CK61" s="44">
        <f>IF(CK58=D60,D61,0)</f>
        <v>0</v>
      </c>
      <c r="CL61" s="44">
        <f>IF(CL58=D60,D61,0)</f>
        <v>0</v>
      </c>
      <c r="CM61" s="44">
        <f>IF(CM58=D60,D61,0)</f>
        <v>0</v>
      </c>
      <c r="CN61" s="44">
        <f>IF(CN58=D60,D61,0)</f>
        <v>0</v>
      </c>
      <c r="CO61" s="44">
        <f>IF(CO58=D60,D61,0)</f>
        <v>0</v>
      </c>
      <c r="CP61" s="44">
        <f>IF(CP58=D60,D61,0)</f>
        <v>0</v>
      </c>
      <c r="CQ61" s="44">
        <f>IF(CQ58=D60,D61,0)</f>
        <v>0</v>
      </c>
      <c r="CR61" s="44">
        <f>IF(CR58=D60,D61,0)</f>
        <v>0</v>
      </c>
      <c r="CS61" s="44">
        <f>IF(CS58=D60,D61,0)</f>
        <v>0</v>
      </c>
      <c r="CT61" s="44">
        <f>IF(CT58=D60,D61,0)</f>
        <v>0</v>
      </c>
      <c r="CU61" s="44">
        <f>IF(CU58=D60,D61,0)</f>
        <v>0</v>
      </c>
      <c r="CV61" s="44">
        <f>IF(CV58=D60,D61,0)</f>
        <v>0</v>
      </c>
      <c r="CW61" s="44">
        <f>IF(CW58=D60,D61,0)</f>
        <v>0</v>
      </c>
      <c r="CX61" s="44">
        <f>IF(CX58=D60,D61,0)</f>
        <v>0</v>
      </c>
      <c r="CY61" s="44">
        <f>IF(CY58=D60,D61,0)</f>
        <v>0</v>
      </c>
      <c r="CZ61" s="44">
        <f>IF(CZ58=D60,D61,0)</f>
        <v>0</v>
      </c>
      <c r="DA61" s="44">
        <f>IF(DA58=D60,D61,0)</f>
        <v>0</v>
      </c>
      <c r="DB61" s="44">
        <f>IF(DB58=D60,D61,0)</f>
        <v>0</v>
      </c>
      <c r="DC61" s="44">
        <f>IF(DC58=D60,D61,0)</f>
        <v>0</v>
      </c>
      <c r="DD61" s="44">
        <f>IF(DD58=D60,D61,0)</f>
        <v>0</v>
      </c>
      <c r="DE61" s="44">
        <f>IF(DE58=D60,D61,0)</f>
        <v>0</v>
      </c>
      <c r="DF61" s="44">
        <f>IF(DF58=D60,D61,0)</f>
        <v>0</v>
      </c>
      <c r="DG61" s="44">
        <f>IF(DG58=D60,D61,0)</f>
        <v>0</v>
      </c>
      <c r="DH61" s="44">
        <f>IF(DH58=D60,D61,0)</f>
        <v>0</v>
      </c>
      <c r="DI61" s="44">
        <f>IF(DI58=D60,D61,0)</f>
        <v>0</v>
      </c>
      <c r="DJ61" s="44">
        <f>IF(DJ58=D60,D61,0)</f>
        <v>0</v>
      </c>
      <c r="DK61" s="44">
        <f>IF(DK58=D60,D61,0)</f>
        <v>0</v>
      </c>
      <c r="DL61" s="44">
        <f>IF(DL58=D60,D61,0)</f>
        <v>0</v>
      </c>
      <c r="DM61" s="44">
        <f>IF(DM58=D60,D61,0)</f>
        <v>0</v>
      </c>
      <c r="DN61" s="44">
        <f>IF(DN58=D60,D61,0)</f>
        <v>0</v>
      </c>
      <c r="DO61" s="44">
        <f>IF(DO58=D60,D61,0)</f>
        <v>0</v>
      </c>
      <c r="DP61" s="44">
        <f>IF(DP58=D60,D61,0)</f>
        <v>0</v>
      </c>
      <c r="DQ61" s="44">
        <f>IF(DQ58=D60,D61,0)</f>
        <v>0</v>
      </c>
      <c r="DR61" s="44">
        <f>IF(DR58=D60,D61,0)</f>
        <v>0</v>
      </c>
      <c r="DS61" s="44">
        <f>IF(DS58=D60,D61,0)</f>
        <v>0</v>
      </c>
      <c r="DT61" s="44">
        <f>IF(DT58=D60,D61,0)</f>
        <v>0</v>
      </c>
      <c r="DU61" s="44">
        <f>IF(DU58=D60,D61,0)</f>
        <v>0</v>
      </c>
      <c r="DV61" s="44">
        <f>IF(DV58=D60,D61,0)</f>
        <v>0</v>
      </c>
      <c r="DW61" s="44">
        <f>IF(DW58=D60,D61,0)</f>
        <v>0</v>
      </c>
      <c r="DX61" s="44">
        <f>IF(DX58=D60,D61,0)</f>
        <v>0</v>
      </c>
      <c r="DY61" s="44">
        <f>IF(DY58=D60,D61,0)</f>
        <v>0</v>
      </c>
      <c r="DZ61" s="44">
        <f>IF(DZ58=D60,D61,0)</f>
        <v>0</v>
      </c>
      <c r="EA61" s="44">
        <f>IF(EA58=D60,D61,0)</f>
        <v>0</v>
      </c>
      <c r="EB61" s="44">
        <f>IF(EB58=D60,D61,0)</f>
        <v>0</v>
      </c>
      <c r="EC61" s="44">
        <f>IF(EC58=D60,D61,0)</f>
        <v>0</v>
      </c>
      <c r="ED61" s="44">
        <f>IF(ED58=D60,D61,0)</f>
        <v>0</v>
      </c>
      <c r="EE61" s="44">
        <f>IF(EE58=D60,D61,0)</f>
        <v>0</v>
      </c>
      <c r="EF61" s="44">
        <f>IF(EF58=D60,D61,0)</f>
        <v>0</v>
      </c>
      <c r="EG61" s="44">
        <f>IF(EG58=D60,D61,0)</f>
        <v>0</v>
      </c>
      <c r="EH61" s="44">
        <f>IF(EH58=D60,D61,0)</f>
        <v>0</v>
      </c>
      <c r="EI61" s="44">
        <f t="shared" ref="EI61:EN61" si="91">IF(EI58=E60,E61,0)</f>
        <v>0</v>
      </c>
      <c r="EJ61" s="44">
        <f t="shared" si="91"/>
        <v>0</v>
      </c>
      <c r="EK61" s="44">
        <f t="shared" si="91"/>
        <v>0</v>
      </c>
      <c r="EL61" s="44">
        <f t="shared" si="91"/>
        <v>0</v>
      </c>
      <c r="EM61" s="44">
        <f t="shared" si="91"/>
        <v>0</v>
      </c>
      <c r="EN61" s="44">
        <f t="shared" si="91"/>
        <v>0</v>
      </c>
    </row>
    <row r="62" spans="2:144" outlineLevel="1">
      <c r="C62" s="151" t="s">
        <v>73</v>
      </c>
      <c r="D62" s="45"/>
      <c r="E62" s="44"/>
      <c r="F62" s="44"/>
      <c r="G62" s="44"/>
      <c r="H62" s="44">
        <f>(IF(H58=D60,H61,G64))</f>
        <v>0</v>
      </c>
      <c r="I62" s="44">
        <f>(IF(I58=D60,I61,H64))</f>
        <v>0</v>
      </c>
      <c r="J62" s="44">
        <f>(IF(J58=D60,J61,I64))</f>
        <v>0</v>
      </c>
      <c r="K62" s="44">
        <f>(IF(K58=D60,K61,J64))</f>
        <v>0</v>
      </c>
      <c r="L62" s="44">
        <f>(IF(L58=D60,L61,K64))</f>
        <v>0</v>
      </c>
      <c r="M62" s="44">
        <f>(IF(M58=D60,M61,L64))</f>
        <v>0</v>
      </c>
      <c r="N62" s="44">
        <f>(IF(N58=D60,N61,M64))</f>
        <v>0</v>
      </c>
      <c r="O62" s="44">
        <f>(IF(O58=D60,O61,N64))</f>
        <v>0</v>
      </c>
      <c r="P62" s="44">
        <f>(IF(P58=D60,P61,O64))</f>
        <v>0</v>
      </c>
      <c r="Q62" s="44">
        <f>(IF(Q58=D60,Q61,P64))</f>
        <v>0</v>
      </c>
      <c r="R62" s="44">
        <f>(IF(R58=D60,R61,Q64))</f>
        <v>0</v>
      </c>
      <c r="S62" s="44">
        <f>(IF(S58=D60,S61,R64))</f>
        <v>0</v>
      </c>
      <c r="T62" s="44">
        <f>(IF(T58=D60,T61,S64))</f>
        <v>0</v>
      </c>
      <c r="U62" s="44">
        <f>(IF(U58=D60,U61,T64))</f>
        <v>0</v>
      </c>
      <c r="V62" s="44">
        <f>(IF(V58=D60,V61,U64))</f>
        <v>0</v>
      </c>
      <c r="W62" s="44">
        <f>(IF(W58=D60,W61,V64))</f>
        <v>0</v>
      </c>
      <c r="X62" s="44">
        <f>(IF(X58=D60,X61,W64))</f>
        <v>0</v>
      </c>
      <c r="Y62" s="44">
        <f>(IF(Y58=D60,Y61,X64))</f>
        <v>0</v>
      </c>
      <c r="Z62" s="44">
        <f>(IF(Z58=D60,Z61,Y64))</f>
        <v>0</v>
      </c>
      <c r="AA62" s="44">
        <f>(IF(AA58=D60,AA61,Z64))</f>
        <v>0</v>
      </c>
      <c r="AB62" s="44">
        <f>(IF(AB58=D60,AB61,AA64))</f>
        <v>0</v>
      </c>
      <c r="AC62" s="44">
        <f>(IF(AC58=D60,AC61,AB64))</f>
        <v>0</v>
      </c>
      <c r="AD62" s="44">
        <f>(IF(AD58=D60,AD61,AC64))</f>
        <v>0</v>
      </c>
      <c r="AE62" s="44">
        <f>(IF(AE58=D60,AE61,AD64))</f>
        <v>0</v>
      </c>
      <c r="AF62" s="44">
        <f>(IF(AF58=D60,AF61,AE64))</f>
        <v>0</v>
      </c>
      <c r="AG62" s="44">
        <f>(IF(AG58=D60,AG61,AF64))</f>
        <v>0</v>
      </c>
      <c r="AH62" s="44">
        <f>(IF(AH58=D60,AH61,AG64))</f>
        <v>0</v>
      </c>
      <c r="AI62" s="44">
        <f>(IF(AI58=D60,AI61,AH64))</f>
        <v>0</v>
      </c>
      <c r="AJ62" s="44">
        <f>(IF(AJ58=D60,AJ61,AI64))</f>
        <v>0</v>
      </c>
      <c r="AK62" s="44">
        <f>(IF(AK58=D60,AK61,AJ64))</f>
        <v>0</v>
      </c>
      <c r="AL62" s="44">
        <f>(IF(AL58=D60,AL61,AK64))</f>
        <v>0</v>
      </c>
      <c r="AM62" s="44">
        <f>(IF(AM58=D60,AM61,AL64))</f>
        <v>0</v>
      </c>
      <c r="AN62" s="44">
        <f>(IF(AN58=D60,AN61,AM64))</f>
        <v>0</v>
      </c>
      <c r="AO62" s="44">
        <f>(IF(AO58=D60,AO61,AN64))</f>
        <v>0</v>
      </c>
      <c r="AP62" s="44">
        <f>(IF(AP58=D60,AP61,AO64))</f>
        <v>0</v>
      </c>
      <c r="AQ62" s="44">
        <f>(IF(AQ58=D60,AQ61,AP64))</f>
        <v>0</v>
      </c>
      <c r="AR62" s="44">
        <f>(IF(AR58=D60,AR61,AQ64))</f>
        <v>0</v>
      </c>
      <c r="AS62" s="44">
        <f>(IF(AS58=D60,AS61,AR64))</f>
        <v>0</v>
      </c>
      <c r="AT62" s="44">
        <f>(IF(AT58=D60,AT61,AS64))</f>
        <v>0</v>
      </c>
      <c r="AU62" s="44">
        <f>(IF(AU58=D60,AU61,AT64))</f>
        <v>0</v>
      </c>
      <c r="AV62" s="44">
        <f>(IF(AV58=D60,AV61,AU64))</f>
        <v>0</v>
      </c>
      <c r="AW62" s="44">
        <f>(IF(AW58=D60,AW61,AV64))</f>
        <v>0</v>
      </c>
      <c r="AX62" s="44">
        <f>(IF(AX58=D60,AX61,AW64))</f>
        <v>0</v>
      </c>
      <c r="AY62" s="44">
        <f>(IF(AY58=D60,AY61,AX64))</f>
        <v>0</v>
      </c>
      <c r="AZ62" s="44">
        <f>(IF(AZ58=D60,AZ61,AY64))</f>
        <v>0</v>
      </c>
      <c r="BA62" s="44">
        <f>(IF(BA58=D60,BA61,AZ64))</f>
        <v>0</v>
      </c>
      <c r="BB62" s="44">
        <f>(IF(BB58=D60,BB61,BA64))</f>
        <v>0</v>
      </c>
      <c r="BC62" s="44">
        <f>(IF(BC58=D60,BC61,BB64))</f>
        <v>0</v>
      </c>
      <c r="BD62" s="44">
        <f>(IF(BD58=D60,BD61,BC64))</f>
        <v>0</v>
      </c>
      <c r="BE62" s="44">
        <f>(IF(BE58=D60,BE61,BD64))</f>
        <v>0</v>
      </c>
      <c r="BF62" s="44">
        <f>(IF(BF58=D60,BF61,BE64))</f>
        <v>0</v>
      </c>
      <c r="BG62" s="44">
        <f>(IF(BG58=D60,BG61,BF64))</f>
        <v>0</v>
      </c>
      <c r="BH62" s="44">
        <f>(IF(BH58=D60,BH61,BG64))</f>
        <v>0</v>
      </c>
      <c r="BI62" s="44">
        <f>(IF(BI58=D60,BI61,BH64))</f>
        <v>0</v>
      </c>
      <c r="BJ62" s="44">
        <f>(IF(BJ58=D60,BJ61,BI64))</f>
        <v>0</v>
      </c>
      <c r="BK62" s="44">
        <f>(IF(BK58=D60,BK61,BJ64))</f>
        <v>0</v>
      </c>
      <c r="BL62" s="44">
        <f>(IF(BL58=D60,BL61,BK64))</f>
        <v>0</v>
      </c>
      <c r="BM62" s="44">
        <f>(IF(BM58=D60,BM61,BL64))</f>
        <v>0</v>
      </c>
      <c r="BN62" s="44">
        <f>(IF(BN58=D60,BN61,BM64))</f>
        <v>0</v>
      </c>
      <c r="BO62" s="44">
        <f>(IF(BO58=D60,BO61,BN64))</f>
        <v>0</v>
      </c>
      <c r="BP62" s="44">
        <f>(IF(BP58=D60,BP61,BO64))</f>
        <v>0</v>
      </c>
      <c r="BQ62" s="44">
        <f>(IF(BQ58=D60,BQ61,BP64))</f>
        <v>0</v>
      </c>
      <c r="BR62" s="44">
        <f>(IF(BR58=D60,BR61,BQ64))</f>
        <v>0</v>
      </c>
      <c r="BS62" s="44">
        <f>(IF(BS58=D60,BS61,BR64))</f>
        <v>0</v>
      </c>
      <c r="BT62" s="44">
        <f>(IF(BT58=D60,BT61,BS64))</f>
        <v>0</v>
      </c>
      <c r="BU62" s="44">
        <f>(IF(BU58=D60,BU61,BT64))</f>
        <v>0</v>
      </c>
      <c r="BV62" s="44">
        <f>(IF(BV58=D60,BV61,BU64))</f>
        <v>0</v>
      </c>
      <c r="BW62" s="44">
        <f>(IF(BW58=D60,BW61,BV64))</f>
        <v>0</v>
      </c>
      <c r="BX62" s="44">
        <f>(IF(BX58=D60,BX61,BW64))</f>
        <v>0</v>
      </c>
      <c r="BY62" s="44">
        <f>(IF(BY58=D60,BY61,BX64))</f>
        <v>0</v>
      </c>
      <c r="BZ62" s="44">
        <f>(IF(BZ58=D60,BZ61,BY64))</f>
        <v>0</v>
      </c>
      <c r="CA62" s="44">
        <f>(IF(CA58=D60,CA61,BZ64))</f>
        <v>0</v>
      </c>
      <c r="CB62" s="44">
        <f>(IF(CB58=D60,CB61,CA64))</f>
        <v>0</v>
      </c>
      <c r="CC62" s="44">
        <f>(IF(CC58=D60,CC61,CB64))</f>
        <v>0</v>
      </c>
      <c r="CD62" s="44">
        <f>(IF(CD58=D60,CD61,CC64))</f>
        <v>0</v>
      </c>
      <c r="CE62" s="44">
        <f>(IF(CE58=D60,CE61,CD64))</f>
        <v>0</v>
      </c>
      <c r="CF62" s="44">
        <f>(IF(CF58=D60,CF61,CE64))</f>
        <v>0</v>
      </c>
      <c r="CG62" s="44">
        <f>(IF(CG58=D60,CG61,CF64))</f>
        <v>0</v>
      </c>
      <c r="CH62" s="44">
        <f>(IF(CH58=D60,CH61,CG64))</f>
        <v>0</v>
      </c>
      <c r="CI62" s="44">
        <f>(IF(CI58=D60,CI61,CH64))</f>
        <v>0</v>
      </c>
      <c r="CJ62" s="44">
        <f>(IF(CJ58=D60,CJ61,CI64))</f>
        <v>0</v>
      </c>
      <c r="CK62" s="44">
        <f>(IF(CK58=D60,CK61,CJ64))</f>
        <v>0</v>
      </c>
      <c r="CL62" s="44">
        <f>(IF(CL58=D60,CL61,CK64))</f>
        <v>0</v>
      </c>
      <c r="CM62" s="44">
        <f>(IF(CM58=D60,CM61,CL64))</f>
        <v>0</v>
      </c>
      <c r="CN62" s="44">
        <f>(IF(CN58=D60,CN61,CM64))</f>
        <v>0</v>
      </c>
      <c r="CO62" s="44">
        <f>(IF(CO58=D60,CO61,CN64))</f>
        <v>0</v>
      </c>
      <c r="CP62" s="44">
        <f>(IF(CP58=D60,CP61,CO64))</f>
        <v>0</v>
      </c>
      <c r="CQ62" s="44">
        <f>(IF(CQ58=D60,CQ61,CP64))</f>
        <v>0</v>
      </c>
      <c r="CR62" s="44">
        <f>(IF(CR58=D60,CR61,CQ64))</f>
        <v>0</v>
      </c>
      <c r="CS62" s="44">
        <f>(IF(CS58=D60,CS61,CR64))</f>
        <v>0</v>
      </c>
      <c r="CT62" s="44">
        <f>(IF(CT58=D60,CT61,CS64))</f>
        <v>0</v>
      </c>
      <c r="CU62" s="44">
        <f>(IF(CU58=D60,CU61,CT64))</f>
        <v>0</v>
      </c>
      <c r="CV62" s="44">
        <f>(IF(CV58=D60,CV61,CU64))</f>
        <v>0</v>
      </c>
      <c r="CW62" s="44">
        <f>(IF(CW58=D60,CW61,CV64))</f>
        <v>0</v>
      </c>
      <c r="CX62" s="44">
        <f>(IF(CX58=D60,CX61,CW64))</f>
        <v>0</v>
      </c>
      <c r="CY62" s="44">
        <f>(IF(CY58=D60,CY61,CX64))</f>
        <v>0</v>
      </c>
      <c r="CZ62" s="44">
        <f>(IF(CZ58=D60,CZ61,CY64))</f>
        <v>0</v>
      </c>
      <c r="DA62" s="44">
        <f>(IF(DA58=D60,DA61,CZ64))</f>
        <v>0</v>
      </c>
      <c r="DB62" s="44">
        <f>(IF(DB58=D60,DB61,DA64))</f>
        <v>0</v>
      </c>
      <c r="DC62" s="44">
        <f>(IF(DC58=D60,DC61,DB64))</f>
        <v>0</v>
      </c>
      <c r="DD62" s="44">
        <f>(IF(DD58=D60,DD61,DC64))</f>
        <v>0</v>
      </c>
      <c r="DE62" s="44">
        <f>(IF(DE58=D60,DE61,DD64))</f>
        <v>0</v>
      </c>
      <c r="DF62" s="44">
        <f>(IF(DF58=D60,DF61,DE64))</f>
        <v>0</v>
      </c>
      <c r="DG62" s="44">
        <f>(IF(DG58=D60,DG61,DF64))</f>
        <v>0</v>
      </c>
      <c r="DH62" s="44">
        <f>(IF(DH58=D60,DH61,DG64))</f>
        <v>0</v>
      </c>
      <c r="DI62" s="44">
        <f>(IF(DI58=D60,DI61,DH64))</f>
        <v>0</v>
      </c>
      <c r="DJ62" s="44">
        <f>(IF(DJ58=D60,DJ61,DI64))</f>
        <v>0</v>
      </c>
      <c r="DK62" s="44">
        <f>(IF(DK58=D60,DK61,DJ64))</f>
        <v>0</v>
      </c>
      <c r="DL62" s="44">
        <f>(IF(DL58=D60,DL61,DK64))</f>
        <v>0</v>
      </c>
      <c r="DM62" s="44">
        <f>(IF(DM58=D60,DM61,DL64))</f>
        <v>0</v>
      </c>
      <c r="DN62" s="44">
        <f>(IF(DN58=D60,DN61,DM64))</f>
        <v>0</v>
      </c>
      <c r="DO62" s="44">
        <f>(IF(DO58=D60,DO61,DN64))</f>
        <v>0</v>
      </c>
      <c r="DP62" s="44">
        <f>(IF(DP58=D60,DP61,DO64))</f>
        <v>0</v>
      </c>
      <c r="DQ62" s="44">
        <f>(IF(DQ58=D60,DQ61,DP64))</f>
        <v>0</v>
      </c>
      <c r="DR62" s="44">
        <f>(IF(DR58=D60,DR61,DQ64))</f>
        <v>0</v>
      </c>
      <c r="DS62" s="44">
        <f>(IF(DS58=D60,DS61,DR64))</f>
        <v>0</v>
      </c>
      <c r="DT62" s="44">
        <f>(IF(DT58=D60,DT61,DS64))</f>
        <v>0</v>
      </c>
      <c r="DU62" s="44">
        <f>(IF(DU58=D60,DU61,DT64))</f>
        <v>0</v>
      </c>
      <c r="DV62" s="44">
        <f>(IF(DV58=D60,DV61,DU64))</f>
        <v>0</v>
      </c>
      <c r="DW62" s="44">
        <f>(IF(DW58=D60,DW61,DV64))</f>
        <v>0</v>
      </c>
      <c r="DX62" s="44">
        <f>(IF(DX58=D60,DX61,DW64))</f>
        <v>0</v>
      </c>
      <c r="DY62" s="44">
        <f>(IF(DY58=D60,DY61,DX64))</f>
        <v>0</v>
      </c>
      <c r="DZ62" s="44">
        <f>(IF(DZ58=D60,DZ61,DY64))</f>
        <v>0</v>
      </c>
      <c r="EA62" s="44">
        <f>(IF(EA58=D60,EA61,DZ64))</f>
        <v>0</v>
      </c>
      <c r="EB62" s="44">
        <f>(IF(EB58=D60,EB61,EA64))</f>
        <v>0</v>
      </c>
      <c r="EC62" s="44">
        <f>(IF(EC58=D60,EC61,EB64))</f>
        <v>0</v>
      </c>
      <c r="ED62" s="44">
        <f>(IF(ED58=D60,ED61,EC64))</f>
        <v>0</v>
      </c>
      <c r="EE62" s="44">
        <f>(IF(EE58=D60,EE61,ED64))</f>
        <v>0</v>
      </c>
      <c r="EF62" s="44">
        <f>(IF(EF58=D60,EF61,EE64))</f>
        <v>0</v>
      </c>
      <c r="EG62" s="44">
        <f>(IF(EG58=D60,EG61,EF64))</f>
        <v>0</v>
      </c>
      <c r="EH62" s="44">
        <f>(IF(EH58=D60,EH61,EG64))</f>
        <v>0</v>
      </c>
      <c r="EI62" s="44">
        <f t="shared" ref="EI62:EN62" si="92">(IF(EI58=E60,EI61,EH64))</f>
        <v>0</v>
      </c>
      <c r="EJ62" s="44">
        <f t="shared" si="92"/>
        <v>0</v>
      </c>
      <c r="EK62" s="44">
        <f t="shared" si="92"/>
        <v>0</v>
      </c>
      <c r="EL62" s="44">
        <f t="shared" si="92"/>
        <v>0</v>
      </c>
      <c r="EM62" s="44">
        <f t="shared" si="92"/>
        <v>0</v>
      </c>
      <c r="EN62" s="44">
        <f t="shared" si="92"/>
        <v>0</v>
      </c>
    </row>
    <row r="63" spans="2:144" outlineLevel="1">
      <c r="B63" s="459">
        <f>SUM(H63:XX63)</f>
        <v>0</v>
      </c>
      <c r="C63" s="151" t="s">
        <v>24</v>
      </c>
      <c r="D63" s="467">
        <f>SUMIF($C$4:$C$18,B60,$J$4:$J$18)</f>
        <v>30</v>
      </c>
      <c r="E63" s="468">
        <f>1/D63</f>
        <v>3.3333333333333333E-2</v>
      </c>
      <c r="F63" s="44">
        <f>D61*E63</f>
        <v>0</v>
      </c>
      <c r="G63" s="44"/>
      <c r="H63" s="44">
        <f>IF(H62&gt;1,$F63/4,0)</f>
        <v>0</v>
      </c>
      <c r="I63" s="44">
        <f t="shared" ref="I63:BT63" si="93">IF(I62&gt;1,$F63/4,0)</f>
        <v>0</v>
      </c>
      <c r="J63" s="44">
        <f t="shared" si="93"/>
        <v>0</v>
      </c>
      <c r="K63" s="44">
        <f t="shared" si="93"/>
        <v>0</v>
      </c>
      <c r="L63" s="44">
        <f t="shared" si="93"/>
        <v>0</v>
      </c>
      <c r="M63" s="44">
        <f t="shared" si="93"/>
        <v>0</v>
      </c>
      <c r="N63" s="44">
        <f t="shared" si="93"/>
        <v>0</v>
      </c>
      <c r="O63" s="44">
        <f t="shared" si="93"/>
        <v>0</v>
      </c>
      <c r="P63" s="44">
        <f t="shared" si="93"/>
        <v>0</v>
      </c>
      <c r="Q63" s="44">
        <f t="shared" si="93"/>
        <v>0</v>
      </c>
      <c r="R63" s="44">
        <f t="shared" si="93"/>
        <v>0</v>
      </c>
      <c r="S63" s="44">
        <f t="shared" si="93"/>
        <v>0</v>
      </c>
      <c r="T63" s="44">
        <f t="shared" si="93"/>
        <v>0</v>
      </c>
      <c r="U63" s="44">
        <f t="shared" si="93"/>
        <v>0</v>
      </c>
      <c r="V63" s="44">
        <f t="shared" si="93"/>
        <v>0</v>
      </c>
      <c r="W63" s="44">
        <f t="shared" si="93"/>
        <v>0</v>
      </c>
      <c r="X63" s="44">
        <f t="shared" si="93"/>
        <v>0</v>
      </c>
      <c r="Y63" s="44">
        <f t="shared" si="93"/>
        <v>0</v>
      </c>
      <c r="Z63" s="44">
        <f t="shared" si="93"/>
        <v>0</v>
      </c>
      <c r="AA63" s="44">
        <f t="shared" si="93"/>
        <v>0</v>
      </c>
      <c r="AB63" s="44">
        <f t="shared" si="93"/>
        <v>0</v>
      </c>
      <c r="AC63" s="44">
        <f t="shared" si="93"/>
        <v>0</v>
      </c>
      <c r="AD63" s="44">
        <f t="shared" si="93"/>
        <v>0</v>
      </c>
      <c r="AE63" s="44">
        <f t="shared" si="93"/>
        <v>0</v>
      </c>
      <c r="AF63" s="44">
        <f t="shared" si="93"/>
        <v>0</v>
      </c>
      <c r="AG63" s="44">
        <f t="shared" si="93"/>
        <v>0</v>
      </c>
      <c r="AH63" s="44">
        <f t="shared" si="93"/>
        <v>0</v>
      </c>
      <c r="AI63" s="44">
        <f t="shared" si="93"/>
        <v>0</v>
      </c>
      <c r="AJ63" s="44">
        <f t="shared" si="93"/>
        <v>0</v>
      </c>
      <c r="AK63" s="44">
        <f t="shared" si="93"/>
        <v>0</v>
      </c>
      <c r="AL63" s="44">
        <f t="shared" si="93"/>
        <v>0</v>
      </c>
      <c r="AM63" s="44">
        <f t="shared" si="93"/>
        <v>0</v>
      </c>
      <c r="AN63" s="44">
        <f t="shared" si="93"/>
        <v>0</v>
      </c>
      <c r="AO63" s="44">
        <f t="shared" si="93"/>
        <v>0</v>
      </c>
      <c r="AP63" s="44">
        <f t="shared" si="93"/>
        <v>0</v>
      </c>
      <c r="AQ63" s="44">
        <f t="shared" si="93"/>
        <v>0</v>
      </c>
      <c r="AR63" s="44">
        <f t="shared" si="93"/>
        <v>0</v>
      </c>
      <c r="AS63" s="44">
        <f t="shared" si="93"/>
        <v>0</v>
      </c>
      <c r="AT63" s="44">
        <f t="shared" si="93"/>
        <v>0</v>
      </c>
      <c r="AU63" s="44">
        <f t="shared" si="93"/>
        <v>0</v>
      </c>
      <c r="AV63" s="44">
        <f t="shared" si="93"/>
        <v>0</v>
      </c>
      <c r="AW63" s="44">
        <f t="shared" si="93"/>
        <v>0</v>
      </c>
      <c r="AX63" s="44">
        <f t="shared" si="93"/>
        <v>0</v>
      </c>
      <c r="AY63" s="44">
        <f t="shared" si="93"/>
        <v>0</v>
      </c>
      <c r="AZ63" s="44">
        <f t="shared" si="93"/>
        <v>0</v>
      </c>
      <c r="BA63" s="44">
        <f t="shared" si="93"/>
        <v>0</v>
      </c>
      <c r="BB63" s="44">
        <f t="shared" si="93"/>
        <v>0</v>
      </c>
      <c r="BC63" s="44">
        <f t="shared" si="93"/>
        <v>0</v>
      </c>
      <c r="BD63" s="44">
        <f t="shared" si="93"/>
        <v>0</v>
      </c>
      <c r="BE63" s="44">
        <f t="shared" si="93"/>
        <v>0</v>
      </c>
      <c r="BF63" s="44">
        <f t="shared" si="93"/>
        <v>0</v>
      </c>
      <c r="BG63" s="44">
        <f t="shared" si="93"/>
        <v>0</v>
      </c>
      <c r="BH63" s="44">
        <f t="shared" si="93"/>
        <v>0</v>
      </c>
      <c r="BI63" s="44">
        <f t="shared" si="93"/>
        <v>0</v>
      </c>
      <c r="BJ63" s="44">
        <f t="shared" si="93"/>
        <v>0</v>
      </c>
      <c r="BK63" s="44">
        <f t="shared" si="93"/>
        <v>0</v>
      </c>
      <c r="BL63" s="44">
        <f t="shared" si="93"/>
        <v>0</v>
      </c>
      <c r="BM63" s="44">
        <f t="shared" si="93"/>
        <v>0</v>
      </c>
      <c r="BN63" s="44">
        <f t="shared" si="93"/>
        <v>0</v>
      </c>
      <c r="BO63" s="44">
        <f t="shared" si="93"/>
        <v>0</v>
      </c>
      <c r="BP63" s="44">
        <f t="shared" si="93"/>
        <v>0</v>
      </c>
      <c r="BQ63" s="44">
        <f t="shared" si="93"/>
        <v>0</v>
      </c>
      <c r="BR63" s="44">
        <f t="shared" si="93"/>
        <v>0</v>
      </c>
      <c r="BS63" s="44">
        <f t="shared" si="93"/>
        <v>0</v>
      </c>
      <c r="BT63" s="44">
        <f t="shared" si="93"/>
        <v>0</v>
      </c>
      <c r="BU63" s="44">
        <f t="shared" ref="BU63:EF63" si="94">IF(BU62&gt;1,$F63/4,0)</f>
        <v>0</v>
      </c>
      <c r="BV63" s="44">
        <f t="shared" si="94"/>
        <v>0</v>
      </c>
      <c r="BW63" s="44">
        <f t="shared" si="94"/>
        <v>0</v>
      </c>
      <c r="BX63" s="44">
        <f t="shared" si="94"/>
        <v>0</v>
      </c>
      <c r="BY63" s="44">
        <f t="shared" si="94"/>
        <v>0</v>
      </c>
      <c r="BZ63" s="44">
        <f t="shared" si="94"/>
        <v>0</v>
      </c>
      <c r="CA63" s="44">
        <f t="shared" si="94"/>
        <v>0</v>
      </c>
      <c r="CB63" s="44">
        <f t="shared" si="94"/>
        <v>0</v>
      </c>
      <c r="CC63" s="44">
        <f t="shared" si="94"/>
        <v>0</v>
      </c>
      <c r="CD63" s="44">
        <f t="shared" si="94"/>
        <v>0</v>
      </c>
      <c r="CE63" s="44">
        <f t="shared" si="94"/>
        <v>0</v>
      </c>
      <c r="CF63" s="44">
        <f t="shared" si="94"/>
        <v>0</v>
      </c>
      <c r="CG63" s="44">
        <f t="shared" si="94"/>
        <v>0</v>
      </c>
      <c r="CH63" s="44">
        <f t="shared" si="94"/>
        <v>0</v>
      </c>
      <c r="CI63" s="44">
        <f t="shared" si="94"/>
        <v>0</v>
      </c>
      <c r="CJ63" s="44">
        <f t="shared" si="94"/>
        <v>0</v>
      </c>
      <c r="CK63" s="44">
        <f t="shared" si="94"/>
        <v>0</v>
      </c>
      <c r="CL63" s="44">
        <f t="shared" si="94"/>
        <v>0</v>
      </c>
      <c r="CM63" s="44">
        <f t="shared" si="94"/>
        <v>0</v>
      </c>
      <c r="CN63" s="44">
        <f t="shared" si="94"/>
        <v>0</v>
      </c>
      <c r="CO63" s="44">
        <f t="shared" si="94"/>
        <v>0</v>
      </c>
      <c r="CP63" s="44">
        <f t="shared" si="94"/>
        <v>0</v>
      </c>
      <c r="CQ63" s="44">
        <f t="shared" si="94"/>
        <v>0</v>
      </c>
      <c r="CR63" s="44">
        <f t="shared" si="94"/>
        <v>0</v>
      </c>
      <c r="CS63" s="44">
        <f t="shared" si="94"/>
        <v>0</v>
      </c>
      <c r="CT63" s="44">
        <f t="shared" si="94"/>
        <v>0</v>
      </c>
      <c r="CU63" s="44">
        <f t="shared" si="94"/>
        <v>0</v>
      </c>
      <c r="CV63" s="44">
        <f t="shared" si="94"/>
        <v>0</v>
      </c>
      <c r="CW63" s="44">
        <f t="shared" si="94"/>
        <v>0</v>
      </c>
      <c r="CX63" s="44">
        <f t="shared" si="94"/>
        <v>0</v>
      </c>
      <c r="CY63" s="44">
        <f t="shared" si="94"/>
        <v>0</v>
      </c>
      <c r="CZ63" s="44">
        <f t="shared" si="94"/>
        <v>0</v>
      </c>
      <c r="DA63" s="44">
        <f t="shared" si="94"/>
        <v>0</v>
      </c>
      <c r="DB63" s="44">
        <f t="shared" si="94"/>
        <v>0</v>
      </c>
      <c r="DC63" s="44">
        <f t="shared" si="94"/>
        <v>0</v>
      </c>
      <c r="DD63" s="44">
        <f t="shared" si="94"/>
        <v>0</v>
      </c>
      <c r="DE63" s="44">
        <f t="shared" si="94"/>
        <v>0</v>
      </c>
      <c r="DF63" s="44">
        <f t="shared" si="94"/>
        <v>0</v>
      </c>
      <c r="DG63" s="44">
        <f t="shared" si="94"/>
        <v>0</v>
      </c>
      <c r="DH63" s="44">
        <f t="shared" si="94"/>
        <v>0</v>
      </c>
      <c r="DI63" s="44">
        <f t="shared" si="94"/>
        <v>0</v>
      </c>
      <c r="DJ63" s="44">
        <f t="shared" si="94"/>
        <v>0</v>
      </c>
      <c r="DK63" s="44">
        <f t="shared" si="94"/>
        <v>0</v>
      </c>
      <c r="DL63" s="44">
        <f t="shared" si="94"/>
        <v>0</v>
      </c>
      <c r="DM63" s="44">
        <f t="shared" si="94"/>
        <v>0</v>
      </c>
      <c r="DN63" s="44">
        <f t="shared" si="94"/>
        <v>0</v>
      </c>
      <c r="DO63" s="44">
        <f t="shared" si="94"/>
        <v>0</v>
      </c>
      <c r="DP63" s="44">
        <f t="shared" si="94"/>
        <v>0</v>
      </c>
      <c r="DQ63" s="44">
        <f t="shared" si="94"/>
        <v>0</v>
      </c>
      <c r="DR63" s="44">
        <f t="shared" si="94"/>
        <v>0</v>
      </c>
      <c r="DS63" s="44">
        <f t="shared" si="94"/>
        <v>0</v>
      </c>
      <c r="DT63" s="44">
        <f t="shared" si="94"/>
        <v>0</v>
      </c>
      <c r="DU63" s="44">
        <f t="shared" si="94"/>
        <v>0</v>
      </c>
      <c r="DV63" s="44">
        <f t="shared" si="94"/>
        <v>0</v>
      </c>
      <c r="DW63" s="44">
        <f t="shared" si="94"/>
        <v>0</v>
      </c>
      <c r="DX63" s="44">
        <f t="shared" si="94"/>
        <v>0</v>
      </c>
      <c r="DY63" s="44">
        <f t="shared" si="94"/>
        <v>0</v>
      </c>
      <c r="DZ63" s="44">
        <f t="shared" si="94"/>
        <v>0</v>
      </c>
      <c r="EA63" s="44">
        <f t="shared" si="94"/>
        <v>0</v>
      </c>
      <c r="EB63" s="44">
        <f t="shared" si="94"/>
        <v>0</v>
      </c>
      <c r="EC63" s="44">
        <f t="shared" si="94"/>
        <v>0</v>
      </c>
      <c r="ED63" s="44">
        <f t="shared" si="94"/>
        <v>0</v>
      </c>
      <c r="EE63" s="44">
        <f t="shared" si="94"/>
        <v>0</v>
      </c>
      <c r="EF63" s="44">
        <f t="shared" si="94"/>
        <v>0</v>
      </c>
      <c r="EG63" s="44">
        <f t="shared" ref="EG63:EN63" si="95">IF(EG62&gt;1,$F63/4,0)</f>
        <v>0</v>
      </c>
      <c r="EH63" s="44">
        <f t="shared" si="95"/>
        <v>0</v>
      </c>
      <c r="EI63" s="44">
        <f t="shared" si="95"/>
        <v>0</v>
      </c>
      <c r="EJ63" s="44">
        <f t="shared" si="95"/>
        <v>0</v>
      </c>
      <c r="EK63" s="44">
        <f t="shared" si="95"/>
        <v>0</v>
      </c>
      <c r="EL63" s="44">
        <f t="shared" si="95"/>
        <v>0</v>
      </c>
      <c r="EM63" s="44">
        <f t="shared" si="95"/>
        <v>0</v>
      </c>
      <c r="EN63" s="44">
        <f t="shared" si="95"/>
        <v>0</v>
      </c>
    </row>
    <row r="64" spans="2:144" outlineLevel="1">
      <c r="B64" s="459">
        <f>D61-B63</f>
        <v>0</v>
      </c>
      <c r="C64" s="151" t="s">
        <v>74</v>
      </c>
      <c r="D64" s="44"/>
      <c r="E64" s="44"/>
      <c r="F64" s="44"/>
      <c r="G64" s="44"/>
      <c r="H64" s="44">
        <f>IF((H62-H63)&gt;0,(H62-H63),0)</f>
        <v>0</v>
      </c>
      <c r="I64" s="44">
        <f t="shared" ref="I64:BT64" si="96">IF((I62-I63)&gt;0,(I62-I63),0)</f>
        <v>0</v>
      </c>
      <c r="J64" s="44">
        <f t="shared" si="96"/>
        <v>0</v>
      </c>
      <c r="K64" s="44">
        <f t="shared" si="96"/>
        <v>0</v>
      </c>
      <c r="L64" s="44">
        <f t="shared" si="96"/>
        <v>0</v>
      </c>
      <c r="M64" s="44">
        <f t="shared" si="96"/>
        <v>0</v>
      </c>
      <c r="N64" s="44">
        <f t="shared" si="96"/>
        <v>0</v>
      </c>
      <c r="O64" s="44">
        <f t="shared" si="96"/>
        <v>0</v>
      </c>
      <c r="P64" s="44">
        <f t="shared" si="96"/>
        <v>0</v>
      </c>
      <c r="Q64" s="44">
        <f t="shared" si="96"/>
        <v>0</v>
      </c>
      <c r="R64" s="44">
        <f t="shared" si="96"/>
        <v>0</v>
      </c>
      <c r="S64" s="44">
        <f t="shared" si="96"/>
        <v>0</v>
      </c>
      <c r="T64" s="44">
        <f t="shared" si="96"/>
        <v>0</v>
      </c>
      <c r="U64" s="44">
        <f t="shared" si="96"/>
        <v>0</v>
      </c>
      <c r="V64" s="44">
        <f t="shared" si="96"/>
        <v>0</v>
      </c>
      <c r="W64" s="44">
        <f t="shared" si="96"/>
        <v>0</v>
      </c>
      <c r="X64" s="44">
        <f t="shared" si="96"/>
        <v>0</v>
      </c>
      <c r="Y64" s="44">
        <f t="shared" si="96"/>
        <v>0</v>
      </c>
      <c r="Z64" s="44">
        <f t="shared" si="96"/>
        <v>0</v>
      </c>
      <c r="AA64" s="44">
        <f t="shared" si="96"/>
        <v>0</v>
      </c>
      <c r="AB64" s="44">
        <f t="shared" si="96"/>
        <v>0</v>
      </c>
      <c r="AC64" s="44">
        <f t="shared" si="96"/>
        <v>0</v>
      </c>
      <c r="AD64" s="44">
        <f t="shared" si="96"/>
        <v>0</v>
      </c>
      <c r="AE64" s="44">
        <f t="shared" si="96"/>
        <v>0</v>
      </c>
      <c r="AF64" s="44">
        <f t="shared" si="96"/>
        <v>0</v>
      </c>
      <c r="AG64" s="44">
        <f t="shared" si="96"/>
        <v>0</v>
      </c>
      <c r="AH64" s="44">
        <f t="shared" si="96"/>
        <v>0</v>
      </c>
      <c r="AI64" s="44">
        <f t="shared" si="96"/>
        <v>0</v>
      </c>
      <c r="AJ64" s="44">
        <f t="shared" si="96"/>
        <v>0</v>
      </c>
      <c r="AK64" s="44">
        <f t="shared" si="96"/>
        <v>0</v>
      </c>
      <c r="AL64" s="44">
        <f t="shared" si="96"/>
        <v>0</v>
      </c>
      <c r="AM64" s="44">
        <f t="shared" si="96"/>
        <v>0</v>
      </c>
      <c r="AN64" s="44">
        <f t="shared" si="96"/>
        <v>0</v>
      </c>
      <c r="AO64" s="44">
        <f t="shared" si="96"/>
        <v>0</v>
      </c>
      <c r="AP64" s="44">
        <f t="shared" si="96"/>
        <v>0</v>
      </c>
      <c r="AQ64" s="44">
        <f t="shared" si="96"/>
        <v>0</v>
      </c>
      <c r="AR64" s="44">
        <f t="shared" si="96"/>
        <v>0</v>
      </c>
      <c r="AS64" s="44">
        <f t="shared" si="96"/>
        <v>0</v>
      </c>
      <c r="AT64" s="44">
        <f t="shared" si="96"/>
        <v>0</v>
      </c>
      <c r="AU64" s="44">
        <f t="shared" si="96"/>
        <v>0</v>
      </c>
      <c r="AV64" s="44">
        <f t="shared" si="96"/>
        <v>0</v>
      </c>
      <c r="AW64" s="44">
        <f t="shared" si="96"/>
        <v>0</v>
      </c>
      <c r="AX64" s="44">
        <f t="shared" si="96"/>
        <v>0</v>
      </c>
      <c r="AY64" s="44">
        <f t="shared" si="96"/>
        <v>0</v>
      </c>
      <c r="AZ64" s="44">
        <f t="shared" si="96"/>
        <v>0</v>
      </c>
      <c r="BA64" s="44">
        <f t="shared" si="96"/>
        <v>0</v>
      </c>
      <c r="BB64" s="44">
        <f t="shared" si="96"/>
        <v>0</v>
      </c>
      <c r="BC64" s="44">
        <f t="shared" si="96"/>
        <v>0</v>
      </c>
      <c r="BD64" s="44">
        <f t="shared" si="96"/>
        <v>0</v>
      </c>
      <c r="BE64" s="44">
        <f t="shared" si="96"/>
        <v>0</v>
      </c>
      <c r="BF64" s="44">
        <f t="shared" si="96"/>
        <v>0</v>
      </c>
      <c r="BG64" s="44">
        <f t="shared" si="96"/>
        <v>0</v>
      </c>
      <c r="BH64" s="44">
        <f t="shared" si="96"/>
        <v>0</v>
      </c>
      <c r="BI64" s="44">
        <f t="shared" si="96"/>
        <v>0</v>
      </c>
      <c r="BJ64" s="44">
        <f t="shared" si="96"/>
        <v>0</v>
      </c>
      <c r="BK64" s="44">
        <f t="shared" si="96"/>
        <v>0</v>
      </c>
      <c r="BL64" s="44">
        <f t="shared" si="96"/>
        <v>0</v>
      </c>
      <c r="BM64" s="44">
        <f t="shared" si="96"/>
        <v>0</v>
      </c>
      <c r="BN64" s="44">
        <f t="shared" si="96"/>
        <v>0</v>
      </c>
      <c r="BO64" s="44">
        <f t="shared" si="96"/>
        <v>0</v>
      </c>
      <c r="BP64" s="44">
        <f t="shared" si="96"/>
        <v>0</v>
      </c>
      <c r="BQ64" s="44">
        <f t="shared" si="96"/>
        <v>0</v>
      </c>
      <c r="BR64" s="44">
        <f t="shared" si="96"/>
        <v>0</v>
      </c>
      <c r="BS64" s="44">
        <f t="shared" si="96"/>
        <v>0</v>
      </c>
      <c r="BT64" s="44">
        <f t="shared" si="96"/>
        <v>0</v>
      </c>
      <c r="BU64" s="44">
        <f t="shared" ref="BU64:EF64" si="97">IF((BU62-BU63)&gt;0,(BU62-BU63),0)</f>
        <v>0</v>
      </c>
      <c r="BV64" s="44">
        <f t="shared" si="97"/>
        <v>0</v>
      </c>
      <c r="BW64" s="44">
        <f t="shared" si="97"/>
        <v>0</v>
      </c>
      <c r="BX64" s="44">
        <f t="shared" si="97"/>
        <v>0</v>
      </c>
      <c r="BY64" s="44">
        <f t="shared" si="97"/>
        <v>0</v>
      </c>
      <c r="BZ64" s="44">
        <f t="shared" si="97"/>
        <v>0</v>
      </c>
      <c r="CA64" s="44">
        <f t="shared" si="97"/>
        <v>0</v>
      </c>
      <c r="CB64" s="44">
        <f t="shared" si="97"/>
        <v>0</v>
      </c>
      <c r="CC64" s="44">
        <f t="shared" si="97"/>
        <v>0</v>
      </c>
      <c r="CD64" s="44">
        <f t="shared" si="97"/>
        <v>0</v>
      </c>
      <c r="CE64" s="44">
        <f t="shared" si="97"/>
        <v>0</v>
      </c>
      <c r="CF64" s="44">
        <f t="shared" si="97"/>
        <v>0</v>
      </c>
      <c r="CG64" s="44">
        <f t="shared" si="97"/>
        <v>0</v>
      </c>
      <c r="CH64" s="44">
        <f t="shared" si="97"/>
        <v>0</v>
      </c>
      <c r="CI64" s="44">
        <f t="shared" si="97"/>
        <v>0</v>
      </c>
      <c r="CJ64" s="44">
        <f t="shared" si="97"/>
        <v>0</v>
      </c>
      <c r="CK64" s="44">
        <f t="shared" si="97"/>
        <v>0</v>
      </c>
      <c r="CL64" s="44">
        <f t="shared" si="97"/>
        <v>0</v>
      </c>
      <c r="CM64" s="44">
        <f t="shared" si="97"/>
        <v>0</v>
      </c>
      <c r="CN64" s="44">
        <f t="shared" si="97"/>
        <v>0</v>
      </c>
      <c r="CO64" s="44">
        <f t="shared" si="97"/>
        <v>0</v>
      </c>
      <c r="CP64" s="44">
        <f t="shared" si="97"/>
        <v>0</v>
      </c>
      <c r="CQ64" s="44">
        <f t="shared" si="97"/>
        <v>0</v>
      </c>
      <c r="CR64" s="44">
        <f t="shared" si="97"/>
        <v>0</v>
      </c>
      <c r="CS64" s="44">
        <f t="shared" si="97"/>
        <v>0</v>
      </c>
      <c r="CT64" s="44">
        <f t="shared" si="97"/>
        <v>0</v>
      </c>
      <c r="CU64" s="44">
        <f t="shared" si="97"/>
        <v>0</v>
      </c>
      <c r="CV64" s="44">
        <f t="shared" si="97"/>
        <v>0</v>
      </c>
      <c r="CW64" s="44">
        <f t="shared" si="97"/>
        <v>0</v>
      </c>
      <c r="CX64" s="44">
        <f t="shared" si="97"/>
        <v>0</v>
      </c>
      <c r="CY64" s="44">
        <f t="shared" si="97"/>
        <v>0</v>
      </c>
      <c r="CZ64" s="44">
        <f t="shared" si="97"/>
        <v>0</v>
      </c>
      <c r="DA64" s="44">
        <f t="shared" si="97"/>
        <v>0</v>
      </c>
      <c r="DB64" s="44">
        <f t="shared" si="97"/>
        <v>0</v>
      </c>
      <c r="DC64" s="44">
        <f t="shared" si="97"/>
        <v>0</v>
      </c>
      <c r="DD64" s="44">
        <f t="shared" si="97"/>
        <v>0</v>
      </c>
      <c r="DE64" s="44">
        <f t="shared" si="97"/>
        <v>0</v>
      </c>
      <c r="DF64" s="44">
        <f t="shared" si="97"/>
        <v>0</v>
      </c>
      <c r="DG64" s="44">
        <f t="shared" si="97"/>
        <v>0</v>
      </c>
      <c r="DH64" s="44">
        <f t="shared" si="97"/>
        <v>0</v>
      </c>
      <c r="DI64" s="44">
        <f t="shared" si="97"/>
        <v>0</v>
      </c>
      <c r="DJ64" s="44">
        <f t="shared" si="97"/>
        <v>0</v>
      </c>
      <c r="DK64" s="44">
        <f t="shared" si="97"/>
        <v>0</v>
      </c>
      <c r="DL64" s="44">
        <f t="shared" si="97"/>
        <v>0</v>
      </c>
      <c r="DM64" s="44">
        <f t="shared" si="97"/>
        <v>0</v>
      </c>
      <c r="DN64" s="44">
        <f t="shared" si="97"/>
        <v>0</v>
      </c>
      <c r="DO64" s="44">
        <f t="shared" si="97"/>
        <v>0</v>
      </c>
      <c r="DP64" s="44">
        <f t="shared" si="97"/>
        <v>0</v>
      </c>
      <c r="DQ64" s="44">
        <f t="shared" si="97"/>
        <v>0</v>
      </c>
      <c r="DR64" s="44">
        <f t="shared" si="97"/>
        <v>0</v>
      </c>
      <c r="DS64" s="44">
        <f t="shared" si="97"/>
        <v>0</v>
      </c>
      <c r="DT64" s="44">
        <f t="shared" si="97"/>
        <v>0</v>
      </c>
      <c r="DU64" s="44">
        <f t="shared" si="97"/>
        <v>0</v>
      </c>
      <c r="DV64" s="44">
        <f t="shared" si="97"/>
        <v>0</v>
      </c>
      <c r="DW64" s="44">
        <f t="shared" si="97"/>
        <v>0</v>
      </c>
      <c r="DX64" s="44">
        <f t="shared" si="97"/>
        <v>0</v>
      </c>
      <c r="DY64" s="44">
        <f t="shared" si="97"/>
        <v>0</v>
      </c>
      <c r="DZ64" s="44">
        <f t="shared" si="97"/>
        <v>0</v>
      </c>
      <c r="EA64" s="44">
        <f t="shared" si="97"/>
        <v>0</v>
      </c>
      <c r="EB64" s="44">
        <f t="shared" si="97"/>
        <v>0</v>
      </c>
      <c r="EC64" s="44">
        <f t="shared" si="97"/>
        <v>0</v>
      </c>
      <c r="ED64" s="44">
        <f t="shared" si="97"/>
        <v>0</v>
      </c>
      <c r="EE64" s="44">
        <f t="shared" si="97"/>
        <v>0</v>
      </c>
      <c r="EF64" s="44">
        <f t="shared" si="97"/>
        <v>0</v>
      </c>
      <c r="EG64" s="44">
        <f t="shared" ref="EG64:EN64" si="98">IF((EG62-EG63)&gt;0,(EG62-EG63),0)</f>
        <v>0</v>
      </c>
      <c r="EH64" s="44">
        <f t="shared" si="98"/>
        <v>0</v>
      </c>
      <c r="EI64" s="44">
        <f t="shared" si="98"/>
        <v>0</v>
      </c>
      <c r="EJ64" s="44">
        <f t="shared" si="98"/>
        <v>0</v>
      </c>
      <c r="EK64" s="44">
        <f t="shared" si="98"/>
        <v>0</v>
      </c>
      <c r="EL64" s="44">
        <f t="shared" si="98"/>
        <v>0</v>
      </c>
      <c r="EM64" s="44">
        <f t="shared" si="98"/>
        <v>0</v>
      </c>
      <c r="EN64" s="44">
        <f t="shared" si="98"/>
        <v>0</v>
      </c>
    </row>
    <row r="65" spans="2:144" outlineLevel="1">
      <c r="B65" s="139" t="s">
        <v>43</v>
      </c>
      <c r="C65" s="151" t="s">
        <v>487</v>
      </c>
      <c r="D65" s="44"/>
      <c r="E65" s="44"/>
      <c r="F65" s="44"/>
      <c r="G65" s="44"/>
      <c r="H65" s="44">
        <f>IF(H58&gt;D60,(SUM(G64:H64)/2),IF(H58=D60,H64,0))</f>
        <v>0</v>
      </c>
      <c r="I65" s="44">
        <f>IF(I58&gt;D60,(SUM(H64:I64)/2),IF(I58=D60,I64,0))</f>
        <v>0</v>
      </c>
      <c r="J65" s="44">
        <f>IF(J58&gt;D60,(SUM(I64:J64)/2),IF(J58=D60,J64,0))</f>
        <v>0</v>
      </c>
      <c r="K65" s="44">
        <f>IF(K58&gt;D60,(SUM(J64:K64)/2),IF(K58=D60,K64,0))</f>
        <v>0</v>
      </c>
      <c r="L65" s="44">
        <f>IF(L58&gt;D60,(SUM(K64:L64)/2),IF(L58=D60,L64,0))</f>
        <v>0</v>
      </c>
      <c r="M65" s="44">
        <f>IF(M58&gt;D60,(SUM(L64:M64)/2),IF(M58=D60,M64,0))</f>
        <v>0</v>
      </c>
      <c r="N65" s="44">
        <f>IF(N58&gt;D60,(SUM(M64:N64)/2),IF(N58=D60,N64,0))</f>
        <v>0</v>
      </c>
      <c r="O65" s="44">
        <f>IF(O58&gt;D60,(SUM(N64:O64)/2),IF(O58=D60,O64,0))</f>
        <v>0</v>
      </c>
      <c r="P65" s="44">
        <f>IF(P58&gt;D60,(SUM(O64:P64)/2),IF(P58=D60,P64,0))</f>
        <v>0</v>
      </c>
      <c r="Q65" s="44">
        <f>IF(Q58&gt;D60,(SUM(P64:Q64)/2),IF(Q58=D60,Q64,0))</f>
        <v>0</v>
      </c>
      <c r="R65" s="44">
        <f>IF(R58&gt;D60,(SUM(Q64:R64)/2),IF(R58=D60,R64,0))</f>
        <v>0</v>
      </c>
      <c r="S65" s="44">
        <f>IF(S58&gt;D60,(SUM(R64:S64)/2),IF(S58=D60,S64,0))</f>
        <v>0</v>
      </c>
      <c r="T65" s="44">
        <f>IF(T58&gt;D60,(SUM(S64:T64)/2),IF(T58=D60,T64,0))</f>
        <v>0</v>
      </c>
      <c r="U65" s="44">
        <f>IF(U58&gt;D60,(SUM(T64:U64)/2),IF(U58=D60,U64,0))</f>
        <v>0</v>
      </c>
      <c r="V65" s="44">
        <f>IF(V58&gt;D60,(SUM(U64:V64)/2),IF(V58=D60,V64,0))</f>
        <v>0</v>
      </c>
      <c r="W65" s="44">
        <f>IF(W58&gt;D60,(SUM(V64:W64)/2),IF(W58=D60,W64,0))</f>
        <v>0</v>
      </c>
      <c r="X65" s="44">
        <f>IF(X58&gt;D60,(SUM(W64:X64)/2),IF(X58=D60,X64,0))</f>
        <v>0</v>
      </c>
      <c r="Y65" s="44">
        <f>IF(Y58&gt;D60,(SUM(X64:Y64)/2),IF(Y58=D60,Y64,0))</f>
        <v>0</v>
      </c>
      <c r="Z65" s="44">
        <f>IF(Z58&gt;D60,(SUM(Y64:Z64)/2),IF(Z58=D60,Z64,0))</f>
        <v>0</v>
      </c>
      <c r="AA65" s="44">
        <f>IF(AA58&gt;D60,(SUM(Z64:AA64)/2),IF(AA58=D60,AA64,0))</f>
        <v>0</v>
      </c>
      <c r="AB65" s="44">
        <f>IF(AB58&gt;D60,(SUM(AA64:AB64)/2),IF(AB58=D60,AB64,0))</f>
        <v>0</v>
      </c>
      <c r="AC65" s="44">
        <f>IF(AC58&gt;D60,(SUM(AB64:AC64)/2),IF(AC58=D60,AC64,0))</f>
        <v>0</v>
      </c>
      <c r="AD65" s="44">
        <f>IF(AD58&gt;D60,(SUM(AC64:AD64)/2),IF(AD58=D60,AD64,0))</f>
        <v>0</v>
      </c>
      <c r="AE65" s="44">
        <f>IF(AE58&gt;D60,(SUM(AD64:AE64)/2),IF(AE58=D60,AE64,0))</f>
        <v>0</v>
      </c>
      <c r="AF65" s="44">
        <f>IF(AF58&gt;D60,(SUM(AE64:AF64)/2),IF(AF58=D60,AF64,0))</f>
        <v>0</v>
      </c>
      <c r="AG65" s="44">
        <f>IF(AG58&gt;D60,(SUM(AF64:AG64)/2),IF(AG58=D60,AG64,0))</f>
        <v>0</v>
      </c>
      <c r="AH65" s="44">
        <f>IF(AH58&gt;D60,(SUM(AG64:AH64)/2),IF(AH58=D60,AH64,0))</f>
        <v>0</v>
      </c>
      <c r="AI65" s="44">
        <f>IF(AI58&gt;D60,(SUM(AH64:AI64)/2),IF(AI58=D60,AI64,0))</f>
        <v>0</v>
      </c>
      <c r="AJ65" s="44">
        <f>IF(AJ58&gt;D60,(SUM(AI64:AJ64)/2),IF(AJ58=D60,AJ64,0))</f>
        <v>0</v>
      </c>
      <c r="AK65" s="44">
        <f>IF(AK58&gt;D60,(SUM(AJ64:AK64)/2),IF(AK58=D60,AK64,0))</f>
        <v>0</v>
      </c>
      <c r="AL65" s="44">
        <f>IF(AL58&gt;D60,(SUM(AK64:AL64)/2),IF(AL58=D60,AL64,0))</f>
        <v>0</v>
      </c>
      <c r="AM65" s="44">
        <f>IF(AM58&gt;D60,(SUM(AL64:AM64)/2),IF(AM58=D60,AM64,0))</f>
        <v>0</v>
      </c>
      <c r="AN65" s="44">
        <f>IF(AN58&gt;D60,(SUM(AM64:AN64)/2),IF(AN58=D60,AN64,0))</f>
        <v>0</v>
      </c>
      <c r="AO65" s="44">
        <f>IF(AO58&gt;D60,(SUM(AN64:AO64)/2),IF(AO58=D60,AO64,0))</f>
        <v>0</v>
      </c>
      <c r="AP65" s="44">
        <f>IF(AP58&gt;D60,(SUM(AO64:AP64)/2),IF(AP58=D60,AP64,0))</f>
        <v>0</v>
      </c>
      <c r="AQ65" s="44">
        <f>IF(AQ58&gt;D60,(SUM(AP64:AQ64)/2),IF(AQ58=D60,AQ64,0))</f>
        <v>0</v>
      </c>
      <c r="AR65" s="44">
        <f>IF(AR58&gt;D60,(SUM(AQ64:AR64)/2),IF(AR58=D60,AR64,0))</f>
        <v>0</v>
      </c>
      <c r="AS65" s="44">
        <f>IF(AS58&gt;D60,(SUM(AR64:AS64)/2),IF(AS58=D60,AS64,0))</f>
        <v>0</v>
      </c>
      <c r="AT65" s="44">
        <f>IF(AT58&gt;D60,(SUM(AS64:AT64)/2),IF(AT58=D60,AT64,0))</f>
        <v>0</v>
      </c>
      <c r="AU65" s="44">
        <f>IF(AU58&gt;D60,(SUM(AT64:AU64)/2),IF(AU58=D60,AU64,0))</f>
        <v>0</v>
      </c>
      <c r="AV65" s="44">
        <f>IF(AV58&gt;D60,(SUM(AU64:AV64)/2),IF(AV58=D60,AV64,0))</f>
        <v>0</v>
      </c>
      <c r="AW65" s="44">
        <f>IF(AW58&gt;D60,(SUM(AV64:AW64)/2),IF(AW58=D60,AW64,0))</f>
        <v>0</v>
      </c>
      <c r="AX65" s="44">
        <f>IF(AX58&gt;D60,(SUM(AW64:AX64)/2),IF(AX58=D60,AX64,0))</f>
        <v>0</v>
      </c>
      <c r="AY65" s="44">
        <f>IF(AY58&gt;D60,(SUM(AX64:AY64)/2),IF(AY58=D60,AY64,0))</f>
        <v>0</v>
      </c>
      <c r="AZ65" s="44">
        <f>IF(AZ58&gt;D60,(SUM(AY64:AZ64)/2),IF(AZ58=D60,AZ64,0))</f>
        <v>0</v>
      </c>
      <c r="BA65" s="44">
        <f>IF(BA58&gt;D60,(SUM(AZ64:BA64)/2),IF(BA58=D60,BA64,0))</f>
        <v>0</v>
      </c>
      <c r="BB65" s="44">
        <f>IF(BB58&gt;D60,(SUM(BA64:BB64)/2),IF(BB58=D60,BB64,0))</f>
        <v>0</v>
      </c>
      <c r="BC65" s="44">
        <f>IF(BC58&gt;D60,(SUM(BB64:BC64)/2),IF(BC58=D60,BC64,0))</f>
        <v>0</v>
      </c>
      <c r="BD65" s="44">
        <f>IF(BD58&gt;D60,(SUM(BC64:BD64)/2),IF(BD58=D60,BD64,0))</f>
        <v>0</v>
      </c>
      <c r="BE65" s="44">
        <f>IF(BE58&gt;D60,(SUM(BD64:BE64)/2),IF(BE58=D60,BE64,0))</f>
        <v>0</v>
      </c>
      <c r="BF65" s="44">
        <f>IF(BF58&gt;D60,(SUM(BE64:BF64)/2),IF(BF58=D60,BF64,0))</f>
        <v>0</v>
      </c>
      <c r="BG65" s="44">
        <f>IF(BG58&gt;D60,(SUM(BF64:BG64)/2),IF(BG58=D60,BG64,0))</f>
        <v>0</v>
      </c>
      <c r="BH65" s="44">
        <f>IF(BH58&gt;D60,(SUM(BG64:BH64)/2),IF(BH58=D60,BH64,0))</f>
        <v>0</v>
      </c>
      <c r="BI65" s="44">
        <f>IF(BI58&gt;D60,(SUM(BH64:BI64)/2),IF(BI58=D60,BI64,0))</f>
        <v>0</v>
      </c>
      <c r="BJ65" s="44">
        <f>IF(BJ58&gt;D60,(SUM(BI64:BJ64)/2),IF(BJ58=D60,BJ64,0))</f>
        <v>0</v>
      </c>
      <c r="BK65" s="44">
        <f>IF(BK58&gt;D60,(SUM(BJ64:BK64)/2),IF(BK58=D60,BK64,0))</f>
        <v>0</v>
      </c>
      <c r="BL65" s="44">
        <f>IF(BL58&gt;D60,(SUM(BK64:BL64)/2),IF(BL58=D60,BL64,0))</f>
        <v>0</v>
      </c>
      <c r="BM65" s="44">
        <f>IF(BM58&gt;D60,(SUM(BL64:BM64)/2),IF(BM58=D60,BM64,0))</f>
        <v>0</v>
      </c>
      <c r="BN65" s="44">
        <f>IF(BN58&gt;D60,(SUM(BM64:BN64)/2),IF(BN58=D60,BN64,0))</f>
        <v>0</v>
      </c>
      <c r="BO65" s="44">
        <f>IF(BO58&gt;D60,(SUM(BN64:BO64)/2),IF(BO58=D60,BO64,0))</f>
        <v>0</v>
      </c>
      <c r="BP65" s="44">
        <f>IF(BP58&gt;D60,(SUM(BO64:BP64)/2),IF(BP58=D60,BP64,0))</f>
        <v>0</v>
      </c>
      <c r="BQ65" s="44">
        <f>IF(BQ58&gt;D60,(SUM(BP64:BQ64)/2),IF(BQ58=D60,BQ64,0))</f>
        <v>0</v>
      </c>
      <c r="BR65" s="44">
        <f>IF(BR58&gt;D60,(SUM(BQ64:BR64)/2),IF(BR58=D60,BR64,0))</f>
        <v>0</v>
      </c>
      <c r="BS65" s="44">
        <f>IF(BS58&gt;D60,(SUM(BR64:BS64)/2),IF(BS58=D60,BS64,0))</f>
        <v>0</v>
      </c>
      <c r="BT65" s="44">
        <f>IF(BT58&gt;D60,(SUM(BS64:BT64)/2),IF(BT58=D60,BT64,0))</f>
        <v>0</v>
      </c>
      <c r="BU65" s="44">
        <f>IF(BU58&gt;D60,(SUM(BT64:BU64)/2),IF(BU58=D60,BU64,0))</f>
        <v>0</v>
      </c>
      <c r="BV65" s="44">
        <f>IF(BV58&gt;D60,(SUM(BU64:BV64)/2),IF(BV58=D60,BV64,0))</f>
        <v>0</v>
      </c>
      <c r="BW65" s="44">
        <f>IF(BW58&gt;D60,(SUM(BV64:BW64)/2),IF(BW58=D60,BW64,0))</f>
        <v>0</v>
      </c>
      <c r="BX65" s="44">
        <f>IF(BX58&gt;D60,(SUM(BW64:BX64)/2),IF(BX58=D60,BX64,0))</f>
        <v>0</v>
      </c>
      <c r="BY65" s="44">
        <f>IF(BY58&gt;D60,(SUM(BX64:BY64)/2),IF(BY58=D60,BY64,0))</f>
        <v>0</v>
      </c>
      <c r="BZ65" s="44">
        <f>IF(BZ58&gt;D60,(SUM(BY64:BZ64)/2),IF(BZ58=D60,BZ64,0))</f>
        <v>0</v>
      </c>
      <c r="CA65" s="44">
        <f>IF(CA58&gt;D60,(SUM(BZ64:CA64)/2),IF(CA58=D60,CA64,0))</f>
        <v>0</v>
      </c>
      <c r="CB65" s="44">
        <f>IF(CB58&gt;D60,(SUM(CA64:CB64)/2),IF(CB58=D60,CB64,0))</f>
        <v>0</v>
      </c>
      <c r="CC65" s="44">
        <f>IF(CC58&gt;D60,(SUM(CB64:CC64)/2),IF(CC58=D60,CC64,0))</f>
        <v>0</v>
      </c>
      <c r="CD65" s="44">
        <f>IF(CD58&gt;D60,(SUM(CC64:CD64)/2),IF(CD58=D60,CD64,0))</f>
        <v>0</v>
      </c>
      <c r="CE65" s="44">
        <f>IF(CE58&gt;D60,(SUM(CD64:CE64)/2),IF(CE58=D60,CE64,0))</f>
        <v>0</v>
      </c>
      <c r="CF65" s="44">
        <f>IF(CF58&gt;D60,(SUM(CE64:CF64)/2),IF(CF58=D60,CF64,0))</f>
        <v>0</v>
      </c>
      <c r="CG65" s="44">
        <f>IF(CG58&gt;D60,(SUM(CF64:CG64)/2),IF(CG58=D60,CG64,0))</f>
        <v>0</v>
      </c>
      <c r="CH65" s="44">
        <f>IF(CH58&gt;D60,(SUM(CG64:CH64)/2),IF(CH58=D60,CH64,0))</f>
        <v>0</v>
      </c>
      <c r="CI65" s="44">
        <f>IF(CI58&gt;D60,(SUM(CH64:CI64)/2),IF(CI58=D60,CI64,0))</f>
        <v>0</v>
      </c>
      <c r="CJ65" s="44">
        <f>IF(CJ58&gt;D60,(SUM(CI64:CJ64)/2),IF(CJ58=D60,CJ64,0))</f>
        <v>0</v>
      </c>
      <c r="CK65" s="44">
        <f>IF(CK58&gt;D60,(SUM(CJ64:CK64)/2),IF(CK58=D60,CK64,0))</f>
        <v>0</v>
      </c>
      <c r="CL65" s="44">
        <f>IF(CL58&gt;D60,(SUM(CK64:CL64)/2),IF(CL58=D60,CL64,0))</f>
        <v>0</v>
      </c>
      <c r="CM65" s="44">
        <f>IF(CM58&gt;D60,(SUM(CL64:CM64)/2),IF(CM58=D60,CM64,0))</f>
        <v>0</v>
      </c>
      <c r="CN65" s="44">
        <f>IF(CN58&gt;D60,(SUM(CM64:CN64)/2),IF(CN58=D60,CN64,0))</f>
        <v>0</v>
      </c>
      <c r="CO65" s="44">
        <f>IF(CO58&gt;D60,(SUM(CN64:CO64)/2),IF(CO58=D60,CO64,0))</f>
        <v>0</v>
      </c>
      <c r="CP65" s="44">
        <f>IF(CP58&gt;D60,(SUM(CO64:CP64)/2),IF(CP58=D60,CP64,0))</f>
        <v>0</v>
      </c>
      <c r="CQ65" s="44">
        <f>IF(CQ58&gt;D60,(SUM(CP64:CQ64)/2),IF(CQ58=D60,CQ64,0))</f>
        <v>0</v>
      </c>
      <c r="CR65" s="44">
        <f>IF(CR58&gt;D60,(SUM(CQ64:CR64)/2),IF(CR58=D60,CR64,0))</f>
        <v>0</v>
      </c>
      <c r="CS65" s="44">
        <f>IF(CS58&gt;D60,(SUM(CR64:CS64)/2),IF(CS58=D60,CS64,0))</f>
        <v>0</v>
      </c>
      <c r="CT65" s="44">
        <f>IF(CT58&gt;D60,(SUM(CS64:CT64)/2),IF(CT58=D60,CT64,0))</f>
        <v>0</v>
      </c>
      <c r="CU65" s="44">
        <f>IF(CU58&gt;D60,(SUM(CT64:CU64)/2),IF(CU58=D60,CU64,0))</f>
        <v>0</v>
      </c>
      <c r="CV65" s="44">
        <f>IF(CV58&gt;D60,(SUM(CU64:CV64)/2),IF(CV58=D60,CV64,0))</f>
        <v>0</v>
      </c>
      <c r="CW65" s="44">
        <f>IF(CW58&gt;D60,(SUM(CV64:CW64)/2),IF(CW58=D60,CW64,0))</f>
        <v>0</v>
      </c>
      <c r="CX65" s="44">
        <f>IF(CX58&gt;D60,(SUM(CW64:CX64)/2),IF(CX58=D60,CX64,0))</f>
        <v>0</v>
      </c>
      <c r="CY65" s="44">
        <f>IF(CY58&gt;D60,(SUM(CX64:CY64)/2),IF(CY58=D60,CY64,0))</f>
        <v>0</v>
      </c>
      <c r="CZ65" s="44">
        <f>IF(CZ58&gt;D60,(SUM(CY64:CZ64)/2),IF(CZ58=D60,CZ64,0))</f>
        <v>0</v>
      </c>
      <c r="DA65" s="44">
        <f>IF(DA58&gt;D60,(SUM(CZ64:DA64)/2),IF(DA58=D60,DA64,0))</f>
        <v>0</v>
      </c>
      <c r="DB65" s="44">
        <f>IF(DB58&gt;D60,(SUM(DA64:DB64)/2),IF(DB58=D60,DB64,0))</f>
        <v>0</v>
      </c>
      <c r="DC65" s="44">
        <f>IF(DC58&gt;D60,(SUM(DB64:DC64)/2),IF(DC58=D60,DC64,0))</f>
        <v>0</v>
      </c>
      <c r="DD65" s="44">
        <f>IF(DD58&gt;D60,(SUM(DC64:DD64)/2),IF(DD58=D60,DD64,0))</f>
        <v>0</v>
      </c>
      <c r="DE65" s="44">
        <f>IF(DE58&gt;D60,(SUM(DD64:DE64)/2),IF(DE58=D60,DE64,0))</f>
        <v>0</v>
      </c>
      <c r="DF65" s="44">
        <f>IF(DF58&gt;D60,(SUM(DE64:DF64)/2),IF(DF58=D60,DF64,0))</f>
        <v>0</v>
      </c>
      <c r="DG65" s="44">
        <f>IF(DG58&gt;D60,(SUM(DF64:DG64)/2),IF(DG58=D60,DG64,0))</f>
        <v>0</v>
      </c>
      <c r="DH65" s="44">
        <f>IF(DH58&gt;D60,(SUM(DG64:DH64)/2),IF(DH58=D60,DH64,0))</f>
        <v>0</v>
      </c>
      <c r="DI65" s="44">
        <f>IF(DI58&gt;D60,(SUM(DH64:DI64)/2),IF(DI58=D60,DI64,0))</f>
        <v>0</v>
      </c>
      <c r="DJ65" s="44">
        <f>IF(DJ58&gt;D60,(SUM(DI64:DJ64)/2),IF(DJ58=D60,DJ64,0))</f>
        <v>0</v>
      </c>
      <c r="DK65" s="44">
        <f>IF(DK58&gt;D60,(SUM(DJ64:DK64)/2),IF(DK58=D60,DK64,0))</f>
        <v>0</v>
      </c>
      <c r="DL65" s="44">
        <f>IF(DL58&gt;D60,(SUM(DK64:DL64)/2),IF(DL58=D60,DL64,0))</f>
        <v>0</v>
      </c>
      <c r="DM65" s="44">
        <f>IF(DM58&gt;D60,(SUM(DL64:DM64)/2),IF(DM58=D60,DM64,0))</f>
        <v>0</v>
      </c>
      <c r="DN65" s="44">
        <f>IF(DN58&gt;D60,(SUM(DM64:DN64)/2),IF(DN58=D60,DN64,0))</f>
        <v>0</v>
      </c>
      <c r="DO65" s="44">
        <f>IF(DO58&gt;D60,(SUM(DN64:DO64)/2),IF(DO58=D60,DO64,0))</f>
        <v>0</v>
      </c>
      <c r="DP65" s="44">
        <f>IF(DP58&gt;D60,(SUM(DO64:DP64)/2),IF(DP58=D60,DP64,0))</f>
        <v>0</v>
      </c>
      <c r="DQ65" s="44">
        <f>IF(DQ58&gt;D60,(SUM(DP64:DQ64)/2),IF(DQ58=D60,DQ64,0))</f>
        <v>0</v>
      </c>
      <c r="DR65" s="44">
        <f>IF(DR58&gt;D60,(SUM(DQ64:DR64)/2),IF(DR58=D60,DR64,0))</f>
        <v>0</v>
      </c>
      <c r="DS65" s="44">
        <f>IF(DS58&gt;D60,(SUM(DR64:DS64)/2),IF(DS58=D60,DS64,0))</f>
        <v>0</v>
      </c>
      <c r="DT65" s="44">
        <f>IF(DT58&gt;D60,(SUM(DS64:DT64)/2),IF(DT58=D60,DT64,0))</f>
        <v>0</v>
      </c>
      <c r="DU65" s="44">
        <f>IF(DU58&gt;D60,(SUM(DT64:DU64)/2),IF(DU58=D60,DU64,0))</f>
        <v>0</v>
      </c>
      <c r="DV65" s="44">
        <f>IF(DV58&gt;D60,(SUM(DU64:DV64)/2),IF(DV58=D60,DV64,0))</f>
        <v>0</v>
      </c>
      <c r="DW65" s="44">
        <f>IF(DW58&gt;D60,(SUM(DV64:DW64)/2),IF(DW58=D60,DW64,0))</f>
        <v>0</v>
      </c>
      <c r="DX65" s="44">
        <f>IF(DX58&gt;D60,(SUM(DW64:DX64)/2),IF(DX58=D60,DX64,0))</f>
        <v>0</v>
      </c>
      <c r="DY65" s="44">
        <f>IF(DY58&gt;D60,(SUM(DX64:DY64)/2),IF(DY58=D60,DY64,0))</f>
        <v>0</v>
      </c>
      <c r="DZ65" s="44">
        <f>IF(DZ58&gt;D60,(SUM(DY64:DZ64)/2),IF(DZ58=D60,DZ64,0))</f>
        <v>0</v>
      </c>
      <c r="EA65" s="44">
        <f>IF(EA58&gt;D60,(SUM(DZ64:EA64)/2),IF(EA58=D60,EA64,0))</f>
        <v>0</v>
      </c>
      <c r="EB65" s="44">
        <f>IF(EB58&gt;D60,(SUM(EA64:EB64)/2),IF(EB58=D60,EB64,0))</f>
        <v>0</v>
      </c>
      <c r="EC65" s="44">
        <f>IF(EC58&gt;D60,(SUM(EB64:EC64)/2),IF(EC58=D60,EC64,0))</f>
        <v>0</v>
      </c>
      <c r="ED65" s="44">
        <f>IF(ED58&gt;D60,(SUM(EC64:ED64)/2),IF(ED58=D60,ED64,0))</f>
        <v>0</v>
      </c>
      <c r="EE65" s="44">
        <f>IF(EE58&gt;D60,(SUM(ED64:EE64)/2),IF(EE58=D60,EE64,0))</f>
        <v>0</v>
      </c>
      <c r="EF65" s="44">
        <f>IF(EF58&gt;D60,(SUM(EE64:EF64)/2),IF(EF58=D60,EF64,0))</f>
        <v>0</v>
      </c>
      <c r="EG65" s="44">
        <f>IF(EG58&gt;D60,(SUM(EF64:EG64)/2),IF(EG58=D60,EG64,0))</f>
        <v>0</v>
      </c>
      <c r="EH65" s="44">
        <f>IF(EH58&gt;D60,(SUM(EG64:EH64)/2),IF(EH58=D60,EH64,0))</f>
        <v>0</v>
      </c>
      <c r="EI65" s="44">
        <f t="shared" ref="EI65:EN65" si="99">IF(EI58&gt;E60,(SUM(EH64:EI64)/2),IF(EI58=E60,EI64,0))</f>
        <v>0</v>
      </c>
      <c r="EJ65" s="44">
        <f t="shared" si="99"/>
        <v>0</v>
      </c>
      <c r="EK65" s="44">
        <f t="shared" si="99"/>
        <v>0</v>
      </c>
      <c r="EL65" s="44">
        <f t="shared" si="99"/>
        <v>0</v>
      </c>
      <c r="EM65" s="44">
        <f t="shared" si="99"/>
        <v>0</v>
      </c>
      <c r="EN65" s="44">
        <f t="shared" si="99"/>
        <v>0</v>
      </c>
    </row>
    <row r="66" spans="2:144" outlineLevel="1">
      <c r="C66" s="43" t="s">
        <v>176</v>
      </c>
      <c r="D66" s="44"/>
      <c r="E66" s="773">
        <f>E55</f>
        <v>10</v>
      </c>
      <c r="F66" s="44"/>
      <c r="G66" s="44"/>
      <c r="H66" s="120">
        <f>IF(H57&lt;$E60,0,IF(AND(H57&gt;=$E60,H57&lt;=($E60+$E66-1)),Вводные!$D$30,Вводные!$E$30))</f>
        <v>2.1999999999999999E-2</v>
      </c>
      <c r="I66" s="120">
        <f>IF(I57&lt;$E60,0,IF(AND(I57&gt;=$E60,I57&lt;=($E60+$E66-1)),Вводные!$D$30,Вводные!$E$30))</f>
        <v>2.1999999999999999E-2</v>
      </c>
      <c r="J66" s="120">
        <f>IF(J57&lt;$E60,0,IF(AND(J57&gt;=$E60,J57&lt;=($E60+$E66-1)),Вводные!$D$30,Вводные!$E$30))</f>
        <v>2.1999999999999999E-2</v>
      </c>
      <c r="K66" s="120">
        <f>IF(K57&lt;$E60,0,IF(AND(K57&gt;=$E60,K57&lt;=($E60+$E66-1)),Вводные!$D$30,Вводные!$E$30))</f>
        <v>2.1999999999999999E-2</v>
      </c>
      <c r="L66" s="120">
        <f>IF(L57&lt;$E60,0,IF(AND(L57&gt;=$E60,L57&lt;=($E60+$E66-1)),Вводные!$D$30,Вводные!$E$30))</f>
        <v>2.1999999999999999E-2</v>
      </c>
      <c r="M66" s="120">
        <f>IF(M57&lt;$E60,0,IF(AND(M57&gt;=$E60,M57&lt;=($E60+$E66-1)),Вводные!$D$30,Вводные!$E$30))</f>
        <v>2.1999999999999999E-2</v>
      </c>
      <c r="N66" s="120">
        <f>IF(N57&lt;$E60,0,IF(AND(N57&gt;=$E60,N57&lt;=($E60+$E66-1)),Вводные!$D$30,Вводные!$E$30))</f>
        <v>2.1999999999999999E-2</v>
      </c>
      <c r="O66" s="120">
        <f>IF(O57&lt;$E60,0,IF(AND(O57&gt;=$E60,O57&lt;=($E60+$E66-1)),Вводные!$D$30,Вводные!$E$30))</f>
        <v>2.1999999999999999E-2</v>
      </c>
      <c r="P66" s="120">
        <f>IF(P57&lt;$E60,0,IF(AND(P57&gt;=$E60,P57&lt;=($E60+$E66-1)),Вводные!$D$30,Вводные!$E$30))</f>
        <v>2.1999999999999999E-2</v>
      </c>
      <c r="Q66" s="120">
        <f>IF(Q57&lt;$E60,0,IF(AND(Q57&gt;=$E60,Q57&lt;=($E60+$E66-1)),Вводные!$D$30,Вводные!$E$30))</f>
        <v>2.1999999999999999E-2</v>
      </c>
      <c r="R66" s="120">
        <f>IF(R57&lt;$E60,0,IF(AND(R57&gt;=$E60,R57&lt;=($E60+$E66-1)),Вводные!$D$30,Вводные!$E$30))</f>
        <v>2.1999999999999999E-2</v>
      </c>
      <c r="S66" s="120">
        <f>IF(S57&lt;$E60,0,IF(AND(S57&gt;=$E60,S57&lt;=($E60+$E66-1)),Вводные!$D$30,Вводные!$E$30))</f>
        <v>2.1999999999999999E-2</v>
      </c>
      <c r="T66" s="120">
        <f>IF(T57&lt;$E60,0,IF(AND(T57&gt;=$E60,T57&lt;=($E60+$E66-1)),Вводные!$D$30,Вводные!$E$30))</f>
        <v>2.1999999999999999E-2</v>
      </c>
      <c r="U66" s="120">
        <f>IF(U57&lt;$E60,0,IF(AND(U57&gt;=$E60,U57&lt;=($E60+$E66-1)),Вводные!$D$30,Вводные!$E$30))</f>
        <v>2.1999999999999999E-2</v>
      </c>
      <c r="V66" s="120">
        <f>IF(V57&lt;$E60,0,IF(AND(V57&gt;=$E60,V57&lt;=($E60+$E66-1)),Вводные!$D$30,Вводные!$E$30))</f>
        <v>2.1999999999999999E-2</v>
      </c>
      <c r="W66" s="120">
        <f>IF(W57&lt;$E60,0,IF(AND(W57&gt;=$E60,W57&lt;=($E60+$E66-1)),Вводные!$D$30,Вводные!$E$30))</f>
        <v>2.1999999999999999E-2</v>
      </c>
      <c r="X66" s="120">
        <f>IF(X57&lt;$E60,0,IF(AND(X57&gt;=$E60,X57&lt;=($E60+$E66-1)),Вводные!$D$30,Вводные!$E$30))</f>
        <v>2.1999999999999999E-2</v>
      </c>
      <c r="Y66" s="120">
        <f>IF(Y57&lt;$E60,0,IF(AND(Y57&gt;=$E60,Y57&lt;=($E60+$E66-1)),Вводные!$D$30,Вводные!$E$30))</f>
        <v>2.1999999999999999E-2</v>
      </c>
      <c r="Z66" s="120">
        <f>IF(Z57&lt;$E60,0,IF(AND(Z57&gt;=$E60,Z57&lt;=($E60+$E66-1)),Вводные!$D$30,Вводные!$E$30))</f>
        <v>2.1999999999999999E-2</v>
      </c>
      <c r="AA66" s="120">
        <f>IF(AA57&lt;$E60,0,IF(AND(AA57&gt;=$E60,AA57&lt;=($E60+$E66-1)),Вводные!$D$30,Вводные!$E$30))</f>
        <v>2.1999999999999999E-2</v>
      </c>
      <c r="AB66" s="120">
        <f>IF(AB57&lt;$E60,0,IF(AND(AB57&gt;=$E60,AB57&lt;=($E60+$E66-1)),Вводные!$D$30,Вводные!$E$30))</f>
        <v>2.1999999999999999E-2</v>
      </c>
      <c r="AC66" s="120">
        <f>IF(AC57&lt;$E60,0,IF(AND(AC57&gt;=$E60,AC57&lt;=($E60+$E66-1)),Вводные!$D$30,Вводные!$E$30))</f>
        <v>2.1999999999999999E-2</v>
      </c>
      <c r="AD66" s="120">
        <f>IF(AD57&lt;$E60,0,IF(AND(AD57&gt;=$E60,AD57&lt;=($E60+$E66-1)),Вводные!$D$30,Вводные!$E$30))</f>
        <v>2.1999999999999999E-2</v>
      </c>
      <c r="AE66" s="120">
        <f>IF(AE57&lt;$E60,0,IF(AND(AE57&gt;=$E60,AE57&lt;=($E60+$E66-1)),Вводные!$D$30,Вводные!$E$30))</f>
        <v>2.1999999999999999E-2</v>
      </c>
      <c r="AF66" s="120">
        <f>IF(AF57&lt;$E60,0,IF(AND(AF57&gt;=$E60,AF57&lt;=($E60+$E66-1)),Вводные!$D$30,Вводные!$E$30))</f>
        <v>2.1999999999999999E-2</v>
      </c>
      <c r="AG66" s="120">
        <f>IF(AG57&lt;$E60,0,IF(AND(AG57&gt;=$E60,AG57&lt;=($E60+$E66-1)),Вводные!$D$30,Вводные!$E$30))</f>
        <v>2.1999999999999999E-2</v>
      </c>
      <c r="AH66" s="120">
        <f>IF(AH57&lt;$E60,0,IF(AND(AH57&gt;=$E60,AH57&lt;=($E60+$E66-1)),Вводные!$D$30,Вводные!$E$30))</f>
        <v>2.1999999999999999E-2</v>
      </c>
      <c r="AI66" s="120">
        <f>IF(AI57&lt;$E60,0,IF(AND(AI57&gt;=$E60,AI57&lt;=($E60+$E66-1)),Вводные!$D$30,Вводные!$E$30))</f>
        <v>2.1999999999999999E-2</v>
      </c>
      <c r="AJ66" s="120">
        <f>IF(AJ57&lt;$E60,0,IF(AND(AJ57&gt;=$E60,AJ57&lt;=($E60+$E66-1)),Вводные!$D$30,Вводные!$E$30))</f>
        <v>2.1999999999999999E-2</v>
      </c>
      <c r="AK66" s="120">
        <f>IF(AK57&lt;$E60,0,IF(AND(AK57&gt;=$E60,AK57&lt;=($E60+$E66-1)),Вводные!$D$30,Вводные!$E$30))</f>
        <v>2.1999999999999999E-2</v>
      </c>
      <c r="AL66" s="120">
        <f>IF(AL57&lt;$E60,0,IF(AND(AL57&gt;=$E60,AL57&lt;=($E60+$E66-1)),Вводные!$D$30,Вводные!$E$30))</f>
        <v>2.1999999999999999E-2</v>
      </c>
      <c r="AM66" s="120">
        <f>IF(AM57&lt;$E60,0,IF(AND(AM57&gt;=$E60,AM57&lt;=($E60+$E66-1)),Вводные!$D$30,Вводные!$E$30))</f>
        <v>2.1999999999999999E-2</v>
      </c>
      <c r="AN66" s="120">
        <f>IF(AN57&lt;$E60,0,IF(AND(AN57&gt;=$E60,AN57&lt;=($E60+$E66-1)),Вводные!$D$30,Вводные!$E$30))</f>
        <v>2.1999999999999999E-2</v>
      </c>
      <c r="AO66" s="120">
        <f>IF(AO57&lt;$E60,0,IF(AND(AO57&gt;=$E60,AO57&lt;=($E60+$E66-1)),Вводные!$D$30,Вводные!$E$30))</f>
        <v>2.1999999999999999E-2</v>
      </c>
      <c r="AP66" s="120">
        <f>IF(AP57&lt;$E60,0,IF(AND(AP57&gt;=$E60,AP57&lt;=($E60+$E66-1)),Вводные!$D$30,Вводные!$E$30))</f>
        <v>2.1999999999999999E-2</v>
      </c>
      <c r="AQ66" s="120">
        <f>IF(AQ57&lt;$E60,0,IF(AND(AQ57&gt;=$E60,AQ57&lt;=($E60+$E66-1)),Вводные!$D$30,Вводные!$E$30))</f>
        <v>2.1999999999999999E-2</v>
      </c>
      <c r="AR66" s="120">
        <f>IF(AR57&lt;$E60,0,IF(AND(AR57&gt;=$E60,AR57&lt;=($E60+$E66-1)),Вводные!$D$30,Вводные!$E$30))</f>
        <v>2.1999999999999999E-2</v>
      </c>
      <c r="AS66" s="120">
        <f>IF(AS57&lt;$E60,0,IF(AND(AS57&gt;=$E60,AS57&lt;=($E60+$E66-1)),Вводные!$D$30,Вводные!$E$30))</f>
        <v>2.1999999999999999E-2</v>
      </c>
      <c r="AT66" s="120">
        <f>IF(AT57&lt;$E60,0,IF(AND(AT57&gt;=$E60,AT57&lt;=($E60+$E66-1)),Вводные!$D$30,Вводные!$E$30))</f>
        <v>2.1999999999999999E-2</v>
      </c>
      <c r="AU66" s="120">
        <f>IF(AU57&lt;$E60,0,IF(AND(AU57&gt;=$E60,AU57&lt;=($E60+$E66-1)),Вводные!$D$30,Вводные!$E$30))</f>
        <v>2.1999999999999999E-2</v>
      </c>
      <c r="AV66" s="120">
        <f>IF(AV57&lt;$E60,0,IF(AND(AV57&gt;=$E60,AV57&lt;=($E60+$E66-1)),Вводные!$D$30,Вводные!$E$30))</f>
        <v>2.1999999999999999E-2</v>
      </c>
      <c r="AW66" s="120">
        <f>IF(AW57&lt;$E60,0,IF(AND(AW57&gt;=$E60,AW57&lt;=($E60+$E66-1)),Вводные!$D$30,Вводные!$E$30))</f>
        <v>2.1999999999999999E-2</v>
      </c>
      <c r="AX66" s="120">
        <f>IF(AX57&lt;$E60,0,IF(AND(AX57&gt;=$E60,AX57&lt;=($E60+$E66-1)),Вводные!$D$30,Вводные!$E$30))</f>
        <v>2.1999999999999999E-2</v>
      </c>
      <c r="AY66" s="120">
        <f>IF(AY57&lt;$E60,0,IF(AND(AY57&gt;=$E60,AY57&lt;=($E60+$E66-1)),Вводные!$D$30,Вводные!$E$30))</f>
        <v>2.1999999999999999E-2</v>
      </c>
      <c r="AZ66" s="120">
        <f>IF(AZ57&lt;$E60,0,IF(AND(AZ57&gt;=$E60,AZ57&lt;=($E60+$E66-1)),Вводные!$D$30,Вводные!$E$30))</f>
        <v>2.1999999999999999E-2</v>
      </c>
      <c r="BA66" s="120">
        <f>IF(BA57&lt;$E60,0,IF(AND(BA57&gt;=$E60,BA57&lt;=($E60+$E66-1)),Вводные!$D$30,Вводные!$E$30))</f>
        <v>2.1999999999999999E-2</v>
      </c>
      <c r="BB66" s="120">
        <f>IF(BB57&lt;$E60,0,IF(AND(BB57&gt;=$E60,BB57&lt;=($E60+$E66-1)),Вводные!$D$30,Вводные!$E$30))</f>
        <v>2.1999999999999999E-2</v>
      </c>
      <c r="BC66" s="120">
        <f>IF(BC57&lt;$E60,0,IF(AND(BC57&gt;=$E60,BC57&lt;=($E60+$E66-1)),Вводные!$D$30,Вводные!$E$30))</f>
        <v>2.1999999999999999E-2</v>
      </c>
      <c r="BD66" s="120">
        <f>IF(BD57&lt;$E60,0,IF(AND(BD57&gt;=$E60,BD57&lt;=($E60+$E66-1)),Вводные!$D$30,Вводные!$E$30))</f>
        <v>2.1999999999999999E-2</v>
      </c>
      <c r="BE66" s="120">
        <f>IF(BE57&lt;$E60,0,IF(AND(BE57&gt;=$E60,BE57&lt;=($E60+$E66-1)),Вводные!$D$30,Вводные!$E$30))</f>
        <v>2.1999999999999999E-2</v>
      </c>
      <c r="BF66" s="120">
        <f>IF(BF57&lt;$E60,0,IF(AND(BF57&gt;=$E60,BF57&lt;=($E60+$E66-1)),Вводные!$D$30,Вводные!$E$30))</f>
        <v>2.1999999999999999E-2</v>
      </c>
      <c r="BG66" s="120">
        <f>IF(BG57&lt;$E60,0,IF(AND(BG57&gt;=$E60,BG57&lt;=($E60+$E66-1)),Вводные!$D$30,Вводные!$E$30))</f>
        <v>2.1999999999999999E-2</v>
      </c>
      <c r="BH66" s="120">
        <f>IF(BH57&lt;$E60,0,IF(AND(BH57&gt;=$E60,BH57&lt;=($E60+$E66-1)),Вводные!$D$30,Вводные!$E$30))</f>
        <v>2.1999999999999999E-2</v>
      </c>
      <c r="BI66" s="120">
        <f>IF(BI57&lt;$E60,0,IF(AND(BI57&gt;=$E60,BI57&lt;=($E60+$E66-1)),Вводные!$D$30,Вводные!$E$30))</f>
        <v>2.1999999999999999E-2</v>
      </c>
      <c r="BJ66" s="120">
        <f>IF(BJ57&lt;$E60,0,IF(AND(BJ57&gt;=$E60,BJ57&lt;=($E60+$E66-1)),Вводные!$D$30,Вводные!$E$30))</f>
        <v>2.1999999999999999E-2</v>
      </c>
      <c r="BK66" s="120">
        <f>IF(BK57&lt;$E60,0,IF(AND(BK57&gt;=$E60,BK57&lt;=($E60+$E66-1)),Вводные!$D$30,Вводные!$E$30))</f>
        <v>2.1999999999999999E-2</v>
      </c>
      <c r="BL66" s="120">
        <f>IF(BL57&lt;$E60,0,IF(AND(BL57&gt;=$E60,BL57&lt;=($E60+$E66-1)),Вводные!$D$30,Вводные!$E$30))</f>
        <v>2.1999999999999999E-2</v>
      </c>
      <c r="BM66" s="120">
        <f>IF(BM57&lt;$E60,0,IF(AND(BM57&gt;=$E60,BM57&lt;=($E60+$E66-1)),Вводные!$D$30,Вводные!$E$30))</f>
        <v>2.1999999999999999E-2</v>
      </c>
      <c r="BN66" s="120">
        <f>IF(BN57&lt;$E60,0,IF(AND(BN57&gt;=$E60,BN57&lt;=($E60+$E66-1)),Вводные!$D$30,Вводные!$E$30))</f>
        <v>2.1999999999999999E-2</v>
      </c>
      <c r="BO66" s="120">
        <f>IF(BO57&lt;$E60,0,IF(AND(BO57&gt;=$E60,BO57&lt;=($E60+$E66-1)),Вводные!$D$30,Вводные!$E$30))</f>
        <v>2.1999999999999999E-2</v>
      </c>
      <c r="BP66" s="120">
        <f>IF(BP57&lt;$E60,0,IF(AND(BP57&gt;=$E60,BP57&lt;=($E60+$E66-1)),Вводные!$D$30,Вводные!$E$30))</f>
        <v>2.1999999999999999E-2</v>
      </c>
      <c r="BQ66" s="120">
        <f>IF(BQ57&lt;$E60,0,IF(AND(BQ57&gt;=$E60,BQ57&lt;=($E60+$E66-1)),Вводные!$D$30,Вводные!$E$30))</f>
        <v>2.1999999999999999E-2</v>
      </c>
      <c r="BR66" s="120">
        <f>IF(BR57&lt;$E60,0,IF(AND(BR57&gt;=$E60,BR57&lt;=($E60+$E66-1)),Вводные!$D$30,Вводные!$E$30))</f>
        <v>2.1999999999999999E-2</v>
      </c>
      <c r="BS66" s="120">
        <f>IF(BS57&lt;$E60,0,IF(AND(BS57&gt;=$E60,BS57&lt;=($E60+$E66-1)),Вводные!$D$30,Вводные!$E$30))</f>
        <v>2.1999999999999999E-2</v>
      </c>
      <c r="BT66" s="120">
        <f>IF(BT57&lt;$E60,0,IF(AND(BT57&gt;=$E60,BT57&lt;=($E60+$E66-1)),Вводные!$D$30,Вводные!$E$30))</f>
        <v>2.1999999999999999E-2</v>
      </c>
      <c r="BU66" s="120">
        <f>IF(BU57&lt;$E60,0,IF(AND(BU57&gt;=$E60,BU57&lt;=($E60+$E66-1)),Вводные!$D$30,Вводные!$E$30))</f>
        <v>2.1999999999999999E-2</v>
      </c>
      <c r="BV66" s="120">
        <f>IF(BV57&lt;$E60,0,IF(AND(BV57&gt;=$E60,BV57&lt;=($E60+$E66-1)),Вводные!$D$30,Вводные!$E$30))</f>
        <v>2.1999999999999999E-2</v>
      </c>
      <c r="BW66" s="120">
        <f>IF(BW57&lt;$E60,0,IF(AND(BW57&gt;=$E60,BW57&lt;=($E60+$E66-1)),Вводные!$D$30,Вводные!$E$30))</f>
        <v>2.1999999999999999E-2</v>
      </c>
      <c r="BX66" s="120">
        <f>IF(BX57&lt;$E60,0,IF(AND(BX57&gt;=$E60,BX57&lt;=($E60+$E66-1)),Вводные!$D$30,Вводные!$E$30))</f>
        <v>2.1999999999999999E-2</v>
      </c>
      <c r="BY66" s="120">
        <f>IF(BY57&lt;$E60,0,IF(AND(BY57&gt;=$E60,BY57&lt;=($E60+$E66-1)),Вводные!$D$30,Вводные!$E$30))</f>
        <v>2.1999999999999999E-2</v>
      </c>
      <c r="BZ66" s="120">
        <f>IF(BZ57&lt;$E60,0,IF(AND(BZ57&gt;=$E60,BZ57&lt;=($E60+$E66-1)),Вводные!$D$30,Вводные!$E$30))</f>
        <v>2.1999999999999999E-2</v>
      </c>
      <c r="CA66" s="120">
        <f>IF(CA57&lt;$E60,0,IF(AND(CA57&gt;=$E60,CA57&lt;=($E60+$E66-1)),Вводные!$D$30,Вводные!$E$30))</f>
        <v>2.1999999999999999E-2</v>
      </c>
      <c r="CB66" s="120">
        <f>IF(CB57&lt;$E60,0,IF(AND(CB57&gt;=$E60,CB57&lt;=($E60+$E66-1)),Вводные!$D$30,Вводные!$E$30))</f>
        <v>2.1999999999999999E-2</v>
      </c>
      <c r="CC66" s="120">
        <f>IF(CC57&lt;$E60,0,IF(AND(CC57&gt;=$E60,CC57&lt;=($E60+$E66-1)),Вводные!$D$30,Вводные!$E$30))</f>
        <v>2.1999999999999999E-2</v>
      </c>
      <c r="CD66" s="120">
        <f>IF(CD57&lt;$E60,0,IF(AND(CD57&gt;=$E60,CD57&lt;=($E60+$E66-1)),Вводные!$D$30,Вводные!$E$30))</f>
        <v>2.1999999999999999E-2</v>
      </c>
      <c r="CE66" s="120">
        <f>IF(CE57&lt;$E60,0,IF(AND(CE57&gt;=$E60,CE57&lt;=($E60+$E66-1)),Вводные!$D$30,Вводные!$E$30))</f>
        <v>2.1999999999999999E-2</v>
      </c>
      <c r="CF66" s="120">
        <f>IF(CF57&lt;$E60,0,IF(AND(CF57&gt;=$E60,CF57&lt;=($E60+$E66-1)),Вводные!$D$30,Вводные!$E$30))</f>
        <v>2.1999999999999999E-2</v>
      </c>
      <c r="CG66" s="120">
        <f>IF(CG57&lt;$E60,0,IF(AND(CG57&gt;=$E60,CG57&lt;=($E60+$E66-1)),Вводные!$D$30,Вводные!$E$30))</f>
        <v>2.1999999999999999E-2</v>
      </c>
      <c r="CH66" s="120">
        <f>IF(CH57&lt;$E60,0,IF(AND(CH57&gt;=$E60,CH57&lt;=($E60+$E66-1)),Вводные!$D$30,Вводные!$E$30))</f>
        <v>2.1999999999999999E-2</v>
      </c>
      <c r="CI66" s="120">
        <f>IF(CI57&lt;$E60,0,IF(AND(CI57&gt;=$E60,CI57&lt;=($E60+$E66-1)),Вводные!$D$30,Вводные!$E$30))</f>
        <v>2.1999999999999999E-2</v>
      </c>
      <c r="CJ66" s="120">
        <f>IF(CJ57&lt;$E60,0,IF(AND(CJ57&gt;=$E60,CJ57&lt;=($E60+$E66-1)),Вводные!$D$30,Вводные!$E$30))</f>
        <v>2.1999999999999999E-2</v>
      </c>
      <c r="CK66" s="120">
        <f>IF(CK57&lt;$E60,0,IF(AND(CK57&gt;=$E60,CK57&lt;=($E60+$E66-1)),Вводные!$D$30,Вводные!$E$30))</f>
        <v>2.1999999999999999E-2</v>
      </c>
      <c r="CL66" s="120">
        <f>IF(CL57&lt;$E60,0,IF(AND(CL57&gt;=$E60,CL57&lt;=($E60+$E66-1)),Вводные!$D$30,Вводные!$E$30))</f>
        <v>2.1999999999999999E-2</v>
      </c>
      <c r="CM66" s="120">
        <f>IF(CM57&lt;$E60,0,IF(AND(CM57&gt;=$E60,CM57&lt;=($E60+$E66-1)),Вводные!$D$30,Вводные!$E$30))</f>
        <v>2.1999999999999999E-2</v>
      </c>
      <c r="CN66" s="120">
        <f>IF(CN57&lt;$E60,0,IF(AND(CN57&gt;=$E60,CN57&lt;=($E60+$E66-1)),Вводные!$D$30,Вводные!$E$30))</f>
        <v>2.1999999999999999E-2</v>
      </c>
      <c r="CO66" s="120">
        <f>IF(CO57&lt;$E60,0,IF(AND(CO57&gt;=$E60,CO57&lt;=($E60+$E66-1)),Вводные!$D$30,Вводные!$E$30))</f>
        <v>2.1999999999999999E-2</v>
      </c>
      <c r="CP66" s="120">
        <f>IF(CP57&lt;$E60,0,IF(AND(CP57&gt;=$E60,CP57&lt;=($E60+$E66-1)),Вводные!$D$30,Вводные!$E$30))</f>
        <v>2.1999999999999999E-2</v>
      </c>
      <c r="CQ66" s="120">
        <f>IF(CQ57&lt;$E60,0,IF(AND(CQ57&gt;=$E60,CQ57&lt;=($E60+$E66-1)),Вводные!$D$30,Вводные!$E$30))</f>
        <v>2.1999999999999999E-2</v>
      </c>
      <c r="CR66" s="120">
        <f>IF(CR57&lt;$E60,0,IF(AND(CR57&gt;=$E60,CR57&lt;=($E60+$E66-1)),Вводные!$D$30,Вводные!$E$30))</f>
        <v>2.1999999999999999E-2</v>
      </c>
      <c r="CS66" s="120">
        <f>IF(CS57&lt;$E60,0,IF(AND(CS57&gt;=$E60,CS57&lt;=($E60+$E66-1)),Вводные!$D$30,Вводные!$E$30))</f>
        <v>2.1999999999999999E-2</v>
      </c>
      <c r="CT66" s="120">
        <f>IF(CT57&lt;$E60,0,IF(AND(CT57&gt;=$E60,CT57&lt;=($E60+$E66-1)),Вводные!$D$30,Вводные!$E$30))</f>
        <v>2.1999999999999999E-2</v>
      </c>
      <c r="CU66" s="120">
        <f>IF(CU57&lt;$E60,0,IF(AND(CU57&gt;=$E60,CU57&lt;=($E60+$E66-1)),Вводные!$D$30,Вводные!$E$30))</f>
        <v>2.1999999999999999E-2</v>
      </c>
      <c r="CV66" s="120">
        <f>IF(CV57&lt;$E60,0,IF(AND(CV57&gt;=$E60,CV57&lt;=($E60+$E66-1)),Вводные!$D$30,Вводные!$E$30))</f>
        <v>2.1999999999999999E-2</v>
      </c>
      <c r="CW66" s="120">
        <f>IF(CW57&lt;$E60,0,IF(AND(CW57&gt;=$E60,CW57&lt;=($E60+$E66-1)),Вводные!$D$30,Вводные!$E$30))</f>
        <v>2.1999999999999999E-2</v>
      </c>
      <c r="CX66" s="120">
        <f>IF(CX57&lt;$E60,0,IF(AND(CX57&gt;=$E60,CX57&lt;=($E60+$E66-1)),Вводные!$D$30,Вводные!$E$30))</f>
        <v>2.1999999999999999E-2</v>
      </c>
      <c r="CY66" s="120">
        <f>IF(CY57&lt;$E60,0,IF(AND(CY57&gt;=$E60,CY57&lt;=($E60+$E66-1)),Вводные!$D$30,Вводные!$E$30))</f>
        <v>2.1999999999999999E-2</v>
      </c>
      <c r="CZ66" s="120">
        <f>IF(CZ57&lt;$E60,0,IF(AND(CZ57&gt;=$E60,CZ57&lt;=($E60+$E66-1)),Вводные!$D$30,Вводные!$E$30))</f>
        <v>2.1999999999999999E-2</v>
      </c>
      <c r="DA66" s="120">
        <f>IF(DA57&lt;$E60,0,IF(AND(DA57&gt;=$E60,DA57&lt;=($E60+$E66-1)),Вводные!$D$30,Вводные!$E$30))</f>
        <v>2.1999999999999999E-2</v>
      </c>
      <c r="DB66" s="120">
        <f>IF(DB57&lt;$E60,0,IF(AND(DB57&gt;=$E60,DB57&lt;=($E60+$E66-1)),Вводные!$D$30,Вводные!$E$30))</f>
        <v>2.1999999999999999E-2</v>
      </c>
      <c r="DC66" s="120">
        <f>IF(DC57&lt;$E60,0,IF(AND(DC57&gt;=$E60,DC57&lt;=($E60+$E66-1)),Вводные!$D$30,Вводные!$E$30))</f>
        <v>2.1999999999999999E-2</v>
      </c>
      <c r="DD66" s="120">
        <f>IF(DD57&lt;$E60,0,IF(AND(DD57&gt;=$E60,DD57&lt;=($E60+$E66-1)),Вводные!$D$30,Вводные!$E$30))</f>
        <v>2.1999999999999999E-2</v>
      </c>
      <c r="DE66" s="120">
        <f>IF(DE57&lt;$E60,0,IF(AND(DE57&gt;=$E60,DE57&lt;=($E60+$E66-1)),Вводные!$D$30,Вводные!$E$30))</f>
        <v>2.1999999999999999E-2</v>
      </c>
      <c r="DF66" s="120">
        <f>IF(DF57&lt;$E60,0,IF(AND(DF57&gt;=$E60,DF57&lt;=($E60+$E66-1)),Вводные!$D$30,Вводные!$E$30))</f>
        <v>2.1999999999999999E-2</v>
      </c>
      <c r="DG66" s="120">
        <f>IF(DG57&lt;$E60,0,IF(AND(DG57&gt;=$E60,DG57&lt;=($E60+$E66-1)),Вводные!$D$30,Вводные!$E$30))</f>
        <v>2.1999999999999999E-2</v>
      </c>
      <c r="DH66" s="120">
        <f>IF(DH57&lt;$E60,0,IF(AND(DH57&gt;=$E60,DH57&lt;=($E60+$E66-1)),Вводные!$D$30,Вводные!$E$30))</f>
        <v>2.1999999999999999E-2</v>
      </c>
      <c r="DI66" s="120">
        <f>IF(DI57&lt;$E60,0,IF(AND(DI57&gt;=$E60,DI57&lt;=($E60+$E66-1)),Вводные!$D$30,Вводные!$E$30))</f>
        <v>2.1999999999999999E-2</v>
      </c>
      <c r="DJ66" s="120">
        <f>IF(DJ57&lt;$E60,0,IF(AND(DJ57&gt;=$E60,DJ57&lt;=($E60+$E66-1)),Вводные!$D$30,Вводные!$E$30))</f>
        <v>2.1999999999999999E-2</v>
      </c>
      <c r="DK66" s="120">
        <f>IF(DK57&lt;$E60,0,IF(AND(DK57&gt;=$E60,DK57&lt;=($E60+$E66-1)),Вводные!$D$30,Вводные!$E$30))</f>
        <v>2.1999999999999999E-2</v>
      </c>
      <c r="DL66" s="120">
        <f>IF(DL57&lt;$E60,0,IF(AND(DL57&gt;=$E60,DL57&lt;=($E60+$E66-1)),Вводные!$D$30,Вводные!$E$30))</f>
        <v>2.1999999999999999E-2</v>
      </c>
      <c r="DM66" s="120">
        <f>IF(DM57&lt;$E60,0,IF(AND(DM57&gt;=$E60,DM57&lt;=($E60+$E66-1)),Вводные!$D$30,Вводные!$E$30))</f>
        <v>2.1999999999999999E-2</v>
      </c>
      <c r="DN66" s="120">
        <f>IF(DN57&lt;$E60,0,IF(AND(DN57&gt;=$E60,DN57&lt;=($E60+$E66-1)),Вводные!$D$30,Вводные!$E$30))</f>
        <v>2.1999999999999999E-2</v>
      </c>
      <c r="DO66" s="120">
        <f>IF(DO57&lt;$E60,0,IF(AND(DO57&gt;=$E60,DO57&lt;=($E60+$E66-1)),Вводные!$D$30,Вводные!$E$30))</f>
        <v>2.1999999999999999E-2</v>
      </c>
      <c r="DP66" s="120">
        <f>IF(DP57&lt;$E60,0,IF(AND(DP57&gt;=$E60,DP57&lt;=($E60+$E66-1)),Вводные!$D$30,Вводные!$E$30))</f>
        <v>2.1999999999999999E-2</v>
      </c>
      <c r="DQ66" s="120">
        <f>IF(DQ57&lt;$E60,0,IF(AND(DQ57&gt;=$E60,DQ57&lt;=($E60+$E66-1)),Вводные!$D$30,Вводные!$E$30))</f>
        <v>2.1999999999999999E-2</v>
      </c>
      <c r="DR66" s="120">
        <f>IF(DR57&lt;$E60,0,IF(AND(DR57&gt;=$E60,DR57&lt;=($E60+$E66-1)),Вводные!$D$30,Вводные!$E$30))</f>
        <v>2.1999999999999999E-2</v>
      </c>
      <c r="DS66" s="120">
        <f>IF(DS57&lt;$E60,0,IF(AND(DS57&gt;=$E60,DS57&lt;=($E60+$E66-1)),Вводные!$D$30,Вводные!$E$30))</f>
        <v>2.1999999999999999E-2</v>
      </c>
      <c r="DT66" s="120">
        <f>IF(DT57&lt;$E60,0,IF(AND(DT57&gt;=$E60,DT57&lt;=($E60+$E66-1)),Вводные!$D$30,Вводные!$E$30))</f>
        <v>2.1999999999999999E-2</v>
      </c>
      <c r="DU66" s="120">
        <f>IF(DU57&lt;$E60,0,IF(AND(DU57&gt;=$E60,DU57&lt;=($E60+$E66-1)),Вводные!$D$30,Вводные!$E$30))</f>
        <v>2.1999999999999999E-2</v>
      </c>
      <c r="DV66" s="120">
        <f>IF(DV57&lt;$E60,0,IF(AND(DV57&gt;=$E60,DV57&lt;=($E60+$E66-1)),Вводные!$D$30,Вводные!$E$30))</f>
        <v>2.1999999999999999E-2</v>
      </c>
      <c r="DW66" s="120">
        <f>IF(DW57&lt;$E60,0,IF(AND(DW57&gt;=$E60,DW57&lt;=($E60+$E66-1)),Вводные!$D$30,Вводные!$E$30))</f>
        <v>2.1999999999999999E-2</v>
      </c>
      <c r="DX66" s="120">
        <f>IF(DX57&lt;$E60,0,IF(AND(DX57&gt;=$E60,DX57&lt;=($E60+$E66-1)),Вводные!$D$30,Вводные!$E$30))</f>
        <v>2.1999999999999999E-2</v>
      </c>
      <c r="DY66" s="120">
        <f>IF(DY57&lt;$E60,0,IF(AND(DY57&gt;=$E60,DY57&lt;=($E60+$E66-1)),Вводные!$D$30,Вводные!$E$30))</f>
        <v>2.1999999999999999E-2</v>
      </c>
      <c r="DZ66" s="120">
        <f>IF(DZ57&lt;$E60,0,IF(AND(DZ57&gt;=$E60,DZ57&lt;=($E60+$E66-1)),Вводные!$D$30,Вводные!$E$30))</f>
        <v>2.1999999999999999E-2</v>
      </c>
      <c r="EA66" s="120">
        <f>IF(EA57&lt;$E60,0,IF(AND(EA57&gt;=$E60,EA57&lt;=($E60+$E66-1)),Вводные!$D$30,Вводные!$E$30))</f>
        <v>2.1999999999999999E-2</v>
      </c>
      <c r="EB66" s="120">
        <f>IF(EB57&lt;$E60,0,IF(AND(EB57&gt;=$E60,EB57&lt;=($E60+$E66-1)),Вводные!$D$30,Вводные!$E$30))</f>
        <v>2.1999999999999999E-2</v>
      </c>
      <c r="EC66" s="120">
        <f>IF(EC57&lt;$E60,0,IF(AND(EC57&gt;=$E60,EC57&lt;=($E60+$E66-1)),Вводные!$D$30,Вводные!$E$30))</f>
        <v>2.1999999999999999E-2</v>
      </c>
      <c r="ED66" s="120">
        <f>IF(ED57&lt;$E60,0,IF(AND(ED57&gt;=$E60,ED57&lt;=($E60+$E66-1)),Вводные!$D$30,Вводные!$E$30))</f>
        <v>2.1999999999999999E-2</v>
      </c>
      <c r="EE66" s="120">
        <f>IF(EE57&lt;$E60,0,IF(AND(EE57&gt;=$E60,EE57&lt;=($E60+$E66-1)),Вводные!$D$30,Вводные!$E$30))</f>
        <v>2.1999999999999999E-2</v>
      </c>
      <c r="EF66" s="120">
        <f>IF(EF57&lt;$E60,0,IF(AND(EF57&gt;=$E60,EF57&lt;=($E60+$E66-1)),Вводные!$D$30,Вводные!$E$30))</f>
        <v>2.1999999999999999E-2</v>
      </c>
      <c r="EG66" s="120">
        <f>IF(EG57&lt;$E60,0,IF(AND(EG57&gt;=$E60,EG57&lt;=($E60+$E66-1)),Вводные!$D$30,Вводные!$E$30))</f>
        <v>2.1999999999999999E-2</v>
      </c>
      <c r="EH66" s="120">
        <f>IF(EH57&lt;$E60,0,IF(AND(EH57&gt;=$E60,EH57&lt;=($E60+$E66-1)),Вводные!$D$30,Вводные!$E$30))</f>
        <v>2.1999999999999999E-2</v>
      </c>
      <c r="EI66" s="120">
        <f>IF(EI57&lt;$E60,0,IF(AND(EI57&gt;=$E60,EI57&lt;=($E60+$E66-1)),Вводные!$D$30,Вводные!$E$30))</f>
        <v>2.1999999999999999E-2</v>
      </c>
      <c r="EJ66" s="120">
        <f>IF(EJ57&lt;$E60,0,IF(AND(EJ57&gt;=$E60,EJ57&lt;=($E60+$E66-1)),Вводные!$D$30,Вводные!$E$30))</f>
        <v>2.1999999999999999E-2</v>
      </c>
      <c r="EK66" s="120">
        <f>IF(EK57&lt;$E60,0,IF(AND(EK57&gt;=$E60,EK57&lt;=($E60+$E66-1)),Вводные!$D$30,Вводные!$E$30))</f>
        <v>2.1999999999999999E-2</v>
      </c>
      <c r="EL66" s="120">
        <f>IF(EL57&lt;$E60,0,IF(AND(EL57&gt;=$E60,EL57&lt;=($E60+$E66-1)),Вводные!$D$30,Вводные!$E$30))</f>
        <v>2.1999999999999999E-2</v>
      </c>
      <c r="EM66" s="120">
        <f>IF(EM57&lt;$E60,0,IF(AND(EM57&gt;=$E60,EM57&lt;=($E60+$E66-1)),Вводные!$D$30,Вводные!$E$30))</f>
        <v>2.1999999999999999E-2</v>
      </c>
      <c r="EN66" s="120">
        <f>IF(EN57&lt;$E60,0,IF(AND(EN57&gt;=$E60,EN57&lt;=($E60+$E66-1)),Вводные!$D$30,Вводные!$E$30))</f>
        <v>2.1999999999999999E-2</v>
      </c>
    </row>
    <row r="67" spans="2:144" outlineLevel="1">
      <c r="C67" s="151" t="s">
        <v>22</v>
      </c>
      <c r="D67" s="44"/>
      <c r="E67" s="469"/>
      <c r="F67" s="44"/>
      <c r="G67" s="44"/>
      <c r="H67" s="44">
        <f t="shared" ref="H67:AM67" si="100">H66*H65/4</f>
        <v>0</v>
      </c>
      <c r="I67" s="44">
        <f t="shared" si="100"/>
        <v>0</v>
      </c>
      <c r="J67" s="44">
        <f t="shared" si="100"/>
        <v>0</v>
      </c>
      <c r="K67" s="44">
        <f t="shared" si="100"/>
        <v>0</v>
      </c>
      <c r="L67" s="44">
        <f t="shared" si="100"/>
        <v>0</v>
      </c>
      <c r="M67" s="44">
        <f t="shared" si="100"/>
        <v>0</v>
      </c>
      <c r="N67" s="44">
        <f t="shared" si="100"/>
        <v>0</v>
      </c>
      <c r="O67" s="44">
        <f t="shared" si="100"/>
        <v>0</v>
      </c>
      <c r="P67" s="44">
        <f t="shared" si="100"/>
        <v>0</v>
      </c>
      <c r="Q67" s="44">
        <f t="shared" si="100"/>
        <v>0</v>
      </c>
      <c r="R67" s="44">
        <f t="shared" si="100"/>
        <v>0</v>
      </c>
      <c r="S67" s="44">
        <f t="shared" si="100"/>
        <v>0</v>
      </c>
      <c r="T67" s="44">
        <f t="shared" si="100"/>
        <v>0</v>
      </c>
      <c r="U67" s="44">
        <f t="shared" si="100"/>
        <v>0</v>
      </c>
      <c r="V67" s="44">
        <f t="shared" si="100"/>
        <v>0</v>
      </c>
      <c r="W67" s="44">
        <f t="shared" si="100"/>
        <v>0</v>
      </c>
      <c r="X67" s="44">
        <f t="shared" si="100"/>
        <v>0</v>
      </c>
      <c r="Y67" s="44">
        <f t="shared" si="100"/>
        <v>0</v>
      </c>
      <c r="Z67" s="44">
        <f t="shared" si="100"/>
        <v>0</v>
      </c>
      <c r="AA67" s="44">
        <f t="shared" si="100"/>
        <v>0</v>
      </c>
      <c r="AB67" s="44">
        <f t="shared" si="100"/>
        <v>0</v>
      </c>
      <c r="AC67" s="44">
        <f t="shared" si="100"/>
        <v>0</v>
      </c>
      <c r="AD67" s="44">
        <f t="shared" si="100"/>
        <v>0</v>
      </c>
      <c r="AE67" s="44">
        <f t="shared" si="100"/>
        <v>0</v>
      </c>
      <c r="AF67" s="44">
        <f t="shared" si="100"/>
        <v>0</v>
      </c>
      <c r="AG67" s="44">
        <f t="shared" si="100"/>
        <v>0</v>
      </c>
      <c r="AH67" s="44">
        <f t="shared" si="100"/>
        <v>0</v>
      </c>
      <c r="AI67" s="44">
        <f t="shared" si="100"/>
        <v>0</v>
      </c>
      <c r="AJ67" s="44">
        <f t="shared" si="100"/>
        <v>0</v>
      </c>
      <c r="AK67" s="44">
        <f t="shared" si="100"/>
        <v>0</v>
      </c>
      <c r="AL67" s="44">
        <f t="shared" si="100"/>
        <v>0</v>
      </c>
      <c r="AM67" s="44">
        <f t="shared" si="100"/>
        <v>0</v>
      </c>
      <c r="AN67" s="44">
        <f t="shared" ref="AN67:BS67" si="101">AN66*AN65/4</f>
        <v>0</v>
      </c>
      <c r="AO67" s="44">
        <f t="shared" si="101"/>
        <v>0</v>
      </c>
      <c r="AP67" s="44">
        <f t="shared" si="101"/>
        <v>0</v>
      </c>
      <c r="AQ67" s="44">
        <f t="shared" si="101"/>
        <v>0</v>
      </c>
      <c r="AR67" s="44">
        <f t="shared" si="101"/>
        <v>0</v>
      </c>
      <c r="AS67" s="44">
        <f t="shared" si="101"/>
        <v>0</v>
      </c>
      <c r="AT67" s="44">
        <f t="shared" si="101"/>
        <v>0</v>
      </c>
      <c r="AU67" s="44">
        <f t="shared" si="101"/>
        <v>0</v>
      </c>
      <c r="AV67" s="44">
        <f t="shared" si="101"/>
        <v>0</v>
      </c>
      <c r="AW67" s="44">
        <f t="shared" si="101"/>
        <v>0</v>
      </c>
      <c r="AX67" s="44">
        <f t="shared" si="101"/>
        <v>0</v>
      </c>
      <c r="AY67" s="44">
        <f t="shared" si="101"/>
        <v>0</v>
      </c>
      <c r="AZ67" s="44">
        <f t="shared" si="101"/>
        <v>0</v>
      </c>
      <c r="BA67" s="44">
        <f t="shared" si="101"/>
        <v>0</v>
      </c>
      <c r="BB67" s="44">
        <f t="shared" si="101"/>
        <v>0</v>
      </c>
      <c r="BC67" s="44">
        <f t="shared" si="101"/>
        <v>0</v>
      </c>
      <c r="BD67" s="44">
        <f t="shared" si="101"/>
        <v>0</v>
      </c>
      <c r="BE67" s="44">
        <f t="shared" si="101"/>
        <v>0</v>
      </c>
      <c r="BF67" s="44">
        <f t="shared" si="101"/>
        <v>0</v>
      </c>
      <c r="BG67" s="44">
        <f t="shared" si="101"/>
        <v>0</v>
      </c>
      <c r="BH67" s="44">
        <f t="shared" si="101"/>
        <v>0</v>
      </c>
      <c r="BI67" s="44">
        <f t="shared" si="101"/>
        <v>0</v>
      </c>
      <c r="BJ67" s="44">
        <f t="shared" si="101"/>
        <v>0</v>
      </c>
      <c r="BK67" s="44">
        <f t="shared" si="101"/>
        <v>0</v>
      </c>
      <c r="BL67" s="44">
        <f t="shared" si="101"/>
        <v>0</v>
      </c>
      <c r="BM67" s="44">
        <f t="shared" si="101"/>
        <v>0</v>
      </c>
      <c r="BN67" s="44">
        <f t="shared" si="101"/>
        <v>0</v>
      </c>
      <c r="BO67" s="44">
        <f t="shared" si="101"/>
        <v>0</v>
      </c>
      <c r="BP67" s="44">
        <f t="shared" si="101"/>
        <v>0</v>
      </c>
      <c r="BQ67" s="44">
        <f t="shared" si="101"/>
        <v>0</v>
      </c>
      <c r="BR67" s="44">
        <f t="shared" si="101"/>
        <v>0</v>
      </c>
      <c r="BS67" s="44">
        <f t="shared" si="101"/>
        <v>0</v>
      </c>
      <c r="BT67" s="44">
        <f t="shared" ref="BT67:CY67" si="102">BT66*BT65/4</f>
        <v>0</v>
      </c>
      <c r="BU67" s="44">
        <f t="shared" si="102"/>
        <v>0</v>
      </c>
      <c r="BV67" s="44">
        <f t="shared" si="102"/>
        <v>0</v>
      </c>
      <c r="BW67" s="44">
        <f t="shared" si="102"/>
        <v>0</v>
      </c>
      <c r="BX67" s="44">
        <f t="shared" si="102"/>
        <v>0</v>
      </c>
      <c r="BY67" s="44">
        <f t="shared" si="102"/>
        <v>0</v>
      </c>
      <c r="BZ67" s="44">
        <f t="shared" si="102"/>
        <v>0</v>
      </c>
      <c r="CA67" s="44">
        <f t="shared" si="102"/>
        <v>0</v>
      </c>
      <c r="CB67" s="44">
        <f t="shared" si="102"/>
        <v>0</v>
      </c>
      <c r="CC67" s="44">
        <f t="shared" si="102"/>
        <v>0</v>
      </c>
      <c r="CD67" s="44">
        <f t="shared" si="102"/>
        <v>0</v>
      </c>
      <c r="CE67" s="44">
        <f t="shared" si="102"/>
        <v>0</v>
      </c>
      <c r="CF67" s="44">
        <f t="shared" si="102"/>
        <v>0</v>
      </c>
      <c r="CG67" s="44">
        <f t="shared" si="102"/>
        <v>0</v>
      </c>
      <c r="CH67" s="44">
        <f t="shared" si="102"/>
        <v>0</v>
      </c>
      <c r="CI67" s="44">
        <f t="shared" si="102"/>
        <v>0</v>
      </c>
      <c r="CJ67" s="44">
        <f t="shared" si="102"/>
        <v>0</v>
      </c>
      <c r="CK67" s="44">
        <f t="shared" si="102"/>
        <v>0</v>
      </c>
      <c r="CL67" s="44">
        <f t="shared" si="102"/>
        <v>0</v>
      </c>
      <c r="CM67" s="44">
        <f t="shared" si="102"/>
        <v>0</v>
      </c>
      <c r="CN67" s="44">
        <f t="shared" si="102"/>
        <v>0</v>
      </c>
      <c r="CO67" s="44">
        <f t="shared" si="102"/>
        <v>0</v>
      </c>
      <c r="CP67" s="44">
        <f t="shared" si="102"/>
        <v>0</v>
      </c>
      <c r="CQ67" s="44">
        <f t="shared" si="102"/>
        <v>0</v>
      </c>
      <c r="CR67" s="44">
        <f t="shared" si="102"/>
        <v>0</v>
      </c>
      <c r="CS67" s="44">
        <f t="shared" si="102"/>
        <v>0</v>
      </c>
      <c r="CT67" s="44">
        <f t="shared" si="102"/>
        <v>0</v>
      </c>
      <c r="CU67" s="44">
        <f t="shared" si="102"/>
        <v>0</v>
      </c>
      <c r="CV67" s="44">
        <f t="shared" si="102"/>
        <v>0</v>
      </c>
      <c r="CW67" s="44">
        <f t="shared" si="102"/>
        <v>0</v>
      </c>
      <c r="CX67" s="44">
        <f t="shared" si="102"/>
        <v>0</v>
      </c>
      <c r="CY67" s="44">
        <f t="shared" si="102"/>
        <v>0</v>
      </c>
      <c r="CZ67" s="44">
        <f t="shared" ref="CZ67:EE67" si="103">CZ66*CZ65/4</f>
        <v>0</v>
      </c>
      <c r="DA67" s="44">
        <f t="shared" si="103"/>
        <v>0</v>
      </c>
      <c r="DB67" s="44">
        <f t="shared" si="103"/>
        <v>0</v>
      </c>
      <c r="DC67" s="44">
        <f t="shared" si="103"/>
        <v>0</v>
      </c>
      <c r="DD67" s="44">
        <f t="shared" si="103"/>
        <v>0</v>
      </c>
      <c r="DE67" s="44">
        <f t="shared" si="103"/>
        <v>0</v>
      </c>
      <c r="DF67" s="44">
        <f t="shared" si="103"/>
        <v>0</v>
      </c>
      <c r="DG67" s="44">
        <f t="shared" si="103"/>
        <v>0</v>
      </c>
      <c r="DH67" s="44">
        <f t="shared" si="103"/>
        <v>0</v>
      </c>
      <c r="DI67" s="44">
        <f t="shared" si="103"/>
        <v>0</v>
      </c>
      <c r="DJ67" s="44">
        <f t="shared" si="103"/>
        <v>0</v>
      </c>
      <c r="DK67" s="44">
        <f t="shared" si="103"/>
        <v>0</v>
      </c>
      <c r="DL67" s="44">
        <f t="shared" si="103"/>
        <v>0</v>
      </c>
      <c r="DM67" s="44">
        <f t="shared" si="103"/>
        <v>0</v>
      </c>
      <c r="DN67" s="44">
        <f t="shared" si="103"/>
        <v>0</v>
      </c>
      <c r="DO67" s="44">
        <f t="shared" si="103"/>
        <v>0</v>
      </c>
      <c r="DP67" s="44">
        <f t="shared" si="103"/>
        <v>0</v>
      </c>
      <c r="DQ67" s="44">
        <f t="shared" si="103"/>
        <v>0</v>
      </c>
      <c r="DR67" s="44">
        <f t="shared" si="103"/>
        <v>0</v>
      </c>
      <c r="DS67" s="44">
        <f t="shared" si="103"/>
        <v>0</v>
      </c>
      <c r="DT67" s="44">
        <f t="shared" si="103"/>
        <v>0</v>
      </c>
      <c r="DU67" s="44">
        <f t="shared" si="103"/>
        <v>0</v>
      </c>
      <c r="DV67" s="44">
        <f t="shared" si="103"/>
        <v>0</v>
      </c>
      <c r="DW67" s="44">
        <f t="shared" si="103"/>
        <v>0</v>
      </c>
      <c r="DX67" s="44">
        <f t="shared" si="103"/>
        <v>0</v>
      </c>
      <c r="DY67" s="44">
        <f t="shared" si="103"/>
        <v>0</v>
      </c>
      <c r="DZ67" s="44">
        <f t="shared" si="103"/>
        <v>0</v>
      </c>
      <c r="EA67" s="44">
        <f t="shared" si="103"/>
        <v>0</v>
      </c>
      <c r="EB67" s="44">
        <f t="shared" si="103"/>
        <v>0</v>
      </c>
      <c r="EC67" s="44">
        <f t="shared" si="103"/>
        <v>0</v>
      </c>
      <c r="ED67" s="44">
        <f t="shared" si="103"/>
        <v>0</v>
      </c>
      <c r="EE67" s="44">
        <f t="shared" si="103"/>
        <v>0</v>
      </c>
      <c r="EF67" s="44">
        <f t="shared" ref="EF67:EN67" si="104">EF66*EF65/4</f>
        <v>0</v>
      </c>
      <c r="EG67" s="44">
        <f t="shared" si="104"/>
        <v>0</v>
      </c>
      <c r="EH67" s="44">
        <f t="shared" si="104"/>
        <v>0</v>
      </c>
      <c r="EI67" s="44">
        <f t="shared" si="104"/>
        <v>0</v>
      </c>
      <c r="EJ67" s="44">
        <f t="shared" si="104"/>
        <v>0</v>
      </c>
      <c r="EK67" s="44">
        <f t="shared" si="104"/>
        <v>0</v>
      </c>
      <c r="EL67" s="44">
        <f t="shared" si="104"/>
        <v>0</v>
      </c>
      <c r="EM67" s="44">
        <f t="shared" si="104"/>
        <v>0</v>
      </c>
      <c r="EN67" s="44">
        <f t="shared" si="104"/>
        <v>0</v>
      </c>
    </row>
    <row r="68" spans="2:144" ht="15.75">
      <c r="B68" s="40"/>
      <c r="C68" s="22"/>
      <c r="E68" s="40"/>
      <c r="F68" s="40"/>
      <c r="G68" s="40"/>
      <c r="H68" s="463">
        <f t="shared" ref="H68:BD68" si="105">YEAR(H70)</f>
        <v>2022</v>
      </c>
      <c r="I68" s="463">
        <f t="shared" si="105"/>
        <v>2022</v>
      </c>
      <c r="J68" s="463">
        <f t="shared" si="105"/>
        <v>2022</v>
      </c>
      <c r="K68" s="463">
        <f t="shared" si="105"/>
        <v>2022</v>
      </c>
      <c r="L68" s="463">
        <f t="shared" si="105"/>
        <v>2023</v>
      </c>
      <c r="M68" s="463">
        <f t="shared" si="105"/>
        <v>2023</v>
      </c>
      <c r="N68" s="463">
        <f t="shared" si="105"/>
        <v>2023</v>
      </c>
      <c r="O68" s="463">
        <f t="shared" si="105"/>
        <v>2023</v>
      </c>
      <c r="P68" s="463">
        <f t="shared" si="105"/>
        <v>2024</v>
      </c>
      <c r="Q68" s="463">
        <f t="shared" si="105"/>
        <v>2024</v>
      </c>
      <c r="R68" s="463">
        <f t="shared" si="105"/>
        <v>2024</v>
      </c>
      <c r="S68" s="463">
        <f t="shared" si="105"/>
        <v>2024</v>
      </c>
      <c r="T68" s="463">
        <f t="shared" si="105"/>
        <v>2025</v>
      </c>
      <c r="U68" s="463">
        <f t="shared" si="105"/>
        <v>2025</v>
      </c>
      <c r="V68" s="463">
        <f t="shared" si="105"/>
        <v>2025</v>
      </c>
      <c r="W68" s="463">
        <f t="shared" si="105"/>
        <v>2025</v>
      </c>
      <c r="X68" s="463">
        <f t="shared" si="105"/>
        <v>2026</v>
      </c>
      <c r="Y68" s="463">
        <f t="shared" si="105"/>
        <v>2026</v>
      </c>
      <c r="Z68" s="463">
        <f t="shared" si="105"/>
        <v>2026</v>
      </c>
      <c r="AA68" s="463">
        <f t="shared" si="105"/>
        <v>2026</v>
      </c>
      <c r="AB68" s="463">
        <f t="shared" si="105"/>
        <v>2027</v>
      </c>
      <c r="AC68" s="463">
        <f t="shared" si="105"/>
        <v>2027</v>
      </c>
      <c r="AD68" s="463">
        <f t="shared" si="105"/>
        <v>2027</v>
      </c>
      <c r="AE68" s="463">
        <f t="shared" si="105"/>
        <v>2027</v>
      </c>
      <c r="AF68" s="463">
        <f t="shared" si="105"/>
        <v>2028</v>
      </c>
      <c r="AG68" s="463">
        <f t="shared" si="105"/>
        <v>2028</v>
      </c>
      <c r="AH68" s="463">
        <f t="shared" si="105"/>
        <v>2028</v>
      </c>
      <c r="AI68" s="463">
        <f t="shared" si="105"/>
        <v>2028</v>
      </c>
      <c r="AJ68" s="463">
        <f t="shared" si="105"/>
        <v>2029</v>
      </c>
      <c r="AK68" s="463">
        <f t="shared" si="105"/>
        <v>2029</v>
      </c>
      <c r="AL68" s="463">
        <f t="shared" si="105"/>
        <v>2029</v>
      </c>
      <c r="AM68" s="463">
        <f t="shared" si="105"/>
        <v>2029</v>
      </c>
      <c r="AN68" s="463">
        <f t="shared" si="105"/>
        <v>2030</v>
      </c>
      <c r="AO68" s="463">
        <f t="shared" si="105"/>
        <v>2030</v>
      </c>
      <c r="AP68" s="463">
        <f t="shared" si="105"/>
        <v>2030</v>
      </c>
      <c r="AQ68" s="463">
        <f t="shared" si="105"/>
        <v>2030</v>
      </c>
      <c r="AR68" s="463">
        <f t="shared" si="105"/>
        <v>2031</v>
      </c>
      <c r="AS68" s="463">
        <f t="shared" si="105"/>
        <v>2031</v>
      </c>
      <c r="AT68" s="463">
        <f t="shared" si="105"/>
        <v>2031</v>
      </c>
      <c r="AU68" s="463">
        <f t="shared" si="105"/>
        <v>2031</v>
      </c>
      <c r="AV68" s="463">
        <f t="shared" si="105"/>
        <v>2032</v>
      </c>
      <c r="AW68" s="463">
        <f t="shared" si="105"/>
        <v>2032</v>
      </c>
      <c r="AX68" s="463">
        <f t="shared" si="105"/>
        <v>2032</v>
      </c>
      <c r="AY68" s="463">
        <f t="shared" si="105"/>
        <v>2032</v>
      </c>
      <c r="AZ68" s="463">
        <f t="shared" si="105"/>
        <v>2033</v>
      </c>
      <c r="BA68" s="463">
        <f t="shared" si="105"/>
        <v>2033</v>
      </c>
      <c r="BB68" s="463">
        <f t="shared" si="105"/>
        <v>2033</v>
      </c>
      <c r="BC68" s="463">
        <f t="shared" si="105"/>
        <v>2033</v>
      </c>
      <c r="BD68" s="463">
        <f t="shared" si="105"/>
        <v>2034</v>
      </c>
      <c r="BE68" s="463">
        <f>YEAR(BE70)</f>
        <v>2034</v>
      </c>
      <c r="BF68" s="463">
        <f>YEAR(BF70)</f>
        <v>2034</v>
      </c>
      <c r="BG68" s="463">
        <f t="shared" ref="BG68:DR68" si="106">YEAR(BG70)</f>
        <v>2034</v>
      </c>
      <c r="BH68" s="463">
        <f t="shared" si="106"/>
        <v>2035</v>
      </c>
      <c r="BI68" s="463">
        <f t="shared" si="106"/>
        <v>2035</v>
      </c>
      <c r="BJ68" s="463">
        <f t="shared" si="106"/>
        <v>2035</v>
      </c>
      <c r="BK68" s="463">
        <f t="shared" si="106"/>
        <v>2035</v>
      </c>
      <c r="BL68" s="463">
        <f t="shared" si="106"/>
        <v>2036</v>
      </c>
      <c r="BM68" s="463">
        <f t="shared" si="106"/>
        <v>2036</v>
      </c>
      <c r="BN68" s="463">
        <f t="shared" si="106"/>
        <v>2036</v>
      </c>
      <c r="BO68" s="463">
        <f t="shared" si="106"/>
        <v>2036</v>
      </c>
      <c r="BP68" s="463">
        <f t="shared" si="106"/>
        <v>2037</v>
      </c>
      <c r="BQ68" s="463">
        <f t="shared" si="106"/>
        <v>2037</v>
      </c>
      <c r="BR68" s="463">
        <f t="shared" si="106"/>
        <v>2037</v>
      </c>
      <c r="BS68" s="463">
        <f t="shared" si="106"/>
        <v>2037</v>
      </c>
      <c r="BT68" s="463">
        <f t="shared" si="106"/>
        <v>2038</v>
      </c>
      <c r="BU68" s="463">
        <f t="shared" si="106"/>
        <v>2038</v>
      </c>
      <c r="BV68" s="463">
        <f t="shared" si="106"/>
        <v>2038</v>
      </c>
      <c r="BW68" s="463">
        <f t="shared" si="106"/>
        <v>2038</v>
      </c>
      <c r="BX68" s="463">
        <f t="shared" si="106"/>
        <v>2039</v>
      </c>
      <c r="BY68" s="463">
        <f t="shared" si="106"/>
        <v>2039</v>
      </c>
      <c r="BZ68" s="463">
        <f t="shared" si="106"/>
        <v>2039</v>
      </c>
      <c r="CA68" s="463">
        <f t="shared" si="106"/>
        <v>2039</v>
      </c>
      <c r="CB68" s="463">
        <f t="shared" si="106"/>
        <v>2040</v>
      </c>
      <c r="CC68" s="463">
        <f t="shared" si="106"/>
        <v>2040</v>
      </c>
      <c r="CD68" s="463">
        <f t="shared" si="106"/>
        <v>2040</v>
      </c>
      <c r="CE68" s="463">
        <f t="shared" si="106"/>
        <v>2040</v>
      </c>
      <c r="CF68" s="463">
        <f t="shared" si="106"/>
        <v>2041</v>
      </c>
      <c r="CG68" s="463">
        <f t="shared" si="106"/>
        <v>2041</v>
      </c>
      <c r="CH68" s="463">
        <f t="shared" si="106"/>
        <v>2041</v>
      </c>
      <c r="CI68" s="463">
        <f t="shared" si="106"/>
        <v>2041</v>
      </c>
      <c r="CJ68" s="463">
        <f t="shared" si="106"/>
        <v>2042</v>
      </c>
      <c r="CK68" s="463">
        <f t="shared" si="106"/>
        <v>2042</v>
      </c>
      <c r="CL68" s="463">
        <f t="shared" si="106"/>
        <v>2042</v>
      </c>
      <c r="CM68" s="463">
        <f t="shared" si="106"/>
        <v>2042</v>
      </c>
      <c r="CN68" s="463">
        <f t="shared" si="106"/>
        <v>2043</v>
      </c>
      <c r="CO68" s="463">
        <f t="shared" si="106"/>
        <v>2043</v>
      </c>
      <c r="CP68" s="463">
        <f t="shared" si="106"/>
        <v>2043</v>
      </c>
      <c r="CQ68" s="463">
        <f t="shared" si="106"/>
        <v>2043</v>
      </c>
      <c r="CR68" s="463">
        <f t="shared" si="106"/>
        <v>2044</v>
      </c>
      <c r="CS68" s="463">
        <f t="shared" si="106"/>
        <v>2044</v>
      </c>
      <c r="CT68" s="463">
        <f t="shared" si="106"/>
        <v>2044</v>
      </c>
      <c r="CU68" s="463">
        <f t="shared" si="106"/>
        <v>2044</v>
      </c>
      <c r="CV68" s="463">
        <f t="shared" si="106"/>
        <v>2045</v>
      </c>
      <c r="CW68" s="463">
        <f t="shared" si="106"/>
        <v>2045</v>
      </c>
      <c r="CX68" s="463">
        <f t="shared" si="106"/>
        <v>2045</v>
      </c>
      <c r="CY68" s="463">
        <f t="shared" si="106"/>
        <v>2045</v>
      </c>
      <c r="CZ68" s="463">
        <f t="shared" si="106"/>
        <v>2046</v>
      </c>
      <c r="DA68" s="463">
        <f t="shared" si="106"/>
        <v>2046</v>
      </c>
      <c r="DB68" s="463">
        <f t="shared" si="106"/>
        <v>2046</v>
      </c>
      <c r="DC68" s="463">
        <f t="shared" si="106"/>
        <v>2046</v>
      </c>
      <c r="DD68" s="463">
        <f t="shared" si="106"/>
        <v>2047</v>
      </c>
      <c r="DE68" s="463">
        <f t="shared" si="106"/>
        <v>2047</v>
      </c>
      <c r="DF68" s="463">
        <f t="shared" si="106"/>
        <v>2047</v>
      </c>
      <c r="DG68" s="463">
        <f t="shared" si="106"/>
        <v>2047</v>
      </c>
      <c r="DH68" s="463">
        <f t="shared" si="106"/>
        <v>2048</v>
      </c>
      <c r="DI68" s="463">
        <f t="shared" si="106"/>
        <v>2048</v>
      </c>
      <c r="DJ68" s="463">
        <f t="shared" si="106"/>
        <v>2048</v>
      </c>
      <c r="DK68" s="463">
        <f t="shared" si="106"/>
        <v>2048</v>
      </c>
      <c r="DL68" s="463">
        <f t="shared" si="106"/>
        <v>2049</v>
      </c>
      <c r="DM68" s="463">
        <f t="shared" si="106"/>
        <v>2049</v>
      </c>
      <c r="DN68" s="463">
        <f t="shared" si="106"/>
        <v>2049</v>
      </c>
      <c r="DO68" s="463">
        <f t="shared" si="106"/>
        <v>2049</v>
      </c>
      <c r="DP68" s="463">
        <f t="shared" si="106"/>
        <v>2050</v>
      </c>
      <c r="DQ68" s="463">
        <f t="shared" si="106"/>
        <v>2050</v>
      </c>
      <c r="DR68" s="463">
        <f t="shared" si="106"/>
        <v>2050</v>
      </c>
      <c r="DS68" s="463">
        <f t="shared" ref="DS68:EN68" si="107">YEAR(DS70)</f>
        <v>2050</v>
      </c>
      <c r="DT68" s="463">
        <f t="shared" si="107"/>
        <v>2051</v>
      </c>
      <c r="DU68" s="463">
        <f t="shared" si="107"/>
        <v>2051</v>
      </c>
      <c r="DV68" s="463">
        <f t="shared" si="107"/>
        <v>2051</v>
      </c>
      <c r="DW68" s="463">
        <f t="shared" si="107"/>
        <v>2051</v>
      </c>
      <c r="DX68" s="463">
        <f t="shared" si="107"/>
        <v>2052</v>
      </c>
      <c r="DY68" s="463">
        <f t="shared" si="107"/>
        <v>2052</v>
      </c>
      <c r="DZ68" s="463">
        <f t="shared" si="107"/>
        <v>2052</v>
      </c>
      <c r="EA68" s="463">
        <f t="shared" si="107"/>
        <v>2052</v>
      </c>
      <c r="EB68" s="463">
        <f t="shared" si="107"/>
        <v>2053</v>
      </c>
      <c r="EC68" s="463">
        <f t="shared" si="107"/>
        <v>2053</v>
      </c>
      <c r="ED68" s="463">
        <f t="shared" si="107"/>
        <v>2053</v>
      </c>
      <c r="EE68" s="463">
        <f t="shared" si="107"/>
        <v>2053</v>
      </c>
      <c r="EF68" s="463">
        <f t="shared" si="107"/>
        <v>2054</v>
      </c>
      <c r="EG68" s="463">
        <f t="shared" si="107"/>
        <v>2054</v>
      </c>
      <c r="EH68" s="463">
        <f t="shared" si="107"/>
        <v>2054</v>
      </c>
      <c r="EI68" s="463">
        <f t="shared" si="107"/>
        <v>2054</v>
      </c>
      <c r="EJ68" s="463">
        <f t="shared" si="107"/>
        <v>2055</v>
      </c>
      <c r="EK68" s="463">
        <f t="shared" si="107"/>
        <v>2055</v>
      </c>
      <c r="EL68" s="463">
        <f t="shared" si="107"/>
        <v>2055</v>
      </c>
      <c r="EM68" s="463">
        <f t="shared" si="107"/>
        <v>2055</v>
      </c>
      <c r="EN68" s="463">
        <f t="shared" si="107"/>
        <v>2056</v>
      </c>
    </row>
    <row r="69" spans="2:144" ht="15.75">
      <c r="B69" s="40"/>
      <c r="C69" s="22"/>
      <c r="E69" s="40"/>
      <c r="F69" s="40"/>
      <c r="G69" s="40"/>
      <c r="H69" s="464">
        <f t="shared" ref="H69:AM69" si="108">H58</f>
        <v>44593</v>
      </c>
      <c r="I69" s="464">
        <f t="shared" si="108"/>
        <v>44652</v>
      </c>
      <c r="J69" s="464">
        <f t="shared" si="108"/>
        <v>44743</v>
      </c>
      <c r="K69" s="464">
        <f t="shared" si="108"/>
        <v>44835</v>
      </c>
      <c r="L69" s="464">
        <f t="shared" si="108"/>
        <v>44927</v>
      </c>
      <c r="M69" s="464">
        <f t="shared" si="108"/>
        <v>45017</v>
      </c>
      <c r="N69" s="464">
        <f t="shared" si="108"/>
        <v>45108</v>
      </c>
      <c r="O69" s="464">
        <f t="shared" si="108"/>
        <v>45200</v>
      </c>
      <c r="P69" s="464">
        <f t="shared" si="108"/>
        <v>45292</v>
      </c>
      <c r="Q69" s="464">
        <f t="shared" si="108"/>
        <v>45383</v>
      </c>
      <c r="R69" s="464">
        <f t="shared" si="108"/>
        <v>45474</v>
      </c>
      <c r="S69" s="464">
        <f t="shared" si="108"/>
        <v>45566</v>
      </c>
      <c r="T69" s="464">
        <f t="shared" si="108"/>
        <v>45658</v>
      </c>
      <c r="U69" s="464">
        <f t="shared" si="108"/>
        <v>45748</v>
      </c>
      <c r="V69" s="464">
        <f t="shared" si="108"/>
        <v>45839</v>
      </c>
      <c r="W69" s="464">
        <f t="shared" si="108"/>
        <v>45931</v>
      </c>
      <c r="X69" s="464">
        <f t="shared" si="108"/>
        <v>46023</v>
      </c>
      <c r="Y69" s="464">
        <f t="shared" si="108"/>
        <v>46113</v>
      </c>
      <c r="Z69" s="464">
        <f t="shared" si="108"/>
        <v>46204</v>
      </c>
      <c r="AA69" s="464">
        <f t="shared" si="108"/>
        <v>46296</v>
      </c>
      <c r="AB69" s="464">
        <f t="shared" si="108"/>
        <v>46388</v>
      </c>
      <c r="AC69" s="464">
        <f t="shared" si="108"/>
        <v>46478</v>
      </c>
      <c r="AD69" s="464">
        <f t="shared" si="108"/>
        <v>46569</v>
      </c>
      <c r="AE69" s="464">
        <f t="shared" si="108"/>
        <v>46661</v>
      </c>
      <c r="AF69" s="464">
        <f t="shared" si="108"/>
        <v>46753</v>
      </c>
      <c r="AG69" s="464">
        <f t="shared" si="108"/>
        <v>46844</v>
      </c>
      <c r="AH69" s="464">
        <f t="shared" si="108"/>
        <v>46935</v>
      </c>
      <c r="AI69" s="464">
        <f t="shared" si="108"/>
        <v>47027</v>
      </c>
      <c r="AJ69" s="464">
        <f t="shared" si="108"/>
        <v>47119</v>
      </c>
      <c r="AK69" s="464">
        <f t="shared" si="108"/>
        <v>47209</v>
      </c>
      <c r="AL69" s="464">
        <f t="shared" si="108"/>
        <v>47300</v>
      </c>
      <c r="AM69" s="464">
        <f t="shared" si="108"/>
        <v>47392</v>
      </c>
      <c r="AN69" s="464">
        <f t="shared" ref="AN69:BS69" si="109">AN58</f>
        <v>47484</v>
      </c>
      <c r="AO69" s="464">
        <f t="shared" si="109"/>
        <v>47574</v>
      </c>
      <c r="AP69" s="464">
        <f t="shared" si="109"/>
        <v>47665</v>
      </c>
      <c r="AQ69" s="464">
        <f t="shared" si="109"/>
        <v>47757</v>
      </c>
      <c r="AR69" s="464">
        <f t="shared" si="109"/>
        <v>47849</v>
      </c>
      <c r="AS69" s="464">
        <f t="shared" si="109"/>
        <v>47939</v>
      </c>
      <c r="AT69" s="464">
        <f t="shared" si="109"/>
        <v>48030</v>
      </c>
      <c r="AU69" s="464">
        <f t="shared" si="109"/>
        <v>48122</v>
      </c>
      <c r="AV69" s="464">
        <f t="shared" si="109"/>
        <v>48214</v>
      </c>
      <c r="AW69" s="464">
        <f t="shared" si="109"/>
        <v>48305</v>
      </c>
      <c r="AX69" s="464">
        <f t="shared" si="109"/>
        <v>48396</v>
      </c>
      <c r="AY69" s="464">
        <f t="shared" si="109"/>
        <v>48488</v>
      </c>
      <c r="AZ69" s="464">
        <f t="shared" si="109"/>
        <v>48580</v>
      </c>
      <c r="BA69" s="464">
        <f t="shared" si="109"/>
        <v>48670</v>
      </c>
      <c r="BB69" s="464">
        <f t="shared" si="109"/>
        <v>48761</v>
      </c>
      <c r="BC69" s="464">
        <f t="shared" si="109"/>
        <v>48853</v>
      </c>
      <c r="BD69" s="464">
        <f t="shared" si="109"/>
        <v>48945</v>
      </c>
      <c r="BE69" s="464">
        <f t="shared" si="109"/>
        <v>49035</v>
      </c>
      <c r="BF69" s="464">
        <f t="shared" si="109"/>
        <v>49126</v>
      </c>
      <c r="BG69" s="464">
        <f t="shared" si="109"/>
        <v>49218</v>
      </c>
      <c r="BH69" s="464">
        <f t="shared" si="109"/>
        <v>49310</v>
      </c>
      <c r="BI69" s="464">
        <f t="shared" si="109"/>
        <v>49400</v>
      </c>
      <c r="BJ69" s="464">
        <f t="shared" si="109"/>
        <v>49491</v>
      </c>
      <c r="BK69" s="464">
        <f t="shared" si="109"/>
        <v>49583</v>
      </c>
      <c r="BL69" s="464">
        <f t="shared" si="109"/>
        <v>49675</v>
      </c>
      <c r="BM69" s="464">
        <f t="shared" si="109"/>
        <v>49766</v>
      </c>
      <c r="BN69" s="464">
        <f t="shared" si="109"/>
        <v>49857</v>
      </c>
      <c r="BO69" s="464">
        <f t="shared" si="109"/>
        <v>49949</v>
      </c>
      <c r="BP69" s="464">
        <f t="shared" si="109"/>
        <v>50041</v>
      </c>
      <c r="BQ69" s="464">
        <f t="shared" si="109"/>
        <v>50131</v>
      </c>
      <c r="BR69" s="464">
        <f t="shared" si="109"/>
        <v>50222</v>
      </c>
      <c r="BS69" s="464">
        <f t="shared" si="109"/>
        <v>50314</v>
      </c>
      <c r="BT69" s="464">
        <f t="shared" ref="BT69:CY69" si="110">BT58</f>
        <v>50406</v>
      </c>
      <c r="BU69" s="464">
        <f t="shared" si="110"/>
        <v>50496</v>
      </c>
      <c r="BV69" s="464">
        <f t="shared" si="110"/>
        <v>50587</v>
      </c>
      <c r="BW69" s="464">
        <f t="shared" si="110"/>
        <v>50679</v>
      </c>
      <c r="BX69" s="464">
        <f t="shared" si="110"/>
        <v>50771</v>
      </c>
      <c r="BY69" s="464">
        <f t="shared" si="110"/>
        <v>50861</v>
      </c>
      <c r="BZ69" s="464">
        <f t="shared" si="110"/>
        <v>50952</v>
      </c>
      <c r="CA69" s="464">
        <f t="shared" si="110"/>
        <v>51044</v>
      </c>
      <c r="CB69" s="464">
        <f t="shared" si="110"/>
        <v>51136</v>
      </c>
      <c r="CC69" s="464">
        <f t="shared" si="110"/>
        <v>51227</v>
      </c>
      <c r="CD69" s="464">
        <f t="shared" si="110"/>
        <v>51318</v>
      </c>
      <c r="CE69" s="464">
        <f t="shared" si="110"/>
        <v>51410</v>
      </c>
      <c r="CF69" s="464">
        <f t="shared" si="110"/>
        <v>51502</v>
      </c>
      <c r="CG69" s="464">
        <f t="shared" si="110"/>
        <v>51592</v>
      </c>
      <c r="CH69" s="464">
        <f t="shared" si="110"/>
        <v>51683</v>
      </c>
      <c r="CI69" s="464">
        <f t="shared" si="110"/>
        <v>51775</v>
      </c>
      <c r="CJ69" s="464">
        <f t="shared" si="110"/>
        <v>51867</v>
      </c>
      <c r="CK69" s="464">
        <f t="shared" si="110"/>
        <v>51957</v>
      </c>
      <c r="CL69" s="464">
        <f t="shared" si="110"/>
        <v>52048</v>
      </c>
      <c r="CM69" s="464">
        <f t="shared" si="110"/>
        <v>52140</v>
      </c>
      <c r="CN69" s="464">
        <f t="shared" si="110"/>
        <v>52232</v>
      </c>
      <c r="CO69" s="464">
        <f t="shared" si="110"/>
        <v>52322</v>
      </c>
      <c r="CP69" s="464">
        <f t="shared" si="110"/>
        <v>52413</v>
      </c>
      <c r="CQ69" s="464">
        <f t="shared" si="110"/>
        <v>52505</v>
      </c>
      <c r="CR69" s="464">
        <f t="shared" si="110"/>
        <v>52597</v>
      </c>
      <c r="CS69" s="464">
        <f t="shared" si="110"/>
        <v>52688</v>
      </c>
      <c r="CT69" s="464">
        <f t="shared" si="110"/>
        <v>52779</v>
      </c>
      <c r="CU69" s="464">
        <f t="shared" si="110"/>
        <v>52871</v>
      </c>
      <c r="CV69" s="464">
        <f t="shared" si="110"/>
        <v>52963</v>
      </c>
      <c r="CW69" s="464">
        <f t="shared" si="110"/>
        <v>53053</v>
      </c>
      <c r="CX69" s="464">
        <f t="shared" si="110"/>
        <v>53144</v>
      </c>
      <c r="CY69" s="464">
        <f t="shared" si="110"/>
        <v>53236</v>
      </c>
      <c r="CZ69" s="464">
        <f t="shared" ref="CZ69:EE69" si="111">CZ58</f>
        <v>53328</v>
      </c>
      <c r="DA69" s="464">
        <f t="shared" si="111"/>
        <v>53418</v>
      </c>
      <c r="DB69" s="464">
        <f t="shared" si="111"/>
        <v>53509</v>
      </c>
      <c r="DC69" s="464">
        <f t="shared" si="111"/>
        <v>53601</v>
      </c>
      <c r="DD69" s="464">
        <f t="shared" si="111"/>
        <v>53693</v>
      </c>
      <c r="DE69" s="464">
        <f t="shared" si="111"/>
        <v>53783</v>
      </c>
      <c r="DF69" s="464">
        <f t="shared" si="111"/>
        <v>53874</v>
      </c>
      <c r="DG69" s="464">
        <f t="shared" si="111"/>
        <v>53966</v>
      </c>
      <c r="DH69" s="464">
        <f t="shared" si="111"/>
        <v>54058</v>
      </c>
      <c r="DI69" s="464">
        <f t="shared" si="111"/>
        <v>54149</v>
      </c>
      <c r="DJ69" s="464">
        <f t="shared" si="111"/>
        <v>54240</v>
      </c>
      <c r="DK69" s="464">
        <f t="shared" si="111"/>
        <v>54332</v>
      </c>
      <c r="DL69" s="464">
        <f t="shared" si="111"/>
        <v>54424</v>
      </c>
      <c r="DM69" s="464">
        <f t="shared" si="111"/>
        <v>54514</v>
      </c>
      <c r="DN69" s="464">
        <f t="shared" si="111"/>
        <v>54605</v>
      </c>
      <c r="DO69" s="464">
        <f t="shared" si="111"/>
        <v>54697</v>
      </c>
      <c r="DP69" s="464">
        <f t="shared" si="111"/>
        <v>54789</v>
      </c>
      <c r="DQ69" s="464">
        <f t="shared" si="111"/>
        <v>54879</v>
      </c>
      <c r="DR69" s="464">
        <f t="shared" si="111"/>
        <v>54970</v>
      </c>
      <c r="DS69" s="464">
        <f t="shared" si="111"/>
        <v>55062</v>
      </c>
      <c r="DT69" s="464">
        <f t="shared" si="111"/>
        <v>55154</v>
      </c>
      <c r="DU69" s="464">
        <f t="shared" si="111"/>
        <v>55244</v>
      </c>
      <c r="DV69" s="464">
        <f t="shared" si="111"/>
        <v>55335</v>
      </c>
      <c r="DW69" s="464">
        <f t="shared" si="111"/>
        <v>55427</v>
      </c>
      <c r="DX69" s="464">
        <f t="shared" si="111"/>
        <v>55519</v>
      </c>
      <c r="DY69" s="464">
        <f t="shared" si="111"/>
        <v>55610</v>
      </c>
      <c r="DZ69" s="464">
        <f t="shared" si="111"/>
        <v>55701</v>
      </c>
      <c r="EA69" s="464">
        <f t="shared" si="111"/>
        <v>55793</v>
      </c>
      <c r="EB69" s="464">
        <f t="shared" si="111"/>
        <v>55885</v>
      </c>
      <c r="EC69" s="464">
        <f t="shared" si="111"/>
        <v>55975</v>
      </c>
      <c r="ED69" s="464">
        <f t="shared" si="111"/>
        <v>56066</v>
      </c>
      <c r="EE69" s="464">
        <f t="shared" si="111"/>
        <v>56158</v>
      </c>
      <c r="EF69" s="464">
        <f t="shared" ref="EF69:EN69" si="112">EF58</f>
        <v>56250</v>
      </c>
      <c r="EG69" s="464">
        <f t="shared" si="112"/>
        <v>56340</v>
      </c>
      <c r="EH69" s="464">
        <f t="shared" si="112"/>
        <v>56431</v>
      </c>
      <c r="EI69" s="464">
        <f t="shared" si="112"/>
        <v>56523</v>
      </c>
      <c r="EJ69" s="464">
        <f t="shared" si="112"/>
        <v>56615</v>
      </c>
      <c r="EK69" s="464">
        <f t="shared" si="112"/>
        <v>56705</v>
      </c>
      <c r="EL69" s="464">
        <f t="shared" si="112"/>
        <v>56796</v>
      </c>
      <c r="EM69" s="464">
        <f t="shared" si="112"/>
        <v>56888</v>
      </c>
      <c r="EN69" s="464">
        <f t="shared" si="112"/>
        <v>56980</v>
      </c>
    </row>
    <row r="70" spans="2:144" ht="15.75">
      <c r="C70" s="22"/>
      <c r="E70" s="42"/>
      <c r="F70" s="42"/>
      <c r="G70" s="42"/>
      <c r="H70" s="464">
        <f t="shared" ref="H70:AM70" si="113">H59</f>
        <v>44651</v>
      </c>
      <c r="I70" s="464">
        <f t="shared" si="113"/>
        <v>44742</v>
      </c>
      <c r="J70" s="464">
        <f t="shared" si="113"/>
        <v>44834</v>
      </c>
      <c r="K70" s="464">
        <f t="shared" si="113"/>
        <v>44926</v>
      </c>
      <c r="L70" s="464">
        <f t="shared" si="113"/>
        <v>45016</v>
      </c>
      <c r="M70" s="464">
        <f t="shared" si="113"/>
        <v>45107</v>
      </c>
      <c r="N70" s="464">
        <f t="shared" si="113"/>
        <v>45199</v>
      </c>
      <c r="O70" s="464">
        <f t="shared" si="113"/>
        <v>45291</v>
      </c>
      <c r="P70" s="464">
        <f t="shared" si="113"/>
        <v>45382</v>
      </c>
      <c r="Q70" s="464">
        <f t="shared" si="113"/>
        <v>45473</v>
      </c>
      <c r="R70" s="464">
        <f t="shared" si="113"/>
        <v>45565</v>
      </c>
      <c r="S70" s="464">
        <f t="shared" si="113"/>
        <v>45657</v>
      </c>
      <c r="T70" s="464">
        <f t="shared" si="113"/>
        <v>45747</v>
      </c>
      <c r="U70" s="464">
        <f t="shared" si="113"/>
        <v>45838</v>
      </c>
      <c r="V70" s="464">
        <f t="shared" si="113"/>
        <v>45930</v>
      </c>
      <c r="W70" s="464">
        <f t="shared" si="113"/>
        <v>46022</v>
      </c>
      <c r="X70" s="464">
        <f t="shared" si="113"/>
        <v>46112</v>
      </c>
      <c r="Y70" s="464">
        <f t="shared" si="113"/>
        <v>46203</v>
      </c>
      <c r="Z70" s="464">
        <f t="shared" si="113"/>
        <v>46295</v>
      </c>
      <c r="AA70" s="464">
        <f t="shared" si="113"/>
        <v>46387</v>
      </c>
      <c r="AB70" s="464">
        <f t="shared" si="113"/>
        <v>46477</v>
      </c>
      <c r="AC70" s="464">
        <f t="shared" si="113"/>
        <v>46568</v>
      </c>
      <c r="AD70" s="464">
        <f t="shared" si="113"/>
        <v>46660</v>
      </c>
      <c r="AE70" s="464">
        <f t="shared" si="113"/>
        <v>46752</v>
      </c>
      <c r="AF70" s="464">
        <f t="shared" si="113"/>
        <v>46843</v>
      </c>
      <c r="AG70" s="464">
        <f t="shared" si="113"/>
        <v>46934</v>
      </c>
      <c r="AH70" s="464">
        <f t="shared" si="113"/>
        <v>47026</v>
      </c>
      <c r="AI70" s="464">
        <f t="shared" si="113"/>
        <v>47118</v>
      </c>
      <c r="AJ70" s="464">
        <f t="shared" si="113"/>
        <v>47208</v>
      </c>
      <c r="AK70" s="464">
        <f t="shared" si="113"/>
        <v>47299</v>
      </c>
      <c r="AL70" s="464">
        <f t="shared" si="113"/>
        <v>47391</v>
      </c>
      <c r="AM70" s="464">
        <f t="shared" si="113"/>
        <v>47483</v>
      </c>
      <c r="AN70" s="464">
        <f t="shared" ref="AN70:BS70" si="114">AN59</f>
        <v>47573</v>
      </c>
      <c r="AO70" s="464">
        <f t="shared" si="114"/>
        <v>47664</v>
      </c>
      <c r="AP70" s="464">
        <f t="shared" si="114"/>
        <v>47756</v>
      </c>
      <c r="AQ70" s="464">
        <f t="shared" si="114"/>
        <v>47848</v>
      </c>
      <c r="AR70" s="464">
        <f t="shared" si="114"/>
        <v>47938</v>
      </c>
      <c r="AS70" s="464">
        <f t="shared" si="114"/>
        <v>48029</v>
      </c>
      <c r="AT70" s="464">
        <f t="shared" si="114"/>
        <v>48121</v>
      </c>
      <c r="AU70" s="464">
        <f t="shared" si="114"/>
        <v>48213</v>
      </c>
      <c r="AV70" s="464">
        <f t="shared" si="114"/>
        <v>48304</v>
      </c>
      <c r="AW70" s="464">
        <f t="shared" si="114"/>
        <v>48395</v>
      </c>
      <c r="AX70" s="464">
        <f t="shared" si="114"/>
        <v>48487</v>
      </c>
      <c r="AY70" s="464">
        <f t="shared" si="114"/>
        <v>48579</v>
      </c>
      <c r="AZ70" s="464">
        <f t="shared" si="114"/>
        <v>48669</v>
      </c>
      <c r="BA70" s="464">
        <f t="shared" si="114"/>
        <v>48760</v>
      </c>
      <c r="BB70" s="464">
        <f t="shared" si="114"/>
        <v>48852</v>
      </c>
      <c r="BC70" s="464">
        <f t="shared" si="114"/>
        <v>48944</v>
      </c>
      <c r="BD70" s="464">
        <f t="shared" si="114"/>
        <v>49034</v>
      </c>
      <c r="BE70" s="464">
        <f t="shared" si="114"/>
        <v>49125</v>
      </c>
      <c r="BF70" s="464">
        <f t="shared" si="114"/>
        <v>49217</v>
      </c>
      <c r="BG70" s="464">
        <f t="shared" si="114"/>
        <v>49309</v>
      </c>
      <c r="BH70" s="464">
        <f t="shared" si="114"/>
        <v>49399</v>
      </c>
      <c r="BI70" s="464">
        <f t="shared" si="114"/>
        <v>49490</v>
      </c>
      <c r="BJ70" s="464">
        <f t="shared" si="114"/>
        <v>49582</v>
      </c>
      <c r="BK70" s="464">
        <f t="shared" si="114"/>
        <v>49674</v>
      </c>
      <c r="BL70" s="464">
        <f t="shared" si="114"/>
        <v>49765</v>
      </c>
      <c r="BM70" s="464">
        <f t="shared" si="114"/>
        <v>49856</v>
      </c>
      <c r="BN70" s="464">
        <f t="shared" si="114"/>
        <v>49948</v>
      </c>
      <c r="BO70" s="464">
        <f t="shared" si="114"/>
        <v>50040</v>
      </c>
      <c r="BP70" s="464">
        <f t="shared" si="114"/>
        <v>50130</v>
      </c>
      <c r="BQ70" s="464">
        <f t="shared" si="114"/>
        <v>50221</v>
      </c>
      <c r="BR70" s="464">
        <f t="shared" si="114"/>
        <v>50313</v>
      </c>
      <c r="BS70" s="464">
        <f t="shared" si="114"/>
        <v>50405</v>
      </c>
      <c r="BT70" s="464">
        <f t="shared" ref="BT70:CY70" si="115">BT59</f>
        <v>50495</v>
      </c>
      <c r="BU70" s="464">
        <f t="shared" si="115"/>
        <v>50586</v>
      </c>
      <c r="BV70" s="464">
        <f t="shared" si="115"/>
        <v>50678</v>
      </c>
      <c r="BW70" s="464">
        <f t="shared" si="115"/>
        <v>50770</v>
      </c>
      <c r="BX70" s="464">
        <f t="shared" si="115"/>
        <v>50860</v>
      </c>
      <c r="BY70" s="464">
        <f t="shared" si="115"/>
        <v>50951</v>
      </c>
      <c r="BZ70" s="464">
        <f t="shared" si="115"/>
        <v>51043</v>
      </c>
      <c r="CA70" s="464">
        <f t="shared" si="115"/>
        <v>51135</v>
      </c>
      <c r="CB70" s="464">
        <f t="shared" si="115"/>
        <v>51226</v>
      </c>
      <c r="CC70" s="464">
        <f t="shared" si="115"/>
        <v>51317</v>
      </c>
      <c r="CD70" s="464">
        <f t="shared" si="115"/>
        <v>51409</v>
      </c>
      <c r="CE70" s="464">
        <f t="shared" si="115"/>
        <v>51501</v>
      </c>
      <c r="CF70" s="464">
        <f t="shared" si="115"/>
        <v>51591</v>
      </c>
      <c r="CG70" s="464">
        <f t="shared" si="115"/>
        <v>51682</v>
      </c>
      <c r="CH70" s="464">
        <f t="shared" si="115"/>
        <v>51774</v>
      </c>
      <c r="CI70" s="464">
        <f t="shared" si="115"/>
        <v>51866</v>
      </c>
      <c r="CJ70" s="464">
        <f t="shared" si="115"/>
        <v>51956</v>
      </c>
      <c r="CK70" s="464">
        <f t="shared" si="115"/>
        <v>52047</v>
      </c>
      <c r="CL70" s="464">
        <f t="shared" si="115"/>
        <v>52139</v>
      </c>
      <c r="CM70" s="464">
        <f t="shared" si="115"/>
        <v>52231</v>
      </c>
      <c r="CN70" s="464">
        <f t="shared" si="115"/>
        <v>52321</v>
      </c>
      <c r="CO70" s="464">
        <f t="shared" si="115"/>
        <v>52412</v>
      </c>
      <c r="CP70" s="464">
        <f t="shared" si="115"/>
        <v>52504</v>
      </c>
      <c r="CQ70" s="464">
        <f t="shared" si="115"/>
        <v>52596</v>
      </c>
      <c r="CR70" s="464">
        <f t="shared" si="115"/>
        <v>52687</v>
      </c>
      <c r="CS70" s="464">
        <f t="shared" si="115"/>
        <v>52778</v>
      </c>
      <c r="CT70" s="464">
        <f t="shared" si="115"/>
        <v>52870</v>
      </c>
      <c r="CU70" s="464">
        <f t="shared" si="115"/>
        <v>52962</v>
      </c>
      <c r="CV70" s="464">
        <f t="shared" si="115"/>
        <v>53052</v>
      </c>
      <c r="CW70" s="464">
        <f t="shared" si="115"/>
        <v>53143</v>
      </c>
      <c r="CX70" s="464">
        <f t="shared" si="115"/>
        <v>53235</v>
      </c>
      <c r="CY70" s="464">
        <f t="shared" si="115"/>
        <v>53327</v>
      </c>
      <c r="CZ70" s="464">
        <f t="shared" ref="CZ70:EE70" si="116">CZ59</f>
        <v>53417</v>
      </c>
      <c r="DA70" s="464">
        <f t="shared" si="116"/>
        <v>53508</v>
      </c>
      <c r="DB70" s="464">
        <f t="shared" si="116"/>
        <v>53600</v>
      </c>
      <c r="DC70" s="464">
        <f t="shared" si="116"/>
        <v>53692</v>
      </c>
      <c r="DD70" s="464">
        <f t="shared" si="116"/>
        <v>53782</v>
      </c>
      <c r="DE70" s="464">
        <f t="shared" si="116"/>
        <v>53873</v>
      </c>
      <c r="DF70" s="464">
        <f t="shared" si="116"/>
        <v>53965</v>
      </c>
      <c r="DG70" s="464">
        <f t="shared" si="116"/>
        <v>54057</v>
      </c>
      <c r="DH70" s="464">
        <f t="shared" si="116"/>
        <v>54148</v>
      </c>
      <c r="DI70" s="464">
        <f t="shared" si="116"/>
        <v>54239</v>
      </c>
      <c r="DJ70" s="464">
        <f t="shared" si="116"/>
        <v>54331</v>
      </c>
      <c r="DK70" s="464">
        <f t="shared" si="116"/>
        <v>54423</v>
      </c>
      <c r="DL70" s="464">
        <f t="shared" si="116"/>
        <v>54513</v>
      </c>
      <c r="DM70" s="464">
        <f t="shared" si="116"/>
        <v>54604</v>
      </c>
      <c r="DN70" s="464">
        <f t="shared" si="116"/>
        <v>54696</v>
      </c>
      <c r="DO70" s="464">
        <f t="shared" si="116"/>
        <v>54788</v>
      </c>
      <c r="DP70" s="464">
        <f t="shared" si="116"/>
        <v>54878</v>
      </c>
      <c r="DQ70" s="464">
        <f t="shared" si="116"/>
        <v>54969</v>
      </c>
      <c r="DR70" s="464">
        <f t="shared" si="116"/>
        <v>55061</v>
      </c>
      <c r="DS70" s="464">
        <f t="shared" si="116"/>
        <v>55153</v>
      </c>
      <c r="DT70" s="464">
        <f t="shared" si="116"/>
        <v>55243</v>
      </c>
      <c r="DU70" s="464">
        <f t="shared" si="116"/>
        <v>55334</v>
      </c>
      <c r="DV70" s="464">
        <f t="shared" si="116"/>
        <v>55426</v>
      </c>
      <c r="DW70" s="464">
        <f t="shared" si="116"/>
        <v>55518</v>
      </c>
      <c r="DX70" s="464">
        <f t="shared" si="116"/>
        <v>55609</v>
      </c>
      <c r="DY70" s="464">
        <f t="shared" si="116"/>
        <v>55700</v>
      </c>
      <c r="DZ70" s="464">
        <f t="shared" si="116"/>
        <v>55792</v>
      </c>
      <c r="EA70" s="464">
        <f t="shared" si="116"/>
        <v>55884</v>
      </c>
      <c r="EB70" s="464">
        <f t="shared" si="116"/>
        <v>55974</v>
      </c>
      <c r="EC70" s="464">
        <f t="shared" si="116"/>
        <v>56065</v>
      </c>
      <c r="ED70" s="464">
        <f t="shared" si="116"/>
        <v>56157</v>
      </c>
      <c r="EE70" s="464">
        <f t="shared" si="116"/>
        <v>56249</v>
      </c>
      <c r="EF70" s="464">
        <f t="shared" ref="EF70:EN70" si="117">EF59</f>
        <v>56339</v>
      </c>
      <c r="EG70" s="464">
        <f t="shared" si="117"/>
        <v>56430</v>
      </c>
      <c r="EH70" s="464">
        <f t="shared" si="117"/>
        <v>56522</v>
      </c>
      <c r="EI70" s="464">
        <f t="shared" si="117"/>
        <v>56614</v>
      </c>
      <c r="EJ70" s="464">
        <f t="shared" si="117"/>
        <v>56704</v>
      </c>
      <c r="EK70" s="464">
        <f t="shared" si="117"/>
        <v>56795</v>
      </c>
      <c r="EL70" s="464">
        <f t="shared" si="117"/>
        <v>56887</v>
      </c>
      <c r="EM70" s="464">
        <f t="shared" si="117"/>
        <v>56979</v>
      </c>
      <c r="EN70" s="464">
        <f t="shared" si="117"/>
        <v>57070</v>
      </c>
    </row>
    <row r="71" spans="2:144">
      <c r="B71" s="776" t="str">
        <f>C8</f>
        <v>МФЦ, в том числе хостел Jo&amp;JOE</v>
      </c>
      <c r="C71" s="465"/>
      <c r="D71" s="430">
        <f>SUMIF($C$4:$C$18,B71,$I$4:$I$18)</f>
        <v>45839</v>
      </c>
      <c r="E71" s="772">
        <f>YEAR(D71)</f>
        <v>2025</v>
      </c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6"/>
      <c r="AD71" s="466"/>
      <c r="AE71" s="466"/>
      <c r="AF71" s="466"/>
      <c r="AG71" s="466"/>
      <c r="AH71" s="466"/>
      <c r="AI71" s="466"/>
      <c r="AJ71" s="466"/>
      <c r="AK71" s="466"/>
      <c r="AL71" s="466"/>
      <c r="AM71" s="466"/>
      <c r="AN71" s="466"/>
      <c r="AO71" s="466"/>
      <c r="AP71" s="466"/>
      <c r="AQ71" s="466"/>
      <c r="AR71" s="466"/>
      <c r="AS71" s="466"/>
      <c r="AT71" s="466"/>
      <c r="AU71" s="466"/>
      <c r="AV71" s="466"/>
      <c r="AW71" s="466"/>
      <c r="AX71" s="466"/>
      <c r="AY71" s="466"/>
      <c r="AZ71" s="466"/>
      <c r="BA71" s="466"/>
      <c r="BB71" s="466"/>
      <c r="BC71" s="466"/>
      <c r="BD71" s="466"/>
      <c r="BE71" s="466"/>
      <c r="BF71" s="466"/>
      <c r="BG71" s="466"/>
      <c r="BH71" s="466"/>
      <c r="BI71" s="466"/>
      <c r="BJ71" s="466"/>
      <c r="BK71" s="466"/>
      <c r="BL71" s="466"/>
      <c r="BM71" s="466"/>
      <c r="BN71" s="466"/>
      <c r="BO71" s="466"/>
      <c r="BP71" s="466"/>
      <c r="BQ71" s="466"/>
      <c r="BR71" s="466"/>
      <c r="BS71" s="466"/>
      <c r="BT71" s="466"/>
      <c r="BU71" s="466"/>
      <c r="BV71" s="466"/>
      <c r="BW71" s="466"/>
      <c r="BX71" s="466"/>
      <c r="BY71" s="466"/>
      <c r="BZ71" s="466"/>
      <c r="CA71" s="466"/>
      <c r="CB71" s="466"/>
      <c r="CC71" s="466"/>
      <c r="CD71" s="466"/>
      <c r="CE71" s="466"/>
      <c r="CF71" s="466"/>
      <c r="CG71" s="466"/>
      <c r="CH71" s="466"/>
      <c r="CI71" s="466"/>
      <c r="CJ71" s="466"/>
      <c r="CK71" s="466"/>
      <c r="CL71" s="466"/>
      <c r="CM71" s="466"/>
      <c r="CN71" s="466"/>
      <c r="CO71" s="466"/>
      <c r="CP71" s="466"/>
      <c r="CQ71" s="466"/>
      <c r="CR71" s="466"/>
      <c r="CS71" s="466"/>
      <c r="CT71" s="466"/>
      <c r="CU71" s="466"/>
      <c r="CV71" s="466"/>
      <c r="CW71" s="466"/>
      <c r="CX71" s="466"/>
      <c r="CY71" s="466"/>
      <c r="CZ71" s="466"/>
      <c r="DA71" s="466"/>
      <c r="DB71" s="466"/>
      <c r="DC71" s="466"/>
      <c r="DD71" s="466"/>
      <c r="DE71" s="466"/>
      <c r="DF71" s="466"/>
      <c r="DG71" s="466"/>
      <c r="DH71" s="466"/>
      <c r="DI71" s="466"/>
      <c r="DJ71" s="466"/>
      <c r="DK71" s="466"/>
      <c r="DL71" s="466"/>
      <c r="DM71" s="466"/>
      <c r="DN71" s="466"/>
      <c r="DO71" s="466"/>
      <c r="DP71" s="466"/>
      <c r="DQ71" s="466"/>
      <c r="DR71" s="466"/>
      <c r="DS71" s="466"/>
      <c r="DT71" s="466"/>
      <c r="DU71" s="466"/>
      <c r="DV71" s="466"/>
      <c r="DW71" s="466"/>
      <c r="DX71" s="466"/>
      <c r="DY71" s="466"/>
      <c r="DZ71" s="466"/>
      <c r="EA71" s="466"/>
      <c r="EB71" s="466"/>
      <c r="EC71" s="466"/>
      <c r="ED71" s="466"/>
      <c r="EE71" s="466"/>
      <c r="EF71" s="466"/>
      <c r="EG71" s="466"/>
      <c r="EH71" s="466"/>
      <c r="EI71" s="466"/>
      <c r="EJ71" s="466"/>
      <c r="EK71" s="466"/>
      <c r="EL71" s="466"/>
      <c r="EM71" s="466"/>
      <c r="EN71" s="466"/>
    </row>
    <row r="72" spans="2:144" outlineLevel="1">
      <c r="C72" s="151" t="s">
        <v>72</v>
      </c>
      <c r="D72" s="771">
        <f>SUMIF($C$4:$C$18,B71,$H$4:$H$18)</f>
        <v>915421182.09091055</v>
      </c>
      <c r="E72" s="44"/>
      <c r="F72" s="44"/>
      <c r="G72" s="44"/>
      <c r="H72" s="44">
        <f>IF(H69=D71,D72,0)</f>
        <v>0</v>
      </c>
      <c r="I72" s="44">
        <f>IF(I69=D71,D72,0)</f>
        <v>0</v>
      </c>
      <c r="J72" s="44">
        <f>IF(J69=D71,D72,0)</f>
        <v>0</v>
      </c>
      <c r="K72" s="44">
        <f>IF(K69=D71,D72,0)</f>
        <v>0</v>
      </c>
      <c r="L72" s="44">
        <f>IF(L69=D71,D72,0)</f>
        <v>0</v>
      </c>
      <c r="M72" s="44">
        <f>IF(M69=D71,D72,0)</f>
        <v>0</v>
      </c>
      <c r="N72" s="44">
        <f>IF(N69=D71,D72,0)</f>
        <v>0</v>
      </c>
      <c r="O72" s="44">
        <f>IF(O69=D71,D72,0)</f>
        <v>0</v>
      </c>
      <c r="P72" s="44">
        <f>IF(P69=D71,D72,0)</f>
        <v>0</v>
      </c>
      <c r="Q72" s="44">
        <f>IF(Q69=D71,D72,0)</f>
        <v>0</v>
      </c>
      <c r="R72" s="44">
        <f>IF(R69=D71,D72,0)</f>
        <v>0</v>
      </c>
      <c r="S72" s="44">
        <f>IF(S69=D71,D72,0)</f>
        <v>0</v>
      </c>
      <c r="T72" s="44">
        <f>IF(T69=D71,D72,0)</f>
        <v>0</v>
      </c>
      <c r="U72" s="44">
        <f>IF(U69=D71,D72,0)</f>
        <v>0</v>
      </c>
      <c r="V72" s="44">
        <f>IF(V69=D71,D72,0)</f>
        <v>915421182.09091055</v>
      </c>
      <c r="W72" s="44">
        <f>IF(W69=D71,D72,0)</f>
        <v>0</v>
      </c>
      <c r="X72" s="44">
        <f>IF(X69=D71,D72,0)</f>
        <v>0</v>
      </c>
      <c r="Y72" s="44">
        <f>IF(Y69=D71,D72,0)</f>
        <v>0</v>
      </c>
      <c r="Z72" s="44">
        <f>IF(Z69=D71,D72,0)</f>
        <v>0</v>
      </c>
      <c r="AA72" s="44">
        <f>IF(AA69=D71,D72,0)</f>
        <v>0</v>
      </c>
      <c r="AB72" s="44">
        <f>IF(AB69=D71,D72,0)</f>
        <v>0</v>
      </c>
      <c r="AC72" s="44">
        <f>IF(AC69=D71,D72,0)</f>
        <v>0</v>
      </c>
      <c r="AD72" s="44">
        <f>IF(AD69=D71,D72,0)</f>
        <v>0</v>
      </c>
      <c r="AE72" s="44">
        <f>IF(AE69=D71,D72,0)</f>
        <v>0</v>
      </c>
      <c r="AF72" s="44">
        <f>IF(AF69=D71,D72,0)</f>
        <v>0</v>
      </c>
      <c r="AG72" s="44">
        <f>IF(AG69=D71,D72,0)</f>
        <v>0</v>
      </c>
      <c r="AH72" s="44">
        <f>IF(AH69=D71,D72,0)</f>
        <v>0</v>
      </c>
      <c r="AI72" s="44">
        <f>IF(AI69=D71,D72,0)</f>
        <v>0</v>
      </c>
      <c r="AJ72" s="44">
        <f>IF(AJ69=D71,D72,0)</f>
        <v>0</v>
      </c>
      <c r="AK72" s="44">
        <f>IF(AK69=D71,D72,0)</f>
        <v>0</v>
      </c>
      <c r="AL72" s="44">
        <f>IF(AL69=D71,D72,0)</f>
        <v>0</v>
      </c>
      <c r="AM72" s="44">
        <f>IF(AM69=D71,D72,0)</f>
        <v>0</v>
      </c>
      <c r="AN72" s="44">
        <f>IF(AN69=D71,D72,0)</f>
        <v>0</v>
      </c>
      <c r="AO72" s="44">
        <f>IF(AO69=D71,D72,0)</f>
        <v>0</v>
      </c>
      <c r="AP72" s="44">
        <f>IF(AP69=D71,D72,0)</f>
        <v>0</v>
      </c>
      <c r="AQ72" s="44">
        <f>IF(AQ69=D71,D72,0)</f>
        <v>0</v>
      </c>
      <c r="AR72" s="44">
        <f>IF(AR69=D71,D72,0)</f>
        <v>0</v>
      </c>
      <c r="AS72" s="44">
        <f>IF(AS69=D71,D72,0)</f>
        <v>0</v>
      </c>
      <c r="AT72" s="44">
        <f>IF(AT69=D71,D72,0)</f>
        <v>0</v>
      </c>
      <c r="AU72" s="44">
        <f>IF(AU69=D71,D72,0)</f>
        <v>0</v>
      </c>
      <c r="AV72" s="44">
        <f>IF(AV69=D71,D72,0)</f>
        <v>0</v>
      </c>
      <c r="AW72" s="44">
        <f>IF(AW69=D71,D72,0)</f>
        <v>0</v>
      </c>
      <c r="AX72" s="44">
        <f>IF(AX69=D71,D72,0)</f>
        <v>0</v>
      </c>
      <c r="AY72" s="44">
        <f>IF(AY69=D71,D72,0)</f>
        <v>0</v>
      </c>
      <c r="AZ72" s="44">
        <f>IF(AZ69=D71,D72,0)</f>
        <v>0</v>
      </c>
      <c r="BA72" s="44">
        <f>IF(BA69=D71,D72,0)</f>
        <v>0</v>
      </c>
      <c r="BB72" s="44">
        <f>IF(BB69=D71,D72,0)</f>
        <v>0</v>
      </c>
      <c r="BC72" s="44">
        <f>IF(BC69=D71,D72,0)</f>
        <v>0</v>
      </c>
      <c r="BD72" s="44">
        <f>IF(BD69=D71,D72,0)</f>
        <v>0</v>
      </c>
      <c r="BE72" s="44">
        <f>IF(BE69=D71,D72,0)</f>
        <v>0</v>
      </c>
      <c r="BF72" s="44">
        <f>IF(BF69=D71,D72,0)</f>
        <v>0</v>
      </c>
      <c r="BG72" s="44">
        <f>IF(BG69=D71,D72,0)</f>
        <v>0</v>
      </c>
      <c r="BH72" s="44">
        <f>IF(BH69=D71,D72,0)</f>
        <v>0</v>
      </c>
      <c r="BI72" s="44">
        <f>IF(BI69=D71,D72,0)</f>
        <v>0</v>
      </c>
      <c r="BJ72" s="44">
        <f>IF(BJ69=D71,D72,0)</f>
        <v>0</v>
      </c>
      <c r="BK72" s="44">
        <f>IF(BK69=D71,D72,0)</f>
        <v>0</v>
      </c>
      <c r="BL72" s="44">
        <f>IF(BL69=D71,D72,0)</f>
        <v>0</v>
      </c>
      <c r="BM72" s="44">
        <f>IF(BM69=D71,D72,0)</f>
        <v>0</v>
      </c>
      <c r="BN72" s="44">
        <f>IF(BN69=D71,D72,0)</f>
        <v>0</v>
      </c>
      <c r="BO72" s="44">
        <f>IF(BO69=D71,D72,0)</f>
        <v>0</v>
      </c>
      <c r="BP72" s="44">
        <f>IF(BP69=D71,D72,0)</f>
        <v>0</v>
      </c>
      <c r="BQ72" s="44">
        <f>IF(BQ69=D71,D72,0)</f>
        <v>0</v>
      </c>
      <c r="BR72" s="44">
        <f>IF(BR69=D71,D72,0)</f>
        <v>0</v>
      </c>
      <c r="BS72" s="44">
        <f>IF(BS69=D71,D72,0)</f>
        <v>0</v>
      </c>
      <c r="BT72" s="44">
        <f>IF(BT69=D71,D72,0)</f>
        <v>0</v>
      </c>
      <c r="BU72" s="44">
        <f>IF(BU69=D71,D72,0)</f>
        <v>0</v>
      </c>
      <c r="BV72" s="44">
        <f>IF(BV69=D71,D72,0)</f>
        <v>0</v>
      </c>
      <c r="BW72" s="44">
        <f>IF(BW69=D71,D72,0)</f>
        <v>0</v>
      </c>
      <c r="BX72" s="44">
        <f>IF(BX69=D71,D72,0)</f>
        <v>0</v>
      </c>
      <c r="BY72" s="44">
        <f>IF(BY69=D71,D72,0)</f>
        <v>0</v>
      </c>
      <c r="BZ72" s="44">
        <f>IF(BZ69=D71,D72,0)</f>
        <v>0</v>
      </c>
      <c r="CA72" s="44">
        <f>IF(CA69=D71,D72,0)</f>
        <v>0</v>
      </c>
      <c r="CB72" s="44">
        <f>IF(CB69=D71,D72,0)</f>
        <v>0</v>
      </c>
      <c r="CC72" s="44">
        <f>IF(CC69=D71,D72,0)</f>
        <v>0</v>
      </c>
      <c r="CD72" s="44">
        <f>IF(CD69=D71,D72,0)</f>
        <v>0</v>
      </c>
      <c r="CE72" s="44">
        <f>IF(CE69=D71,D72,0)</f>
        <v>0</v>
      </c>
      <c r="CF72" s="44">
        <f>IF(CF69=D71,D72,0)</f>
        <v>0</v>
      </c>
      <c r="CG72" s="44">
        <f>IF(CG69=D71,D72,0)</f>
        <v>0</v>
      </c>
      <c r="CH72" s="44">
        <f>IF(CH69=D71,D72,0)</f>
        <v>0</v>
      </c>
      <c r="CI72" s="44">
        <f>IF(CI69=D71,D72,0)</f>
        <v>0</v>
      </c>
      <c r="CJ72" s="44">
        <f>IF(CJ69=D71,D72,0)</f>
        <v>0</v>
      </c>
      <c r="CK72" s="44">
        <f>IF(CK69=D71,D72,0)</f>
        <v>0</v>
      </c>
      <c r="CL72" s="44">
        <f>IF(CL69=D71,D72,0)</f>
        <v>0</v>
      </c>
      <c r="CM72" s="44">
        <f>IF(CM69=D71,D72,0)</f>
        <v>0</v>
      </c>
      <c r="CN72" s="44">
        <f>IF(CN69=D71,D72,0)</f>
        <v>0</v>
      </c>
      <c r="CO72" s="44">
        <f>IF(CO69=D71,D72,0)</f>
        <v>0</v>
      </c>
      <c r="CP72" s="44">
        <f>IF(CP69=D71,D72,0)</f>
        <v>0</v>
      </c>
      <c r="CQ72" s="44">
        <f>IF(CQ69=D71,D72,0)</f>
        <v>0</v>
      </c>
      <c r="CR72" s="44">
        <f>IF(CR69=D71,D72,0)</f>
        <v>0</v>
      </c>
      <c r="CS72" s="44">
        <f>IF(CS69=D71,D72,0)</f>
        <v>0</v>
      </c>
      <c r="CT72" s="44">
        <f>IF(CT69=D71,D72,0)</f>
        <v>0</v>
      </c>
      <c r="CU72" s="44">
        <f>IF(CU69=D71,D72,0)</f>
        <v>0</v>
      </c>
      <c r="CV72" s="44">
        <f>IF(CV69=D71,D72,0)</f>
        <v>0</v>
      </c>
      <c r="CW72" s="44">
        <f>IF(CW69=D71,D72,0)</f>
        <v>0</v>
      </c>
      <c r="CX72" s="44">
        <f>IF(CX69=D71,D72,0)</f>
        <v>0</v>
      </c>
      <c r="CY72" s="44">
        <f>IF(CY69=D71,D72,0)</f>
        <v>0</v>
      </c>
      <c r="CZ72" s="44">
        <f>IF(CZ69=D71,D72,0)</f>
        <v>0</v>
      </c>
      <c r="DA72" s="44">
        <f>IF(DA69=D71,D72,0)</f>
        <v>0</v>
      </c>
      <c r="DB72" s="44">
        <f>IF(DB69=D71,D72,0)</f>
        <v>0</v>
      </c>
      <c r="DC72" s="44">
        <f>IF(DC69=D71,D72,0)</f>
        <v>0</v>
      </c>
      <c r="DD72" s="44">
        <f>IF(DD69=D71,D72,0)</f>
        <v>0</v>
      </c>
      <c r="DE72" s="44">
        <f>IF(DE69=D71,D72,0)</f>
        <v>0</v>
      </c>
      <c r="DF72" s="44">
        <f>IF(DF69=D71,D72,0)</f>
        <v>0</v>
      </c>
      <c r="DG72" s="44">
        <f>IF(DG69=D71,D72,0)</f>
        <v>0</v>
      </c>
      <c r="DH72" s="44">
        <f>IF(DH69=D71,D72,0)</f>
        <v>0</v>
      </c>
      <c r="DI72" s="44">
        <f>IF(DI69=D71,D72,0)</f>
        <v>0</v>
      </c>
      <c r="DJ72" s="44">
        <f>IF(DJ69=D71,D72,0)</f>
        <v>0</v>
      </c>
      <c r="DK72" s="44">
        <f>IF(DK69=D71,D72,0)</f>
        <v>0</v>
      </c>
      <c r="DL72" s="44">
        <f>IF(DL69=D71,D72,0)</f>
        <v>0</v>
      </c>
      <c r="DM72" s="44">
        <f>IF(DM69=D71,D72,0)</f>
        <v>0</v>
      </c>
      <c r="DN72" s="44">
        <f>IF(DN69=D71,D72,0)</f>
        <v>0</v>
      </c>
      <c r="DO72" s="44">
        <f>IF(DO69=D71,D72,0)</f>
        <v>0</v>
      </c>
      <c r="DP72" s="44">
        <f>IF(DP69=D71,D72,0)</f>
        <v>0</v>
      </c>
      <c r="DQ72" s="44">
        <f>IF(DQ69=D71,D72,0)</f>
        <v>0</v>
      </c>
      <c r="DR72" s="44">
        <f>IF(DR69=D71,D72,0)</f>
        <v>0</v>
      </c>
      <c r="DS72" s="44">
        <f>IF(DS69=D71,D72,0)</f>
        <v>0</v>
      </c>
      <c r="DT72" s="44">
        <f>IF(DT69=D71,D72,0)</f>
        <v>0</v>
      </c>
      <c r="DU72" s="44">
        <f>IF(DU69=D71,D72,0)</f>
        <v>0</v>
      </c>
      <c r="DV72" s="44">
        <f>IF(DV69=D71,D72,0)</f>
        <v>0</v>
      </c>
      <c r="DW72" s="44">
        <f>IF(DW69=D71,D72,0)</f>
        <v>0</v>
      </c>
      <c r="DX72" s="44">
        <f>IF(DX69=D71,D72,0)</f>
        <v>0</v>
      </c>
      <c r="DY72" s="44">
        <f>IF(DY69=D71,D72,0)</f>
        <v>0</v>
      </c>
      <c r="DZ72" s="44">
        <f>IF(DZ69=D71,D72,0)</f>
        <v>0</v>
      </c>
      <c r="EA72" s="44">
        <f>IF(EA69=D71,D72,0)</f>
        <v>0</v>
      </c>
      <c r="EB72" s="44">
        <f>IF(EB69=D71,D72,0)</f>
        <v>0</v>
      </c>
      <c r="EC72" s="44">
        <f>IF(EC69=D71,D72,0)</f>
        <v>0</v>
      </c>
      <c r="ED72" s="44">
        <f>IF(ED69=D71,D72,0)</f>
        <v>0</v>
      </c>
      <c r="EE72" s="44">
        <f>IF(EE69=D71,D72,0)</f>
        <v>0</v>
      </c>
      <c r="EF72" s="44">
        <f>IF(EF69=D71,D72,0)</f>
        <v>0</v>
      </c>
      <c r="EG72" s="44">
        <f>IF(EG69=D71,D72,0)</f>
        <v>0</v>
      </c>
      <c r="EH72" s="44">
        <f>IF(EH69=D71,D72,0)</f>
        <v>0</v>
      </c>
      <c r="EI72" s="44">
        <f t="shared" ref="EI72:EN72" si="118">IF(EI69=E71,E72,0)</f>
        <v>0</v>
      </c>
      <c r="EJ72" s="44">
        <f t="shared" si="118"/>
        <v>0</v>
      </c>
      <c r="EK72" s="44">
        <f t="shared" si="118"/>
        <v>0</v>
      </c>
      <c r="EL72" s="44">
        <f t="shared" si="118"/>
        <v>0</v>
      </c>
      <c r="EM72" s="44">
        <f t="shared" si="118"/>
        <v>0</v>
      </c>
      <c r="EN72" s="44">
        <f t="shared" si="118"/>
        <v>0</v>
      </c>
    </row>
    <row r="73" spans="2:144" outlineLevel="1">
      <c r="C73" s="151" t="s">
        <v>73</v>
      </c>
      <c r="D73" s="45"/>
      <c r="E73" s="44"/>
      <c r="F73" s="44"/>
      <c r="G73" s="44"/>
      <c r="H73" s="44">
        <f>(IF(H69=D71,H72,G75))</f>
        <v>0</v>
      </c>
      <c r="I73" s="44">
        <f>(IF(I69=D71,I72,H75))</f>
        <v>0</v>
      </c>
      <c r="J73" s="44">
        <f>(IF(J69=D71,J72,I75))</f>
        <v>0</v>
      </c>
      <c r="K73" s="44">
        <f>(IF(K69=D71,K72,J75))</f>
        <v>0</v>
      </c>
      <c r="L73" s="44">
        <f>(IF(L69=D71,L72,K75))</f>
        <v>0</v>
      </c>
      <c r="M73" s="44">
        <f>(IF(M69=D71,M72,L75))</f>
        <v>0</v>
      </c>
      <c r="N73" s="44">
        <f>(IF(N69=D71,N72,M75))</f>
        <v>0</v>
      </c>
      <c r="O73" s="44">
        <f>(IF(O69=D71,O72,N75))</f>
        <v>0</v>
      </c>
      <c r="P73" s="44">
        <f>(IF(P69=D71,P72,O75))</f>
        <v>0</v>
      </c>
      <c r="Q73" s="44">
        <f>(IF(Q69=D71,Q72,P75))</f>
        <v>0</v>
      </c>
      <c r="R73" s="44">
        <f>(IF(R69=D71,R72,Q75))</f>
        <v>0</v>
      </c>
      <c r="S73" s="44">
        <f>(IF(S69=D71,S72,R75))</f>
        <v>0</v>
      </c>
      <c r="T73" s="44">
        <f>(IF(T69=D71,T72,S75))</f>
        <v>0</v>
      </c>
      <c r="U73" s="44">
        <f>(IF(U69=D71,U72,T75))</f>
        <v>0</v>
      </c>
      <c r="V73" s="44">
        <f>(IF(V69=D71,V72,U75))</f>
        <v>915421182.09091055</v>
      </c>
      <c r="W73" s="44">
        <f>(IF(W69=D71,W72,V75))</f>
        <v>907792672.24015296</v>
      </c>
      <c r="X73" s="44">
        <f>(IF(X69=D71,X72,W75))</f>
        <v>900164162.38939536</v>
      </c>
      <c r="Y73" s="44">
        <f>(IF(Y69=D71,Y72,X75))</f>
        <v>892535652.53863776</v>
      </c>
      <c r="Z73" s="44">
        <f>(IF(Z69=D71,Z72,Y75))</f>
        <v>884907142.68788016</v>
      </c>
      <c r="AA73" s="44">
        <f>(IF(AA69=D71,AA72,Z75))</f>
        <v>877278632.83712256</v>
      </c>
      <c r="AB73" s="44">
        <f>(IF(AB69=D71,AB72,AA75))</f>
        <v>869650122.98636496</v>
      </c>
      <c r="AC73" s="44">
        <f>(IF(AC69=D71,AC72,AB75))</f>
        <v>862021613.13560736</v>
      </c>
      <c r="AD73" s="44">
        <f>(IF(AD69=D71,AD72,AC75))</f>
        <v>854393103.28484976</v>
      </c>
      <c r="AE73" s="44">
        <f>(IF(AE69=D71,AE72,AD75))</f>
        <v>846764593.43409216</v>
      </c>
      <c r="AF73" s="44">
        <f>(IF(AF69=D71,AF72,AE75))</f>
        <v>839136083.58333457</v>
      </c>
      <c r="AG73" s="44">
        <f>(IF(AG69=D71,AG72,AF75))</f>
        <v>831507573.73257697</v>
      </c>
      <c r="AH73" s="44">
        <f>(IF(AH69=D71,AH72,AG75))</f>
        <v>823879063.88181937</v>
      </c>
      <c r="AI73" s="44">
        <f>(IF(AI69=D71,AI72,AH75))</f>
        <v>816250554.03106177</v>
      </c>
      <c r="AJ73" s="44">
        <f>(IF(AJ69=D71,AJ72,AI75))</f>
        <v>808622044.18030417</v>
      </c>
      <c r="AK73" s="44">
        <f>(IF(AK69=D71,AK72,AJ75))</f>
        <v>800993534.32954657</v>
      </c>
      <c r="AL73" s="44">
        <f>(IF(AL69=D71,AL72,AK75))</f>
        <v>793365024.47878897</v>
      </c>
      <c r="AM73" s="44">
        <f>(IF(AM69=D71,AM72,AL75))</f>
        <v>785736514.62803137</v>
      </c>
      <c r="AN73" s="44">
        <f>(IF(AN69=D71,AN72,AM75))</f>
        <v>778108004.77727377</v>
      </c>
      <c r="AO73" s="44">
        <f>(IF(AO69=D71,AO72,AN75))</f>
        <v>770479494.92651618</v>
      </c>
      <c r="AP73" s="44">
        <f>(IF(AP69=D71,AP72,AO75))</f>
        <v>762850985.07575858</v>
      </c>
      <c r="AQ73" s="44">
        <f>(IF(AQ69=D71,AQ72,AP75))</f>
        <v>755222475.22500098</v>
      </c>
      <c r="AR73" s="44">
        <f>(IF(AR69=D71,AR72,AQ75))</f>
        <v>747593965.37424338</v>
      </c>
      <c r="AS73" s="44">
        <f>(IF(AS69=D71,AS72,AR75))</f>
        <v>739965455.52348578</v>
      </c>
      <c r="AT73" s="44">
        <f>(IF(AT69=D71,AT72,AS75))</f>
        <v>732336945.67272818</v>
      </c>
      <c r="AU73" s="44">
        <f>(IF(AU69=D71,AU72,AT75))</f>
        <v>724708435.82197058</v>
      </c>
      <c r="AV73" s="44">
        <f>(IF(AV69=D71,AV72,AU75))</f>
        <v>717079925.97121298</v>
      </c>
      <c r="AW73" s="44">
        <f>(IF(AW69=D71,AW72,AV75))</f>
        <v>709451416.12045538</v>
      </c>
      <c r="AX73" s="44">
        <f>(IF(AX69=D71,AX72,AW75))</f>
        <v>701822906.26969779</v>
      </c>
      <c r="AY73" s="44">
        <f>(IF(AY69=D71,AY72,AX75))</f>
        <v>694194396.41894019</v>
      </c>
      <c r="AZ73" s="44">
        <f>(IF(AZ69=D71,AZ72,AY75))</f>
        <v>686565886.56818259</v>
      </c>
      <c r="BA73" s="44">
        <f>(IF(BA69=D71,BA72,AZ75))</f>
        <v>678937376.71742499</v>
      </c>
      <c r="BB73" s="44">
        <f>(IF(BB69=D71,BB72,BA75))</f>
        <v>671308866.86666739</v>
      </c>
      <c r="BC73" s="44">
        <f>(IF(BC69=D71,BC72,BB75))</f>
        <v>663680357.01590979</v>
      </c>
      <c r="BD73" s="44">
        <f>(IF(BD69=D71,BD72,BC75))</f>
        <v>656051847.16515219</v>
      </c>
      <c r="BE73" s="44">
        <f>(IF(BE69=D71,BE72,BD75))</f>
        <v>648423337.31439459</v>
      </c>
      <c r="BF73" s="44">
        <f>(IF(BF69=D71,BF72,BE75))</f>
        <v>640794827.46363699</v>
      </c>
      <c r="BG73" s="44">
        <f>(IF(BG69=D71,BG72,BF75))</f>
        <v>633166317.6128794</v>
      </c>
      <c r="BH73" s="44">
        <f>(IF(BH69=D71,BH72,BG75))</f>
        <v>625537807.7621218</v>
      </c>
      <c r="BI73" s="44">
        <f>(IF(BI69=D71,BI72,BH75))</f>
        <v>617909297.9113642</v>
      </c>
      <c r="BJ73" s="44">
        <f>(IF(BJ69=D71,BJ72,BI75))</f>
        <v>610280788.0606066</v>
      </c>
      <c r="BK73" s="44">
        <f>(IF(BK69=D71,BK72,BJ75))</f>
        <v>602652278.209849</v>
      </c>
      <c r="BL73" s="44">
        <f>(IF(BL69=D71,BL72,BK75))</f>
        <v>595023768.3590914</v>
      </c>
      <c r="BM73" s="44">
        <f>(IF(BM69=D71,BM72,BL75))</f>
        <v>587395258.5083338</v>
      </c>
      <c r="BN73" s="44">
        <f>(IF(BN69=D71,BN72,BM75))</f>
        <v>579766748.6575762</v>
      </c>
      <c r="BO73" s="44">
        <f>(IF(BO69=D71,BO72,BN75))</f>
        <v>572138238.8068186</v>
      </c>
      <c r="BP73" s="44">
        <f>(IF(BP69=D71,BP72,BO75))</f>
        <v>564509728.95606101</v>
      </c>
      <c r="BQ73" s="44">
        <f>(IF(BQ69=D71,BQ72,BP75))</f>
        <v>556881219.10530341</v>
      </c>
      <c r="BR73" s="44">
        <f>(IF(BR69=D71,BR72,BQ75))</f>
        <v>549252709.25454581</v>
      </c>
      <c r="BS73" s="44">
        <f>(IF(BS69=D71,BS72,BR75))</f>
        <v>541624199.40378821</v>
      </c>
      <c r="BT73" s="44">
        <f>(IF(BT69=D71,BT72,BS75))</f>
        <v>533995689.55303061</v>
      </c>
      <c r="BU73" s="44">
        <f>(IF(BU69=D71,BU72,BT75))</f>
        <v>526367179.70227301</v>
      </c>
      <c r="BV73" s="44">
        <f>(IF(BV69=D71,BV72,BU75))</f>
        <v>518738669.85151541</v>
      </c>
      <c r="BW73" s="44">
        <f>(IF(BW69=D71,BW72,BV75))</f>
        <v>511110160.00075781</v>
      </c>
      <c r="BX73" s="44">
        <f>(IF(BX69=D71,BX72,BW75))</f>
        <v>503481650.15000021</v>
      </c>
      <c r="BY73" s="44">
        <f>(IF(BY69=D71,BY72,BX75))</f>
        <v>495853140.29924262</v>
      </c>
      <c r="BZ73" s="44">
        <f>(IF(BZ69=D71,BZ72,BY75))</f>
        <v>488224630.44848502</v>
      </c>
      <c r="CA73" s="44">
        <f>(IF(CA69=D71,CA72,BZ75))</f>
        <v>480596120.59772742</v>
      </c>
      <c r="CB73" s="44">
        <f>(IF(CB69=D71,CB72,CA75))</f>
        <v>472967610.74696982</v>
      </c>
      <c r="CC73" s="44">
        <f>(IF(CC69=D71,CC72,CB75))</f>
        <v>465339100.89621222</v>
      </c>
      <c r="CD73" s="44">
        <f>(IF(CD69=D71,CD72,CC75))</f>
        <v>457710591.04545462</v>
      </c>
      <c r="CE73" s="44">
        <f>(IF(CE69=D71,CE72,CD75))</f>
        <v>450082081.19469702</v>
      </c>
      <c r="CF73" s="44">
        <f>(IF(CF69=D71,CF72,CE75))</f>
        <v>442453571.34393942</v>
      </c>
      <c r="CG73" s="44">
        <f>(IF(CG69=D71,CG72,CF75))</f>
        <v>434825061.49318182</v>
      </c>
      <c r="CH73" s="44">
        <f>(IF(CH69=D71,CH72,CG75))</f>
        <v>427196551.64242423</v>
      </c>
      <c r="CI73" s="44">
        <f>(IF(CI69=D71,CI72,CH75))</f>
        <v>419568041.79166663</v>
      </c>
      <c r="CJ73" s="44">
        <f>(IF(CJ69=D71,CJ72,CI75))</f>
        <v>411939531.94090903</v>
      </c>
      <c r="CK73" s="44">
        <f>(IF(CK69=D71,CK72,CJ75))</f>
        <v>404311022.09015143</v>
      </c>
      <c r="CL73" s="44">
        <f>(IF(CL69=D71,CL72,CK75))</f>
        <v>396682512.23939383</v>
      </c>
      <c r="CM73" s="44">
        <f>(IF(CM69=D71,CM72,CL75))</f>
        <v>389054002.38863623</v>
      </c>
      <c r="CN73" s="44">
        <f>(IF(CN69=D71,CN72,CM75))</f>
        <v>381425492.53787863</v>
      </c>
      <c r="CO73" s="44">
        <f>(IF(CO69=D71,CO72,CN75))</f>
        <v>373796982.68712103</v>
      </c>
      <c r="CP73" s="44">
        <f>(IF(CP69=D71,CP72,CO75))</f>
        <v>366168472.83636343</v>
      </c>
      <c r="CQ73" s="44">
        <f>(IF(CQ69=D71,CQ72,CP75))</f>
        <v>358539962.98560584</v>
      </c>
      <c r="CR73" s="44">
        <f>(IF(CR69=D71,CR72,CQ75))</f>
        <v>350911453.13484824</v>
      </c>
      <c r="CS73" s="44">
        <f>(IF(CS69=D71,CS72,CR75))</f>
        <v>343282943.28409064</v>
      </c>
      <c r="CT73" s="44">
        <f>(IF(CT69=D71,CT72,CS75))</f>
        <v>335654433.43333304</v>
      </c>
      <c r="CU73" s="44">
        <f>(IF(CU69=D71,CU72,CT75))</f>
        <v>328025923.58257544</v>
      </c>
      <c r="CV73" s="44">
        <f>(IF(CV69=D71,CV72,CU75))</f>
        <v>320397413.73181784</v>
      </c>
      <c r="CW73" s="44">
        <f>(IF(CW69=D71,CW72,CV75))</f>
        <v>312768903.88106024</v>
      </c>
      <c r="CX73" s="44">
        <f>(IF(CX69=D71,CX72,CW75))</f>
        <v>305140394.03030264</v>
      </c>
      <c r="CY73" s="44">
        <f>(IF(CY69=D71,CY72,CX75))</f>
        <v>297511884.17954504</v>
      </c>
      <c r="CZ73" s="44">
        <f>(IF(CZ69=D71,CZ72,CY75))</f>
        <v>289883374.32878745</v>
      </c>
      <c r="DA73" s="44">
        <f>(IF(DA69=D71,DA72,CZ75))</f>
        <v>282254864.47802985</v>
      </c>
      <c r="DB73" s="44">
        <f>(IF(DB69=D71,DB72,DA75))</f>
        <v>274626354.62727225</v>
      </c>
      <c r="DC73" s="44">
        <f>(IF(DC69=D71,DC72,DB75))</f>
        <v>266997844.77651465</v>
      </c>
      <c r="DD73" s="44">
        <f>(IF(DD69=D71,DD72,DC75))</f>
        <v>259369334.92575705</v>
      </c>
      <c r="DE73" s="44">
        <f>(IF(DE69=D71,DE72,DD75))</f>
        <v>251740825.07499945</v>
      </c>
      <c r="DF73" s="44">
        <f>(IF(DF69=D71,DF72,DE75))</f>
        <v>244112315.22424185</v>
      </c>
      <c r="DG73" s="44">
        <f>(IF(DG69=D71,DG72,DF75))</f>
        <v>236483805.37348425</v>
      </c>
      <c r="DH73" s="44">
        <f>(IF(DH69=D71,DH72,DG75))</f>
        <v>228855295.52272666</v>
      </c>
      <c r="DI73" s="44">
        <f>(IF(DI69=D71,DI72,DH75))</f>
        <v>221226785.67196906</v>
      </c>
      <c r="DJ73" s="44">
        <f>(IF(DJ69=D71,DJ72,DI75))</f>
        <v>213598275.82121146</v>
      </c>
      <c r="DK73" s="44">
        <f>(IF(DK69=D71,DK72,DJ75))</f>
        <v>205969765.97045386</v>
      </c>
      <c r="DL73" s="44">
        <f>(IF(DL69=D71,DL72,DK75))</f>
        <v>198341256.11969626</v>
      </c>
      <c r="DM73" s="44">
        <f>(IF(DM69=D71,DM72,DL75))</f>
        <v>190712746.26893866</v>
      </c>
      <c r="DN73" s="44">
        <f>(IF(DN69=D71,DN72,DM75))</f>
        <v>183084236.41818106</v>
      </c>
      <c r="DO73" s="44">
        <f>(IF(DO69=D71,DO72,DN75))</f>
        <v>175455726.56742346</v>
      </c>
      <c r="DP73" s="44">
        <f>(IF(DP69=D71,DP72,DO75))</f>
        <v>167827216.71666586</v>
      </c>
      <c r="DQ73" s="44">
        <f>(IF(DQ69=D71,DQ72,DP75))</f>
        <v>160198706.86590827</v>
      </c>
      <c r="DR73" s="44">
        <f>(IF(DR69=D71,DR72,DQ75))</f>
        <v>152570197.01515067</v>
      </c>
      <c r="DS73" s="44">
        <f>(IF(DS69=D71,DS72,DR75))</f>
        <v>144941687.16439307</v>
      </c>
      <c r="DT73" s="44">
        <f>(IF(DT69=D71,DT72,DS75))</f>
        <v>137313177.31363547</v>
      </c>
      <c r="DU73" s="44">
        <f>(IF(DU69=D71,DU72,DT75))</f>
        <v>129684667.46287788</v>
      </c>
      <c r="DV73" s="44">
        <f>(IF(DV69=D71,DV72,DU75))</f>
        <v>122056157.6121203</v>
      </c>
      <c r="DW73" s="44">
        <f>(IF(DW69=D71,DW72,DV75))</f>
        <v>114427647.76136272</v>
      </c>
      <c r="DX73" s="44">
        <f>(IF(DX69=D71,DX72,DW75))</f>
        <v>106799137.91060513</v>
      </c>
      <c r="DY73" s="44">
        <f>(IF(DY69=D71,DY72,DX75))</f>
        <v>99170628.059847549</v>
      </c>
      <c r="DZ73" s="44">
        <f>(IF(DZ69=D71,DZ72,DY75))</f>
        <v>91542118.209089965</v>
      </c>
      <c r="EA73" s="44">
        <f>(IF(EA69=D71,EA72,DZ75))</f>
        <v>83913608.358332381</v>
      </c>
      <c r="EB73" s="44">
        <f>(IF(EB69=D71,EB72,EA75))</f>
        <v>76285098.507574797</v>
      </c>
      <c r="EC73" s="44">
        <f>(IF(EC69=D71,EC72,EB75))</f>
        <v>68656588.656817213</v>
      </c>
      <c r="ED73" s="44">
        <f>(IF(ED69=D71,ED72,EC75))</f>
        <v>61028078.806059629</v>
      </c>
      <c r="EE73" s="44">
        <f>(IF(EE69=D71,EE72,ED75))</f>
        <v>53399568.955302045</v>
      </c>
      <c r="EF73" s="44">
        <f>(IF(EF69=D71,EF72,EE75))</f>
        <v>45771059.104544461</v>
      </c>
      <c r="EG73" s="44">
        <f>(IF(EG69=D71,EG72,EF75))</f>
        <v>38142549.253786877</v>
      </c>
      <c r="EH73" s="44">
        <f>(IF(EH69=D71,EH72,EG75))</f>
        <v>30514039.403029289</v>
      </c>
      <c r="EI73" s="44">
        <f t="shared" ref="EI73:EN73" si="119">(IF(EI69=E71,EI72,EH75))</f>
        <v>22885529.552271701</v>
      </c>
      <c r="EJ73" s="44">
        <f t="shared" si="119"/>
        <v>15257019.701514114</v>
      </c>
      <c r="EK73" s="44">
        <f t="shared" si="119"/>
        <v>7628509.850756526</v>
      </c>
      <c r="EL73" s="44">
        <f t="shared" si="119"/>
        <v>0</v>
      </c>
      <c r="EM73" s="44">
        <f t="shared" si="119"/>
        <v>0</v>
      </c>
      <c r="EN73" s="44">
        <f t="shared" si="119"/>
        <v>0</v>
      </c>
    </row>
    <row r="74" spans="2:144" outlineLevel="1">
      <c r="B74" s="459">
        <f>SUM(H74:XX74)</f>
        <v>915421182.09091163</v>
      </c>
      <c r="C74" s="151" t="s">
        <v>24</v>
      </c>
      <c r="D74" s="467">
        <f>SUMIF($C$4:$C$18,B71,$J$4:$J$18)</f>
        <v>30</v>
      </c>
      <c r="E74" s="468">
        <f>1/D74</f>
        <v>3.3333333333333333E-2</v>
      </c>
      <c r="F74" s="44">
        <f>D72*E74</f>
        <v>30514039.403030351</v>
      </c>
      <c r="G74" s="44"/>
      <c r="H74" s="44">
        <f>IF(H73&gt;1,$F74/4,0)</f>
        <v>0</v>
      </c>
      <c r="I74" s="44">
        <f t="shared" ref="I74:BT74" si="120">IF(I73&gt;1,$F74/4,0)</f>
        <v>0</v>
      </c>
      <c r="J74" s="44">
        <f t="shared" si="120"/>
        <v>0</v>
      </c>
      <c r="K74" s="44">
        <f t="shared" si="120"/>
        <v>0</v>
      </c>
      <c r="L74" s="44">
        <f t="shared" si="120"/>
        <v>0</v>
      </c>
      <c r="M74" s="44">
        <f t="shared" si="120"/>
        <v>0</v>
      </c>
      <c r="N74" s="44">
        <f t="shared" si="120"/>
        <v>0</v>
      </c>
      <c r="O74" s="44">
        <f t="shared" si="120"/>
        <v>0</v>
      </c>
      <c r="P74" s="44">
        <f t="shared" si="120"/>
        <v>0</v>
      </c>
      <c r="Q74" s="44">
        <f t="shared" si="120"/>
        <v>0</v>
      </c>
      <c r="R74" s="44">
        <f t="shared" si="120"/>
        <v>0</v>
      </c>
      <c r="S74" s="44">
        <f t="shared" si="120"/>
        <v>0</v>
      </c>
      <c r="T74" s="44">
        <f t="shared" si="120"/>
        <v>0</v>
      </c>
      <c r="U74" s="44">
        <f t="shared" si="120"/>
        <v>0</v>
      </c>
      <c r="V74" s="44">
        <f t="shared" si="120"/>
        <v>7628509.8507575877</v>
      </c>
      <c r="W74" s="44">
        <f t="shared" si="120"/>
        <v>7628509.8507575877</v>
      </c>
      <c r="X74" s="44">
        <f t="shared" si="120"/>
        <v>7628509.8507575877</v>
      </c>
      <c r="Y74" s="44">
        <f t="shared" si="120"/>
        <v>7628509.8507575877</v>
      </c>
      <c r="Z74" s="44">
        <f t="shared" si="120"/>
        <v>7628509.8507575877</v>
      </c>
      <c r="AA74" s="44">
        <f t="shared" si="120"/>
        <v>7628509.8507575877</v>
      </c>
      <c r="AB74" s="44">
        <f t="shared" si="120"/>
        <v>7628509.8507575877</v>
      </c>
      <c r="AC74" s="44">
        <f t="shared" si="120"/>
        <v>7628509.8507575877</v>
      </c>
      <c r="AD74" s="44">
        <f t="shared" si="120"/>
        <v>7628509.8507575877</v>
      </c>
      <c r="AE74" s="44">
        <f t="shared" si="120"/>
        <v>7628509.8507575877</v>
      </c>
      <c r="AF74" s="44">
        <f t="shared" si="120"/>
        <v>7628509.8507575877</v>
      </c>
      <c r="AG74" s="44">
        <f t="shared" si="120"/>
        <v>7628509.8507575877</v>
      </c>
      <c r="AH74" s="44">
        <f t="shared" si="120"/>
        <v>7628509.8507575877</v>
      </c>
      <c r="AI74" s="44">
        <f t="shared" si="120"/>
        <v>7628509.8507575877</v>
      </c>
      <c r="AJ74" s="44">
        <f t="shared" si="120"/>
        <v>7628509.8507575877</v>
      </c>
      <c r="AK74" s="44">
        <f t="shared" si="120"/>
        <v>7628509.8507575877</v>
      </c>
      <c r="AL74" s="44">
        <f t="shared" si="120"/>
        <v>7628509.8507575877</v>
      </c>
      <c r="AM74" s="44">
        <f t="shared" si="120"/>
        <v>7628509.8507575877</v>
      </c>
      <c r="AN74" s="44">
        <f t="shared" si="120"/>
        <v>7628509.8507575877</v>
      </c>
      <c r="AO74" s="44">
        <f t="shared" si="120"/>
        <v>7628509.8507575877</v>
      </c>
      <c r="AP74" s="44">
        <f t="shared" si="120"/>
        <v>7628509.8507575877</v>
      </c>
      <c r="AQ74" s="44">
        <f t="shared" si="120"/>
        <v>7628509.8507575877</v>
      </c>
      <c r="AR74" s="44">
        <f t="shared" si="120"/>
        <v>7628509.8507575877</v>
      </c>
      <c r="AS74" s="44">
        <f t="shared" si="120"/>
        <v>7628509.8507575877</v>
      </c>
      <c r="AT74" s="44">
        <f t="shared" si="120"/>
        <v>7628509.8507575877</v>
      </c>
      <c r="AU74" s="44">
        <f t="shared" si="120"/>
        <v>7628509.8507575877</v>
      </c>
      <c r="AV74" s="44">
        <f t="shared" si="120"/>
        <v>7628509.8507575877</v>
      </c>
      <c r="AW74" s="44">
        <f t="shared" si="120"/>
        <v>7628509.8507575877</v>
      </c>
      <c r="AX74" s="44">
        <f t="shared" si="120"/>
        <v>7628509.8507575877</v>
      </c>
      <c r="AY74" s="44">
        <f t="shared" si="120"/>
        <v>7628509.8507575877</v>
      </c>
      <c r="AZ74" s="44">
        <f t="shared" si="120"/>
        <v>7628509.8507575877</v>
      </c>
      <c r="BA74" s="44">
        <f t="shared" si="120"/>
        <v>7628509.8507575877</v>
      </c>
      <c r="BB74" s="44">
        <f t="shared" si="120"/>
        <v>7628509.8507575877</v>
      </c>
      <c r="BC74" s="44">
        <f t="shared" si="120"/>
        <v>7628509.8507575877</v>
      </c>
      <c r="BD74" s="44">
        <f t="shared" si="120"/>
        <v>7628509.8507575877</v>
      </c>
      <c r="BE74" s="44">
        <f t="shared" si="120"/>
        <v>7628509.8507575877</v>
      </c>
      <c r="BF74" s="44">
        <f t="shared" si="120"/>
        <v>7628509.8507575877</v>
      </c>
      <c r="BG74" s="44">
        <f t="shared" si="120"/>
        <v>7628509.8507575877</v>
      </c>
      <c r="BH74" s="44">
        <f t="shared" si="120"/>
        <v>7628509.8507575877</v>
      </c>
      <c r="BI74" s="44">
        <f t="shared" si="120"/>
        <v>7628509.8507575877</v>
      </c>
      <c r="BJ74" s="44">
        <f t="shared" si="120"/>
        <v>7628509.8507575877</v>
      </c>
      <c r="BK74" s="44">
        <f t="shared" si="120"/>
        <v>7628509.8507575877</v>
      </c>
      <c r="BL74" s="44">
        <f t="shared" si="120"/>
        <v>7628509.8507575877</v>
      </c>
      <c r="BM74" s="44">
        <f t="shared" si="120"/>
        <v>7628509.8507575877</v>
      </c>
      <c r="BN74" s="44">
        <f t="shared" si="120"/>
        <v>7628509.8507575877</v>
      </c>
      <c r="BO74" s="44">
        <f t="shared" si="120"/>
        <v>7628509.8507575877</v>
      </c>
      <c r="BP74" s="44">
        <f t="shared" si="120"/>
        <v>7628509.8507575877</v>
      </c>
      <c r="BQ74" s="44">
        <f t="shared" si="120"/>
        <v>7628509.8507575877</v>
      </c>
      <c r="BR74" s="44">
        <f t="shared" si="120"/>
        <v>7628509.8507575877</v>
      </c>
      <c r="BS74" s="44">
        <f t="shared" si="120"/>
        <v>7628509.8507575877</v>
      </c>
      <c r="BT74" s="44">
        <f t="shared" si="120"/>
        <v>7628509.8507575877</v>
      </c>
      <c r="BU74" s="44">
        <f t="shared" ref="BU74:EF74" si="121">IF(BU73&gt;1,$F74/4,0)</f>
        <v>7628509.8507575877</v>
      </c>
      <c r="BV74" s="44">
        <f t="shared" si="121"/>
        <v>7628509.8507575877</v>
      </c>
      <c r="BW74" s="44">
        <f t="shared" si="121"/>
        <v>7628509.8507575877</v>
      </c>
      <c r="BX74" s="44">
        <f t="shared" si="121"/>
        <v>7628509.8507575877</v>
      </c>
      <c r="BY74" s="44">
        <f t="shared" si="121"/>
        <v>7628509.8507575877</v>
      </c>
      <c r="BZ74" s="44">
        <f t="shared" si="121"/>
        <v>7628509.8507575877</v>
      </c>
      <c r="CA74" s="44">
        <f t="shared" si="121"/>
        <v>7628509.8507575877</v>
      </c>
      <c r="CB74" s="44">
        <f t="shared" si="121"/>
        <v>7628509.8507575877</v>
      </c>
      <c r="CC74" s="44">
        <f t="shared" si="121"/>
        <v>7628509.8507575877</v>
      </c>
      <c r="CD74" s="44">
        <f t="shared" si="121"/>
        <v>7628509.8507575877</v>
      </c>
      <c r="CE74" s="44">
        <f t="shared" si="121"/>
        <v>7628509.8507575877</v>
      </c>
      <c r="CF74" s="44">
        <f t="shared" si="121"/>
        <v>7628509.8507575877</v>
      </c>
      <c r="CG74" s="44">
        <f t="shared" si="121"/>
        <v>7628509.8507575877</v>
      </c>
      <c r="CH74" s="44">
        <f t="shared" si="121"/>
        <v>7628509.8507575877</v>
      </c>
      <c r="CI74" s="44">
        <f t="shared" si="121"/>
        <v>7628509.8507575877</v>
      </c>
      <c r="CJ74" s="44">
        <f t="shared" si="121"/>
        <v>7628509.8507575877</v>
      </c>
      <c r="CK74" s="44">
        <f t="shared" si="121"/>
        <v>7628509.8507575877</v>
      </c>
      <c r="CL74" s="44">
        <f t="shared" si="121"/>
        <v>7628509.8507575877</v>
      </c>
      <c r="CM74" s="44">
        <f t="shared" si="121"/>
        <v>7628509.8507575877</v>
      </c>
      <c r="CN74" s="44">
        <f t="shared" si="121"/>
        <v>7628509.8507575877</v>
      </c>
      <c r="CO74" s="44">
        <f t="shared" si="121"/>
        <v>7628509.8507575877</v>
      </c>
      <c r="CP74" s="44">
        <f t="shared" si="121"/>
        <v>7628509.8507575877</v>
      </c>
      <c r="CQ74" s="44">
        <f t="shared" si="121"/>
        <v>7628509.8507575877</v>
      </c>
      <c r="CR74" s="44">
        <f t="shared" si="121"/>
        <v>7628509.8507575877</v>
      </c>
      <c r="CS74" s="44">
        <f t="shared" si="121"/>
        <v>7628509.8507575877</v>
      </c>
      <c r="CT74" s="44">
        <f t="shared" si="121"/>
        <v>7628509.8507575877</v>
      </c>
      <c r="CU74" s="44">
        <f t="shared" si="121"/>
        <v>7628509.8507575877</v>
      </c>
      <c r="CV74" s="44">
        <f t="shared" si="121"/>
        <v>7628509.8507575877</v>
      </c>
      <c r="CW74" s="44">
        <f t="shared" si="121"/>
        <v>7628509.8507575877</v>
      </c>
      <c r="CX74" s="44">
        <f t="shared" si="121"/>
        <v>7628509.8507575877</v>
      </c>
      <c r="CY74" s="44">
        <f t="shared" si="121"/>
        <v>7628509.8507575877</v>
      </c>
      <c r="CZ74" s="44">
        <f t="shared" si="121"/>
        <v>7628509.8507575877</v>
      </c>
      <c r="DA74" s="44">
        <f t="shared" si="121"/>
        <v>7628509.8507575877</v>
      </c>
      <c r="DB74" s="44">
        <f t="shared" si="121"/>
        <v>7628509.8507575877</v>
      </c>
      <c r="DC74" s="44">
        <f t="shared" si="121"/>
        <v>7628509.8507575877</v>
      </c>
      <c r="DD74" s="44">
        <f t="shared" si="121"/>
        <v>7628509.8507575877</v>
      </c>
      <c r="DE74" s="44">
        <f t="shared" si="121"/>
        <v>7628509.8507575877</v>
      </c>
      <c r="DF74" s="44">
        <f t="shared" si="121"/>
        <v>7628509.8507575877</v>
      </c>
      <c r="DG74" s="44">
        <f t="shared" si="121"/>
        <v>7628509.8507575877</v>
      </c>
      <c r="DH74" s="44">
        <f t="shared" si="121"/>
        <v>7628509.8507575877</v>
      </c>
      <c r="DI74" s="44">
        <f t="shared" si="121"/>
        <v>7628509.8507575877</v>
      </c>
      <c r="DJ74" s="44">
        <f t="shared" si="121"/>
        <v>7628509.8507575877</v>
      </c>
      <c r="DK74" s="44">
        <f t="shared" si="121"/>
        <v>7628509.8507575877</v>
      </c>
      <c r="DL74" s="44">
        <f t="shared" si="121"/>
        <v>7628509.8507575877</v>
      </c>
      <c r="DM74" s="44">
        <f t="shared" si="121"/>
        <v>7628509.8507575877</v>
      </c>
      <c r="DN74" s="44">
        <f t="shared" si="121"/>
        <v>7628509.8507575877</v>
      </c>
      <c r="DO74" s="44">
        <f t="shared" si="121"/>
        <v>7628509.8507575877</v>
      </c>
      <c r="DP74" s="44">
        <f t="shared" si="121"/>
        <v>7628509.8507575877</v>
      </c>
      <c r="DQ74" s="44">
        <f t="shared" si="121"/>
        <v>7628509.8507575877</v>
      </c>
      <c r="DR74" s="44">
        <f t="shared" si="121"/>
        <v>7628509.8507575877</v>
      </c>
      <c r="DS74" s="44">
        <f t="shared" si="121"/>
        <v>7628509.8507575877</v>
      </c>
      <c r="DT74" s="44">
        <f t="shared" si="121"/>
        <v>7628509.8507575877</v>
      </c>
      <c r="DU74" s="44">
        <f t="shared" si="121"/>
        <v>7628509.8507575877</v>
      </c>
      <c r="DV74" s="44">
        <f t="shared" si="121"/>
        <v>7628509.8507575877</v>
      </c>
      <c r="DW74" s="44">
        <f t="shared" si="121"/>
        <v>7628509.8507575877</v>
      </c>
      <c r="DX74" s="44">
        <f t="shared" si="121"/>
        <v>7628509.8507575877</v>
      </c>
      <c r="DY74" s="44">
        <f t="shared" si="121"/>
        <v>7628509.8507575877</v>
      </c>
      <c r="DZ74" s="44">
        <f t="shared" si="121"/>
        <v>7628509.8507575877</v>
      </c>
      <c r="EA74" s="44">
        <f t="shared" si="121"/>
        <v>7628509.8507575877</v>
      </c>
      <c r="EB74" s="44">
        <f t="shared" si="121"/>
        <v>7628509.8507575877</v>
      </c>
      <c r="EC74" s="44">
        <f t="shared" si="121"/>
        <v>7628509.8507575877</v>
      </c>
      <c r="ED74" s="44">
        <f t="shared" si="121"/>
        <v>7628509.8507575877</v>
      </c>
      <c r="EE74" s="44">
        <f t="shared" si="121"/>
        <v>7628509.8507575877</v>
      </c>
      <c r="EF74" s="44">
        <f t="shared" si="121"/>
        <v>7628509.8507575877</v>
      </c>
      <c r="EG74" s="44">
        <f t="shared" ref="EG74:EN74" si="122">IF(EG73&gt;1,$F74/4,0)</f>
        <v>7628509.8507575877</v>
      </c>
      <c r="EH74" s="44">
        <f t="shared" si="122"/>
        <v>7628509.8507575877</v>
      </c>
      <c r="EI74" s="44">
        <f t="shared" si="122"/>
        <v>7628509.8507575877</v>
      </c>
      <c r="EJ74" s="44">
        <f t="shared" si="122"/>
        <v>7628509.8507575877</v>
      </c>
      <c r="EK74" s="44">
        <f t="shared" si="122"/>
        <v>7628509.8507575877</v>
      </c>
      <c r="EL74" s="44">
        <f t="shared" si="122"/>
        <v>0</v>
      </c>
      <c r="EM74" s="44">
        <f t="shared" si="122"/>
        <v>0</v>
      </c>
      <c r="EN74" s="44">
        <f t="shared" si="122"/>
        <v>0</v>
      </c>
    </row>
    <row r="75" spans="2:144" outlineLevel="1">
      <c r="B75" s="459">
        <f>D72-B74</f>
        <v>-1.0728836059570313E-6</v>
      </c>
      <c r="C75" s="151" t="s">
        <v>74</v>
      </c>
      <c r="D75" s="44"/>
      <c r="E75" s="44"/>
      <c r="F75" s="44"/>
      <c r="G75" s="44"/>
      <c r="H75" s="44">
        <f>IF((H73-H74)&gt;0,(H73-H74),0)</f>
        <v>0</v>
      </c>
      <c r="I75" s="44">
        <f t="shared" ref="I75:BT75" si="123">IF((I73-I74)&gt;0,(I73-I74),0)</f>
        <v>0</v>
      </c>
      <c r="J75" s="44">
        <f t="shared" si="123"/>
        <v>0</v>
      </c>
      <c r="K75" s="44">
        <f t="shared" si="123"/>
        <v>0</v>
      </c>
      <c r="L75" s="44">
        <f t="shared" si="123"/>
        <v>0</v>
      </c>
      <c r="M75" s="44">
        <f t="shared" si="123"/>
        <v>0</v>
      </c>
      <c r="N75" s="44">
        <f t="shared" si="123"/>
        <v>0</v>
      </c>
      <c r="O75" s="44">
        <f t="shared" si="123"/>
        <v>0</v>
      </c>
      <c r="P75" s="44">
        <f t="shared" si="123"/>
        <v>0</v>
      </c>
      <c r="Q75" s="44">
        <f t="shared" si="123"/>
        <v>0</v>
      </c>
      <c r="R75" s="44">
        <f t="shared" si="123"/>
        <v>0</v>
      </c>
      <c r="S75" s="44">
        <f t="shared" si="123"/>
        <v>0</v>
      </c>
      <c r="T75" s="44">
        <f t="shared" si="123"/>
        <v>0</v>
      </c>
      <c r="U75" s="44">
        <f t="shared" si="123"/>
        <v>0</v>
      </c>
      <c r="V75" s="44">
        <f t="shared" si="123"/>
        <v>907792672.24015296</v>
      </c>
      <c r="W75" s="44">
        <f t="shared" si="123"/>
        <v>900164162.38939536</v>
      </c>
      <c r="X75" s="44">
        <f t="shared" si="123"/>
        <v>892535652.53863776</v>
      </c>
      <c r="Y75" s="44">
        <f t="shared" si="123"/>
        <v>884907142.68788016</v>
      </c>
      <c r="Z75" s="44">
        <f t="shared" si="123"/>
        <v>877278632.83712256</v>
      </c>
      <c r="AA75" s="44">
        <f t="shared" si="123"/>
        <v>869650122.98636496</v>
      </c>
      <c r="AB75" s="44">
        <f t="shared" si="123"/>
        <v>862021613.13560736</v>
      </c>
      <c r="AC75" s="44">
        <f t="shared" si="123"/>
        <v>854393103.28484976</v>
      </c>
      <c r="AD75" s="44">
        <f t="shared" si="123"/>
        <v>846764593.43409216</v>
      </c>
      <c r="AE75" s="44">
        <f t="shared" si="123"/>
        <v>839136083.58333457</v>
      </c>
      <c r="AF75" s="44">
        <f t="shared" si="123"/>
        <v>831507573.73257697</v>
      </c>
      <c r="AG75" s="44">
        <f t="shared" si="123"/>
        <v>823879063.88181937</v>
      </c>
      <c r="AH75" s="44">
        <f t="shared" si="123"/>
        <v>816250554.03106177</v>
      </c>
      <c r="AI75" s="44">
        <f t="shared" si="123"/>
        <v>808622044.18030417</v>
      </c>
      <c r="AJ75" s="44">
        <f t="shared" si="123"/>
        <v>800993534.32954657</v>
      </c>
      <c r="AK75" s="44">
        <f t="shared" si="123"/>
        <v>793365024.47878897</v>
      </c>
      <c r="AL75" s="44">
        <f t="shared" si="123"/>
        <v>785736514.62803137</v>
      </c>
      <c r="AM75" s="44">
        <f t="shared" si="123"/>
        <v>778108004.77727377</v>
      </c>
      <c r="AN75" s="44">
        <f t="shared" si="123"/>
        <v>770479494.92651618</v>
      </c>
      <c r="AO75" s="44">
        <f t="shared" si="123"/>
        <v>762850985.07575858</v>
      </c>
      <c r="AP75" s="44">
        <f t="shared" si="123"/>
        <v>755222475.22500098</v>
      </c>
      <c r="AQ75" s="44">
        <f t="shared" si="123"/>
        <v>747593965.37424338</v>
      </c>
      <c r="AR75" s="44">
        <f t="shared" si="123"/>
        <v>739965455.52348578</v>
      </c>
      <c r="AS75" s="44">
        <f t="shared" si="123"/>
        <v>732336945.67272818</v>
      </c>
      <c r="AT75" s="44">
        <f t="shared" si="123"/>
        <v>724708435.82197058</v>
      </c>
      <c r="AU75" s="44">
        <f t="shared" si="123"/>
        <v>717079925.97121298</v>
      </c>
      <c r="AV75" s="44">
        <f t="shared" si="123"/>
        <v>709451416.12045538</v>
      </c>
      <c r="AW75" s="44">
        <f t="shared" si="123"/>
        <v>701822906.26969779</v>
      </c>
      <c r="AX75" s="44">
        <f t="shared" si="123"/>
        <v>694194396.41894019</v>
      </c>
      <c r="AY75" s="44">
        <f t="shared" si="123"/>
        <v>686565886.56818259</v>
      </c>
      <c r="AZ75" s="44">
        <f t="shared" si="123"/>
        <v>678937376.71742499</v>
      </c>
      <c r="BA75" s="44">
        <f t="shared" si="123"/>
        <v>671308866.86666739</v>
      </c>
      <c r="BB75" s="44">
        <f t="shared" si="123"/>
        <v>663680357.01590979</v>
      </c>
      <c r="BC75" s="44">
        <f t="shared" si="123"/>
        <v>656051847.16515219</v>
      </c>
      <c r="BD75" s="44">
        <f t="shared" si="123"/>
        <v>648423337.31439459</v>
      </c>
      <c r="BE75" s="44">
        <f t="shared" si="123"/>
        <v>640794827.46363699</v>
      </c>
      <c r="BF75" s="44">
        <f t="shared" si="123"/>
        <v>633166317.6128794</v>
      </c>
      <c r="BG75" s="44">
        <f t="shared" si="123"/>
        <v>625537807.7621218</v>
      </c>
      <c r="BH75" s="44">
        <f t="shared" si="123"/>
        <v>617909297.9113642</v>
      </c>
      <c r="BI75" s="44">
        <f t="shared" si="123"/>
        <v>610280788.0606066</v>
      </c>
      <c r="BJ75" s="44">
        <f t="shared" si="123"/>
        <v>602652278.209849</v>
      </c>
      <c r="BK75" s="44">
        <f t="shared" si="123"/>
        <v>595023768.3590914</v>
      </c>
      <c r="BL75" s="44">
        <f t="shared" si="123"/>
        <v>587395258.5083338</v>
      </c>
      <c r="BM75" s="44">
        <f t="shared" si="123"/>
        <v>579766748.6575762</v>
      </c>
      <c r="BN75" s="44">
        <f t="shared" si="123"/>
        <v>572138238.8068186</v>
      </c>
      <c r="BO75" s="44">
        <f t="shared" si="123"/>
        <v>564509728.95606101</v>
      </c>
      <c r="BP75" s="44">
        <f t="shared" si="123"/>
        <v>556881219.10530341</v>
      </c>
      <c r="BQ75" s="44">
        <f t="shared" si="123"/>
        <v>549252709.25454581</v>
      </c>
      <c r="BR75" s="44">
        <f t="shared" si="123"/>
        <v>541624199.40378821</v>
      </c>
      <c r="BS75" s="44">
        <f t="shared" si="123"/>
        <v>533995689.55303061</v>
      </c>
      <c r="BT75" s="44">
        <f t="shared" si="123"/>
        <v>526367179.70227301</v>
      </c>
      <c r="BU75" s="44">
        <f t="shared" ref="BU75:EF75" si="124">IF((BU73-BU74)&gt;0,(BU73-BU74),0)</f>
        <v>518738669.85151541</v>
      </c>
      <c r="BV75" s="44">
        <f t="shared" si="124"/>
        <v>511110160.00075781</v>
      </c>
      <c r="BW75" s="44">
        <f t="shared" si="124"/>
        <v>503481650.15000021</v>
      </c>
      <c r="BX75" s="44">
        <f t="shared" si="124"/>
        <v>495853140.29924262</v>
      </c>
      <c r="BY75" s="44">
        <f t="shared" si="124"/>
        <v>488224630.44848502</v>
      </c>
      <c r="BZ75" s="44">
        <f t="shared" si="124"/>
        <v>480596120.59772742</v>
      </c>
      <c r="CA75" s="44">
        <f t="shared" si="124"/>
        <v>472967610.74696982</v>
      </c>
      <c r="CB75" s="44">
        <f t="shared" si="124"/>
        <v>465339100.89621222</v>
      </c>
      <c r="CC75" s="44">
        <f t="shared" si="124"/>
        <v>457710591.04545462</v>
      </c>
      <c r="CD75" s="44">
        <f t="shared" si="124"/>
        <v>450082081.19469702</v>
      </c>
      <c r="CE75" s="44">
        <f t="shared" si="124"/>
        <v>442453571.34393942</v>
      </c>
      <c r="CF75" s="44">
        <f t="shared" si="124"/>
        <v>434825061.49318182</v>
      </c>
      <c r="CG75" s="44">
        <f t="shared" si="124"/>
        <v>427196551.64242423</v>
      </c>
      <c r="CH75" s="44">
        <f t="shared" si="124"/>
        <v>419568041.79166663</v>
      </c>
      <c r="CI75" s="44">
        <f t="shared" si="124"/>
        <v>411939531.94090903</v>
      </c>
      <c r="CJ75" s="44">
        <f t="shared" si="124"/>
        <v>404311022.09015143</v>
      </c>
      <c r="CK75" s="44">
        <f t="shared" si="124"/>
        <v>396682512.23939383</v>
      </c>
      <c r="CL75" s="44">
        <f t="shared" si="124"/>
        <v>389054002.38863623</v>
      </c>
      <c r="CM75" s="44">
        <f t="shared" si="124"/>
        <v>381425492.53787863</v>
      </c>
      <c r="CN75" s="44">
        <f t="shared" si="124"/>
        <v>373796982.68712103</v>
      </c>
      <c r="CO75" s="44">
        <f t="shared" si="124"/>
        <v>366168472.83636343</v>
      </c>
      <c r="CP75" s="44">
        <f t="shared" si="124"/>
        <v>358539962.98560584</v>
      </c>
      <c r="CQ75" s="44">
        <f t="shared" si="124"/>
        <v>350911453.13484824</v>
      </c>
      <c r="CR75" s="44">
        <f t="shared" si="124"/>
        <v>343282943.28409064</v>
      </c>
      <c r="CS75" s="44">
        <f t="shared" si="124"/>
        <v>335654433.43333304</v>
      </c>
      <c r="CT75" s="44">
        <f t="shared" si="124"/>
        <v>328025923.58257544</v>
      </c>
      <c r="CU75" s="44">
        <f t="shared" si="124"/>
        <v>320397413.73181784</v>
      </c>
      <c r="CV75" s="44">
        <f t="shared" si="124"/>
        <v>312768903.88106024</v>
      </c>
      <c r="CW75" s="44">
        <f t="shared" si="124"/>
        <v>305140394.03030264</v>
      </c>
      <c r="CX75" s="44">
        <f t="shared" si="124"/>
        <v>297511884.17954504</v>
      </c>
      <c r="CY75" s="44">
        <f t="shared" si="124"/>
        <v>289883374.32878745</v>
      </c>
      <c r="CZ75" s="44">
        <f t="shared" si="124"/>
        <v>282254864.47802985</v>
      </c>
      <c r="DA75" s="44">
        <f t="shared" si="124"/>
        <v>274626354.62727225</v>
      </c>
      <c r="DB75" s="44">
        <f t="shared" si="124"/>
        <v>266997844.77651465</v>
      </c>
      <c r="DC75" s="44">
        <f t="shared" si="124"/>
        <v>259369334.92575705</v>
      </c>
      <c r="DD75" s="44">
        <f t="shared" si="124"/>
        <v>251740825.07499945</v>
      </c>
      <c r="DE75" s="44">
        <f t="shared" si="124"/>
        <v>244112315.22424185</v>
      </c>
      <c r="DF75" s="44">
        <f t="shared" si="124"/>
        <v>236483805.37348425</v>
      </c>
      <c r="DG75" s="44">
        <f t="shared" si="124"/>
        <v>228855295.52272666</v>
      </c>
      <c r="DH75" s="44">
        <f t="shared" si="124"/>
        <v>221226785.67196906</v>
      </c>
      <c r="DI75" s="44">
        <f t="shared" si="124"/>
        <v>213598275.82121146</v>
      </c>
      <c r="DJ75" s="44">
        <f t="shared" si="124"/>
        <v>205969765.97045386</v>
      </c>
      <c r="DK75" s="44">
        <f t="shared" si="124"/>
        <v>198341256.11969626</v>
      </c>
      <c r="DL75" s="44">
        <f t="shared" si="124"/>
        <v>190712746.26893866</v>
      </c>
      <c r="DM75" s="44">
        <f t="shared" si="124"/>
        <v>183084236.41818106</v>
      </c>
      <c r="DN75" s="44">
        <f t="shared" si="124"/>
        <v>175455726.56742346</v>
      </c>
      <c r="DO75" s="44">
        <f t="shared" si="124"/>
        <v>167827216.71666586</v>
      </c>
      <c r="DP75" s="44">
        <f t="shared" si="124"/>
        <v>160198706.86590827</v>
      </c>
      <c r="DQ75" s="44">
        <f t="shared" si="124"/>
        <v>152570197.01515067</v>
      </c>
      <c r="DR75" s="44">
        <f t="shared" si="124"/>
        <v>144941687.16439307</v>
      </c>
      <c r="DS75" s="44">
        <f t="shared" si="124"/>
        <v>137313177.31363547</v>
      </c>
      <c r="DT75" s="44">
        <f t="shared" si="124"/>
        <v>129684667.46287788</v>
      </c>
      <c r="DU75" s="44">
        <f t="shared" si="124"/>
        <v>122056157.6121203</v>
      </c>
      <c r="DV75" s="44">
        <f t="shared" si="124"/>
        <v>114427647.76136272</v>
      </c>
      <c r="DW75" s="44">
        <f t="shared" si="124"/>
        <v>106799137.91060513</v>
      </c>
      <c r="DX75" s="44">
        <f t="shared" si="124"/>
        <v>99170628.059847549</v>
      </c>
      <c r="DY75" s="44">
        <f t="shared" si="124"/>
        <v>91542118.209089965</v>
      </c>
      <c r="DZ75" s="44">
        <f t="shared" si="124"/>
        <v>83913608.358332381</v>
      </c>
      <c r="EA75" s="44">
        <f t="shared" si="124"/>
        <v>76285098.507574797</v>
      </c>
      <c r="EB75" s="44">
        <f t="shared" si="124"/>
        <v>68656588.656817213</v>
      </c>
      <c r="EC75" s="44">
        <f t="shared" si="124"/>
        <v>61028078.806059629</v>
      </c>
      <c r="ED75" s="44">
        <f t="shared" si="124"/>
        <v>53399568.955302045</v>
      </c>
      <c r="EE75" s="44">
        <f t="shared" si="124"/>
        <v>45771059.104544461</v>
      </c>
      <c r="EF75" s="44">
        <f t="shared" si="124"/>
        <v>38142549.253786877</v>
      </c>
      <c r="EG75" s="44">
        <f t="shared" ref="EG75:EN75" si="125">IF((EG73-EG74)&gt;0,(EG73-EG74),0)</f>
        <v>30514039.403029289</v>
      </c>
      <c r="EH75" s="44">
        <f t="shared" si="125"/>
        <v>22885529.552271701</v>
      </c>
      <c r="EI75" s="44">
        <f t="shared" si="125"/>
        <v>15257019.701514114</v>
      </c>
      <c r="EJ75" s="44">
        <f t="shared" si="125"/>
        <v>7628509.850756526</v>
      </c>
      <c r="EK75" s="44">
        <f t="shared" si="125"/>
        <v>0</v>
      </c>
      <c r="EL75" s="44">
        <f t="shared" si="125"/>
        <v>0</v>
      </c>
      <c r="EM75" s="44">
        <f t="shared" si="125"/>
        <v>0</v>
      </c>
      <c r="EN75" s="44">
        <f t="shared" si="125"/>
        <v>0</v>
      </c>
    </row>
    <row r="76" spans="2:144" outlineLevel="1">
      <c r="B76" s="139" t="s">
        <v>43</v>
      </c>
      <c r="C76" s="151" t="s">
        <v>487</v>
      </c>
      <c r="D76" s="44"/>
      <c r="E76" s="44"/>
      <c r="F76" s="44"/>
      <c r="G76" s="44"/>
      <c r="H76" s="44">
        <f>IF(H69&gt;D71,(SUM(G75:H75)/2),IF(H69=D71,H75,0))</f>
        <v>0</v>
      </c>
      <c r="I76" s="44">
        <f>IF(I69&gt;D71,(SUM(H75:I75)/2),IF(I69=D71,I75,0))</f>
        <v>0</v>
      </c>
      <c r="J76" s="44">
        <f>IF(J69&gt;D71,(SUM(I75:J75)/2),IF(J69=D71,J75,0))</f>
        <v>0</v>
      </c>
      <c r="K76" s="44">
        <f>IF(K69&gt;D71,(SUM(J75:K75)/2),IF(K69=D71,K75,0))</f>
        <v>0</v>
      </c>
      <c r="L76" s="44">
        <f>IF(L69&gt;D71,(SUM(K75:L75)/2),IF(L69=D71,L75,0))</f>
        <v>0</v>
      </c>
      <c r="M76" s="44">
        <f>IF(M69&gt;D71,(SUM(L75:M75)/2),IF(M69=D71,M75,0))</f>
        <v>0</v>
      </c>
      <c r="N76" s="44">
        <f>IF(N69&gt;D71,(SUM(M75:N75)/2),IF(N69=D71,N75,0))</f>
        <v>0</v>
      </c>
      <c r="O76" s="44">
        <f>IF(O69&gt;D71,(SUM(N75:O75)/2),IF(O69=D71,O75,0))</f>
        <v>0</v>
      </c>
      <c r="P76" s="44">
        <f>IF(P69&gt;D71,(SUM(O75:P75)/2),IF(P69=D71,P75,0))</f>
        <v>0</v>
      </c>
      <c r="Q76" s="44">
        <f>IF(Q69&gt;D71,(SUM(P75:Q75)/2),IF(Q69=D71,Q75,0))</f>
        <v>0</v>
      </c>
      <c r="R76" s="44">
        <f>IF(R69&gt;D71,(SUM(Q75:R75)/2),IF(R69=D71,R75,0))</f>
        <v>0</v>
      </c>
      <c r="S76" s="44">
        <f>IF(S69&gt;D71,(SUM(R75:S75)/2),IF(S69=D71,S75,0))</f>
        <v>0</v>
      </c>
      <c r="T76" s="44">
        <f>IF(T69&gt;D71,(SUM(S75:T75)/2),IF(T69=D71,T75,0))</f>
        <v>0</v>
      </c>
      <c r="U76" s="44">
        <f>IF(U69&gt;D71,(SUM(T75:U75)/2),IF(U69=D71,U75,0))</f>
        <v>0</v>
      </c>
      <c r="V76" s="44">
        <f>IF(V69&gt;D71,(SUM(U75:V75)/2),IF(V69=D71,V75,0))</f>
        <v>907792672.24015296</v>
      </c>
      <c r="W76" s="44">
        <f>IF(W69&gt;D71,(SUM(V75:W75)/2),IF(W69=D71,W75,0))</f>
        <v>903978417.31477416</v>
      </c>
      <c r="X76" s="44">
        <f>IF(X69&gt;D71,(SUM(W75:X75)/2),IF(X69=D71,X75,0))</f>
        <v>896349907.46401656</v>
      </c>
      <c r="Y76" s="44">
        <f>IF(Y69&gt;D71,(SUM(X75:Y75)/2),IF(Y69=D71,Y75,0))</f>
        <v>888721397.61325896</v>
      </c>
      <c r="Z76" s="44">
        <f>IF(Z69&gt;D71,(SUM(Y75:Z75)/2),IF(Z69=D71,Z75,0))</f>
        <v>881092887.76250136</v>
      </c>
      <c r="AA76" s="44">
        <f>IF(AA69&gt;D71,(SUM(Z75:AA75)/2),IF(AA69=D71,AA75,0))</f>
        <v>873464377.91174376</v>
      </c>
      <c r="AB76" s="44">
        <f>IF(AB69&gt;D71,(SUM(AA75:AB75)/2),IF(AB69=D71,AB75,0))</f>
        <v>865835868.06098616</v>
      </c>
      <c r="AC76" s="44">
        <f>IF(AC69&gt;D71,(SUM(AB75:AC75)/2),IF(AC69=D71,AC75,0))</f>
        <v>858207358.21022856</v>
      </c>
      <c r="AD76" s="44">
        <f>IF(AD69&gt;D71,(SUM(AC75:AD75)/2),IF(AD69=D71,AD75,0))</f>
        <v>850578848.35947096</v>
      </c>
      <c r="AE76" s="44">
        <f>IF(AE69&gt;D71,(SUM(AD75:AE75)/2),IF(AE69=D71,AE75,0))</f>
        <v>842950338.50871336</v>
      </c>
      <c r="AF76" s="44">
        <f>IF(AF69&gt;D71,(SUM(AE75:AF75)/2),IF(AF69=D71,AF75,0))</f>
        <v>835321828.65795577</v>
      </c>
      <c r="AG76" s="44">
        <f>IF(AG69&gt;D71,(SUM(AF75:AG75)/2),IF(AG69=D71,AG75,0))</f>
        <v>827693318.80719817</v>
      </c>
      <c r="AH76" s="44">
        <f>IF(AH69&gt;D71,(SUM(AG75:AH75)/2),IF(AH69=D71,AH75,0))</f>
        <v>820064808.95644057</v>
      </c>
      <c r="AI76" s="44">
        <f>IF(AI69&gt;D71,(SUM(AH75:AI75)/2),IF(AI69=D71,AI75,0))</f>
        <v>812436299.10568297</v>
      </c>
      <c r="AJ76" s="44">
        <f>IF(AJ69&gt;D71,(SUM(AI75:AJ75)/2),IF(AJ69=D71,AJ75,0))</f>
        <v>804807789.25492537</v>
      </c>
      <c r="AK76" s="44">
        <f>IF(AK69&gt;D71,(SUM(AJ75:AK75)/2),IF(AK69=D71,AK75,0))</f>
        <v>797179279.40416777</v>
      </c>
      <c r="AL76" s="44">
        <f>IF(AL69&gt;D71,(SUM(AK75:AL75)/2),IF(AL69=D71,AL75,0))</f>
        <v>789550769.55341017</v>
      </c>
      <c r="AM76" s="44">
        <f>IF(AM69&gt;D71,(SUM(AL75:AM75)/2),IF(AM69=D71,AM75,0))</f>
        <v>781922259.70265257</v>
      </c>
      <c r="AN76" s="44">
        <f>IF(AN69&gt;D71,(SUM(AM75:AN75)/2),IF(AN69=D71,AN75,0))</f>
        <v>774293749.85189497</v>
      </c>
      <c r="AO76" s="44">
        <f>IF(AO69&gt;D71,(SUM(AN75:AO75)/2),IF(AO69=D71,AO75,0))</f>
        <v>766665240.00113738</v>
      </c>
      <c r="AP76" s="44">
        <f>IF(AP69&gt;D71,(SUM(AO75:AP75)/2),IF(AP69=D71,AP75,0))</f>
        <v>759036730.15037978</v>
      </c>
      <c r="AQ76" s="44">
        <f>IF(AQ69&gt;D71,(SUM(AP75:AQ75)/2),IF(AQ69=D71,AQ75,0))</f>
        <v>751408220.29962218</v>
      </c>
      <c r="AR76" s="44">
        <f>IF(AR69&gt;D71,(SUM(AQ75:AR75)/2),IF(AR69=D71,AR75,0))</f>
        <v>743779710.44886458</v>
      </c>
      <c r="AS76" s="44">
        <f>IF(AS69&gt;D71,(SUM(AR75:AS75)/2),IF(AS69=D71,AS75,0))</f>
        <v>736151200.59810698</v>
      </c>
      <c r="AT76" s="44">
        <f>IF(AT69&gt;D71,(SUM(AS75:AT75)/2),IF(AT69=D71,AT75,0))</f>
        <v>728522690.74734938</v>
      </c>
      <c r="AU76" s="44">
        <f>IF(AU69&gt;D71,(SUM(AT75:AU75)/2),IF(AU69=D71,AU75,0))</f>
        <v>720894180.89659178</v>
      </c>
      <c r="AV76" s="44">
        <f>IF(AV69&gt;D71,(SUM(AU75:AV75)/2),IF(AV69=D71,AV75,0))</f>
        <v>713265671.04583418</v>
      </c>
      <c r="AW76" s="44">
        <f>IF(AW69&gt;D71,(SUM(AV75:AW75)/2),IF(AW69=D71,AW75,0))</f>
        <v>705637161.19507658</v>
      </c>
      <c r="AX76" s="44">
        <f>IF(AX69&gt;D71,(SUM(AW75:AX75)/2),IF(AX69=D71,AX75,0))</f>
        <v>698008651.34431899</v>
      </c>
      <c r="AY76" s="44">
        <f>IF(AY69&gt;D71,(SUM(AX75:AY75)/2),IF(AY69=D71,AY75,0))</f>
        <v>690380141.49356139</v>
      </c>
      <c r="AZ76" s="44">
        <f>IF(AZ69&gt;D71,(SUM(AY75:AZ75)/2),IF(AZ69=D71,AZ75,0))</f>
        <v>682751631.64280379</v>
      </c>
      <c r="BA76" s="44">
        <f>IF(BA69&gt;D71,(SUM(AZ75:BA75)/2),IF(BA69=D71,BA75,0))</f>
        <v>675123121.79204619</v>
      </c>
      <c r="BB76" s="44">
        <f>IF(BB69&gt;D71,(SUM(BA75:BB75)/2),IF(BB69=D71,BB75,0))</f>
        <v>667494611.94128859</v>
      </c>
      <c r="BC76" s="44">
        <f>IF(BC69&gt;D71,(SUM(BB75:BC75)/2),IF(BC69=D71,BC75,0))</f>
        <v>659866102.09053099</v>
      </c>
      <c r="BD76" s="44">
        <f>IF(BD69&gt;D71,(SUM(BC75:BD75)/2),IF(BD69=D71,BD75,0))</f>
        <v>652237592.23977339</v>
      </c>
      <c r="BE76" s="44">
        <f>IF(BE69&gt;D71,(SUM(BD75:BE75)/2),IF(BE69=D71,BE75,0))</f>
        <v>644609082.38901579</v>
      </c>
      <c r="BF76" s="44">
        <f>IF(BF69&gt;D71,(SUM(BE75:BF75)/2),IF(BF69=D71,BF75,0))</f>
        <v>636980572.53825819</v>
      </c>
      <c r="BG76" s="44">
        <f>IF(BG69&gt;D71,(SUM(BF75:BG75)/2),IF(BG69=D71,BG75,0))</f>
        <v>629352062.6875006</v>
      </c>
      <c r="BH76" s="44">
        <f>IF(BH69&gt;D71,(SUM(BG75:BH75)/2),IF(BH69=D71,BH75,0))</f>
        <v>621723552.836743</v>
      </c>
      <c r="BI76" s="44">
        <f>IF(BI69&gt;D71,(SUM(BH75:BI75)/2),IF(BI69=D71,BI75,0))</f>
        <v>614095042.9859854</v>
      </c>
      <c r="BJ76" s="44">
        <f>IF(BJ69&gt;D71,(SUM(BI75:BJ75)/2),IF(BJ69=D71,BJ75,0))</f>
        <v>606466533.1352278</v>
      </c>
      <c r="BK76" s="44">
        <f>IF(BK69&gt;D71,(SUM(BJ75:BK75)/2),IF(BK69=D71,BK75,0))</f>
        <v>598838023.2844702</v>
      </c>
      <c r="BL76" s="44">
        <f>IF(BL69&gt;D71,(SUM(BK75:BL75)/2),IF(BL69=D71,BL75,0))</f>
        <v>591209513.4337126</v>
      </c>
      <c r="BM76" s="44">
        <f>IF(BM69&gt;D71,(SUM(BL75:BM75)/2),IF(BM69=D71,BM75,0))</f>
        <v>583581003.582955</v>
      </c>
      <c r="BN76" s="44">
        <f>IF(BN69&gt;D71,(SUM(BM75:BN75)/2),IF(BN69=D71,BN75,0))</f>
        <v>575952493.7321974</v>
      </c>
      <c r="BO76" s="44">
        <f>IF(BO69&gt;D71,(SUM(BN75:BO75)/2),IF(BO69=D71,BO75,0))</f>
        <v>568323983.88143981</v>
      </c>
      <c r="BP76" s="44">
        <f>IF(BP69&gt;D71,(SUM(BO75:BP75)/2),IF(BP69=D71,BP75,0))</f>
        <v>560695474.03068221</v>
      </c>
      <c r="BQ76" s="44">
        <f>IF(BQ69&gt;D71,(SUM(BP75:BQ75)/2),IF(BQ69=D71,BQ75,0))</f>
        <v>553066964.17992461</v>
      </c>
      <c r="BR76" s="44">
        <f>IF(BR69&gt;D71,(SUM(BQ75:BR75)/2),IF(BR69=D71,BR75,0))</f>
        <v>545438454.32916701</v>
      </c>
      <c r="BS76" s="44">
        <f>IF(BS69&gt;D71,(SUM(BR75:BS75)/2),IF(BS69=D71,BS75,0))</f>
        <v>537809944.47840941</v>
      </c>
      <c r="BT76" s="44">
        <f>IF(BT69&gt;D71,(SUM(BS75:BT75)/2),IF(BT69=D71,BT75,0))</f>
        <v>530181434.62765181</v>
      </c>
      <c r="BU76" s="44">
        <f>IF(BU69&gt;D71,(SUM(BT75:BU75)/2),IF(BU69=D71,BU75,0))</f>
        <v>522552924.77689421</v>
      </c>
      <c r="BV76" s="44">
        <f>IF(BV69&gt;D71,(SUM(BU75:BV75)/2),IF(BV69=D71,BV75,0))</f>
        <v>514924414.92613661</v>
      </c>
      <c r="BW76" s="44">
        <f>IF(BW69&gt;D71,(SUM(BV75:BW75)/2),IF(BW69=D71,BW75,0))</f>
        <v>507295905.07537901</v>
      </c>
      <c r="BX76" s="44">
        <f>IF(BX69&gt;D71,(SUM(BW75:BX75)/2),IF(BX69=D71,BX75,0))</f>
        <v>499667395.22462142</v>
      </c>
      <c r="BY76" s="44">
        <f>IF(BY69&gt;D71,(SUM(BX75:BY75)/2),IF(BY69=D71,BY75,0))</f>
        <v>492038885.37386382</v>
      </c>
      <c r="BZ76" s="44">
        <f>IF(BZ69&gt;D71,(SUM(BY75:BZ75)/2),IF(BZ69=D71,BZ75,0))</f>
        <v>484410375.52310622</v>
      </c>
      <c r="CA76" s="44">
        <f>IF(CA69&gt;D71,(SUM(BZ75:CA75)/2),IF(CA69=D71,CA75,0))</f>
        <v>476781865.67234862</v>
      </c>
      <c r="CB76" s="44">
        <f>IF(CB69&gt;D71,(SUM(CA75:CB75)/2),IF(CB69=D71,CB75,0))</f>
        <v>469153355.82159102</v>
      </c>
      <c r="CC76" s="44">
        <f>IF(CC69&gt;D71,(SUM(CB75:CC75)/2),IF(CC69=D71,CC75,0))</f>
        <v>461524845.97083342</v>
      </c>
      <c r="CD76" s="44">
        <f>IF(CD69&gt;D71,(SUM(CC75:CD75)/2),IF(CD69=D71,CD75,0))</f>
        <v>453896336.12007582</v>
      </c>
      <c r="CE76" s="44">
        <f>IF(CE69&gt;D71,(SUM(CD75:CE75)/2),IF(CE69=D71,CE75,0))</f>
        <v>446267826.26931822</v>
      </c>
      <c r="CF76" s="44">
        <f>IF(CF69&gt;D71,(SUM(CE75:CF75)/2),IF(CF69=D71,CF75,0))</f>
        <v>438639316.41856062</v>
      </c>
      <c r="CG76" s="44">
        <f>IF(CG69&gt;D71,(SUM(CF75:CG75)/2),IF(CG69=D71,CG75,0))</f>
        <v>431010806.56780303</v>
      </c>
      <c r="CH76" s="44">
        <f>IF(CH69&gt;D71,(SUM(CG75:CH75)/2),IF(CH69=D71,CH75,0))</f>
        <v>423382296.71704543</v>
      </c>
      <c r="CI76" s="44">
        <f>IF(CI69&gt;D71,(SUM(CH75:CI75)/2),IF(CI69=D71,CI75,0))</f>
        <v>415753786.86628783</v>
      </c>
      <c r="CJ76" s="44">
        <f>IF(CJ69&gt;D71,(SUM(CI75:CJ75)/2),IF(CJ69=D71,CJ75,0))</f>
        <v>408125277.01553023</v>
      </c>
      <c r="CK76" s="44">
        <f>IF(CK69&gt;D71,(SUM(CJ75:CK75)/2),IF(CK69=D71,CK75,0))</f>
        <v>400496767.16477263</v>
      </c>
      <c r="CL76" s="44">
        <f>IF(CL69&gt;D71,(SUM(CK75:CL75)/2),IF(CL69=D71,CL75,0))</f>
        <v>392868257.31401503</v>
      </c>
      <c r="CM76" s="44">
        <f>IF(CM69&gt;D71,(SUM(CL75:CM75)/2),IF(CM69=D71,CM75,0))</f>
        <v>385239747.46325743</v>
      </c>
      <c r="CN76" s="44">
        <f>IF(CN69&gt;D71,(SUM(CM75:CN75)/2),IF(CN69=D71,CN75,0))</f>
        <v>377611237.61249983</v>
      </c>
      <c r="CO76" s="44">
        <f>IF(CO69&gt;D71,(SUM(CN75:CO75)/2),IF(CO69=D71,CO75,0))</f>
        <v>369982727.76174223</v>
      </c>
      <c r="CP76" s="44">
        <f>IF(CP69&gt;D71,(SUM(CO75:CP75)/2),IF(CP69=D71,CP75,0))</f>
        <v>362354217.91098464</v>
      </c>
      <c r="CQ76" s="44">
        <f>IF(CQ69&gt;D71,(SUM(CP75:CQ75)/2),IF(CQ69=D71,CQ75,0))</f>
        <v>354725708.06022704</v>
      </c>
      <c r="CR76" s="44">
        <f>IF(CR69&gt;D71,(SUM(CQ75:CR75)/2),IF(CR69=D71,CR75,0))</f>
        <v>347097198.20946944</v>
      </c>
      <c r="CS76" s="44">
        <f>IF(CS69&gt;D71,(SUM(CR75:CS75)/2),IF(CS69=D71,CS75,0))</f>
        <v>339468688.35871184</v>
      </c>
      <c r="CT76" s="44">
        <f>IF(CT69&gt;D71,(SUM(CS75:CT75)/2),IF(CT69=D71,CT75,0))</f>
        <v>331840178.50795424</v>
      </c>
      <c r="CU76" s="44">
        <f>IF(CU69&gt;D71,(SUM(CT75:CU75)/2),IF(CU69=D71,CU75,0))</f>
        <v>324211668.65719664</v>
      </c>
      <c r="CV76" s="44">
        <f>IF(CV69&gt;D71,(SUM(CU75:CV75)/2),IF(CV69=D71,CV75,0))</f>
        <v>316583158.80643904</v>
      </c>
      <c r="CW76" s="44">
        <f>IF(CW69&gt;D71,(SUM(CV75:CW75)/2),IF(CW69=D71,CW75,0))</f>
        <v>308954648.95568144</v>
      </c>
      <c r="CX76" s="44">
        <f>IF(CX69&gt;D71,(SUM(CW75:CX75)/2),IF(CX69=D71,CX75,0))</f>
        <v>301326139.10492384</v>
      </c>
      <c r="CY76" s="44">
        <f>IF(CY69&gt;D71,(SUM(CX75:CY75)/2),IF(CY69=D71,CY75,0))</f>
        <v>293697629.25416625</v>
      </c>
      <c r="CZ76" s="44">
        <f>IF(CZ69&gt;D71,(SUM(CY75:CZ75)/2),IF(CZ69=D71,CZ75,0))</f>
        <v>286069119.40340865</v>
      </c>
      <c r="DA76" s="44">
        <f>IF(DA69&gt;D71,(SUM(CZ75:DA75)/2),IF(DA69=D71,DA75,0))</f>
        <v>278440609.55265105</v>
      </c>
      <c r="DB76" s="44">
        <f>IF(DB69&gt;D71,(SUM(DA75:DB75)/2),IF(DB69=D71,DB75,0))</f>
        <v>270812099.70189345</v>
      </c>
      <c r="DC76" s="44">
        <f>IF(DC69&gt;D71,(SUM(DB75:DC75)/2),IF(DC69=D71,DC75,0))</f>
        <v>263183589.85113585</v>
      </c>
      <c r="DD76" s="44">
        <f>IF(DD69&gt;D71,(SUM(DC75:DD75)/2),IF(DD69=D71,DD75,0))</f>
        <v>255555080.00037825</v>
      </c>
      <c r="DE76" s="44">
        <f>IF(DE69&gt;D71,(SUM(DD75:DE75)/2),IF(DE69=D71,DE75,0))</f>
        <v>247926570.14962065</v>
      </c>
      <c r="DF76" s="44">
        <f>IF(DF69&gt;D71,(SUM(DE75:DF75)/2),IF(DF69=D71,DF75,0))</f>
        <v>240298060.29886305</v>
      </c>
      <c r="DG76" s="44">
        <f>IF(DG69&gt;D71,(SUM(DF75:DG75)/2),IF(DG69=D71,DG75,0))</f>
        <v>232669550.44810545</v>
      </c>
      <c r="DH76" s="44">
        <f>IF(DH69&gt;D71,(SUM(DG75:DH75)/2),IF(DH69=D71,DH75,0))</f>
        <v>225041040.59734786</v>
      </c>
      <c r="DI76" s="44">
        <f>IF(DI69&gt;D71,(SUM(DH75:DI75)/2),IF(DI69=D71,DI75,0))</f>
        <v>217412530.74659026</v>
      </c>
      <c r="DJ76" s="44">
        <f>IF(DJ69&gt;D71,(SUM(DI75:DJ75)/2),IF(DJ69=D71,DJ75,0))</f>
        <v>209784020.89583266</v>
      </c>
      <c r="DK76" s="44">
        <f>IF(DK69&gt;D71,(SUM(DJ75:DK75)/2),IF(DK69=D71,DK75,0))</f>
        <v>202155511.04507506</v>
      </c>
      <c r="DL76" s="44">
        <f>IF(DL69&gt;D71,(SUM(DK75:DL75)/2),IF(DL69=D71,DL75,0))</f>
        <v>194527001.19431746</v>
      </c>
      <c r="DM76" s="44">
        <f>IF(DM69&gt;D71,(SUM(DL75:DM75)/2),IF(DM69=D71,DM75,0))</f>
        <v>186898491.34355986</v>
      </c>
      <c r="DN76" s="44">
        <f>IF(DN69&gt;D71,(SUM(DM75:DN75)/2),IF(DN69=D71,DN75,0))</f>
        <v>179269981.49280226</v>
      </c>
      <c r="DO76" s="44">
        <f>IF(DO69&gt;D71,(SUM(DN75:DO75)/2),IF(DO69=D71,DO75,0))</f>
        <v>171641471.64204466</v>
      </c>
      <c r="DP76" s="44">
        <f>IF(DP69&gt;D71,(SUM(DO75:DP75)/2),IF(DP69=D71,DP75,0))</f>
        <v>164012961.79128706</v>
      </c>
      <c r="DQ76" s="44">
        <f>IF(DQ69&gt;D71,(SUM(DP75:DQ75)/2),IF(DQ69=D71,DQ75,0))</f>
        <v>156384451.94052947</v>
      </c>
      <c r="DR76" s="44">
        <f>IF(DR69&gt;D71,(SUM(DQ75:DR75)/2),IF(DR69=D71,DR75,0))</f>
        <v>148755942.08977187</v>
      </c>
      <c r="DS76" s="44">
        <f>IF(DS69&gt;D71,(SUM(DR75:DS75)/2),IF(DS69=D71,DS75,0))</f>
        <v>141127432.23901427</v>
      </c>
      <c r="DT76" s="44">
        <f>IF(DT69&gt;D71,(SUM(DS75:DT75)/2),IF(DT69=D71,DT75,0))</f>
        <v>133498922.38825667</v>
      </c>
      <c r="DU76" s="44">
        <f>IF(DU69&gt;D71,(SUM(DT75:DU75)/2),IF(DU69=D71,DU75,0))</f>
        <v>125870412.5374991</v>
      </c>
      <c r="DV76" s="44">
        <f>IF(DV69&gt;D71,(SUM(DU75:DV75)/2),IF(DV69=D71,DV75,0))</f>
        <v>118241902.6867415</v>
      </c>
      <c r="DW76" s="44">
        <f>IF(DW69&gt;D71,(SUM(DV75:DW75)/2),IF(DW69=D71,DW75,0))</f>
        <v>110613392.83598393</v>
      </c>
      <c r="DX76" s="44">
        <f>IF(DX69&gt;D71,(SUM(DW75:DX75)/2),IF(DX69=D71,DX75,0))</f>
        <v>102984882.98522633</v>
      </c>
      <c r="DY76" s="44">
        <f>IF(DY69&gt;D71,(SUM(DX75:DY75)/2),IF(DY69=D71,DY75,0))</f>
        <v>95356373.134468764</v>
      </c>
      <c r="DZ76" s="44">
        <f>IF(DZ69&gt;D71,(SUM(DY75:DZ75)/2),IF(DZ69=D71,DZ75,0))</f>
        <v>87727863.283711165</v>
      </c>
      <c r="EA76" s="44">
        <f>IF(EA69&gt;D71,(SUM(DZ75:EA75)/2),IF(EA69=D71,EA75,0))</f>
        <v>80099353.432953596</v>
      </c>
      <c r="EB76" s="44">
        <f>IF(EB69&gt;D71,(SUM(EA75:EB75)/2),IF(EB69=D71,EB75,0))</f>
        <v>72470843.582195997</v>
      </c>
      <c r="EC76" s="44">
        <f>IF(EC69&gt;D71,(SUM(EB75:EC75)/2),IF(EC69=D71,EC75,0))</f>
        <v>64842333.731438421</v>
      </c>
      <c r="ED76" s="44">
        <f>IF(ED69&gt;D71,(SUM(EC75:ED75)/2),IF(ED69=D71,ED75,0))</f>
        <v>57213823.880680837</v>
      </c>
      <c r="EE76" s="44">
        <f>IF(EE69&gt;D71,(SUM(ED75:EE75)/2),IF(EE69=D71,EE75,0))</f>
        <v>49585314.029923253</v>
      </c>
      <c r="EF76" s="44">
        <f>IF(EF69&gt;D71,(SUM(EE75:EF75)/2),IF(EF69=D71,EF75,0))</f>
        <v>41956804.179165669</v>
      </c>
      <c r="EG76" s="44">
        <f>IF(EG69&gt;D71,(SUM(EF75:EG75)/2),IF(EG69=D71,EG75,0))</f>
        <v>34328294.328408085</v>
      </c>
      <c r="EH76" s="44">
        <f>IF(EH69&gt;D71,(SUM(EG75:EH75)/2),IF(EH69=D71,EH75,0))</f>
        <v>26699784.477650493</v>
      </c>
      <c r="EI76" s="44">
        <f t="shared" ref="EI76:EN76" si="126">IF(EI69&gt;E71,(SUM(EH75:EI75)/2),IF(EI69=E71,EI75,0))</f>
        <v>19071274.626892909</v>
      </c>
      <c r="EJ76" s="44">
        <f t="shared" si="126"/>
        <v>11442764.77613532</v>
      </c>
      <c r="EK76" s="44">
        <f t="shared" si="126"/>
        <v>3814254.925378263</v>
      </c>
      <c r="EL76" s="44">
        <f t="shared" si="126"/>
        <v>0</v>
      </c>
      <c r="EM76" s="44">
        <f t="shared" si="126"/>
        <v>0</v>
      </c>
      <c r="EN76" s="44">
        <f t="shared" si="126"/>
        <v>0</v>
      </c>
    </row>
    <row r="77" spans="2:144" outlineLevel="1">
      <c r="C77" s="43" t="s">
        <v>176</v>
      </c>
      <c r="D77" s="44"/>
      <c r="E77" s="773">
        <f>E66</f>
        <v>10</v>
      </c>
      <c r="F77" s="44"/>
      <c r="G77" s="44"/>
      <c r="H77" s="120">
        <f>IF(H68&lt;$E71,0,IF(AND(H68&gt;=$E71,H68&lt;=($E71+$E77-1)),Вводные!$D$30,Вводные!$E$30))</f>
        <v>0</v>
      </c>
      <c r="I77" s="120">
        <f>IF(I68&lt;$E71,0,IF(AND(I68&gt;=$E71,I68&lt;=($E71+$E77-1)),Вводные!$D$30,Вводные!$E$30))</f>
        <v>0</v>
      </c>
      <c r="J77" s="120">
        <f>IF(J68&lt;$E71,0,IF(AND(J68&gt;=$E71,J68&lt;=($E71+$E77-1)),Вводные!$D$30,Вводные!$E$30))</f>
        <v>0</v>
      </c>
      <c r="K77" s="120">
        <f>IF(K68&lt;$E71,0,IF(AND(K68&gt;=$E71,K68&lt;=($E71+$E77-1)),Вводные!$D$30,Вводные!$E$30))</f>
        <v>0</v>
      </c>
      <c r="L77" s="120">
        <f>IF(L68&lt;$E71,0,IF(AND(L68&gt;=$E71,L68&lt;=($E71+$E77-1)),Вводные!$D$30,Вводные!$E$30))</f>
        <v>0</v>
      </c>
      <c r="M77" s="120">
        <f>IF(M68&lt;$E71,0,IF(AND(M68&gt;=$E71,M68&lt;=($E71+$E77-1)),Вводные!$D$30,Вводные!$E$30))</f>
        <v>0</v>
      </c>
      <c r="N77" s="120">
        <f>IF(N68&lt;$E71,0,IF(AND(N68&gt;=$E71,N68&lt;=($E71+$E77-1)),Вводные!$D$30,Вводные!$E$30))</f>
        <v>0</v>
      </c>
      <c r="O77" s="120">
        <f>IF(O68&lt;$E71,0,IF(AND(O68&gt;=$E71,O68&lt;=($E71+$E77-1)),Вводные!$D$30,Вводные!$E$30))</f>
        <v>0</v>
      </c>
      <c r="P77" s="120">
        <f>IF(P68&lt;$E71,0,IF(AND(P68&gt;=$E71,P68&lt;=($E71+$E77-1)),Вводные!$D$30,Вводные!$E$30))</f>
        <v>0</v>
      </c>
      <c r="Q77" s="120">
        <f>IF(Q68&lt;$E71,0,IF(AND(Q68&gt;=$E71,Q68&lt;=($E71+$E77-1)),Вводные!$D$30,Вводные!$E$30))</f>
        <v>0</v>
      </c>
      <c r="R77" s="120">
        <f>IF(R68&lt;$E71,0,IF(AND(R68&gt;=$E71,R68&lt;=($E71+$E77-1)),Вводные!$D$30,Вводные!$E$30))</f>
        <v>0</v>
      </c>
      <c r="S77" s="120">
        <f>IF(S68&lt;$E71,0,IF(AND(S68&gt;=$E71,S68&lt;=($E71+$E77-1)),Вводные!$D$30,Вводные!$E$30))</f>
        <v>0</v>
      </c>
      <c r="T77" s="120">
        <f>IF(T68&lt;$E71,0,IF(AND(T68&gt;=$E71,T68&lt;=($E71+$E77-1)),Вводные!$D$30,Вводные!$E$30))</f>
        <v>0</v>
      </c>
      <c r="U77" s="120">
        <f>IF(U68&lt;$E71,0,IF(AND(U68&gt;=$E71,U68&lt;=($E71+$E77-1)),Вводные!$D$30,Вводные!$E$30))</f>
        <v>0</v>
      </c>
      <c r="V77" s="120">
        <f>IF(V68&lt;$E71,0,IF(AND(V68&gt;=$E71,V68&lt;=($E71+$E77-1)),Вводные!$D$30,Вводные!$E$30))</f>
        <v>0</v>
      </c>
      <c r="W77" s="120">
        <f>IF(W68&lt;$E71,0,IF(AND(W68&gt;=$E71,W68&lt;=($E71+$E77-1)),Вводные!$D$30,Вводные!$E$30))</f>
        <v>0</v>
      </c>
      <c r="X77" s="120">
        <f>IF(X68&lt;$E71,0,IF(AND(X68&gt;=$E71,X68&lt;=($E71+$E77-1)),Вводные!$D$30,Вводные!$E$30))</f>
        <v>0</v>
      </c>
      <c r="Y77" s="120">
        <f>IF(Y68&lt;$E71,0,IF(AND(Y68&gt;=$E71,Y68&lt;=($E71+$E77-1)),Вводные!$D$30,Вводные!$E$30))</f>
        <v>0</v>
      </c>
      <c r="Z77" s="120">
        <f>IF(Z68&lt;$E71,0,IF(AND(Z68&gt;=$E71,Z68&lt;=($E71+$E77-1)),Вводные!$D$30,Вводные!$E$30))</f>
        <v>0</v>
      </c>
      <c r="AA77" s="120">
        <f>IF(AA68&lt;$E71,0,IF(AND(AA68&gt;=$E71,AA68&lt;=($E71+$E77-1)),Вводные!$D$30,Вводные!$E$30))</f>
        <v>0</v>
      </c>
      <c r="AB77" s="120">
        <f>IF(AB68&lt;$E71,0,IF(AND(AB68&gt;=$E71,AB68&lt;=($E71+$E77-1)),Вводные!$D$30,Вводные!$E$30))</f>
        <v>0</v>
      </c>
      <c r="AC77" s="120">
        <f>IF(AC68&lt;$E71,0,IF(AND(AC68&gt;=$E71,AC68&lt;=($E71+$E77-1)),Вводные!$D$30,Вводные!$E$30))</f>
        <v>0</v>
      </c>
      <c r="AD77" s="120">
        <f>IF(AD68&lt;$E71,0,IF(AND(AD68&gt;=$E71,AD68&lt;=($E71+$E77-1)),Вводные!$D$30,Вводные!$E$30))</f>
        <v>0</v>
      </c>
      <c r="AE77" s="120">
        <f>IF(AE68&lt;$E71,0,IF(AND(AE68&gt;=$E71,AE68&lt;=($E71+$E77-1)),Вводные!$D$30,Вводные!$E$30))</f>
        <v>0</v>
      </c>
      <c r="AF77" s="120">
        <f>IF(AF68&lt;$E71,0,IF(AND(AF68&gt;=$E71,AF68&lt;=($E71+$E77-1)),Вводные!$D$30,Вводные!$E$30))</f>
        <v>0</v>
      </c>
      <c r="AG77" s="120">
        <f>IF(AG68&lt;$E71,0,IF(AND(AG68&gt;=$E71,AG68&lt;=($E71+$E77-1)),Вводные!$D$30,Вводные!$E$30))</f>
        <v>0</v>
      </c>
      <c r="AH77" s="120">
        <f>IF(AH68&lt;$E71,0,IF(AND(AH68&gt;=$E71,AH68&lt;=($E71+$E77-1)),Вводные!$D$30,Вводные!$E$30))</f>
        <v>0</v>
      </c>
      <c r="AI77" s="120">
        <f>IF(AI68&lt;$E71,0,IF(AND(AI68&gt;=$E71,AI68&lt;=($E71+$E77-1)),Вводные!$D$30,Вводные!$E$30))</f>
        <v>0</v>
      </c>
      <c r="AJ77" s="120">
        <f>IF(AJ68&lt;$E71,0,IF(AND(AJ68&gt;=$E71,AJ68&lt;=($E71+$E77-1)),Вводные!$D$30,Вводные!$E$30))</f>
        <v>0</v>
      </c>
      <c r="AK77" s="120">
        <f>IF(AK68&lt;$E71,0,IF(AND(AK68&gt;=$E71,AK68&lt;=($E71+$E77-1)),Вводные!$D$30,Вводные!$E$30))</f>
        <v>0</v>
      </c>
      <c r="AL77" s="120">
        <f>IF(AL68&lt;$E71,0,IF(AND(AL68&gt;=$E71,AL68&lt;=($E71+$E77-1)),Вводные!$D$30,Вводные!$E$30))</f>
        <v>0</v>
      </c>
      <c r="AM77" s="120">
        <f>IF(AM68&lt;$E71,0,IF(AND(AM68&gt;=$E71,AM68&lt;=($E71+$E77-1)),Вводные!$D$30,Вводные!$E$30))</f>
        <v>0</v>
      </c>
      <c r="AN77" s="120">
        <f>IF(AN68&lt;$E71,0,IF(AND(AN68&gt;=$E71,AN68&lt;=($E71+$E77-1)),Вводные!$D$30,Вводные!$E$30))</f>
        <v>0</v>
      </c>
      <c r="AO77" s="120">
        <f>IF(AO68&lt;$E71,0,IF(AND(AO68&gt;=$E71,AO68&lt;=($E71+$E77-1)),Вводные!$D$30,Вводные!$E$30))</f>
        <v>0</v>
      </c>
      <c r="AP77" s="120">
        <f>IF(AP68&lt;$E71,0,IF(AND(AP68&gt;=$E71,AP68&lt;=($E71+$E77-1)),Вводные!$D$30,Вводные!$E$30))</f>
        <v>0</v>
      </c>
      <c r="AQ77" s="120">
        <f>IF(AQ68&lt;$E71,0,IF(AND(AQ68&gt;=$E71,AQ68&lt;=($E71+$E77-1)),Вводные!$D$30,Вводные!$E$30))</f>
        <v>0</v>
      </c>
      <c r="AR77" s="120">
        <f>IF(AR68&lt;$E71,0,IF(AND(AR68&gt;=$E71,AR68&lt;=($E71+$E77-1)),Вводные!$D$30,Вводные!$E$30))</f>
        <v>0</v>
      </c>
      <c r="AS77" s="120">
        <f>IF(AS68&lt;$E71,0,IF(AND(AS68&gt;=$E71,AS68&lt;=($E71+$E77-1)),Вводные!$D$30,Вводные!$E$30))</f>
        <v>0</v>
      </c>
      <c r="AT77" s="120">
        <f>IF(AT68&lt;$E71,0,IF(AND(AT68&gt;=$E71,AT68&lt;=($E71+$E77-1)),Вводные!$D$30,Вводные!$E$30))</f>
        <v>0</v>
      </c>
      <c r="AU77" s="120">
        <f>IF(AU68&lt;$E71,0,IF(AND(AU68&gt;=$E71,AU68&lt;=($E71+$E77-1)),Вводные!$D$30,Вводные!$E$30))</f>
        <v>0</v>
      </c>
      <c r="AV77" s="120">
        <f>IF(AV68&lt;$E71,0,IF(AND(AV68&gt;=$E71,AV68&lt;=($E71+$E77-1)),Вводные!$D$30,Вводные!$E$30))</f>
        <v>0</v>
      </c>
      <c r="AW77" s="120">
        <f>IF(AW68&lt;$E71,0,IF(AND(AW68&gt;=$E71,AW68&lt;=($E71+$E77-1)),Вводные!$D$30,Вводные!$E$30))</f>
        <v>0</v>
      </c>
      <c r="AX77" s="120">
        <f>IF(AX68&lt;$E71,0,IF(AND(AX68&gt;=$E71,AX68&lt;=($E71+$E77-1)),Вводные!$D$30,Вводные!$E$30))</f>
        <v>0</v>
      </c>
      <c r="AY77" s="120">
        <f>IF(AY68&lt;$E71,0,IF(AND(AY68&gt;=$E71,AY68&lt;=($E71+$E77-1)),Вводные!$D$30,Вводные!$E$30))</f>
        <v>0</v>
      </c>
      <c r="AZ77" s="120">
        <f>IF(AZ68&lt;$E71,0,IF(AND(AZ68&gt;=$E71,AZ68&lt;=($E71+$E77-1)),Вводные!$D$30,Вводные!$E$30))</f>
        <v>0</v>
      </c>
      <c r="BA77" s="120">
        <f>IF(BA68&lt;$E71,0,IF(AND(BA68&gt;=$E71,BA68&lt;=($E71+$E77-1)),Вводные!$D$30,Вводные!$E$30))</f>
        <v>0</v>
      </c>
      <c r="BB77" s="120">
        <f>IF(BB68&lt;$E71,0,IF(AND(BB68&gt;=$E71,BB68&lt;=($E71+$E77-1)),Вводные!$D$30,Вводные!$E$30))</f>
        <v>0</v>
      </c>
      <c r="BC77" s="120">
        <f>IF(BC68&lt;$E71,0,IF(AND(BC68&gt;=$E71,BC68&lt;=($E71+$E77-1)),Вводные!$D$30,Вводные!$E$30))</f>
        <v>0</v>
      </c>
      <c r="BD77" s="120">
        <f>IF(BD68&lt;$E71,0,IF(AND(BD68&gt;=$E71,BD68&lt;=($E71+$E77-1)),Вводные!$D$30,Вводные!$E$30))</f>
        <v>0</v>
      </c>
      <c r="BE77" s="120">
        <f>IF(BE68&lt;$E71,0,IF(AND(BE68&gt;=$E71,BE68&lt;=($E71+$E77-1)),Вводные!$D$30,Вводные!$E$30))</f>
        <v>0</v>
      </c>
      <c r="BF77" s="120">
        <f>IF(BF68&lt;$E71,0,IF(AND(BF68&gt;=$E71,BF68&lt;=($E71+$E77-1)),Вводные!$D$30,Вводные!$E$30))</f>
        <v>0</v>
      </c>
      <c r="BG77" s="120">
        <f>IF(BG68&lt;$E71,0,IF(AND(BG68&gt;=$E71,BG68&lt;=($E71+$E77-1)),Вводные!$D$30,Вводные!$E$30))</f>
        <v>0</v>
      </c>
      <c r="BH77" s="120">
        <f>IF(BH68&lt;$E71,0,IF(AND(BH68&gt;=$E71,BH68&lt;=($E71+$E77-1)),Вводные!$D$30,Вводные!$E$30))</f>
        <v>2.1999999999999999E-2</v>
      </c>
      <c r="BI77" s="120">
        <f>IF(BI68&lt;$E71,0,IF(AND(BI68&gt;=$E71,BI68&lt;=($E71+$E77-1)),Вводные!$D$30,Вводные!$E$30))</f>
        <v>2.1999999999999999E-2</v>
      </c>
      <c r="BJ77" s="120">
        <f>IF(BJ68&lt;$E71,0,IF(AND(BJ68&gt;=$E71,BJ68&lt;=($E71+$E77-1)),Вводные!$D$30,Вводные!$E$30))</f>
        <v>2.1999999999999999E-2</v>
      </c>
      <c r="BK77" s="120">
        <f>IF(BK68&lt;$E71,0,IF(AND(BK68&gt;=$E71,BK68&lt;=($E71+$E77-1)),Вводные!$D$30,Вводные!$E$30))</f>
        <v>2.1999999999999999E-2</v>
      </c>
      <c r="BL77" s="120">
        <f>IF(BL68&lt;$E71,0,IF(AND(BL68&gt;=$E71,BL68&lt;=($E71+$E77-1)),Вводные!$D$30,Вводные!$E$30))</f>
        <v>2.1999999999999999E-2</v>
      </c>
      <c r="BM77" s="120">
        <f>IF(BM68&lt;$E71,0,IF(AND(BM68&gt;=$E71,BM68&lt;=($E71+$E77-1)),Вводные!$D$30,Вводные!$E$30))</f>
        <v>2.1999999999999999E-2</v>
      </c>
      <c r="BN77" s="120">
        <f>IF(BN68&lt;$E71,0,IF(AND(BN68&gt;=$E71,BN68&lt;=($E71+$E77-1)),Вводные!$D$30,Вводные!$E$30))</f>
        <v>2.1999999999999999E-2</v>
      </c>
      <c r="BO77" s="120">
        <f>IF(BO68&lt;$E71,0,IF(AND(BO68&gt;=$E71,BO68&lt;=($E71+$E77-1)),Вводные!$D$30,Вводные!$E$30))</f>
        <v>2.1999999999999999E-2</v>
      </c>
      <c r="BP77" s="120">
        <f>IF(BP68&lt;$E71,0,IF(AND(BP68&gt;=$E71,BP68&lt;=($E71+$E77-1)),Вводные!$D$30,Вводные!$E$30))</f>
        <v>2.1999999999999999E-2</v>
      </c>
      <c r="BQ77" s="120">
        <f>IF(BQ68&lt;$E71,0,IF(AND(BQ68&gt;=$E71,BQ68&lt;=($E71+$E77-1)),Вводные!$D$30,Вводные!$E$30))</f>
        <v>2.1999999999999999E-2</v>
      </c>
      <c r="BR77" s="120">
        <f>IF(BR68&lt;$E71,0,IF(AND(BR68&gt;=$E71,BR68&lt;=($E71+$E77-1)),Вводные!$D$30,Вводные!$E$30))</f>
        <v>2.1999999999999999E-2</v>
      </c>
      <c r="BS77" s="120">
        <f>IF(BS68&lt;$E71,0,IF(AND(BS68&gt;=$E71,BS68&lt;=($E71+$E77-1)),Вводные!$D$30,Вводные!$E$30))</f>
        <v>2.1999999999999999E-2</v>
      </c>
      <c r="BT77" s="120">
        <f>IF(BT68&lt;$E71,0,IF(AND(BT68&gt;=$E71,BT68&lt;=($E71+$E77-1)),Вводные!$D$30,Вводные!$E$30))</f>
        <v>2.1999999999999999E-2</v>
      </c>
      <c r="BU77" s="120">
        <f>IF(BU68&lt;$E71,0,IF(AND(BU68&gt;=$E71,BU68&lt;=($E71+$E77-1)),Вводные!$D$30,Вводные!$E$30))</f>
        <v>2.1999999999999999E-2</v>
      </c>
      <c r="BV77" s="120">
        <f>IF(BV68&lt;$E71,0,IF(AND(BV68&gt;=$E71,BV68&lt;=($E71+$E77-1)),Вводные!$D$30,Вводные!$E$30))</f>
        <v>2.1999999999999999E-2</v>
      </c>
      <c r="BW77" s="120">
        <f>IF(BW68&lt;$E71,0,IF(AND(BW68&gt;=$E71,BW68&lt;=($E71+$E77-1)),Вводные!$D$30,Вводные!$E$30))</f>
        <v>2.1999999999999999E-2</v>
      </c>
      <c r="BX77" s="120">
        <f>IF(BX68&lt;$E71,0,IF(AND(BX68&gt;=$E71,BX68&lt;=($E71+$E77-1)),Вводные!$D$30,Вводные!$E$30))</f>
        <v>2.1999999999999999E-2</v>
      </c>
      <c r="BY77" s="120">
        <f>IF(BY68&lt;$E71,0,IF(AND(BY68&gt;=$E71,BY68&lt;=($E71+$E77-1)),Вводные!$D$30,Вводные!$E$30))</f>
        <v>2.1999999999999999E-2</v>
      </c>
      <c r="BZ77" s="120">
        <f>IF(BZ68&lt;$E71,0,IF(AND(BZ68&gt;=$E71,BZ68&lt;=($E71+$E77-1)),Вводные!$D$30,Вводные!$E$30))</f>
        <v>2.1999999999999999E-2</v>
      </c>
      <c r="CA77" s="120">
        <f>IF(CA68&lt;$E71,0,IF(AND(CA68&gt;=$E71,CA68&lt;=($E71+$E77-1)),Вводные!$D$30,Вводные!$E$30))</f>
        <v>2.1999999999999999E-2</v>
      </c>
      <c r="CB77" s="120">
        <f>IF(CB68&lt;$E71,0,IF(AND(CB68&gt;=$E71,CB68&lt;=($E71+$E77-1)),Вводные!$D$30,Вводные!$E$30))</f>
        <v>2.1999999999999999E-2</v>
      </c>
      <c r="CC77" s="120">
        <f>IF(CC68&lt;$E71,0,IF(AND(CC68&gt;=$E71,CC68&lt;=($E71+$E77-1)),Вводные!$D$30,Вводные!$E$30))</f>
        <v>2.1999999999999999E-2</v>
      </c>
      <c r="CD77" s="120">
        <f>IF(CD68&lt;$E71,0,IF(AND(CD68&gt;=$E71,CD68&lt;=($E71+$E77-1)),Вводные!$D$30,Вводные!$E$30))</f>
        <v>2.1999999999999999E-2</v>
      </c>
      <c r="CE77" s="120">
        <f>IF(CE68&lt;$E71,0,IF(AND(CE68&gt;=$E71,CE68&lt;=($E71+$E77-1)),Вводные!$D$30,Вводные!$E$30))</f>
        <v>2.1999999999999999E-2</v>
      </c>
      <c r="CF77" s="120">
        <f>IF(CF68&lt;$E71,0,IF(AND(CF68&gt;=$E71,CF68&lt;=($E71+$E77-1)),Вводные!$D$30,Вводные!$E$30))</f>
        <v>2.1999999999999999E-2</v>
      </c>
      <c r="CG77" s="120">
        <f>IF(CG68&lt;$E71,0,IF(AND(CG68&gt;=$E71,CG68&lt;=($E71+$E77-1)),Вводные!$D$30,Вводные!$E$30))</f>
        <v>2.1999999999999999E-2</v>
      </c>
      <c r="CH77" s="120">
        <f>IF(CH68&lt;$E71,0,IF(AND(CH68&gt;=$E71,CH68&lt;=($E71+$E77-1)),Вводные!$D$30,Вводные!$E$30))</f>
        <v>2.1999999999999999E-2</v>
      </c>
      <c r="CI77" s="120">
        <f>IF(CI68&lt;$E71,0,IF(AND(CI68&gt;=$E71,CI68&lt;=($E71+$E77-1)),Вводные!$D$30,Вводные!$E$30))</f>
        <v>2.1999999999999999E-2</v>
      </c>
      <c r="CJ77" s="120">
        <f>IF(CJ68&lt;$E71,0,IF(AND(CJ68&gt;=$E71,CJ68&lt;=($E71+$E77-1)),Вводные!$D$30,Вводные!$E$30))</f>
        <v>2.1999999999999999E-2</v>
      </c>
      <c r="CK77" s="120">
        <f>IF(CK68&lt;$E71,0,IF(AND(CK68&gt;=$E71,CK68&lt;=($E71+$E77-1)),Вводные!$D$30,Вводные!$E$30))</f>
        <v>2.1999999999999999E-2</v>
      </c>
      <c r="CL77" s="120">
        <f>IF(CL68&lt;$E71,0,IF(AND(CL68&gt;=$E71,CL68&lt;=($E71+$E77-1)),Вводные!$D$30,Вводные!$E$30))</f>
        <v>2.1999999999999999E-2</v>
      </c>
      <c r="CM77" s="120">
        <f>IF(CM68&lt;$E71,0,IF(AND(CM68&gt;=$E71,CM68&lt;=($E71+$E77-1)),Вводные!$D$30,Вводные!$E$30))</f>
        <v>2.1999999999999999E-2</v>
      </c>
      <c r="CN77" s="120">
        <f>IF(CN68&lt;$E71,0,IF(AND(CN68&gt;=$E71,CN68&lt;=($E71+$E77-1)),Вводные!$D$30,Вводные!$E$30))</f>
        <v>2.1999999999999999E-2</v>
      </c>
      <c r="CO77" s="120">
        <f>IF(CO68&lt;$E71,0,IF(AND(CO68&gt;=$E71,CO68&lt;=($E71+$E77-1)),Вводные!$D$30,Вводные!$E$30))</f>
        <v>2.1999999999999999E-2</v>
      </c>
      <c r="CP77" s="120">
        <f>IF(CP68&lt;$E71,0,IF(AND(CP68&gt;=$E71,CP68&lt;=($E71+$E77-1)),Вводные!$D$30,Вводные!$E$30))</f>
        <v>2.1999999999999999E-2</v>
      </c>
      <c r="CQ77" s="120">
        <f>IF(CQ68&lt;$E71,0,IF(AND(CQ68&gt;=$E71,CQ68&lt;=($E71+$E77-1)),Вводные!$D$30,Вводные!$E$30))</f>
        <v>2.1999999999999999E-2</v>
      </c>
      <c r="CR77" s="120">
        <f>IF(CR68&lt;$E71,0,IF(AND(CR68&gt;=$E71,CR68&lt;=($E71+$E77-1)),Вводные!$D$30,Вводные!$E$30))</f>
        <v>2.1999999999999999E-2</v>
      </c>
      <c r="CS77" s="120">
        <f>IF(CS68&lt;$E71,0,IF(AND(CS68&gt;=$E71,CS68&lt;=($E71+$E77-1)),Вводные!$D$30,Вводные!$E$30))</f>
        <v>2.1999999999999999E-2</v>
      </c>
      <c r="CT77" s="120">
        <f>IF(CT68&lt;$E71,0,IF(AND(CT68&gt;=$E71,CT68&lt;=($E71+$E77-1)),Вводные!$D$30,Вводные!$E$30))</f>
        <v>2.1999999999999999E-2</v>
      </c>
      <c r="CU77" s="120">
        <f>IF(CU68&lt;$E71,0,IF(AND(CU68&gt;=$E71,CU68&lt;=($E71+$E77-1)),Вводные!$D$30,Вводные!$E$30))</f>
        <v>2.1999999999999999E-2</v>
      </c>
      <c r="CV77" s="120">
        <f>IF(CV68&lt;$E71,0,IF(AND(CV68&gt;=$E71,CV68&lt;=($E71+$E77-1)),Вводные!$D$30,Вводные!$E$30))</f>
        <v>2.1999999999999999E-2</v>
      </c>
      <c r="CW77" s="120">
        <f>IF(CW68&lt;$E71,0,IF(AND(CW68&gt;=$E71,CW68&lt;=($E71+$E77-1)),Вводные!$D$30,Вводные!$E$30))</f>
        <v>2.1999999999999999E-2</v>
      </c>
      <c r="CX77" s="120">
        <f>IF(CX68&lt;$E71,0,IF(AND(CX68&gt;=$E71,CX68&lt;=($E71+$E77-1)),Вводные!$D$30,Вводные!$E$30))</f>
        <v>2.1999999999999999E-2</v>
      </c>
      <c r="CY77" s="120">
        <f>IF(CY68&lt;$E71,0,IF(AND(CY68&gt;=$E71,CY68&lt;=($E71+$E77-1)),Вводные!$D$30,Вводные!$E$30))</f>
        <v>2.1999999999999999E-2</v>
      </c>
      <c r="CZ77" s="120">
        <f>IF(CZ68&lt;$E71,0,IF(AND(CZ68&gt;=$E71,CZ68&lt;=($E71+$E77-1)),Вводные!$D$30,Вводные!$E$30))</f>
        <v>2.1999999999999999E-2</v>
      </c>
      <c r="DA77" s="120">
        <f>IF(DA68&lt;$E71,0,IF(AND(DA68&gt;=$E71,DA68&lt;=($E71+$E77-1)),Вводные!$D$30,Вводные!$E$30))</f>
        <v>2.1999999999999999E-2</v>
      </c>
      <c r="DB77" s="120">
        <f>IF(DB68&lt;$E71,0,IF(AND(DB68&gt;=$E71,DB68&lt;=($E71+$E77-1)),Вводные!$D$30,Вводные!$E$30))</f>
        <v>2.1999999999999999E-2</v>
      </c>
      <c r="DC77" s="120">
        <f>IF(DC68&lt;$E71,0,IF(AND(DC68&gt;=$E71,DC68&lt;=($E71+$E77-1)),Вводные!$D$30,Вводные!$E$30))</f>
        <v>2.1999999999999999E-2</v>
      </c>
      <c r="DD77" s="120">
        <f>IF(DD68&lt;$E71,0,IF(AND(DD68&gt;=$E71,DD68&lt;=($E71+$E77-1)),Вводные!$D$30,Вводные!$E$30))</f>
        <v>2.1999999999999999E-2</v>
      </c>
      <c r="DE77" s="120">
        <f>IF(DE68&lt;$E71,0,IF(AND(DE68&gt;=$E71,DE68&lt;=($E71+$E77-1)),Вводные!$D$30,Вводные!$E$30))</f>
        <v>2.1999999999999999E-2</v>
      </c>
      <c r="DF77" s="120">
        <f>IF(DF68&lt;$E71,0,IF(AND(DF68&gt;=$E71,DF68&lt;=($E71+$E77-1)),Вводные!$D$30,Вводные!$E$30))</f>
        <v>2.1999999999999999E-2</v>
      </c>
      <c r="DG77" s="120">
        <f>IF(DG68&lt;$E71,0,IF(AND(DG68&gt;=$E71,DG68&lt;=($E71+$E77-1)),Вводные!$D$30,Вводные!$E$30))</f>
        <v>2.1999999999999999E-2</v>
      </c>
      <c r="DH77" s="120">
        <f>IF(DH68&lt;$E71,0,IF(AND(DH68&gt;=$E71,DH68&lt;=($E71+$E77-1)),Вводные!$D$30,Вводные!$E$30))</f>
        <v>2.1999999999999999E-2</v>
      </c>
      <c r="DI77" s="120">
        <f>IF(DI68&lt;$E71,0,IF(AND(DI68&gt;=$E71,DI68&lt;=($E71+$E77-1)),Вводные!$D$30,Вводные!$E$30))</f>
        <v>2.1999999999999999E-2</v>
      </c>
      <c r="DJ77" s="120">
        <f>IF(DJ68&lt;$E71,0,IF(AND(DJ68&gt;=$E71,DJ68&lt;=($E71+$E77-1)),Вводные!$D$30,Вводные!$E$30))</f>
        <v>2.1999999999999999E-2</v>
      </c>
      <c r="DK77" s="120">
        <f>IF(DK68&lt;$E71,0,IF(AND(DK68&gt;=$E71,DK68&lt;=($E71+$E77-1)),Вводные!$D$30,Вводные!$E$30))</f>
        <v>2.1999999999999999E-2</v>
      </c>
      <c r="DL77" s="120">
        <f>IF(DL68&lt;$E71,0,IF(AND(DL68&gt;=$E71,DL68&lt;=($E71+$E77-1)),Вводные!$D$30,Вводные!$E$30))</f>
        <v>2.1999999999999999E-2</v>
      </c>
      <c r="DM77" s="120">
        <f>IF(DM68&lt;$E71,0,IF(AND(DM68&gt;=$E71,DM68&lt;=($E71+$E77-1)),Вводные!$D$30,Вводные!$E$30))</f>
        <v>2.1999999999999999E-2</v>
      </c>
      <c r="DN77" s="120">
        <f>IF(DN68&lt;$E71,0,IF(AND(DN68&gt;=$E71,DN68&lt;=($E71+$E77-1)),Вводные!$D$30,Вводные!$E$30))</f>
        <v>2.1999999999999999E-2</v>
      </c>
      <c r="DO77" s="120">
        <f>IF(DO68&lt;$E71,0,IF(AND(DO68&gt;=$E71,DO68&lt;=($E71+$E77-1)),Вводные!$D$30,Вводные!$E$30))</f>
        <v>2.1999999999999999E-2</v>
      </c>
      <c r="DP77" s="120">
        <f>IF(DP68&lt;$E71,0,IF(AND(DP68&gt;=$E71,DP68&lt;=($E71+$E77-1)),Вводные!$D$30,Вводные!$E$30))</f>
        <v>2.1999999999999999E-2</v>
      </c>
      <c r="DQ77" s="120">
        <f>IF(DQ68&lt;$E71,0,IF(AND(DQ68&gt;=$E71,DQ68&lt;=($E71+$E77-1)),Вводные!$D$30,Вводные!$E$30))</f>
        <v>2.1999999999999999E-2</v>
      </c>
      <c r="DR77" s="120">
        <f>IF(DR68&lt;$E71,0,IF(AND(DR68&gt;=$E71,DR68&lt;=($E71+$E77-1)),Вводные!$D$30,Вводные!$E$30))</f>
        <v>2.1999999999999999E-2</v>
      </c>
      <c r="DS77" s="120">
        <f>IF(DS68&lt;$E71,0,IF(AND(DS68&gt;=$E71,DS68&lt;=($E71+$E77-1)),Вводные!$D$30,Вводные!$E$30))</f>
        <v>2.1999999999999999E-2</v>
      </c>
      <c r="DT77" s="120">
        <f>IF(DT68&lt;$E71,0,IF(AND(DT68&gt;=$E71,DT68&lt;=($E71+$E77-1)),Вводные!$D$30,Вводные!$E$30))</f>
        <v>2.1999999999999999E-2</v>
      </c>
      <c r="DU77" s="120">
        <f>IF(DU68&lt;$E71,0,IF(AND(DU68&gt;=$E71,DU68&lt;=($E71+$E77-1)),Вводные!$D$30,Вводные!$E$30))</f>
        <v>2.1999999999999999E-2</v>
      </c>
      <c r="DV77" s="120">
        <f>IF(DV68&lt;$E71,0,IF(AND(DV68&gt;=$E71,DV68&lt;=($E71+$E77-1)),Вводные!$D$30,Вводные!$E$30))</f>
        <v>2.1999999999999999E-2</v>
      </c>
      <c r="DW77" s="120">
        <f>IF(DW68&lt;$E71,0,IF(AND(DW68&gt;=$E71,DW68&lt;=($E71+$E77-1)),Вводные!$D$30,Вводные!$E$30))</f>
        <v>2.1999999999999999E-2</v>
      </c>
      <c r="DX77" s="120">
        <f>IF(DX68&lt;$E71,0,IF(AND(DX68&gt;=$E71,DX68&lt;=($E71+$E77-1)),Вводные!$D$30,Вводные!$E$30))</f>
        <v>2.1999999999999999E-2</v>
      </c>
      <c r="DY77" s="120">
        <f>IF(DY68&lt;$E71,0,IF(AND(DY68&gt;=$E71,DY68&lt;=($E71+$E77-1)),Вводные!$D$30,Вводные!$E$30))</f>
        <v>2.1999999999999999E-2</v>
      </c>
      <c r="DZ77" s="120">
        <f>IF(DZ68&lt;$E71,0,IF(AND(DZ68&gt;=$E71,DZ68&lt;=($E71+$E77-1)),Вводные!$D$30,Вводные!$E$30))</f>
        <v>2.1999999999999999E-2</v>
      </c>
      <c r="EA77" s="120">
        <f>IF(EA68&lt;$E71,0,IF(AND(EA68&gt;=$E71,EA68&lt;=($E71+$E77-1)),Вводные!$D$30,Вводные!$E$30))</f>
        <v>2.1999999999999999E-2</v>
      </c>
      <c r="EB77" s="120">
        <f>IF(EB68&lt;$E71,0,IF(AND(EB68&gt;=$E71,EB68&lt;=($E71+$E77-1)),Вводные!$D$30,Вводные!$E$30))</f>
        <v>2.1999999999999999E-2</v>
      </c>
      <c r="EC77" s="120">
        <f>IF(EC68&lt;$E71,0,IF(AND(EC68&gt;=$E71,EC68&lt;=($E71+$E77-1)),Вводные!$D$30,Вводные!$E$30))</f>
        <v>2.1999999999999999E-2</v>
      </c>
      <c r="ED77" s="120">
        <f>IF(ED68&lt;$E71,0,IF(AND(ED68&gt;=$E71,ED68&lt;=($E71+$E77-1)),Вводные!$D$30,Вводные!$E$30))</f>
        <v>2.1999999999999999E-2</v>
      </c>
      <c r="EE77" s="120">
        <f>IF(EE68&lt;$E71,0,IF(AND(EE68&gt;=$E71,EE68&lt;=($E71+$E77-1)),Вводные!$D$30,Вводные!$E$30))</f>
        <v>2.1999999999999999E-2</v>
      </c>
      <c r="EF77" s="120">
        <f>IF(EF68&lt;$E71,0,IF(AND(EF68&gt;=$E71,EF68&lt;=($E71+$E77-1)),Вводные!$D$30,Вводные!$E$30))</f>
        <v>2.1999999999999999E-2</v>
      </c>
      <c r="EG77" s="120">
        <f>IF(EG68&lt;$E71,0,IF(AND(EG68&gt;=$E71,EG68&lt;=($E71+$E77-1)),Вводные!$D$30,Вводные!$E$30))</f>
        <v>2.1999999999999999E-2</v>
      </c>
      <c r="EH77" s="120">
        <f>IF(EH68&lt;$E71,0,IF(AND(EH68&gt;=$E71,EH68&lt;=($E71+$E77-1)),Вводные!$D$30,Вводные!$E$30))</f>
        <v>2.1999999999999999E-2</v>
      </c>
      <c r="EI77" s="120">
        <f>IF(EI68&lt;$E71,0,IF(AND(EI68&gt;=$E71,EI68&lt;=($E71+$E77-1)),Вводные!$D$30,Вводные!$E$30))</f>
        <v>2.1999999999999999E-2</v>
      </c>
      <c r="EJ77" s="120">
        <f>IF(EJ68&lt;$E71,0,IF(AND(EJ68&gt;=$E71,EJ68&lt;=($E71+$E77-1)),Вводные!$D$30,Вводные!$E$30))</f>
        <v>2.1999999999999999E-2</v>
      </c>
      <c r="EK77" s="120">
        <f>IF(EK68&lt;$E71,0,IF(AND(EK68&gt;=$E71,EK68&lt;=($E71+$E77-1)),Вводные!$D$30,Вводные!$E$30))</f>
        <v>2.1999999999999999E-2</v>
      </c>
      <c r="EL77" s="120">
        <f>IF(EL68&lt;$E71,0,IF(AND(EL68&gt;=$E71,EL68&lt;=($E71+$E77-1)),Вводные!$D$30,Вводные!$E$30))</f>
        <v>2.1999999999999999E-2</v>
      </c>
      <c r="EM77" s="120">
        <f>IF(EM68&lt;$E71,0,IF(AND(EM68&gt;=$E71,EM68&lt;=($E71+$E77-1)),Вводные!$D$30,Вводные!$E$30))</f>
        <v>2.1999999999999999E-2</v>
      </c>
      <c r="EN77" s="120">
        <f>IF(EN68&lt;$E71,0,IF(AND(EN68&gt;=$E71,EN68&lt;=($E71+$E77-1)),Вводные!$D$30,Вводные!$E$30))</f>
        <v>2.1999999999999999E-2</v>
      </c>
    </row>
    <row r="78" spans="2:144" outlineLevel="1">
      <c r="C78" s="151" t="s">
        <v>22</v>
      </c>
      <c r="D78" s="44"/>
      <c r="E78" s="469"/>
      <c r="F78" s="44"/>
      <c r="G78" s="44"/>
      <c r="H78" s="44">
        <f t="shared" ref="H78:AM78" si="127">H77*H76/4</f>
        <v>0</v>
      </c>
      <c r="I78" s="44">
        <f t="shared" si="127"/>
        <v>0</v>
      </c>
      <c r="J78" s="44">
        <f t="shared" si="127"/>
        <v>0</v>
      </c>
      <c r="K78" s="44">
        <f t="shared" si="127"/>
        <v>0</v>
      </c>
      <c r="L78" s="44">
        <f t="shared" si="127"/>
        <v>0</v>
      </c>
      <c r="M78" s="44">
        <f t="shared" si="127"/>
        <v>0</v>
      </c>
      <c r="N78" s="44">
        <f t="shared" si="127"/>
        <v>0</v>
      </c>
      <c r="O78" s="44">
        <f t="shared" si="127"/>
        <v>0</v>
      </c>
      <c r="P78" s="44">
        <f t="shared" si="127"/>
        <v>0</v>
      </c>
      <c r="Q78" s="44">
        <f t="shared" si="127"/>
        <v>0</v>
      </c>
      <c r="R78" s="44">
        <f t="shared" si="127"/>
        <v>0</v>
      </c>
      <c r="S78" s="44">
        <f t="shared" si="127"/>
        <v>0</v>
      </c>
      <c r="T78" s="44">
        <f t="shared" si="127"/>
        <v>0</v>
      </c>
      <c r="U78" s="44">
        <f t="shared" si="127"/>
        <v>0</v>
      </c>
      <c r="V78" s="44">
        <f t="shared" si="127"/>
        <v>0</v>
      </c>
      <c r="W78" s="44">
        <f t="shared" si="127"/>
        <v>0</v>
      </c>
      <c r="X78" s="44">
        <f t="shared" si="127"/>
        <v>0</v>
      </c>
      <c r="Y78" s="44">
        <f t="shared" si="127"/>
        <v>0</v>
      </c>
      <c r="Z78" s="44">
        <f t="shared" si="127"/>
        <v>0</v>
      </c>
      <c r="AA78" s="44">
        <f t="shared" si="127"/>
        <v>0</v>
      </c>
      <c r="AB78" s="44">
        <f t="shared" si="127"/>
        <v>0</v>
      </c>
      <c r="AC78" s="44">
        <f t="shared" si="127"/>
        <v>0</v>
      </c>
      <c r="AD78" s="44">
        <f t="shared" si="127"/>
        <v>0</v>
      </c>
      <c r="AE78" s="44">
        <f t="shared" si="127"/>
        <v>0</v>
      </c>
      <c r="AF78" s="44">
        <f t="shared" si="127"/>
        <v>0</v>
      </c>
      <c r="AG78" s="44">
        <f t="shared" si="127"/>
        <v>0</v>
      </c>
      <c r="AH78" s="44">
        <f t="shared" si="127"/>
        <v>0</v>
      </c>
      <c r="AI78" s="44">
        <f t="shared" si="127"/>
        <v>0</v>
      </c>
      <c r="AJ78" s="44">
        <f t="shared" si="127"/>
        <v>0</v>
      </c>
      <c r="AK78" s="44">
        <f t="shared" si="127"/>
        <v>0</v>
      </c>
      <c r="AL78" s="44">
        <f t="shared" si="127"/>
        <v>0</v>
      </c>
      <c r="AM78" s="44">
        <f t="shared" si="127"/>
        <v>0</v>
      </c>
      <c r="AN78" s="44">
        <f t="shared" ref="AN78:BS78" si="128">AN77*AN76/4</f>
        <v>0</v>
      </c>
      <c r="AO78" s="44">
        <f t="shared" si="128"/>
        <v>0</v>
      </c>
      <c r="AP78" s="44">
        <f t="shared" si="128"/>
        <v>0</v>
      </c>
      <c r="AQ78" s="44">
        <f t="shared" si="128"/>
        <v>0</v>
      </c>
      <c r="AR78" s="44">
        <f t="shared" si="128"/>
        <v>0</v>
      </c>
      <c r="AS78" s="44">
        <f t="shared" si="128"/>
        <v>0</v>
      </c>
      <c r="AT78" s="44">
        <f t="shared" si="128"/>
        <v>0</v>
      </c>
      <c r="AU78" s="44">
        <f t="shared" si="128"/>
        <v>0</v>
      </c>
      <c r="AV78" s="44">
        <f t="shared" si="128"/>
        <v>0</v>
      </c>
      <c r="AW78" s="44">
        <f t="shared" si="128"/>
        <v>0</v>
      </c>
      <c r="AX78" s="44">
        <f t="shared" si="128"/>
        <v>0</v>
      </c>
      <c r="AY78" s="44">
        <f t="shared" si="128"/>
        <v>0</v>
      </c>
      <c r="AZ78" s="44">
        <f t="shared" si="128"/>
        <v>0</v>
      </c>
      <c r="BA78" s="44">
        <f t="shared" si="128"/>
        <v>0</v>
      </c>
      <c r="BB78" s="44">
        <f t="shared" si="128"/>
        <v>0</v>
      </c>
      <c r="BC78" s="44">
        <f t="shared" si="128"/>
        <v>0</v>
      </c>
      <c r="BD78" s="44">
        <f t="shared" si="128"/>
        <v>0</v>
      </c>
      <c r="BE78" s="44">
        <f t="shared" si="128"/>
        <v>0</v>
      </c>
      <c r="BF78" s="44">
        <f t="shared" si="128"/>
        <v>0</v>
      </c>
      <c r="BG78" s="44">
        <f t="shared" si="128"/>
        <v>0</v>
      </c>
      <c r="BH78" s="44">
        <f t="shared" si="128"/>
        <v>3419479.5406020861</v>
      </c>
      <c r="BI78" s="44">
        <f t="shared" si="128"/>
        <v>3377522.7364229197</v>
      </c>
      <c r="BJ78" s="44">
        <f t="shared" si="128"/>
        <v>3335565.9322437528</v>
      </c>
      <c r="BK78" s="44">
        <f t="shared" si="128"/>
        <v>3293609.1280645858</v>
      </c>
      <c r="BL78" s="44">
        <f t="shared" si="128"/>
        <v>3251652.3238854189</v>
      </c>
      <c r="BM78" s="44">
        <f t="shared" si="128"/>
        <v>3209695.5197062525</v>
      </c>
      <c r="BN78" s="44">
        <f t="shared" si="128"/>
        <v>3167738.7155270856</v>
      </c>
      <c r="BO78" s="44">
        <f t="shared" si="128"/>
        <v>3125781.9113479187</v>
      </c>
      <c r="BP78" s="44">
        <f t="shared" si="128"/>
        <v>3083825.1071687518</v>
      </c>
      <c r="BQ78" s="44">
        <f t="shared" si="128"/>
        <v>3041868.3029895853</v>
      </c>
      <c r="BR78" s="44">
        <f t="shared" si="128"/>
        <v>2999911.4988104184</v>
      </c>
      <c r="BS78" s="44">
        <f t="shared" si="128"/>
        <v>2957954.6946312515</v>
      </c>
      <c r="BT78" s="44">
        <f t="shared" ref="BT78:CY78" si="129">BT77*BT76/4</f>
        <v>2915997.8904520846</v>
      </c>
      <c r="BU78" s="44">
        <f t="shared" si="129"/>
        <v>2874041.0862729182</v>
      </c>
      <c r="BV78" s="44">
        <f t="shared" si="129"/>
        <v>2832084.2820937512</v>
      </c>
      <c r="BW78" s="44">
        <f t="shared" si="129"/>
        <v>2790127.4779145843</v>
      </c>
      <c r="BX78" s="44">
        <f t="shared" si="129"/>
        <v>2748170.6737354174</v>
      </c>
      <c r="BY78" s="44">
        <f t="shared" si="129"/>
        <v>2706213.869556251</v>
      </c>
      <c r="BZ78" s="44">
        <f t="shared" si="129"/>
        <v>2664257.0653770841</v>
      </c>
      <c r="CA78" s="44">
        <f t="shared" si="129"/>
        <v>2622300.2611979172</v>
      </c>
      <c r="CB78" s="44">
        <f t="shared" si="129"/>
        <v>2580343.4570187503</v>
      </c>
      <c r="CC78" s="44">
        <f t="shared" si="129"/>
        <v>2538386.6528395838</v>
      </c>
      <c r="CD78" s="44">
        <f t="shared" si="129"/>
        <v>2496429.8486604169</v>
      </c>
      <c r="CE78" s="44">
        <f t="shared" si="129"/>
        <v>2454473.04448125</v>
      </c>
      <c r="CF78" s="44">
        <f t="shared" si="129"/>
        <v>2412516.2403020831</v>
      </c>
      <c r="CG78" s="44">
        <f t="shared" si="129"/>
        <v>2370559.4361229166</v>
      </c>
      <c r="CH78" s="44">
        <f t="shared" si="129"/>
        <v>2328602.6319437497</v>
      </c>
      <c r="CI78" s="44">
        <f t="shared" si="129"/>
        <v>2286645.8277645828</v>
      </c>
      <c r="CJ78" s="44">
        <f t="shared" si="129"/>
        <v>2244689.0235854159</v>
      </c>
      <c r="CK78" s="44">
        <f t="shared" si="129"/>
        <v>2202732.2194062495</v>
      </c>
      <c r="CL78" s="44">
        <f t="shared" si="129"/>
        <v>2160775.4152270826</v>
      </c>
      <c r="CM78" s="44">
        <f t="shared" si="129"/>
        <v>2118818.6110479156</v>
      </c>
      <c r="CN78" s="44">
        <f t="shared" si="129"/>
        <v>2076861.806868749</v>
      </c>
      <c r="CO78" s="44">
        <f t="shared" si="129"/>
        <v>2034905.0026895821</v>
      </c>
      <c r="CP78" s="44">
        <f t="shared" si="129"/>
        <v>1992948.1985104154</v>
      </c>
      <c r="CQ78" s="44">
        <f t="shared" si="129"/>
        <v>1950991.3943312485</v>
      </c>
      <c r="CR78" s="44">
        <f t="shared" si="129"/>
        <v>1909034.5901520818</v>
      </c>
      <c r="CS78" s="44">
        <f t="shared" si="129"/>
        <v>1867077.7859729149</v>
      </c>
      <c r="CT78" s="44">
        <f t="shared" si="129"/>
        <v>1825120.9817937482</v>
      </c>
      <c r="CU78" s="44">
        <f t="shared" si="129"/>
        <v>1783164.1776145813</v>
      </c>
      <c r="CV78" s="44">
        <f t="shared" si="129"/>
        <v>1741207.3734354146</v>
      </c>
      <c r="CW78" s="44">
        <f t="shared" si="129"/>
        <v>1699250.569256248</v>
      </c>
      <c r="CX78" s="44">
        <f t="shared" si="129"/>
        <v>1657293.765077081</v>
      </c>
      <c r="CY78" s="44">
        <f t="shared" si="129"/>
        <v>1615336.9608979144</v>
      </c>
      <c r="CZ78" s="44">
        <f t="shared" ref="CZ78:EE78" si="130">CZ77*CZ76/4</f>
        <v>1573380.1567187475</v>
      </c>
      <c r="DA78" s="44">
        <f t="shared" si="130"/>
        <v>1531423.3525395808</v>
      </c>
      <c r="DB78" s="44">
        <f t="shared" si="130"/>
        <v>1489466.5483604139</v>
      </c>
      <c r="DC78" s="44">
        <f t="shared" si="130"/>
        <v>1447509.7441812472</v>
      </c>
      <c r="DD78" s="44">
        <f t="shared" si="130"/>
        <v>1405552.9400020803</v>
      </c>
      <c r="DE78" s="44">
        <f t="shared" si="130"/>
        <v>1363596.1358229136</v>
      </c>
      <c r="DF78" s="44">
        <f t="shared" si="130"/>
        <v>1321639.3316437467</v>
      </c>
      <c r="DG78" s="44">
        <f t="shared" si="130"/>
        <v>1279682.52746458</v>
      </c>
      <c r="DH78" s="44">
        <f t="shared" si="130"/>
        <v>1237725.7232854131</v>
      </c>
      <c r="DI78" s="44">
        <f t="shared" si="130"/>
        <v>1195768.9191062464</v>
      </c>
      <c r="DJ78" s="44">
        <f t="shared" si="130"/>
        <v>1153812.1149270795</v>
      </c>
      <c r="DK78" s="44">
        <f t="shared" si="130"/>
        <v>1111855.3107479129</v>
      </c>
      <c r="DL78" s="44">
        <f t="shared" si="130"/>
        <v>1069898.5065687459</v>
      </c>
      <c r="DM78" s="44">
        <f t="shared" si="130"/>
        <v>1027941.7023895791</v>
      </c>
      <c r="DN78" s="44">
        <f t="shared" si="130"/>
        <v>985984.89821041236</v>
      </c>
      <c r="DO78" s="44">
        <f t="shared" si="130"/>
        <v>944028.09403124556</v>
      </c>
      <c r="DP78" s="44">
        <f t="shared" si="130"/>
        <v>902071.28985207877</v>
      </c>
      <c r="DQ78" s="44">
        <f t="shared" si="130"/>
        <v>860114.48567291198</v>
      </c>
      <c r="DR78" s="44">
        <f t="shared" si="130"/>
        <v>818157.68149374519</v>
      </c>
      <c r="DS78" s="44">
        <f t="shared" si="130"/>
        <v>776200.87731457839</v>
      </c>
      <c r="DT78" s="44">
        <f t="shared" si="130"/>
        <v>734244.0731354116</v>
      </c>
      <c r="DU78" s="44">
        <f t="shared" si="130"/>
        <v>692287.26895624504</v>
      </c>
      <c r="DV78" s="44">
        <f t="shared" si="130"/>
        <v>650330.46477707825</v>
      </c>
      <c r="DW78" s="44">
        <f t="shared" si="130"/>
        <v>608373.66059791157</v>
      </c>
      <c r="DX78" s="44">
        <f t="shared" si="130"/>
        <v>566416.85641874478</v>
      </c>
      <c r="DY78" s="44">
        <f t="shared" si="130"/>
        <v>524460.05223957822</v>
      </c>
      <c r="DZ78" s="44">
        <f t="shared" si="130"/>
        <v>482503.24806041137</v>
      </c>
      <c r="EA78" s="44">
        <f t="shared" si="130"/>
        <v>440546.44388124475</v>
      </c>
      <c r="EB78" s="44">
        <f t="shared" si="130"/>
        <v>398589.63970207796</v>
      </c>
      <c r="EC78" s="44">
        <f t="shared" si="130"/>
        <v>356632.83552291128</v>
      </c>
      <c r="ED78" s="44">
        <f t="shared" si="130"/>
        <v>314676.0313437446</v>
      </c>
      <c r="EE78" s="44">
        <f t="shared" si="130"/>
        <v>272719.22716457787</v>
      </c>
      <c r="EF78" s="44">
        <f t="shared" ref="EF78:EN78" si="131">EF77*EF76/4</f>
        <v>230762.42298541116</v>
      </c>
      <c r="EG78" s="44">
        <f t="shared" si="131"/>
        <v>188805.61880624446</v>
      </c>
      <c r="EH78" s="44">
        <f t="shared" si="131"/>
        <v>146848.81462707769</v>
      </c>
      <c r="EI78" s="44">
        <f t="shared" si="131"/>
        <v>104892.010447911</v>
      </c>
      <c r="EJ78" s="44">
        <f t="shared" si="131"/>
        <v>62935.206268744252</v>
      </c>
      <c r="EK78" s="44">
        <f t="shared" si="131"/>
        <v>20978.402089580446</v>
      </c>
      <c r="EL78" s="44">
        <f t="shared" si="131"/>
        <v>0</v>
      </c>
      <c r="EM78" s="44">
        <f t="shared" si="131"/>
        <v>0</v>
      </c>
      <c r="EN78" s="44">
        <f t="shared" si="131"/>
        <v>0</v>
      </c>
    </row>
    <row r="79" spans="2:144" ht="15.75">
      <c r="B79" s="40"/>
      <c r="C79" s="22"/>
      <c r="E79" s="40"/>
      <c r="F79" s="40"/>
      <c r="G79" s="40"/>
      <c r="H79" s="463">
        <f t="shared" ref="H79:BD79" si="132">YEAR(H81)</f>
        <v>2022</v>
      </c>
      <c r="I79" s="463">
        <f t="shared" si="132"/>
        <v>2022</v>
      </c>
      <c r="J79" s="463">
        <f t="shared" si="132"/>
        <v>2022</v>
      </c>
      <c r="K79" s="463">
        <f t="shared" si="132"/>
        <v>2022</v>
      </c>
      <c r="L79" s="463">
        <f t="shared" si="132"/>
        <v>2023</v>
      </c>
      <c r="M79" s="463">
        <f t="shared" si="132"/>
        <v>2023</v>
      </c>
      <c r="N79" s="463">
        <f t="shared" si="132"/>
        <v>2023</v>
      </c>
      <c r="O79" s="463">
        <f t="shared" si="132"/>
        <v>2023</v>
      </c>
      <c r="P79" s="463">
        <f t="shared" si="132"/>
        <v>2024</v>
      </c>
      <c r="Q79" s="463">
        <f t="shared" si="132"/>
        <v>2024</v>
      </c>
      <c r="R79" s="463">
        <f t="shared" si="132"/>
        <v>2024</v>
      </c>
      <c r="S79" s="463">
        <f t="shared" si="132"/>
        <v>2024</v>
      </c>
      <c r="T79" s="463">
        <f t="shared" si="132"/>
        <v>2025</v>
      </c>
      <c r="U79" s="463">
        <f t="shared" si="132"/>
        <v>2025</v>
      </c>
      <c r="V79" s="463">
        <f t="shared" si="132"/>
        <v>2025</v>
      </c>
      <c r="W79" s="463">
        <f t="shared" si="132"/>
        <v>2025</v>
      </c>
      <c r="X79" s="463">
        <f t="shared" si="132"/>
        <v>2026</v>
      </c>
      <c r="Y79" s="463">
        <f t="shared" si="132"/>
        <v>2026</v>
      </c>
      <c r="Z79" s="463">
        <f t="shared" si="132"/>
        <v>2026</v>
      </c>
      <c r="AA79" s="463">
        <f t="shared" si="132"/>
        <v>2026</v>
      </c>
      <c r="AB79" s="463">
        <f t="shared" si="132"/>
        <v>2027</v>
      </c>
      <c r="AC79" s="463">
        <f t="shared" si="132"/>
        <v>2027</v>
      </c>
      <c r="AD79" s="463">
        <f t="shared" si="132"/>
        <v>2027</v>
      </c>
      <c r="AE79" s="463">
        <f t="shared" si="132"/>
        <v>2027</v>
      </c>
      <c r="AF79" s="463">
        <f t="shared" si="132"/>
        <v>2028</v>
      </c>
      <c r="AG79" s="463">
        <f t="shared" si="132"/>
        <v>2028</v>
      </c>
      <c r="AH79" s="463">
        <f t="shared" si="132"/>
        <v>2028</v>
      </c>
      <c r="AI79" s="463">
        <f t="shared" si="132"/>
        <v>2028</v>
      </c>
      <c r="AJ79" s="463">
        <f t="shared" si="132"/>
        <v>2029</v>
      </c>
      <c r="AK79" s="463">
        <f t="shared" si="132"/>
        <v>2029</v>
      </c>
      <c r="AL79" s="463">
        <f t="shared" si="132"/>
        <v>2029</v>
      </c>
      <c r="AM79" s="463">
        <f t="shared" si="132"/>
        <v>2029</v>
      </c>
      <c r="AN79" s="463">
        <f t="shared" si="132"/>
        <v>2030</v>
      </c>
      <c r="AO79" s="463">
        <f t="shared" si="132"/>
        <v>2030</v>
      </c>
      <c r="AP79" s="463">
        <f t="shared" si="132"/>
        <v>2030</v>
      </c>
      <c r="AQ79" s="463">
        <f t="shared" si="132"/>
        <v>2030</v>
      </c>
      <c r="AR79" s="463">
        <f t="shared" si="132"/>
        <v>2031</v>
      </c>
      <c r="AS79" s="463">
        <f t="shared" si="132"/>
        <v>2031</v>
      </c>
      <c r="AT79" s="463">
        <f t="shared" si="132"/>
        <v>2031</v>
      </c>
      <c r="AU79" s="463">
        <f t="shared" si="132"/>
        <v>2031</v>
      </c>
      <c r="AV79" s="463">
        <f t="shared" si="132"/>
        <v>2032</v>
      </c>
      <c r="AW79" s="463">
        <f t="shared" si="132"/>
        <v>2032</v>
      </c>
      <c r="AX79" s="463">
        <f t="shared" si="132"/>
        <v>2032</v>
      </c>
      <c r="AY79" s="463">
        <f t="shared" si="132"/>
        <v>2032</v>
      </c>
      <c r="AZ79" s="463">
        <f t="shared" si="132"/>
        <v>2033</v>
      </c>
      <c r="BA79" s="463">
        <f t="shared" si="132"/>
        <v>2033</v>
      </c>
      <c r="BB79" s="463">
        <f t="shared" si="132"/>
        <v>2033</v>
      </c>
      <c r="BC79" s="463">
        <f t="shared" si="132"/>
        <v>2033</v>
      </c>
      <c r="BD79" s="463">
        <f t="shared" si="132"/>
        <v>2034</v>
      </c>
      <c r="BE79" s="463">
        <f>YEAR(BE81)</f>
        <v>2034</v>
      </c>
      <c r="BF79" s="463">
        <f>YEAR(BF81)</f>
        <v>2034</v>
      </c>
      <c r="BG79" s="463">
        <f t="shared" ref="BG79:DR79" si="133">YEAR(BG81)</f>
        <v>2034</v>
      </c>
      <c r="BH79" s="463">
        <f t="shared" si="133"/>
        <v>2035</v>
      </c>
      <c r="BI79" s="463">
        <f t="shared" si="133"/>
        <v>2035</v>
      </c>
      <c r="BJ79" s="463">
        <f t="shared" si="133"/>
        <v>2035</v>
      </c>
      <c r="BK79" s="463">
        <f t="shared" si="133"/>
        <v>2035</v>
      </c>
      <c r="BL79" s="463">
        <f t="shared" si="133"/>
        <v>2036</v>
      </c>
      <c r="BM79" s="463">
        <f t="shared" si="133"/>
        <v>2036</v>
      </c>
      <c r="BN79" s="463">
        <f t="shared" si="133"/>
        <v>2036</v>
      </c>
      <c r="BO79" s="463">
        <f t="shared" si="133"/>
        <v>2036</v>
      </c>
      <c r="BP79" s="463">
        <f t="shared" si="133"/>
        <v>2037</v>
      </c>
      <c r="BQ79" s="463">
        <f t="shared" si="133"/>
        <v>2037</v>
      </c>
      <c r="BR79" s="463">
        <f t="shared" si="133"/>
        <v>2037</v>
      </c>
      <c r="BS79" s="463">
        <f t="shared" si="133"/>
        <v>2037</v>
      </c>
      <c r="BT79" s="463">
        <f t="shared" si="133"/>
        <v>2038</v>
      </c>
      <c r="BU79" s="463">
        <f t="shared" si="133"/>
        <v>2038</v>
      </c>
      <c r="BV79" s="463">
        <f t="shared" si="133"/>
        <v>2038</v>
      </c>
      <c r="BW79" s="463">
        <f t="shared" si="133"/>
        <v>2038</v>
      </c>
      <c r="BX79" s="463">
        <f t="shared" si="133"/>
        <v>2039</v>
      </c>
      <c r="BY79" s="463">
        <f t="shared" si="133"/>
        <v>2039</v>
      </c>
      <c r="BZ79" s="463">
        <f t="shared" si="133"/>
        <v>2039</v>
      </c>
      <c r="CA79" s="463">
        <f t="shared" si="133"/>
        <v>2039</v>
      </c>
      <c r="CB79" s="463">
        <f t="shared" si="133"/>
        <v>2040</v>
      </c>
      <c r="CC79" s="463">
        <f t="shared" si="133"/>
        <v>2040</v>
      </c>
      <c r="CD79" s="463">
        <f t="shared" si="133"/>
        <v>2040</v>
      </c>
      <c r="CE79" s="463">
        <f t="shared" si="133"/>
        <v>2040</v>
      </c>
      <c r="CF79" s="463">
        <f t="shared" si="133"/>
        <v>2041</v>
      </c>
      <c r="CG79" s="463">
        <f t="shared" si="133"/>
        <v>2041</v>
      </c>
      <c r="CH79" s="463">
        <f t="shared" si="133"/>
        <v>2041</v>
      </c>
      <c r="CI79" s="463">
        <f t="shared" si="133"/>
        <v>2041</v>
      </c>
      <c r="CJ79" s="463">
        <f t="shared" si="133"/>
        <v>2042</v>
      </c>
      <c r="CK79" s="463">
        <f t="shared" si="133"/>
        <v>2042</v>
      </c>
      <c r="CL79" s="463">
        <f t="shared" si="133"/>
        <v>2042</v>
      </c>
      <c r="CM79" s="463">
        <f t="shared" si="133"/>
        <v>2042</v>
      </c>
      <c r="CN79" s="463">
        <f t="shared" si="133"/>
        <v>2043</v>
      </c>
      <c r="CO79" s="463">
        <f t="shared" si="133"/>
        <v>2043</v>
      </c>
      <c r="CP79" s="463">
        <f t="shared" si="133"/>
        <v>2043</v>
      </c>
      <c r="CQ79" s="463">
        <f t="shared" si="133"/>
        <v>2043</v>
      </c>
      <c r="CR79" s="463">
        <f t="shared" si="133"/>
        <v>2044</v>
      </c>
      <c r="CS79" s="463">
        <f t="shared" si="133"/>
        <v>2044</v>
      </c>
      <c r="CT79" s="463">
        <f t="shared" si="133"/>
        <v>2044</v>
      </c>
      <c r="CU79" s="463">
        <f t="shared" si="133"/>
        <v>2044</v>
      </c>
      <c r="CV79" s="463">
        <f t="shared" si="133"/>
        <v>2045</v>
      </c>
      <c r="CW79" s="463">
        <f t="shared" si="133"/>
        <v>2045</v>
      </c>
      <c r="CX79" s="463">
        <f t="shared" si="133"/>
        <v>2045</v>
      </c>
      <c r="CY79" s="463">
        <f t="shared" si="133"/>
        <v>2045</v>
      </c>
      <c r="CZ79" s="463">
        <f t="shared" si="133"/>
        <v>2046</v>
      </c>
      <c r="DA79" s="463">
        <f t="shared" si="133"/>
        <v>2046</v>
      </c>
      <c r="DB79" s="463">
        <f t="shared" si="133"/>
        <v>2046</v>
      </c>
      <c r="DC79" s="463">
        <f t="shared" si="133"/>
        <v>2046</v>
      </c>
      <c r="DD79" s="463">
        <f t="shared" si="133"/>
        <v>2047</v>
      </c>
      <c r="DE79" s="463">
        <f t="shared" si="133"/>
        <v>2047</v>
      </c>
      <c r="DF79" s="463">
        <f t="shared" si="133"/>
        <v>2047</v>
      </c>
      <c r="DG79" s="463">
        <f t="shared" si="133"/>
        <v>2047</v>
      </c>
      <c r="DH79" s="463">
        <f t="shared" si="133"/>
        <v>2048</v>
      </c>
      <c r="DI79" s="463">
        <f t="shared" si="133"/>
        <v>2048</v>
      </c>
      <c r="DJ79" s="463">
        <f t="shared" si="133"/>
        <v>2048</v>
      </c>
      <c r="DK79" s="463">
        <f t="shared" si="133"/>
        <v>2048</v>
      </c>
      <c r="DL79" s="463">
        <f t="shared" si="133"/>
        <v>2049</v>
      </c>
      <c r="DM79" s="463">
        <f t="shared" si="133"/>
        <v>2049</v>
      </c>
      <c r="DN79" s="463">
        <f t="shared" si="133"/>
        <v>2049</v>
      </c>
      <c r="DO79" s="463">
        <f t="shared" si="133"/>
        <v>2049</v>
      </c>
      <c r="DP79" s="463">
        <f t="shared" si="133"/>
        <v>2050</v>
      </c>
      <c r="DQ79" s="463">
        <f t="shared" si="133"/>
        <v>2050</v>
      </c>
      <c r="DR79" s="463">
        <f t="shared" si="133"/>
        <v>2050</v>
      </c>
      <c r="DS79" s="463">
        <f t="shared" ref="DS79:EN79" si="134">YEAR(DS81)</f>
        <v>2050</v>
      </c>
      <c r="DT79" s="463">
        <f t="shared" si="134"/>
        <v>2051</v>
      </c>
      <c r="DU79" s="463">
        <f t="shared" si="134"/>
        <v>2051</v>
      </c>
      <c r="DV79" s="463">
        <f t="shared" si="134"/>
        <v>2051</v>
      </c>
      <c r="DW79" s="463">
        <f t="shared" si="134"/>
        <v>2051</v>
      </c>
      <c r="DX79" s="463">
        <f t="shared" si="134"/>
        <v>2052</v>
      </c>
      <c r="DY79" s="463">
        <f t="shared" si="134"/>
        <v>2052</v>
      </c>
      <c r="DZ79" s="463">
        <f t="shared" si="134"/>
        <v>2052</v>
      </c>
      <c r="EA79" s="463">
        <f t="shared" si="134"/>
        <v>2052</v>
      </c>
      <c r="EB79" s="463">
        <f t="shared" si="134"/>
        <v>2053</v>
      </c>
      <c r="EC79" s="463">
        <f t="shared" si="134"/>
        <v>2053</v>
      </c>
      <c r="ED79" s="463">
        <f t="shared" si="134"/>
        <v>2053</v>
      </c>
      <c r="EE79" s="463">
        <f t="shared" si="134"/>
        <v>2053</v>
      </c>
      <c r="EF79" s="463">
        <f t="shared" si="134"/>
        <v>2054</v>
      </c>
      <c r="EG79" s="463">
        <f t="shared" si="134"/>
        <v>2054</v>
      </c>
      <c r="EH79" s="463">
        <f t="shared" si="134"/>
        <v>2054</v>
      </c>
      <c r="EI79" s="463">
        <f t="shared" si="134"/>
        <v>2054</v>
      </c>
      <c r="EJ79" s="463">
        <f t="shared" si="134"/>
        <v>2055</v>
      </c>
      <c r="EK79" s="463">
        <f t="shared" si="134"/>
        <v>2055</v>
      </c>
      <c r="EL79" s="463">
        <f t="shared" si="134"/>
        <v>2055</v>
      </c>
      <c r="EM79" s="463">
        <f t="shared" si="134"/>
        <v>2055</v>
      </c>
      <c r="EN79" s="463">
        <f t="shared" si="134"/>
        <v>2056</v>
      </c>
    </row>
    <row r="80" spans="2:144" ht="15.75">
      <c r="B80" s="40"/>
      <c r="C80" s="22"/>
      <c r="E80" s="40"/>
      <c r="F80" s="40"/>
      <c r="G80" s="40"/>
      <c r="H80" s="464">
        <f t="shared" ref="H80:AM80" si="135">H69</f>
        <v>44593</v>
      </c>
      <c r="I80" s="464">
        <f t="shared" si="135"/>
        <v>44652</v>
      </c>
      <c r="J80" s="464">
        <f t="shared" si="135"/>
        <v>44743</v>
      </c>
      <c r="K80" s="464">
        <f t="shared" si="135"/>
        <v>44835</v>
      </c>
      <c r="L80" s="464">
        <f t="shared" si="135"/>
        <v>44927</v>
      </c>
      <c r="M80" s="464">
        <f t="shared" si="135"/>
        <v>45017</v>
      </c>
      <c r="N80" s="464">
        <f t="shared" si="135"/>
        <v>45108</v>
      </c>
      <c r="O80" s="464">
        <f t="shared" si="135"/>
        <v>45200</v>
      </c>
      <c r="P80" s="464">
        <f t="shared" si="135"/>
        <v>45292</v>
      </c>
      <c r="Q80" s="464">
        <f t="shared" si="135"/>
        <v>45383</v>
      </c>
      <c r="R80" s="464">
        <f t="shared" si="135"/>
        <v>45474</v>
      </c>
      <c r="S80" s="464">
        <f t="shared" si="135"/>
        <v>45566</v>
      </c>
      <c r="T80" s="464">
        <f t="shared" si="135"/>
        <v>45658</v>
      </c>
      <c r="U80" s="464">
        <f t="shared" si="135"/>
        <v>45748</v>
      </c>
      <c r="V80" s="464">
        <f t="shared" si="135"/>
        <v>45839</v>
      </c>
      <c r="W80" s="464">
        <f t="shared" si="135"/>
        <v>45931</v>
      </c>
      <c r="X80" s="464">
        <f t="shared" si="135"/>
        <v>46023</v>
      </c>
      <c r="Y80" s="464">
        <f t="shared" si="135"/>
        <v>46113</v>
      </c>
      <c r="Z80" s="464">
        <f t="shared" si="135"/>
        <v>46204</v>
      </c>
      <c r="AA80" s="464">
        <f t="shared" si="135"/>
        <v>46296</v>
      </c>
      <c r="AB80" s="464">
        <f t="shared" si="135"/>
        <v>46388</v>
      </c>
      <c r="AC80" s="464">
        <f t="shared" si="135"/>
        <v>46478</v>
      </c>
      <c r="AD80" s="464">
        <f t="shared" si="135"/>
        <v>46569</v>
      </c>
      <c r="AE80" s="464">
        <f t="shared" si="135"/>
        <v>46661</v>
      </c>
      <c r="AF80" s="464">
        <f t="shared" si="135"/>
        <v>46753</v>
      </c>
      <c r="AG80" s="464">
        <f t="shared" si="135"/>
        <v>46844</v>
      </c>
      <c r="AH80" s="464">
        <f t="shared" si="135"/>
        <v>46935</v>
      </c>
      <c r="AI80" s="464">
        <f t="shared" si="135"/>
        <v>47027</v>
      </c>
      <c r="AJ80" s="464">
        <f t="shared" si="135"/>
        <v>47119</v>
      </c>
      <c r="AK80" s="464">
        <f t="shared" si="135"/>
        <v>47209</v>
      </c>
      <c r="AL80" s="464">
        <f t="shared" si="135"/>
        <v>47300</v>
      </c>
      <c r="AM80" s="464">
        <f t="shared" si="135"/>
        <v>47392</v>
      </c>
      <c r="AN80" s="464">
        <f t="shared" ref="AN80:BS80" si="136">AN69</f>
        <v>47484</v>
      </c>
      <c r="AO80" s="464">
        <f t="shared" si="136"/>
        <v>47574</v>
      </c>
      <c r="AP80" s="464">
        <f t="shared" si="136"/>
        <v>47665</v>
      </c>
      <c r="AQ80" s="464">
        <f t="shared" si="136"/>
        <v>47757</v>
      </c>
      <c r="AR80" s="464">
        <f t="shared" si="136"/>
        <v>47849</v>
      </c>
      <c r="AS80" s="464">
        <f t="shared" si="136"/>
        <v>47939</v>
      </c>
      <c r="AT80" s="464">
        <f t="shared" si="136"/>
        <v>48030</v>
      </c>
      <c r="AU80" s="464">
        <f t="shared" si="136"/>
        <v>48122</v>
      </c>
      <c r="AV80" s="464">
        <f t="shared" si="136"/>
        <v>48214</v>
      </c>
      <c r="AW80" s="464">
        <f t="shared" si="136"/>
        <v>48305</v>
      </c>
      <c r="AX80" s="464">
        <f t="shared" si="136"/>
        <v>48396</v>
      </c>
      <c r="AY80" s="464">
        <f t="shared" si="136"/>
        <v>48488</v>
      </c>
      <c r="AZ80" s="464">
        <f t="shared" si="136"/>
        <v>48580</v>
      </c>
      <c r="BA80" s="464">
        <f t="shared" si="136"/>
        <v>48670</v>
      </c>
      <c r="BB80" s="464">
        <f t="shared" si="136"/>
        <v>48761</v>
      </c>
      <c r="BC80" s="464">
        <f t="shared" si="136"/>
        <v>48853</v>
      </c>
      <c r="BD80" s="464">
        <f t="shared" si="136"/>
        <v>48945</v>
      </c>
      <c r="BE80" s="464">
        <f t="shared" si="136"/>
        <v>49035</v>
      </c>
      <c r="BF80" s="464">
        <f t="shared" si="136"/>
        <v>49126</v>
      </c>
      <c r="BG80" s="464">
        <f t="shared" si="136"/>
        <v>49218</v>
      </c>
      <c r="BH80" s="464">
        <f t="shared" si="136"/>
        <v>49310</v>
      </c>
      <c r="BI80" s="464">
        <f t="shared" si="136"/>
        <v>49400</v>
      </c>
      <c r="BJ80" s="464">
        <f t="shared" si="136"/>
        <v>49491</v>
      </c>
      <c r="BK80" s="464">
        <f t="shared" si="136"/>
        <v>49583</v>
      </c>
      <c r="BL80" s="464">
        <f t="shared" si="136"/>
        <v>49675</v>
      </c>
      <c r="BM80" s="464">
        <f t="shared" si="136"/>
        <v>49766</v>
      </c>
      <c r="BN80" s="464">
        <f t="shared" si="136"/>
        <v>49857</v>
      </c>
      <c r="BO80" s="464">
        <f t="shared" si="136"/>
        <v>49949</v>
      </c>
      <c r="BP80" s="464">
        <f t="shared" si="136"/>
        <v>50041</v>
      </c>
      <c r="BQ80" s="464">
        <f t="shared" si="136"/>
        <v>50131</v>
      </c>
      <c r="BR80" s="464">
        <f t="shared" si="136"/>
        <v>50222</v>
      </c>
      <c r="BS80" s="464">
        <f t="shared" si="136"/>
        <v>50314</v>
      </c>
      <c r="BT80" s="464">
        <f t="shared" ref="BT80:CY80" si="137">BT69</f>
        <v>50406</v>
      </c>
      <c r="BU80" s="464">
        <f t="shared" si="137"/>
        <v>50496</v>
      </c>
      <c r="BV80" s="464">
        <f t="shared" si="137"/>
        <v>50587</v>
      </c>
      <c r="BW80" s="464">
        <f t="shared" si="137"/>
        <v>50679</v>
      </c>
      <c r="BX80" s="464">
        <f t="shared" si="137"/>
        <v>50771</v>
      </c>
      <c r="BY80" s="464">
        <f t="shared" si="137"/>
        <v>50861</v>
      </c>
      <c r="BZ80" s="464">
        <f t="shared" si="137"/>
        <v>50952</v>
      </c>
      <c r="CA80" s="464">
        <f t="shared" si="137"/>
        <v>51044</v>
      </c>
      <c r="CB80" s="464">
        <f t="shared" si="137"/>
        <v>51136</v>
      </c>
      <c r="CC80" s="464">
        <f t="shared" si="137"/>
        <v>51227</v>
      </c>
      <c r="CD80" s="464">
        <f t="shared" si="137"/>
        <v>51318</v>
      </c>
      <c r="CE80" s="464">
        <f t="shared" si="137"/>
        <v>51410</v>
      </c>
      <c r="CF80" s="464">
        <f t="shared" si="137"/>
        <v>51502</v>
      </c>
      <c r="CG80" s="464">
        <f t="shared" si="137"/>
        <v>51592</v>
      </c>
      <c r="CH80" s="464">
        <f t="shared" si="137"/>
        <v>51683</v>
      </c>
      <c r="CI80" s="464">
        <f t="shared" si="137"/>
        <v>51775</v>
      </c>
      <c r="CJ80" s="464">
        <f t="shared" si="137"/>
        <v>51867</v>
      </c>
      <c r="CK80" s="464">
        <f t="shared" si="137"/>
        <v>51957</v>
      </c>
      <c r="CL80" s="464">
        <f t="shared" si="137"/>
        <v>52048</v>
      </c>
      <c r="CM80" s="464">
        <f t="shared" si="137"/>
        <v>52140</v>
      </c>
      <c r="CN80" s="464">
        <f t="shared" si="137"/>
        <v>52232</v>
      </c>
      <c r="CO80" s="464">
        <f t="shared" si="137"/>
        <v>52322</v>
      </c>
      <c r="CP80" s="464">
        <f t="shared" si="137"/>
        <v>52413</v>
      </c>
      <c r="CQ80" s="464">
        <f t="shared" si="137"/>
        <v>52505</v>
      </c>
      <c r="CR80" s="464">
        <f t="shared" si="137"/>
        <v>52597</v>
      </c>
      <c r="CS80" s="464">
        <f t="shared" si="137"/>
        <v>52688</v>
      </c>
      <c r="CT80" s="464">
        <f t="shared" si="137"/>
        <v>52779</v>
      </c>
      <c r="CU80" s="464">
        <f t="shared" si="137"/>
        <v>52871</v>
      </c>
      <c r="CV80" s="464">
        <f t="shared" si="137"/>
        <v>52963</v>
      </c>
      <c r="CW80" s="464">
        <f t="shared" si="137"/>
        <v>53053</v>
      </c>
      <c r="CX80" s="464">
        <f t="shared" si="137"/>
        <v>53144</v>
      </c>
      <c r="CY80" s="464">
        <f t="shared" si="137"/>
        <v>53236</v>
      </c>
      <c r="CZ80" s="464">
        <f t="shared" ref="CZ80:EE80" si="138">CZ69</f>
        <v>53328</v>
      </c>
      <c r="DA80" s="464">
        <f t="shared" si="138"/>
        <v>53418</v>
      </c>
      <c r="DB80" s="464">
        <f t="shared" si="138"/>
        <v>53509</v>
      </c>
      <c r="DC80" s="464">
        <f t="shared" si="138"/>
        <v>53601</v>
      </c>
      <c r="DD80" s="464">
        <f t="shared" si="138"/>
        <v>53693</v>
      </c>
      <c r="DE80" s="464">
        <f t="shared" si="138"/>
        <v>53783</v>
      </c>
      <c r="DF80" s="464">
        <f t="shared" si="138"/>
        <v>53874</v>
      </c>
      <c r="DG80" s="464">
        <f t="shared" si="138"/>
        <v>53966</v>
      </c>
      <c r="DH80" s="464">
        <f t="shared" si="138"/>
        <v>54058</v>
      </c>
      <c r="DI80" s="464">
        <f t="shared" si="138"/>
        <v>54149</v>
      </c>
      <c r="DJ80" s="464">
        <f t="shared" si="138"/>
        <v>54240</v>
      </c>
      <c r="DK80" s="464">
        <f t="shared" si="138"/>
        <v>54332</v>
      </c>
      <c r="DL80" s="464">
        <f t="shared" si="138"/>
        <v>54424</v>
      </c>
      <c r="DM80" s="464">
        <f t="shared" si="138"/>
        <v>54514</v>
      </c>
      <c r="DN80" s="464">
        <f t="shared" si="138"/>
        <v>54605</v>
      </c>
      <c r="DO80" s="464">
        <f t="shared" si="138"/>
        <v>54697</v>
      </c>
      <c r="DP80" s="464">
        <f t="shared" si="138"/>
        <v>54789</v>
      </c>
      <c r="DQ80" s="464">
        <f t="shared" si="138"/>
        <v>54879</v>
      </c>
      <c r="DR80" s="464">
        <f t="shared" si="138"/>
        <v>54970</v>
      </c>
      <c r="DS80" s="464">
        <f t="shared" si="138"/>
        <v>55062</v>
      </c>
      <c r="DT80" s="464">
        <f t="shared" si="138"/>
        <v>55154</v>
      </c>
      <c r="DU80" s="464">
        <f t="shared" si="138"/>
        <v>55244</v>
      </c>
      <c r="DV80" s="464">
        <f t="shared" si="138"/>
        <v>55335</v>
      </c>
      <c r="DW80" s="464">
        <f t="shared" si="138"/>
        <v>55427</v>
      </c>
      <c r="DX80" s="464">
        <f t="shared" si="138"/>
        <v>55519</v>
      </c>
      <c r="DY80" s="464">
        <f t="shared" si="138"/>
        <v>55610</v>
      </c>
      <c r="DZ80" s="464">
        <f t="shared" si="138"/>
        <v>55701</v>
      </c>
      <c r="EA80" s="464">
        <f t="shared" si="138"/>
        <v>55793</v>
      </c>
      <c r="EB80" s="464">
        <f t="shared" si="138"/>
        <v>55885</v>
      </c>
      <c r="EC80" s="464">
        <f t="shared" si="138"/>
        <v>55975</v>
      </c>
      <c r="ED80" s="464">
        <f t="shared" si="138"/>
        <v>56066</v>
      </c>
      <c r="EE80" s="464">
        <f t="shared" si="138"/>
        <v>56158</v>
      </c>
      <c r="EF80" s="464">
        <f t="shared" ref="EF80:EN80" si="139">EF69</f>
        <v>56250</v>
      </c>
      <c r="EG80" s="464">
        <f t="shared" si="139"/>
        <v>56340</v>
      </c>
      <c r="EH80" s="464">
        <f t="shared" si="139"/>
        <v>56431</v>
      </c>
      <c r="EI80" s="464">
        <f t="shared" si="139"/>
        <v>56523</v>
      </c>
      <c r="EJ80" s="464">
        <f t="shared" si="139"/>
        <v>56615</v>
      </c>
      <c r="EK80" s="464">
        <f t="shared" si="139"/>
        <v>56705</v>
      </c>
      <c r="EL80" s="464">
        <f t="shared" si="139"/>
        <v>56796</v>
      </c>
      <c r="EM80" s="464">
        <f t="shared" si="139"/>
        <v>56888</v>
      </c>
      <c r="EN80" s="464">
        <f t="shared" si="139"/>
        <v>56980</v>
      </c>
    </row>
    <row r="81" spans="2:144" ht="15.75">
      <c r="C81" s="22"/>
      <c r="E81" s="42"/>
      <c r="F81" s="42"/>
      <c r="G81" s="42"/>
      <c r="H81" s="464">
        <f t="shared" ref="H81:AM81" si="140">H70</f>
        <v>44651</v>
      </c>
      <c r="I81" s="464">
        <f t="shared" si="140"/>
        <v>44742</v>
      </c>
      <c r="J81" s="464">
        <f t="shared" si="140"/>
        <v>44834</v>
      </c>
      <c r="K81" s="464">
        <f t="shared" si="140"/>
        <v>44926</v>
      </c>
      <c r="L81" s="464">
        <f t="shared" si="140"/>
        <v>45016</v>
      </c>
      <c r="M81" s="464">
        <f t="shared" si="140"/>
        <v>45107</v>
      </c>
      <c r="N81" s="464">
        <f t="shared" si="140"/>
        <v>45199</v>
      </c>
      <c r="O81" s="464">
        <f t="shared" si="140"/>
        <v>45291</v>
      </c>
      <c r="P81" s="464">
        <f t="shared" si="140"/>
        <v>45382</v>
      </c>
      <c r="Q81" s="464">
        <f t="shared" si="140"/>
        <v>45473</v>
      </c>
      <c r="R81" s="464">
        <f t="shared" si="140"/>
        <v>45565</v>
      </c>
      <c r="S81" s="464">
        <f t="shared" si="140"/>
        <v>45657</v>
      </c>
      <c r="T81" s="464">
        <f t="shared" si="140"/>
        <v>45747</v>
      </c>
      <c r="U81" s="464">
        <f t="shared" si="140"/>
        <v>45838</v>
      </c>
      <c r="V81" s="464">
        <f t="shared" si="140"/>
        <v>45930</v>
      </c>
      <c r="W81" s="464">
        <f t="shared" si="140"/>
        <v>46022</v>
      </c>
      <c r="X81" s="464">
        <f t="shared" si="140"/>
        <v>46112</v>
      </c>
      <c r="Y81" s="464">
        <f t="shared" si="140"/>
        <v>46203</v>
      </c>
      <c r="Z81" s="464">
        <f t="shared" si="140"/>
        <v>46295</v>
      </c>
      <c r="AA81" s="464">
        <f t="shared" si="140"/>
        <v>46387</v>
      </c>
      <c r="AB81" s="464">
        <f t="shared" si="140"/>
        <v>46477</v>
      </c>
      <c r="AC81" s="464">
        <f t="shared" si="140"/>
        <v>46568</v>
      </c>
      <c r="AD81" s="464">
        <f t="shared" si="140"/>
        <v>46660</v>
      </c>
      <c r="AE81" s="464">
        <f t="shared" si="140"/>
        <v>46752</v>
      </c>
      <c r="AF81" s="464">
        <f t="shared" si="140"/>
        <v>46843</v>
      </c>
      <c r="AG81" s="464">
        <f t="shared" si="140"/>
        <v>46934</v>
      </c>
      <c r="AH81" s="464">
        <f t="shared" si="140"/>
        <v>47026</v>
      </c>
      <c r="AI81" s="464">
        <f t="shared" si="140"/>
        <v>47118</v>
      </c>
      <c r="AJ81" s="464">
        <f t="shared" si="140"/>
        <v>47208</v>
      </c>
      <c r="AK81" s="464">
        <f t="shared" si="140"/>
        <v>47299</v>
      </c>
      <c r="AL81" s="464">
        <f t="shared" si="140"/>
        <v>47391</v>
      </c>
      <c r="AM81" s="464">
        <f t="shared" si="140"/>
        <v>47483</v>
      </c>
      <c r="AN81" s="464">
        <f t="shared" ref="AN81:BS81" si="141">AN70</f>
        <v>47573</v>
      </c>
      <c r="AO81" s="464">
        <f t="shared" si="141"/>
        <v>47664</v>
      </c>
      <c r="AP81" s="464">
        <f t="shared" si="141"/>
        <v>47756</v>
      </c>
      <c r="AQ81" s="464">
        <f t="shared" si="141"/>
        <v>47848</v>
      </c>
      <c r="AR81" s="464">
        <f t="shared" si="141"/>
        <v>47938</v>
      </c>
      <c r="AS81" s="464">
        <f t="shared" si="141"/>
        <v>48029</v>
      </c>
      <c r="AT81" s="464">
        <f t="shared" si="141"/>
        <v>48121</v>
      </c>
      <c r="AU81" s="464">
        <f t="shared" si="141"/>
        <v>48213</v>
      </c>
      <c r="AV81" s="464">
        <f t="shared" si="141"/>
        <v>48304</v>
      </c>
      <c r="AW81" s="464">
        <f t="shared" si="141"/>
        <v>48395</v>
      </c>
      <c r="AX81" s="464">
        <f t="shared" si="141"/>
        <v>48487</v>
      </c>
      <c r="AY81" s="464">
        <f t="shared" si="141"/>
        <v>48579</v>
      </c>
      <c r="AZ81" s="464">
        <f t="shared" si="141"/>
        <v>48669</v>
      </c>
      <c r="BA81" s="464">
        <f t="shared" si="141"/>
        <v>48760</v>
      </c>
      <c r="BB81" s="464">
        <f t="shared" si="141"/>
        <v>48852</v>
      </c>
      <c r="BC81" s="464">
        <f t="shared" si="141"/>
        <v>48944</v>
      </c>
      <c r="BD81" s="464">
        <f t="shared" si="141"/>
        <v>49034</v>
      </c>
      <c r="BE81" s="464">
        <f t="shared" si="141"/>
        <v>49125</v>
      </c>
      <c r="BF81" s="464">
        <f t="shared" si="141"/>
        <v>49217</v>
      </c>
      <c r="BG81" s="464">
        <f t="shared" si="141"/>
        <v>49309</v>
      </c>
      <c r="BH81" s="464">
        <f t="shared" si="141"/>
        <v>49399</v>
      </c>
      <c r="BI81" s="464">
        <f t="shared" si="141"/>
        <v>49490</v>
      </c>
      <c r="BJ81" s="464">
        <f t="shared" si="141"/>
        <v>49582</v>
      </c>
      <c r="BK81" s="464">
        <f t="shared" si="141"/>
        <v>49674</v>
      </c>
      <c r="BL81" s="464">
        <f t="shared" si="141"/>
        <v>49765</v>
      </c>
      <c r="BM81" s="464">
        <f t="shared" si="141"/>
        <v>49856</v>
      </c>
      <c r="BN81" s="464">
        <f t="shared" si="141"/>
        <v>49948</v>
      </c>
      <c r="BO81" s="464">
        <f t="shared" si="141"/>
        <v>50040</v>
      </c>
      <c r="BP81" s="464">
        <f t="shared" si="141"/>
        <v>50130</v>
      </c>
      <c r="BQ81" s="464">
        <f t="shared" si="141"/>
        <v>50221</v>
      </c>
      <c r="BR81" s="464">
        <f t="shared" si="141"/>
        <v>50313</v>
      </c>
      <c r="BS81" s="464">
        <f t="shared" si="141"/>
        <v>50405</v>
      </c>
      <c r="BT81" s="464">
        <f t="shared" ref="BT81:CY81" si="142">BT70</f>
        <v>50495</v>
      </c>
      <c r="BU81" s="464">
        <f t="shared" si="142"/>
        <v>50586</v>
      </c>
      <c r="BV81" s="464">
        <f t="shared" si="142"/>
        <v>50678</v>
      </c>
      <c r="BW81" s="464">
        <f t="shared" si="142"/>
        <v>50770</v>
      </c>
      <c r="BX81" s="464">
        <f t="shared" si="142"/>
        <v>50860</v>
      </c>
      <c r="BY81" s="464">
        <f t="shared" si="142"/>
        <v>50951</v>
      </c>
      <c r="BZ81" s="464">
        <f t="shared" si="142"/>
        <v>51043</v>
      </c>
      <c r="CA81" s="464">
        <f t="shared" si="142"/>
        <v>51135</v>
      </c>
      <c r="CB81" s="464">
        <f t="shared" si="142"/>
        <v>51226</v>
      </c>
      <c r="CC81" s="464">
        <f t="shared" si="142"/>
        <v>51317</v>
      </c>
      <c r="CD81" s="464">
        <f t="shared" si="142"/>
        <v>51409</v>
      </c>
      <c r="CE81" s="464">
        <f t="shared" si="142"/>
        <v>51501</v>
      </c>
      <c r="CF81" s="464">
        <f t="shared" si="142"/>
        <v>51591</v>
      </c>
      <c r="CG81" s="464">
        <f t="shared" si="142"/>
        <v>51682</v>
      </c>
      <c r="CH81" s="464">
        <f t="shared" si="142"/>
        <v>51774</v>
      </c>
      <c r="CI81" s="464">
        <f t="shared" si="142"/>
        <v>51866</v>
      </c>
      <c r="CJ81" s="464">
        <f t="shared" si="142"/>
        <v>51956</v>
      </c>
      <c r="CK81" s="464">
        <f t="shared" si="142"/>
        <v>52047</v>
      </c>
      <c r="CL81" s="464">
        <f t="shared" si="142"/>
        <v>52139</v>
      </c>
      <c r="CM81" s="464">
        <f t="shared" si="142"/>
        <v>52231</v>
      </c>
      <c r="CN81" s="464">
        <f t="shared" si="142"/>
        <v>52321</v>
      </c>
      <c r="CO81" s="464">
        <f t="shared" si="142"/>
        <v>52412</v>
      </c>
      <c r="CP81" s="464">
        <f t="shared" si="142"/>
        <v>52504</v>
      </c>
      <c r="CQ81" s="464">
        <f t="shared" si="142"/>
        <v>52596</v>
      </c>
      <c r="CR81" s="464">
        <f t="shared" si="142"/>
        <v>52687</v>
      </c>
      <c r="CS81" s="464">
        <f t="shared" si="142"/>
        <v>52778</v>
      </c>
      <c r="CT81" s="464">
        <f t="shared" si="142"/>
        <v>52870</v>
      </c>
      <c r="CU81" s="464">
        <f t="shared" si="142"/>
        <v>52962</v>
      </c>
      <c r="CV81" s="464">
        <f t="shared" si="142"/>
        <v>53052</v>
      </c>
      <c r="CW81" s="464">
        <f t="shared" si="142"/>
        <v>53143</v>
      </c>
      <c r="CX81" s="464">
        <f t="shared" si="142"/>
        <v>53235</v>
      </c>
      <c r="CY81" s="464">
        <f t="shared" si="142"/>
        <v>53327</v>
      </c>
      <c r="CZ81" s="464">
        <f t="shared" ref="CZ81:EE81" si="143">CZ70</f>
        <v>53417</v>
      </c>
      <c r="DA81" s="464">
        <f t="shared" si="143"/>
        <v>53508</v>
      </c>
      <c r="DB81" s="464">
        <f t="shared" si="143"/>
        <v>53600</v>
      </c>
      <c r="DC81" s="464">
        <f t="shared" si="143"/>
        <v>53692</v>
      </c>
      <c r="DD81" s="464">
        <f t="shared" si="143"/>
        <v>53782</v>
      </c>
      <c r="DE81" s="464">
        <f t="shared" si="143"/>
        <v>53873</v>
      </c>
      <c r="DF81" s="464">
        <f t="shared" si="143"/>
        <v>53965</v>
      </c>
      <c r="DG81" s="464">
        <f t="shared" si="143"/>
        <v>54057</v>
      </c>
      <c r="DH81" s="464">
        <f t="shared" si="143"/>
        <v>54148</v>
      </c>
      <c r="DI81" s="464">
        <f t="shared" si="143"/>
        <v>54239</v>
      </c>
      <c r="DJ81" s="464">
        <f t="shared" si="143"/>
        <v>54331</v>
      </c>
      <c r="DK81" s="464">
        <f t="shared" si="143"/>
        <v>54423</v>
      </c>
      <c r="DL81" s="464">
        <f t="shared" si="143"/>
        <v>54513</v>
      </c>
      <c r="DM81" s="464">
        <f t="shared" si="143"/>
        <v>54604</v>
      </c>
      <c r="DN81" s="464">
        <f t="shared" si="143"/>
        <v>54696</v>
      </c>
      <c r="DO81" s="464">
        <f t="shared" si="143"/>
        <v>54788</v>
      </c>
      <c r="DP81" s="464">
        <f t="shared" si="143"/>
        <v>54878</v>
      </c>
      <c r="DQ81" s="464">
        <f t="shared" si="143"/>
        <v>54969</v>
      </c>
      <c r="DR81" s="464">
        <f t="shared" si="143"/>
        <v>55061</v>
      </c>
      <c r="DS81" s="464">
        <f t="shared" si="143"/>
        <v>55153</v>
      </c>
      <c r="DT81" s="464">
        <f t="shared" si="143"/>
        <v>55243</v>
      </c>
      <c r="DU81" s="464">
        <f t="shared" si="143"/>
        <v>55334</v>
      </c>
      <c r="DV81" s="464">
        <f t="shared" si="143"/>
        <v>55426</v>
      </c>
      <c r="DW81" s="464">
        <f t="shared" si="143"/>
        <v>55518</v>
      </c>
      <c r="DX81" s="464">
        <f t="shared" si="143"/>
        <v>55609</v>
      </c>
      <c r="DY81" s="464">
        <f t="shared" si="143"/>
        <v>55700</v>
      </c>
      <c r="DZ81" s="464">
        <f t="shared" si="143"/>
        <v>55792</v>
      </c>
      <c r="EA81" s="464">
        <f t="shared" si="143"/>
        <v>55884</v>
      </c>
      <c r="EB81" s="464">
        <f t="shared" si="143"/>
        <v>55974</v>
      </c>
      <c r="EC81" s="464">
        <f t="shared" si="143"/>
        <v>56065</v>
      </c>
      <c r="ED81" s="464">
        <f t="shared" si="143"/>
        <v>56157</v>
      </c>
      <c r="EE81" s="464">
        <f t="shared" si="143"/>
        <v>56249</v>
      </c>
      <c r="EF81" s="464">
        <f t="shared" ref="EF81:EN81" si="144">EF70</f>
        <v>56339</v>
      </c>
      <c r="EG81" s="464">
        <f t="shared" si="144"/>
        <v>56430</v>
      </c>
      <c r="EH81" s="464">
        <f t="shared" si="144"/>
        <v>56522</v>
      </c>
      <c r="EI81" s="464">
        <f t="shared" si="144"/>
        <v>56614</v>
      </c>
      <c r="EJ81" s="464">
        <f t="shared" si="144"/>
        <v>56704</v>
      </c>
      <c r="EK81" s="464">
        <f t="shared" si="144"/>
        <v>56795</v>
      </c>
      <c r="EL81" s="464">
        <f t="shared" si="144"/>
        <v>56887</v>
      </c>
      <c r="EM81" s="464">
        <f t="shared" si="144"/>
        <v>56979</v>
      </c>
      <c r="EN81" s="464">
        <f t="shared" si="144"/>
        <v>57070</v>
      </c>
    </row>
    <row r="82" spans="2:144">
      <c r="B82" s="776" t="str">
        <f>C9</f>
        <v>Шале</v>
      </c>
      <c r="C82" s="465"/>
      <c r="D82" s="430">
        <f>SUMIF($C$4:$C$18,B82,$I$4:$I$18)</f>
        <v>46204</v>
      </c>
      <c r="E82" s="772">
        <f>YEAR(D82)</f>
        <v>2026</v>
      </c>
      <c r="F82" s="466"/>
      <c r="G82" s="466"/>
      <c r="H82" s="466"/>
      <c r="I82" s="466"/>
      <c r="J82" s="466"/>
      <c r="K82" s="466"/>
      <c r="L82" s="466"/>
      <c r="M82" s="466"/>
      <c r="N82" s="466"/>
      <c r="O82" s="466"/>
      <c r="P82" s="466"/>
      <c r="Q82" s="466"/>
      <c r="R82" s="466"/>
      <c r="S82" s="466"/>
      <c r="T82" s="466"/>
      <c r="U82" s="466"/>
      <c r="V82" s="466"/>
      <c r="W82" s="466"/>
      <c r="X82" s="466"/>
      <c r="Y82" s="466"/>
      <c r="Z82" s="466"/>
      <c r="AA82" s="466"/>
      <c r="AB82" s="466"/>
      <c r="AC82" s="466"/>
      <c r="AD82" s="466"/>
      <c r="AE82" s="466"/>
      <c r="AF82" s="466"/>
      <c r="AG82" s="466"/>
      <c r="AH82" s="466"/>
      <c r="AI82" s="466"/>
      <c r="AJ82" s="466"/>
      <c r="AK82" s="466"/>
      <c r="AL82" s="466"/>
      <c r="AM82" s="466"/>
      <c r="AN82" s="466"/>
      <c r="AO82" s="466"/>
      <c r="AP82" s="466"/>
      <c r="AQ82" s="466"/>
      <c r="AR82" s="466"/>
      <c r="AS82" s="466"/>
      <c r="AT82" s="466"/>
      <c r="AU82" s="466"/>
      <c r="AV82" s="466"/>
      <c r="AW82" s="466"/>
      <c r="AX82" s="466"/>
      <c r="AY82" s="466"/>
      <c r="AZ82" s="466"/>
      <c r="BA82" s="466"/>
      <c r="BB82" s="466"/>
      <c r="BC82" s="466"/>
      <c r="BD82" s="466"/>
      <c r="BE82" s="466"/>
      <c r="BF82" s="466"/>
      <c r="BG82" s="466"/>
      <c r="BH82" s="466"/>
      <c r="BI82" s="466"/>
      <c r="BJ82" s="466"/>
      <c r="BK82" s="466"/>
      <c r="BL82" s="466"/>
      <c r="BM82" s="466"/>
      <c r="BN82" s="466"/>
      <c r="BO82" s="466"/>
      <c r="BP82" s="466"/>
      <c r="BQ82" s="466"/>
      <c r="BR82" s="466"/>
      <c r="BS82" s="466"/>
      <c r="BT82" s="466"/>
      <c r="BU82" s="466"/>
      <c r="BV82" s="466"/>
      <c r="BW82" s="466"/>
      <c r="BX82" s="466"/>
      <c r="BY82" s="466"/>
      <c r="BZ82" s="466"/>
      <c r="CA82" s="466"/>
      <c r="CB82" s="466"/>
      <c r="CC82" s="466"/>
      <c r="CD82" s="466"/>
      <c r="CE82" s="466"/>
      <c r="CF82" s="466"/>
      <c r="CG82" s="466"/>
      <c r="CH82" s="466"/>
      <c r="CI82" s="466"/>
      <c r="CJ82" s="466"/>
      <c r="CK82" s="466"/>
      <c r="CL82" s="466"/>
      <c r="CM82" s="466"/>
      <c r="CN82" s="466"/>
      <c r="CO82" s="466"/>
      <c r="CP82" s="466"/>
      <c r="CQ82" s="466"/>
      <c r="CR82" s="466"/>
      <c r="CS82" s="466"/>
      <c r="CT82" s="466"/>
      <c r="CU82" s="466"/>
      <c r="CV82" s="466"/>
      <c r="CW82" s="466"/>
      <c r="CX82" s="466"/>
      <c r="CY82" s="466"/>
      <c r="CZ82" s="466"/>
      <c r="DA82" s="466"/>
      <c r="DB82" s="466"/>
      <c r="DC82" s="466"/>
      <c r="DD82" s="466"/>
      <c r="DE82" s="466"/>
      <c r="DF82" s="466"/>
      <c r="DG82" s="466"/>
      <c r="DH82" s="466"/>
      <c r="DI82" s="466"/>
      <c r="DJ82" s="466"/>
      <c r="DK82" s="466"/>
      <c r="DL82" s="466"/>
      <c r="DM82" s="466"/>
      <c r="DN82" s="466"/>
      <c r="DO82" s="466"/>
      <c r="DP82" s="466"/>
      <c r="DQ82" s="466"/>
      <c r="DR82" s="466"/>
      <c r="DS82" s="466"/>
      <c r="DT82" s="466"/>
      <c r="DU82" s="466"/>
      <c r="DV82" s="466"/>
      <c r="DW82" s="466"/>
      <c r="DX82" s="466"/>
      <c r="DY82" s="466"/>
      <c r="DZ82" s="466"/>
      <c r="EA82" s="466"/>
      <c r="EB82" s="466"/>
      <c r="EC82" s="466"/>
      <c r="ED82" s="466"/>
      <c r="EE82" s="466"/>
      <c r="EF82" s="466"/>
      <c r="EG82" s="466"/>
      <c r="EH82" s="466"/>
      <c r="EI82" s="466"/>
      <c r="EJ82" s="466"/>
      <c r="EK82" s="466"/>
      <c r="EL82" s="466"/>
      <c r="EM82" s="466"/>
      <c r="EN82" s="466"/>
    </row>
    <row r="83" spans="2:144" outlineLevel="1">
      <c r="C83" s="151" t="s">
        <v>72</v>
      </c>
      <c r="D83" s="771">
        <f>SUMIF($C$4:$C$18,B82,$H$4:$H$18)</f>
        <v>219521984.93099284</v>
      </c>
      <c r="E83" s="44"/>
      <c r="F83" s="44"/>
      <c r="G83" s="44"/>
      <c r="H83" s="44">
        <f>IF(H80=D82,D83,0)</f>
        <v>0</v>
      </c>
      <c r="I83" s="44">
        <f>IF(I80=D82,D83,0)</f>
        <v>0</v>
      </c>
      <c r="J83" s="44">
        <f>IF(J80=D82,D83,0)</f>
        <v>0</v>
      </c>
      <c r="K83" s="44">
        <f>IF(K80=D82,D83,0)</f>
        <v>0</v>
      </c>
      <c r="L83" s="44">
        <f>IF(L80=D82,D83,0)</f>
        <v>0</v>
      </c>
      <c r="M83" s="44">
        <f>IF(M80=D82,D83,0)</f>
        <v>0</v>
      </c>
      <c r="N83" s="44">
        <f>IF(N80=D82,D83,0)</f>
        <v>0</v>
      </c>
      <c r="O83" s="44">
        <f>IF(O80=D82,D83,0)</f>
        <v>0</v>
      </c>
      <c r="P83" s="44">
        <f>IF(P80=D82,D83,0)</f>
        <v>0</v>
      </c>
      <c r="Q83" s="44">
        <f>IF(Q80=D82,D83,0)</f>
        <v>0</v>
      </c>
      <c r="R83" s="44">
        <f>IF(R80=D82,D83,0)</f>
        <v>0</v>
      </c>
      <c r="S83" s="44">
        <f>IF(S80=D82,D83,0)</f>
        <v>0</v>
      </c>
      <c r="T83" s="44">
        <f>IF(T80=D82,D83,0)</f>
        <v>0</v>
      </c>
      <c r="U83" s="44">
        <f>IF(U80=D82,D83,0)</f>
        <v>0</v>
      </c>
      <c r="V83" s="44">
        <f>IF(V80=D82,D83,0)</f>
        <v>0</v>
      </c>
      <c r="W83" s="44">
        <f>IF(W80=D82,D83,0)</f>
        <v>0</v>
      </c>
      <c r="X83" s="44">
        <f>IF(X80=D82,D83,0)</f>
        <v>0</v>
      </c>
      <c r="Y83" s="44">
        <f>IF(Y80=D82,D83,0)</f>
        <v>0</v>
      </c>
      <c r="Z83" s="44">
        <f>IF(Z80=D82,D83,0)</f>
        <v>219521984.93099284</v>
      </c>
      <c r="AA83" s="44">
        <f>IF(AA80=D82,D83,0)</f>
        <v>0</v>
      </c>
      <c r="AB83" s="44">
        <f>IF(AB80=D82,D83,0)</f>
        <v>0</v>
      </c>
      <c r="AC83" s="44">
        <f>IF(AC80=D82,D83,0)</f>
        <v>0</v>
      </c>
      <c r="AD83" s="44">
        <f>IF(AD80=D82,D83,0)</f>
        <v>0</v>
      </c>
      <c r="AE83" s="44">
        <f>IF(AE80=D82,D83,0)</f>
        <v>0</v>
      </c>
      <c r="AF83" s="44">
        <f>IF(AF80=D82,D83,0)</f>
        <v>0</v>
      </c>
      <c r="AG83" s="44">
        <f>IF(AG80=D82,D83,0)</f>
        <v>0</v>
      </c>
      <c r="AH83" s="44">
        <f>IF(AH80=D82,D83,0)</f>
        <v>0</v>
      </c>
      <c r="AI83" s="44">
        <f>IF(AI80=D82,D83,0)</f>
        <v>0</v>
      </c>
      <c r="AJ83" s="44">
        <f>IF(AJ80=D82,D83,0)</f>
        <v>0</v>
      </c>
      <c r="AK83" s="44">
        <f>IF(AK80=D82,D83,0)</f>
        <v>0</v>
      </c>
      <c r="AL83" s="44">
        <f>IF(AL80=D82,D83,0)</f>
        <v>0</v>
      </c>
      <c r="AM83" s="44">
        <f>IF(AM80=D82,D83,0)</f>
        <v>0</v>
      </c>
      <c r="AN83" s="44">
        <f>IF(AN80=D82,D83,0)</f>
        <v>0</v>
      </c>
      <c r="AO83" s="44">
        <f>IF(AO80=D82,D83,0)</f>
        <v>0</v>
      </c>
      <c r="AP83" s="44">
        <f>IF(AP80=D82,D83,0)</f>
        <v>0</v>
      </c>
      <c r="AQ83" s="44">
        <f>IF(AQ80=D82,D83,0)</f>
        <v>0</v>
      </c>
      <c r="AR83" s="44">
        <f>IF(AR80=D82,D83,0)</f>
        <v>0</v>
      </c>
      <c r="AS83" s="44">
        <f>IF(AS80=D82,D83,0)</f>
        <v>0</v>
      </c>
      <c r="AT83" s="44">
        <f>IF(AT80=D82,D83,0)</f>
        <v>0</v>
      </c>
      <c r="AU83" s="44">
        <f>IF(AU80=D82,D83,0)</f>
        <v>0</v>
      </c>
      <c r="AV83" s="44">
        <f>IF(AV80=D82,D83,0)</f>
        <v>0</v>
      </c>
      <c r="AW83" s="44">
        <f>IF(AW80=D82,D83,0)</f>
        <v>0</v>
      </c>
      <c r="AX83" s="44">
        <f>IF(AX80=D82,D83,0)</f>
        <v>0</v>
      </c>
      <c r="AY83" s="44">
        <f>IF(AY80=D82,D83,0)</f>
        <v>0</v>
      </c>
      <c r="AZ83" s="44">
        <f>IF(AZ80=D82,D83,0)</f>
        <v>0</v>
      </c>
      <c r="BA83" s="44">
        <f>IF(BA80=D82,D83,0)</f>
        <v>0</v>
      </c>
      <c r="BB83" s="44">
        <f>IF(BB80=D82,D83,0)</f>
        <v>0</v>
      </c>
      <c r="BC83" s="44">
        <f>IF(BC80=D82,D83,0)</f>
        <v>0</v>
      </c>
      <c r="BD83" s="44">
        <f>IF(BD80=D82,D83,0)</f>
        <v>0</v>
      </c>
      <c r="BE83" s="44">
        <f>IF(BE80=D82,D83,0)</f>
        <v>0</v>
      </c>
      <c r="BF83" s="44">
        <f>IF(BF80=D82,D83,0)</f>
        <v>0</v>
      </c>
      <c r="BG83" s="44">
        <f>IF(BG80=D82,D83,0)</f>
        <v>0</v>
      </c>
      <c r="BH83" s="44">
        <f>IF(BH80=D82,D83,0)</f>
        <v>0</v>
      </c>
      <c r="BI83" s="44">
        <f>IF(BI80=D82,D83,0)</f>
        <v>0</v>
      </c>
      <c r="BJ83" s="44">
        <f>IF(BJ80=D82,D83,0)</f>
        <v>0</v>
      </c>
      <c r="BK83" s="44">
        <f>IF(BK80=D82,D83,0)</f>
        <v>0</v>
      </c>
      <c r="BL83" s="44">
        <f>IF(BL80=D82,D83,0)</f>
        <v>0</v>
      </c>
      <c r="BM83" s="44">
        <f>IF(BM80=D82,D83,0)</f>
        <v>0</v>
      </c>
      <c r="BN83" s="44">
        <f>IF(BN80=D82,D83,0)</f>
        <v>0</v>
      </c>
      <c r="BO83" s="44">
        <f>IF(BO80=D82,D83,0)</f>
        <v>0</v>
      </c>
      <c r="BP83" s="44">
        <f>IF(BP80=D82,D83,0)</f>
        <v>0</v>
      </c>
      <c r="BQ83" s="44">
        <f>IF(BQ80=D82,D83,0)</f>
        <v>0</v>
      </c>
      <c r="BR83" s="44">
        <f>IF(BR80=D82,D83,0)</f>
        <v>0</v>
      </c>
      <c r="BS83" s="44">
        <f>IF(BS80=D82,D83,0)</f>
        <v>0</v>
      </c>
      <c r="BT83" s="44">
        <f>IF(BT80=D82,D83,0)</f>
        <v>0</v>
      </c>
      <c r="BU83" s="44">
        <f>IF(BU80=D82,D83,0)</f>
        <v>0</v>
      </c>
      <c r="BV83" s="44">
        <f>IF(BV80=D82,D83,0)</f>
        <v>0</v>
      </c>
      <c r="BW83" s="44">
        <f>IF(BW80=D82,D83,0)</f>
        <v>0</v>
      </c>
      <c r="BX83" s="44">
        <f>IF(BX80=D82,D83,0)</f>
        <v>0</v>
      </c>
      <c r="BY83" s="44">
        <f>IF(BY80=D82,D83,0)</f>
        <v>0</v>
      </c>
      <c r="BZ83" s="44">
        <f>IF(BZ80=D82,D83,0)</f>
        <v>0</v>
      </c>
      <c r="CA83" s="44">
        <f>IF(CA80=D82,D83,0)</f>
        <v>0</v>
      </c>
      <c r="CB83" s="44">
        <f>IF(CB80=D82,D83,0)</f>
        <v>0</v>
      </c>
      <c r="CC83" s="44">
        <f>IF(CC80=D82,D83,0)</f>
        <v>0</v>
      </c>
      <c r="CD83" s="44">
        <f>IF(CD80=D82,D83,0)</f>
        <v>0</v>
      </c>
      <c r="CE83" s="44">
        <f>IF(CE80=D82,D83,0)</f>
        <v>0</v>
      </c>
      <c r="CF83" s="44">
        <f>IF(CF80=D82,D83,0)</f>
        <v>0</v>
      </c>
      <c r="CG83" s="44">
        <f>IF(CG80=D82,D83,0)</f>
        <v>0</v>
      </c>
      <c r="CH83" s="44">
        <f>IF(CH80=D82,D83,0)</f>
        <v>0</v>
      </c>
      <c r="CI83" s="44">
        <f>IF(CI80=D82,D83,0)</f>
        <v>0</v>
      </c>
      <c r="CJ83" s="44">
        <f>IF(CJ80=D82,D83,0)</f>
        <v>0</v>
      </c>
      <c r="CK83" s="44">
        <f>IF(CK80=D82,D83,0)</f>
        <v>0</v>
      </c>
      <c r="CL83" s="44">
        <f>IF(CL80=D82,D83,0)</f>
        <v>0</v>
      </c>
      <c r="CM83" s="44">
        <f>IF(CM80=D82,D83,0)</f>
        <v>0</v>
      </c>
      <c r="CN83" s="44">
        <f>IF(CN80=D82,D83,0)</f>
        <v>0</v>
      </c>
      <c r="CO83" s="44">
        <f>IF(CO80=D82,D83,0)</f>
        <v>0</v>
      </c>
      <c r="CP83" s="44">
        <f>IF(CP80=D82,D83,0)</f>
        <v>0</v>
      </c>
      <c r="CQ83" s="44">
        <f>IF(CQ80=D82,D83,0)</f>
        <v>0</v>
      </c>
      <c r="CR83" s="44">
        <f>IF(CR80=D82,D83,0)</f>
        <v>0</v>
      </c>
      <c r="CS83" s="44">
        <f>IF(CS80=D82,D83,0)</f>
        <v>0</v>
      </c>
      <c r="CT83" s="44">
        <f>IF(CT80=D82,D83,0)</f>
        <v>0</v>
      </c>
      <c r="CU83" s="44">
        <f>IF(CU80=D82,D83,0)</f>
        <v>0</v>
      </c>
      <c r="CV83" s="44">
        <f>IF(CV80=D82,D83,0)</f>
        <v>0</v>
      </c>
      <c r="CW83" s="44">
        <f>IF(CW80=D82,D83,0)</f>
        <v>0</v>
      </c>
      <c r="CX83" s="44">
        <f>IF(CX80=D82,D83,0)</f>
        <v>0</v>
      </c>
      <c r="CY83" s="44">
        <f>IF(CY80=D82,D83,0)</f>
        <v>0</v>
      </c>
      <c r="CZ83" s="44">
        <f>IF(CZ80=D82,D83,0)</f>
        <v>0</v>
      </c>
      <c r="DA83" s="44">
        <f>IF(DA80=D82,D83,0)</f>
        <v>0</v>
      </c>
      <c r="DB83" s="44">
        <f>IF(DB80=D82,D83,0)</f>
        <v>0</v>
      </c>
      <c r="DC83" s="44">
        <f>IF(DC80=D82,D83,0)</f>
        <v>0</v>
      </c>
      <c r="DD83" s="44">
        <f>IF(DD80=D82,D83,0)</f>
        <v>0</v>
      </c>
      <c r="DE83" s="44">
        <f>IF(DE80=D82,D83,0)</f>
        <v>0</v>
      </c>
      <c r="DF83" s="44">
        <f>IF(DF80=D82,D83,0)</f>
        <v>0</v>
      </c>
      <c r="DG83" s="44">
        <f>IF(DG80=D82,D83,0)</f>
        <v>0</v>
      </c>
      <c r="DH83" s="44">
        <f>IF(DH80=D82,D83,0)</f>
        <v>0</v>
      </c>
      <c r="DI83" s="44">
        <f>IF(DI80=D82,D83,0)</f>
        <v>0</v>
      </c>
      <c r="DJ83" s="44">
        <f>IF(DJ80=D82,D83,0)</f>
        <v>0</v>
      </c>
      <c r="DK83" s="44">
        <f>IF(DK80=D82,D83,0)</f>
        <v>0</v>
      </c>
      <c r="DL83" s="44">
        <f>IF(DL80=D82,D83,0)</f>
        <v>0</v>
      </c>
      <c r="DM83" s="44">
        <f>IF(DM80=D82,D83,0)</f>
        <v>0</v>
      </c>
      <c r="DN83" s="44">
        <f>IF(DN80=D82,D83,0)</f>
        <v>0</v>
      </c>
      <c r="DO83" s="44">
        <f>IF(DO80=D82,D83,0)</f>
        <v>0</v>
      </c>
      <c r="DP83" s="44">
        <f>IF(DP80=D82,D83,0)</f>
        <v>0</v>
      </c>
      <c r="DQ83" s="44">
        <f>IF(DQ80=D82,D83,0)</f>
        <v>0</v>
      </c>
      <c r="DR83" s="44">
        <f>IF(DR80=D82,D83,0)</f>
        <v>0</v>
      </c>
      <c r="DS83" s="44">
        <f>IF(DS80=D82,D83,0)</f>
        <v>0</v>
      </c>
      <c r="DT83" s="44">
        <f>IF(DT80=D82,D83,0)</f>
        <v>0</v>
      </c>
      <c r="DU83" s="44">
        <f>IF(DU80=D82,D83,0)</f>
        <v>0</v>
      </c>
      <c r="DV83" s="44">
        <f>IF(DV80=D82,D83,0)</f>
        <v>0</v>
      </c>
      <c r="DW83" s="44">
        <f>IF(DW80=D82,D83,0)</f>
        <v>0</v>
      </c>
      <c r="DX83" s="44">
        <f>IF(DX80=D82,D83,0)</f>
        <v>0</v>
      </c>
      <c r="DY83" s="44">
        <f>IF(DY80=D82,D83,0)</f>
        <v>0</v>
      </c>
      <c r="DZ83" s="44">
        <f>IF(DZ80=D82,D83,0)</f>
        <v>0</v>
      </c>
      <c r="EA83" s="44">
        <f>IF(EA80=D82,D83,0)</f>
        <v>0</v>
      </c>
      <c r="EB83" s="44">
        <f>IF(EB80=D82,D83,0)</f>
        <v>0</v>
      </c>
      <c r="EC83" s="44">
        <f>IF(EC80=D82,D83,0)</f>
        <v>0</v>
      </c>
      <c r="ED83" s="44">
        <f>IF(ED80=D82,D83,0)</f>
        <v>0</v>
      </c>
      <c r="EE83" s="44">
        <f>IF(EE80=D82,D83,0)</f>
        <v>0</v>
      </c>
      <c r="EF83" s="44">
        <f>IF(EF80=D82,D83,0)</f>
        <v>0</v>
      </c>
      <c r="EG83" s="44">
        <f>IF(EG80=D82,D83,0)</f>
        <v>0</v>
      </c>
      <c r="EH83" s="44">
        <f>IF(EH80=D82,D83,0)</f>
        <v>0</v>
      </c>
      <c r="EI83" s="44">
        <f t="shared" ref="EI83:EN83" si="145">IF(EI80=E82,E83,0)</f>
        <v>0</v>
      </c>
      <c r="EJ83" s="44">
        <f t="shared" si="145"/>
        <v>0</v>
      </c>
      <c r="EK83" s="44">
        <f t="shared" si="145"/>
        <v>0</v>
      </c>
      <c r="EL83" s="44">
        <f t="shared" si="145"/>
        <v>0</v>
      </c>
      <c r="EM83" s="44">
        <f t="shared" si="145"/>
        <v>0</v>
      </c>
      <c r="EN83" s="44">
        <f t="shared" si="145"/>
        <v>0</v>
      </c>
    </row>
    <row r="84" spans="2:144" outlineLevel="1">
      <c r="C84" s="151" t="s">
        <v>73</v>
      </c>
      <c r="D84" s="45"/>
      <c r="E84" s="44"/>
      <c r="F84" s="44"/>
      <c r="G84" s="44"/>
      <c r="H84" s="44">
        <f>(IF(H80=D82,H83,G86))</f>
        <v>0</v>
      </c>
      <c r="I84" s="44">
        <f>(IF(I80=D82,I83,H86))</f>
        <v>0</v>
      </c>
      <c r="J84" s="44">
        <f>(IF(J80=D82,J83,I86))</f>
        <v>0</v>
      </c>
      <c r="K84" s="44">
        <f>(IF(K80=D82,K83,J86))</f>
        <v>0</v>
      </c>
      <c r="L84" s="44">
        <f>(IF(L80=D82,L83,K86))</f>
        <v>0</v>
      </c>
      <c r="M84" s="44">
        <f>(IF(M80=D82,M83,L86))</f>
        <v>0</v>
      </c>
      <c r="N84" s="44">
        <f>(IF(N80=D82,N83,M86))</f>
        <v>0</v>
      </c>
      <c r="O84" s="44">
        <f>(IF(O80=D82,O83,N86))</f>
        <v>0</v>
      </c>
      <c r="P84" s="44">
        <f>(IF(P80=D82,P83,O86))</f>
        <v>0</v>
      </c>
      <c r="Q84" s="44">
        <f>(IF(Q80=D82,Q83,P86))</f>
        <v>0</v>
      </c>
      <c r="R84" s="44">
        <f>(IF(R80=D82,R83,Q86))</f>
        <v>0</v>
      </c>
      <c r="S84" s="44">
        <f>(IF(S80=D82,S83,R86))</f>
        <v>0</v>
      </c>
      <c r="T84" s="44">
        <f>(IF(T80=D82,T83,S86))</f>
        <v>0</v>
      </c>
      <c r="U84" s="44">
        <f>(IF(U80=D82,U83,T86))</f>
        <v>0</v>
      </c>
      <c r="V84" s="44">
        <f>(IF(V80=D82,V83,U86))</f>
        <v>0</v>
      </c>
      <c r="W84" s="44">
        <f>(IF(W80=D82,W83,V86))</f>
        <v>0</v>
      </c>
      <c r="X84" s="44">
        <f>(IF(X80=D82,X83,W86))</f>
        <v>0</v>
      </c>
      <c r="Y84" s="44">
        <f>(IF(Y80=D82,Y83,X86))</f>
        <v>0</v>
      </c>
      <c r="Z84" s="44">
        <f>(IF(Z80=D82,Z83,Y86))</f>
        <v>219521984.93099284</v>
      </c>
      <c r="AA84" s="44">
        <f>(IF(AA80=D82,AA83,Z86))</f>
        <v>217692635.05656791</v>
      </c>
      <c r="AB84" s="44">
        <f>(IF(AB80=D82,AB83,AA86))</f>
        <v>215863285.18214297</v>
      </c>
      <c r="AC84" s="44">
        <f>(IF(AC80=D82,AC83,AB86))</f>
        <v>214033935.30771804</v>
      </c>
      <c r="AD84" s="44">
        <f>(IF(AD80=D82,AD83,AC86))</f>
        <v>212204585.4332931</v>
      </c>
      <c r="AE84" s="44">
        <f>(IF(AE80=D82,AE83,AD86))</f>
        <v>210375235.55886817</v>
      </c>
      <c r="AF84" s="44">
        <f>(IF(AF80=D82,AF83,AE86))</f>
        <v>208545885.68444324</v>
      </c>
      <c r="AG84" s="44">
        <f>(IF(AG80=D82,AG83,AF86))</f>
        <v>206716535.8100183</v>
      </c>
      <c r="AH84" s="44">
        <f>(IF(AH80=D82,AH83,AG86))</f>
        <v>204887185.93559337</v>
      </c>
      <c r="AI84" s="44">
        <f>(IF(AI80=D82,AI83,AH86))</f>
        <v>203057836.06116843</v>
      </c>
      <c r="AJ84" s="44">
        <f>(IF(AJ80=D82,AJ83,AI86))</f>
        <v>201228486.1867435</v>
      </c>
      <c r="AK84" s="44">
        <f>(IF(AK80=D82,AK83,AJ86))</f>
        <v>199399136.31231856</v>
      </c>
      <c r="AL84" s="44">
        <f>(IF(AL80=D82,AL83,AK86))</f>
        <v>197569786.43789363</v>
      </c>
      <c r="AM84" s="44">
        <f>(IF(AM80=D82,AM83,AL86))</f>
        <v>195740436.56346869</v>
      </c>
      <c r="AN84" s="44">
        <f>(IF(AN80=D82,AN83,AM86))</f>
        <v>193911086.68904376</v>
      </c>
      <c r="AO84" s="44">
        <f>(IF(AO80=D82,AO83,AN86))</f>
        <v>192081736.81461883</v>
      </c>
      <c r="AP84" s="44">
        <f>(IF(AP80=D82,AP83,AO86))</f>
        <v>190252386.94019389</v>
      </c>
      <c r="AQ84" s="44">
        <f>(IF(AQ80=D82,AQ83,AP86))</f>
        <v>188423037.06576896</v>
      </c>
      <c r="AR84" s="44">
        <f>(IF(AR80=D82,AR83,AQ86))</f>
        <v>186593687.19134402</v>
      </c>
      <c r="AS84" s="44">
        <f>(IF(AS80=D82,AS83,AR86))</f>
        <v>184764337.31691909</v>
      </c>
      <c r="AT84" s="44">
        <f>(IF(AT80=D82,AT83,AS86))</f>
        <v>182934987.44249415</v>
      </c>
      <c r="AU84" s="44">
        <f>(IF(AU80=D82,AU83,AT86))</f>
        <v>181105637.56806922</v>
      </c>
      <c r="AV84" s="44">
        <f>(IF(AV80=D82,AV83,AU86))</f>
        <v>179276287.69364429</v>
      </c>
      <c r="AW84" s="44">
        <f>(IF(AW80=D82,AW83,AV86))</f>
        <v>177446937.81921935</v>
      </c>
      <c r="AX84" s="44">
        <f>(IF(AX80=D82,AX83,AW86))</f>
        <v>175617587.94479442</v>
      </c>
      <c r="AY84" s="44">
        <f>(IF(AY80=D82,AY83,AX86))</f>
        <v>173788238.07036948</v>
      </c>
      <c r="AZ84" s="44">
        <f>(IF(AZ80=D82,AZ83,AY86))</f>
        <v>171958888.19594455</v>
      </c>
      <c r="BA84" s="44">
        <f>(IF(BA80=D82,BA83,AZ86))</f>
        <v>170129538.32151961</v>
      </c>
      <c r="BB84" s="44">
        <f>(IF(BB80=D82,BB83,BA86))</f>
        <v>168300188.44709468</v>
      </c>
      <c r="BC84" s="44">
        <f>(IF(BC80=D82,BC83,BB86))</f>
        <v>166470838.57266974</v>
      </c>
      <c r="BD84" s="44">
        <f>(IF(BD80=D82,BD83,BC86))</f>
        <v>164641488.69824481</v>
      </c>
      <c r="BE84" s="44">
        <f>(IF(BE80=D82,BE83,BD86))</f>
        <v>162812138.82381988</v>
      </c>
      <c r="BF84" s="44">
        <f>(IF(BF80=D82,BF83,BE86))</f>
        <v>160982788.94939494</v>
      </c>
      <c r="BG84" s="44">
        <f>(IF(BG80=D82,BG83,BF86))</f>
        <v>159153439.07497001</v>
      </c>
      <c r="BH84" s="44">
        <f>(IF(BH80=D82,BH83,BG86))</f>
        <v>157324089.20054507</v>
      </c>
      <c r="BI84" s="44">
        <f>(IF(BI80=D82,BI83,BH86))</f>
        <v>155494739.32612014</v>
      </c>
      <c r="BJ84" s="44">
        <f>(IF(BJ80=D82,BJ83,BI86))</f>
        <v>153665389.4516952</v>
      </c>
      <c r="BK84" s="44">
        <f>(IF(BK80=D82,BK83,BJ86))</f>
        <v>151836039.57727027</v>
      </c>
      <c r="BL84" s="44">
        <f>(IF(BL80=D82,BL83,BK86))</f>
        <v>150006689.70284534</v>
      </c>
      <c r="BM84" s="44">
        <f>(IF(BM80=D82,BM83,BL86))</f>
        <v>148177339.8284204</v>
      </c>
      <c r="BN84" s="44">
        <f>(IF(BN80=D82,BN83,BM86))</f>
        <v>146347989.95399547</v>
      </c>
      <c r="BO84" s="44">
        <f>(IF(BO80=D82,BO83,BN86))</f>
        <v>144518640.07957053</v>
      </c>
      <c r="BP84" s="44">
        <f>(IF(BP80=D82,BP83,BO86))</f>
        <v>142689290.2051456</v>
      </c>
      <c r="BQ84" s="44">
        <f>(IF(BQ80=D82,BQ83,BP86))</f>
        <v>140859940.33072066</v>
      </c>
      <c r="BR84" s="44">
        <f>(IF(BR80=D82,BR83,BQ86))</f>
        <v>139030590.45629573</v>
      </c>
      <c r="BS84" s="44">
        <f>(IF(BS80=D82,BS83,BR86))</f>
        <v>137201240.58187079</v>
      </c>
      <c r="BT84" s="44">
        <f>(IF(BT80=D82,BT83,BS86))</f>
        <v>135371890.70744586</v>
      </c>
      <c r="BU84" s="44">
        <f>(IF(BU80=D82,BU83,BT86))</f>
        <v>133542540.83302093</v>
      </c>
      <c r="BV84" s="44">
        <f>(IF(BV80=D82,BV83,BU86))</f>
        <v>131713190.95859599</v>
      </c>
      <c r="BW84" s="44">
        <f>(IF(BW80=D82,BW83,BV86))</f>
        <v>129883841.08417106</v>
      </c>
      <c r="BX84" s="44">
        <f>(IF(BX80=D82,BX83,BW86))</f>
        <v>128054491.20974612</v>
      </c>
      <c r="BY84" s="44">
        <f>(IF(BY80=D82,BY83,BX86))</f>
        <v>126225141.33532119</v>
      </c>
      <c r="BZ84" s="44">
        <f>(IF(BZ80=D82,BZ83,BY86))</f>
        <v>124395791.46089625</v>
      </c>
      <c r="CA84" s="44">
        <f>(IF(CA80=D82,CA83,BZ86))</f>
        <v>122566441.58647132</v>
      </c>
      <c r="CB84" s="44">
        <f>(IF(CB80=D82,CB83,CA86))</f>
        <v>120737091.71204638</v>
      </c>
      <c r="CC84" s="44">
        <f>(IF(CC80=D82,CC83,CB86))</f>
        <v>118907741.83762145</v>
      </c>
      <c r="CD84" s="44">
        <f>(IF(CD80=D82,CD83,CC86))</f>
        <v>117078391.96319652</v>
      </c>
      <c r="CE84" s="44">
        <f>(IF(CE80=D82,CE83,CD86))</f>
        <v>115249042.08877158</v>
      </c>
      <c r="CF84" s="44">
        <f>(IF(CF80=D82,CF83,CE86))</f>
        <v>113419692.21434665</v>
      </c>
      <c r="CG84" s="44">
        <f>(IF(CG80=D82,CG83,CF86))</f>
        <v>111590342.33992171</v>
      </c>
      <c r="CH84" s="44">
        <f>(IF(CH80=D82,CH83,CG86))</f>
        <v>109760992.46549678</v>
      </c>
      <c r="CI84" s="44">
        <f>(IF(CI80=D82,CI83,CH86))</f>
        <v>107931642.59107184</v>
      </c>
      <c r="CJ84" s="44">
        <f>(IF(CJ80=D82,CJ83,CI86))</f>
        <v>106102292.71664691</v>
      </c>
      <c r="CK84" s="44">
        <f>(IF(CK80=D82,CK83,CJ86))</f>
        <v>104272942.84222198</v>
      </c>
      <c r="CL84" s="44">
        <f>(IF(CL80=D82,CL83,CK86))</f>
        <v>102443592.96779704</v>
      </c>
      <c r="CM84" s="44">
        <f>(IF(CM80=D82,CM83,CL86))</f>
        <v>100614243.09337211</v>
      </c>
      <c r="CN84" s="44">
        <f>(IF(CN80=D82,CN83,CM86))</f>
        <v>98784893.218947172</v>
      </c>
      <c r="CO84" s="44">
        <f>(IF(CO80=D82,CO83,CN86))</f>
        <v>96955543.344522238</v>
      </c>
      <c r="CP84" s="44">
        <f>(IF(CP80=D82,CP83,CO86))</f>
        <v>95126193.470097303</v>
      </c>
      <c r="CQ84" s="44">
        <f>(IF(CQ80=D82,CQ83,CP86))</f>
        <v>93296843.595672369</v>
      </c>
      <c r="CR84" s="44">
        <f>(IF(CR80=D82,CR83,CQ86))</f>
        <v>91467493.721247435</v>
      </c>
      <c r="CS84" s="44">
        <f>(IF(CS80=D82,CS83,CR86))</f>
        <v>89638143.8468225</v>
      </c>
      <c r="CT84" s="44">
        <f>(IF(CT80=D82,CT83,CS86))</f>
        <v>87808793.972397566</v>
      </c>
      <c r="CU84" s="44">
        <f>(IF(CU80=D82,CU83,CT86))</f>
        <v>85979444.097972631</v>
      </c>
      <c r="CV84" s="44">
        <f>(IF(CV80=D82,CV83,CU86))</f>
        <v>84150094.223547697</v>
      </c>
      <c r="CW84" s="44">
        <f>(IF(CW80=D82,CW83,CV86))</f>
        <v>82320744.349122763</v>
      </c>
      <c r="CX84" s="44">
        <f>(IF(CX80=D82,CX83,CW86))</f>
        <v>80491394.474697828</v>
      </c>
      <c r="CY84" s="44">
        <f>(IF(CY80=D82,CY83,CX86))</f>
        <v>78662044.600272894</v>
      </c>
      <c r="CZ84" s="44">
        <f>(IF(CZ80=D82,CZ83,CY86))</f>
        <v>76832694.72584796</v>
      </c>
      <c r="DA84" s="44">
        <f>(IF(DA80=D82,DA83,CZ86))</f>
        <v>75003344.851423025</v>
      </c>
      <c r="DB84" s="44">
        <f>(IF(DB80=D82,DB83,DA86))</f>
        <v>73173994.976998091</v>
      </c>
      <c r="DC84" s="44">
        <f>(IF(DC80=D82,DC83,DB86))</f>
        <v>71344645.102573156</v>
      </c>
      <c r="DD84" s="44">
        <f>(IF(DD80=D82,DD83,DC86))</f>
        <v>69515295.228148222</v>
      </c>
      <c r="DE84" s="44">
        <f>(IF(DE80=D82,DE83,DD86))</f>
        <v>67685945.353723288</v>
      </c>
      <c r="DF84" s="44">
        <f>(IF(DF80=D82,DF83,DE86))</f>
        <v>65856595.479298346</v>
      </c>
      <c r="DG84" s="44">
        <f>(IF(DG80=D82,DG83,DF86))</f>
        <v>64027245.604873404</v>
      </c>
      <c r="DH84" s="44">
        <f>(IF(DH80=D82,DH83,DG86))</f>
        <v>62197895.730448462</v>
      </c>
      <c r="DI84" s="44">
        <f>(IF(DI80=D82,DI83,DH86))</f>
        <v>60368545.85602352</v>
      </c>
      <c r="DJ84" s="44">
        <f>(IF(DJ80=D82,DJ83,DI86))</f>
        <v>58539195.981598578</v>
      </c>
      <c r="DK84" s="44">
        <f>(IF(DK80=D82,DK83,DJ86))</f>
        <v>56709846.107173637</v>
      </c>
      <c r="DL84" s="44">
        <f>(IF(DL80=D82,DL83,DK86))</f>
        <v>54880496.232748695</v>
      </c>
      <c r="DM84" s="44">
        <f>(IF(DM80=D82,DM83,DL86))</f>
        <v>53051146.358323753</v>
      </c>
      <c r="DN84" s="44">
        <f>(IF(DN80=D82,DN83,DM86))</f>
        <v>51221796.483898811</v>
      </c>
      <c r="DO84" s="44">
        <f>(IF(DO80=D82,DO83,DN86))</f>
        <v>49392446.609473869</v>
      </c>
      <c r="DP84" s="44">
        <f>(IF(DP80=D82,DP83,DO86))</f>
        <v>47563096.735048927</v>
      </c>
      <c r="DQ84" s="44">
        <f>(IF(DQ80=D82,DQ83,DP86))</f>
        <v>45733746.860623986</v>
      </c>
      <c r="DR84" s="44">
        <f>(IF(DR80=D82,DR83,DQ86))</f>
        <v>43904396.986199044</v>
      </c>
      <c r="DS84" s="44">
        <f>(IF(DS80=D82,DS83,DR86))</f>
        <v>42075047.111774102</v>
      </c>
      <c r="DT84" s="44">
        <f>(IF(DT80=D82,DT83,DS86))</f>
        <v>40245697.23734916</v>
      </c>
      <c r="DU84" s="44">
        <f>(IF(DU80=D82,DU83,DT86))</f>
        <v>38416347.362924218</v>
      </c>
      <c r="DV84" s="44">
        <f>(IF(DV80=D82,DV83,DU86))</f>
        <v>36586997.488499276</v>
      </c>
      <c r="DW84" s="44">
        <f>(IF(DW80=D82,DW83,DV86))</f>
        <v>34757647.614074335</v>
      </c>
      <c r="DX84" s="44">
        <f>(IF(DX80=D82,DX83,DW86))</f>
        <v>32928297.739649393</v>
      </c>
      <c r="DY84" s="44">
        <f>(IF(DY80=D82,DY83,DX86))</f>
        <v>31098947.865224451</v>
      </c>
      <c r="DZ84" s="44">
        <f>(IF(DZ80=D82,DZ83,DY86))</f>
        <v>29269597.990799509</v>
      </c>
      <c r="EA84" s="44">
        <f>(IF(EA80=D82,EA83,DZ86))</f>
        <v>27440248.116374567</v>
      </c>
      <c r="EB84" s="44">
        <f>(IF(EB80=D82,EB83,EA86))</f>
        <v>25610898.241949625</v>
      </c>
      <c r="EC84" s="44">
        <f>(IF(EC80=D82,EC83,EB86))</f>
        <v>23781548.367524683</v>
      </c>
      <c r="ED84" s="44">
        <f>(IF(ED80=D82,ED83,EC86))</f>
        <v>21952198.493099742</v>
      </c>
      <c r="EE84" s="44">
        <f>(IF(EE80=D82,EE83,ED86))</f>
        <v>20122848.6186748</v>
      </c>
      <c r="EF84" s="44">
        <f>(IF(EF80=D82,EF83,EE86))</f>
        <v>18293498.744249858</v>
      </c>
      <c r="EG84" s="44">
        <f>(IF(EG80=D82,EG83,EF86))</f>
        <v>16464148.869824918</v>
      </c>
      <c r="EH84" s="44">
        <f>(IF(EH80=D82,EH83,EG86))</f>
        <v>14634798.995399978</v>
      </c>
      <c r="EI84" s="44">
        <f t="shared" ref="EI84:EN84" si="146">(IF(EI80=E82,EI83,EH86))</f>
        <v>12805449.120975038</v>
      </c>
      <c r="EJ84" s="44">
        <f t="shared" si="146"/>
        <v>10976099.246550098</v>
      </c>
      <c r="EK84" s="44">
        <f t="shared" si="146"/>
        <v>9146749.3721251581</v>
      </c>
      <c r="EL84" s="44">
        <f t="shared" si="146"/>
        <v>7317399.4977002181</v>
      </c>
      <c r="EM84" s="44">
        <f t="shared" si="146"/>
        <v>5488049.6232752781</v>
      </c>
      <c r="EN84" s="44">
        <f t="shared" si="146"/>
        <v>3658699.7488503382</v>
      </c>
    </row>
    <row r="85" spans="2:144" outlineLevel="1">
      <c r="B85" s="459">
        <f>SUM(H85:XX85)</f>
        <v>217692635.05656746</v>
      </c>
      <c r="C85" s="151" t="s">
        <v>24</v>
      </c>
      <c r="D85" s="467">
        <f>SUMIF($C$4:$C$18,B82,$J$4:$J$18)</f>
        <v>30</v>
      </c>
      <c r="E85" s="468">
        <f>1/D85</f>
        <v>3.3333333333333333E-2</v>
      </c>
      <c r="F85" s="44">
        <f>D83*E85</f>
        <v>7317399.4976997608</v>
      </c>
      <c r="G85" s="44"/>
      <c r="H85" s="44">
        <f>IF(H84&gt;1,$F85/4,0)</f>
        <v>0</v>
      </c>
      <c r="I85" s="44">
        <f t="shared" ref="I85:BT85" si="147">IF(I84&gt;1,$F85/4,0)</f>
        <v>0</v>
      </c>
      <c r="J85" s="44">
        <f t="shared" si="147"/>
        <v>0</v>
      </c>
      <c r="K85" s="44">
        <f t="shared" si="147"/>
        <v>0</v>
      </c>
      <c r="L85" s="44">
        <f t="shared" si="147"/>
        <v>0</v>
      </c>
      <c r="M85" s="44">
        <f t="shared" si="147"/>
        <v>0</v>
      </c>
      <c r="N85" s="44">
        <f t="shared" si="147"/>
        <v>0</v>
      </c>
      <c r="O85" s="44">
        <f t="shared" si="147"/>
        <v>0</v>
      </c>
      <c r="P85" s="44">
        <f t="shared" si="147"/>
        <v>0</v>
      </c>
      <c r="Q85" s="44">
        <f t="shared" si="147"/>
        <v>0</v>
      </c>
      <c r="R85" s="44">
        <f t="shared" si="147"/>
        <v>0</v>
      </c>
      <c r="S85" s="44">
        <f t="shared" si="147"/>
        <v>0</v>
      </c>
      <c r="T85" s="44">
        <f t="shared" si="147"/>
        <v>0</v>
      </c>
      <c r="U85" s="44">
        <f t="shared" si="147"/>
        <v>0</v>
      </c>
      <c r="V85" s="44">
        <f t="shared" si="147"/>
        <v>0</v>
      </c>
      <c r="W85" s="44">
        <f t="shared" si="147"/>
        <v>0</v>
      </c>
      <c r="X85" s="44">
        <f t="shared" si="147"/>
        <v>0</v>
      </c>
      <c r="Y85" s="44">
        <f t="shared" si="147"/>
        <v>0</v>
      </c>
      <c r="Z85" s="44">
        <f t="shared" si="147"/>
        <v>1829349.8744249402</v>
      </c>
      <c r="AA85" s="44">
        <f t="shared" si="147"/>
        <v>1829349.8744249402</v>
      </c>
      <c r="AB85" s="44">
        <f t="shared" si="147"/>
        <v>1829349.8744249402</v>
      </c>
      <c r="AC85" s="44">
        <f t="shared" si="147"/>
        <v>1829349.8744249402</v>
      </c>
      <c r="AD85" s="44">
        <f t="shared" si="147"/>
        <v>1829349.8744249402</v>
      </c>
      <c r="AE85" s="44">
        <f t="shared" si="147"/>
        <v>1829349.8744249402</v>
      </c>
      <c r="AF85" s="44">
        <f t="shared" si="147"/>
        <v>1829349.8744249402</v>
      </c>
      <c r="AG85" s="44">
        <f t="shared" si="147"/>
        <v>1829349.8744249402</v>
      </c>
      <c r="AH85" s="44">
        <f t="shared" si="147"/>
        <v>1829349.8744249402</v>
      </c>
      <c r="AI85" s="44">
        <f t="shared" si="147"/>
        <v>1829349.8744249402</v>
      </c>
      <c r="AJ85" s="44">
        <f t="shared" si="147"/>
        <v>1829349.8744249402</v>
      </c>
      <c r="AK85" s="44">
        <f t="shared" si="147"/>
        <v>1829349.8744249402</v>
      </c>
      <c r="AL85" s="44">
        <f t="shared" si="147"/>
        <v>1829349.8744249402</v>
      </c>
      <c r="AM85" s="44">
        <f t="shared" si="147"/>
        <v>1829349.8744249402</v>
      </c>
      <c r="AN85" s="44">
        <f t="shared" si="147"/>
        <v>1829349.8744249402</v>
      </c>
      <c r="AO85" s="44">
        <f t="shared" si="147"/>
        <v>1829349.8744249402</v>
      </c>
      <c r="AP85" s="44">
        <f t="shared" si="147"/>
        <v>1829349.8744249402</v>
      </c>
      <c r="AQ85" s="44">
        <f t="shared" si="147"/>
        <v>1829349.8744249402</v>
      </c>
      <c r="AR85" s="44">
        <f t="shared" si="147"/>
        <v>1829349.8744249402</v>
      </c>
      <c r="AS85" s="44">
        <f t="shared" si="147"/>
        <v>1829349.8744249402</v>
      </c>
      <c r="AT85" s="44">
        <f t="shared" si="147"/>
        <v>1829349.8744249402</v>
      </c>
      <c r="AU85" s="44">
        <f t="shared" si="147"/>
        <v>1829349.8744249402</v>
      </c>
      <c r="AV85" s="44">
        <f t="shared" si="147"/>
        <v>1829349.8744249402</v>
      </c>
      <c r="AW85" s="44">
        <f t="shared" si="147"/>
        <v>1829349.8744249402</v>
      </c>
      <c r="AX85" s="44">
        <f t="shared" si="147"/>
        <v>1829349.8744249402</v>
      </c>
      <c r="AY85" s="44">
        <f t="shared" si="147"/>
        <v>1829349.8744249402</v>
      </c>
      <c r="AZ85" s="44">
        <f t="shared" si="147"/>
        <v>1829349.8744249402</v>
      </c>
      <c r="BA85" s="44">
        <f t="shared" si="147"/>
        <v>1829349.8744249402</v>
      </c>
      <c r="BB85" s="44">
        <f t="shared" si="147"/>
        <v>1829349.8744249402</v>
      </c>
      <c r="BC85" s="44">
        <f t="shared" si="147"/>
        <v>1829349.8744249402</v>
      </c>
      <c r="BD85" s="44">
        <f t="shared" si="147"/>
        <v>1829349.8744249402</v>
      </c>
      <c r="BE85" s="44">
        <f t="shared" si="147"/>
        <v>1829349.8744249402</v>
      </c>
      <c r="BF85" s="44">
        <f t="shared" si="147"/>
        <v>1829349.8744249402</v>
      </c>
      <c r="BG85" s="44">
        <f t="shared" si="147"/>
        <v>1829349.8744249402</v>
      </c>
      <c r="BH85" s="44">
        <f t="shared" si="147"/>
        <v>1829349.8744249402</v>
      </c>
      <c r="BI85" s="44">
        <f t="shared" si="147"/>
        <v>1829349.8744249402</v>
      </c>
      <c r="BJ85" s="44">
        <f t="shared" si="147"/>
        <v>1829349.8744249402</v>
      </c>
      <c r="BK85" s="44">
        <f t="shared" si="147"/>
        <v>1829349.8744249402</v>
      </c>
      <c r="BL85" s="44">
        <f t="shared" si="147"/>
        <v>1829349.8744249402</v>
      </c>
      <c r="BM85" s="44">
        <f t="shared" si="147"/>
        <v>1829349.8744249402</v>
      </c>
      <c r="BN85" s="44">
        <f t="shared" si="147"/>
        <v>1829349.8744249402</v>
      </c>
      <c r="BO85" s="44">
        <f t="shared" si="147"/>
        <v>1829349.8744249402</v>
      </c>
      <c r="BP85" s="44">
        <f t="shared" si="147"/>
        <v>1829349.8744249402</v>
      </c>
      <c r="BQ85" s="44">
        <f t="shared" si="147"/>
        <v>1829349.8744249402</v>
      </c>
      <c r="BR85" s="44">
        <f t="shared" si="147"/>
        <v>1829349.8744249402</v>
      </c>
      <c r="BS85" s="44">
        <f t="shared" si="147"/>
        <v>1829349.8744249402</v>
      </c>
      <c r="BT85" s="44">
        <f t="shared" si="147"/>
        <v>1829349.8744249402</v>
      </c>
      <c r="BU85" s="44">
        <f t="shared" ref="BU85:EF85" si="148">IF(BU84&gt;1,$F85/4,0)</f>
        <v>1829349.8744249402</v>
      </c>
      <c r="BV85" s="44">
        <f t="shared" si="148"/>
        <v>1829349.8744249402</v>
      </c>
      <c r="BW85" s="44">
        <f t="shared" si="148"/>
        <v>1829349.8744249402</v>
      </c>
      <c r="BX85" s="44">
        <f t="shared" si="148"/>
        <v>1829349.8744249402</v>
      </c>
      <c r="BY85" s="44">
        <f t="shared" si="148"/>
        <v>1829349.8744249402</v>
      </c>
      <c r="BZ85" s="44">
        <f t="shared" si="148"/>
        <v>1829349.8744249402</v>
      </c>
      <c r="CA85" s="44">
        <f t="shared" si="148"/>
        <v>1829349.8744249402</v>
      </c>
      <c r="CB85" s="44">
        <f t="shared" si="148"/>
        <v>1829349.8744249402</v>
      </c>
      <c r="CC85" s="44">
        <f t="shared" si="148"/>
        <v>1829349.8744249402</v>
      </c>
      <c r="CD85" s="44">
        <f t="shared" si="148"/>
        <v>1829349.8744249402</v>
      </c>
      <c r="CE85" s="44">
        <f t="shared" si="148"/>
        <v>1829349.8744249402</v>
      </c>
      <c r="CF85" s="44">
        <f t="shared" si="148"/>
        <v>1829349.8744249402</v>
      </c>
      <c r="CG85" s="44">
        <f t="shared" si="148"/>
        <v>1829349.8744249402</v>
      </c>
      <c r="CH85" s="44">
        <f t="shared" si="148"/>
        <v>1829349.8744249402</v>
      </c>
      <c r="CI85" s="44">
        <f t="shared" si="148"/>
        <v>1829349.8744249402</v>
      </c>
      <c r="CJ85" s="44">
        <f t="shared" si="148"/>
        <v>1829349.8744249402</v>
      </c>
      <c r="CK85" s="44">
        <f t="shared" si="148"/>
        <v>1829349.8744249402</v>
      </c>
      <c r="CL85" s="44">
        <f t="shared" si="148"/>
        <v>1829349.8744249402</v>
      </c>
      <c r="CM85" s="44">
        <f t="shared" si="148"/>
        <v>1829349.8744249402</v>
      </c>
      <c r="CN85" s="44">
        <f t="shared" si="148"/>
        <v>1829349.8744249402</v>
      </c>
      <c r="CO85" s="44">
        <f t="shared" si="148"/>
        <v>1829349.8744249402</v>
      </c>
      <c r="CP85" s="44">
        <f t="shared" si="148"/>
        <v>1829349.8744249402</v>
      </c>
      <c r="CQ85" s="44">
        <f t="shared" si="148"/>
        <v>1829349.8744249402</v>
      </c>
      <c r="CR85" s="44">
        <f t="shared" si="148"/>
        <v>1829349.8744249402</v>
      </c>
      <c r="CS85" s="44">
        <f t="shared" si="148"/>
        <v>1829349.8744249402</v>
      </c>
      <c r="CT85" s="44">
        <f t="shared" si="148"/>
        <v>1829349.8744249402</v>
      </c>
      <c r="CU85" s="44">
        <f t="shared" si="148"/>
        <v>1829349.8744249402</v>
      </c>
      <c r="CV85" s="44">
        <f t="shared" si="148"/>
        <v>1829349.8744249402</v>
      </c>
      <c r="CW85" s="44">
        <f t="shared" si="148"/>
        <v>1829349.8744249402</v>
      </c>
      <c r="CX85" s="44">
        <f t="shared" si="148"/>
        <v>1829349.8744249402</v>
      </c>
      <c r="CY85" s="44">
        <f t="shared" si="148"/>
        <v>1829349.8744249402</v>
      </c>
      <c r="CZ85" s="44">
        <f t="shared" si="148"/>
        <v>1829349.8744249402</v>
      </c>
      <c r="DA85" s="44">
        <f t="shared" si="148"/>
        <v>1829349.8744249402</v>
      </c>
      <c r="DB85" s="44">
        <f t="shared" si="148"/>
        <v>1829349.8744249402</v>
      </c>
      <c r="DC85" s="44">
        <f t="shared" si="148"/>
        <v>1829349.8744249402</v>
      </c>
      <c r="DD85" s="44">
        <f t="shared" si="148"/>
        <v>1829349.8744249402</v>
      </c>
      <c r="DE85" s="44">
        <f t="shared" si="148"/>
        <v>1829349.8744249402</v>
      </c>
      <c r="DF85" s="44">
        <f t="shared" si="148"/>
        <v>1829349.8744249402</v>
      </c>
      <c r="DG85" s="44">
        <f t="shared" si="148"/>
        <v>1829349.8744249402</v>
      </c>
      <c r="DH85" s="44">
        <f t="shared" si="148"/>
        <v>1829349.8744249402</v>
      </c>
      <c r="DI85" s="44">
        <f t="shared" si="148"/>
        <v>1829349.8744249402</v>
      </c>
      <c r="DJ85" s="44">
        <f t="shared" si="148"/>
        <v>1829349.8744249402</v>
      </c>
      <c r="DK85" s="44">
        <f t="shared" si="148"/>
        <v>1829349.8744249402</v>
      </c>
      <c r="DL85" s="44">
        <f t="shared" si="148"/>
        <v>1829349.8744249402</v>
      </c>
      <c r="DM85" s="44">
        <f t="shared" si="148"/>
        <v>1829349.8744249402</v>
      </c>
      <c r="DN85" s="44">
        <f t="shared" si="148"/>
        <v>1829349.8744249402</v>
      </c>
      <c r="DO85" s="44">
        <f t="shared" si="148"/>
        <v>1829349.8744249402</v>
      </c>
      <c r="DP85" s="44">
        <f t="shared" si="148"/>
        <v>1829349.8744249402</v>
      </c>
      <c r="DQ85" s="44">
        <f t="shared" si="148"/>
        <v>1829349.8744249402</v>
      </c>
      <c r="DR85" s="44">
        <f t="shared" si="148"/>
        <v>1829349.8744249402</v>
      </c>
      <c r="DS85" s="44">
        <f t="shared" si="148"/>
        <v>1829349.8744249402</v>
      </c>
      <c r="DT85" s="44">
        <f t="shared" si="148"/>
        <v>1829349.8744249402</v>
      </c>
      <c r="DU85" s="44">
        <f t="shared" si="148"/>
        <v>1829349.8744249402</v>
      </c>
      <c r="DV85" s="44">
        <f t="shared" si="148"/>
        <v>1829349.8744249402</v>
      </c>
      <c r="DW85" s="44">
        <f t="shared" si="148"/>
        <v>1829349.8744249402</v>
      </c>
      <c r="DX85" s="44">
        <f t="shared" si="148"/>
        <v>1829349.8744249402</v>
      </c>
      <c r="DY85" s="44">
        <f t="shared" si="148"/>
        <v>1829349.8744249402</v>
      </c>
      <c r="DZ85" s="44">
        <f t="shared" si="148"/>
        <v>1829349.8744249402</v>
      </c>
      <c r="EA85" s="44">
        <f t="shared" si="148"/>
        <v>1829349.8744249402</v>
      </c>
      <c r="EB85" s="44">
        <f t="shared" si="148"/>
        <v>1829349.8744249402</v>
      </c>
      <c r="EC85" s="44">
        <f t="shared" si="148"/>
        <v>1829349.8744249402</v>
      </c>
      <c r="ED85" s="44">
        <f t="shared" si="148"/>
        <v>1829349.8744249402</v>
      </c>
      <c r="EE85" s="44">
        <f t="shared" si="148"/>
        <v>1829349.8744249402</v>
      </c>
      <c r="EF85" s="44">
        <f t="shared" si="148"/>
        <v>1829349.8744249402</v>
      </c>
      <c r="EG85" s="44">
        <f t="shared" ref="EG85:EN85" si="149">IF(EG84&gt;1,$F85/4,0)</f>
        <v>1829349.8744249402</v>
      </c>
      <c r="EH85" s="44">
        <f t="shared" si="149"/>
        <v>1829349.8744249402</v>
      </c>
      <c r="EI85" s="44">
        <f t="shared" si="149"/>
        <v>1829349.8744249402</v>
      </c>
      <c r="EJ85" s="44">
        <f t="shared" si="149"/>
        <v>1829349.8744249402</v>
      </c>
      <c r="EK85" s="44">
        <f t="shared" si="149"/>
        <v>1829349.8744249402</v>
      </c>
      <c r="EL85" s="44">
        <f t="shared" si="149"/>
        <v>1829349.8744249402</v>
      </c>
      <c r="EM85" s="44">
        <f t="shared" si="149"/>
        <v>1829349.8744249402</v>
      </c>
      <c r="EN85" s="44">
        <f t="shared" si="149"/>
        <v>1829349.8744249402</v>
      </c>
    </row>
    <row r="86" spans="2:144" outlineLevel="1">
      <c r="B86" s="459">
        <f>D83-B85</f>
        <v>1829349.8744253814</v>
      </c>
      <c r="C86" s="151" t="s">
        <v>74</v>
      </c>
      <c r="D86" s="44"/>
      <c r="E86" s="44"/>
      <c r="F86" s="44"/>
      <c r="G86" s="44"/>
      <c r="H86" s="44">
        <f>IF((H84-H85)&gt;0,(H84-H85),0)</f>
        <v>0</v>
      </c>
      <c r="I86" s="44">
        <f t="shared" ref="I86:BT86" si="150">IF((I84-I85)&gt;0,(I84-I85),0)</f>
        <v>0</v>
      </c>
      <c r="J86" s="44">
        <f t="shared" si="150"/>
        <v>0</v>
      </c>
      <c r="K86" s="44">
        <f t="shared" si="150"/>
        <v>0</v>
      </c>
      <c r="L86" s="44">
        <f t="shared" si="150"/>
        <v>0</v>
      </c>
      <c r="M86" s="44">
        <f t="shared" si="150"/>
        <v>0</v>
      </c>
      <c r="N86" s="44">
        <f t="shared" si="150"/>
        <v>0</v>
      </c>
      <c r="O86" s="44">
        <f t="shared" si="150"/>
        <v>0</v>
      </c>
      <c r="P86" s="44">
        <f t="shared" si="150"/>
        <v>0</v>
      </c>
      <c r="Q86" s="44">
        <f t="shared" si="150"/>
        <v>0</v>
      </c>
      <c r="R86" s="44">
        <f t="shared" si="150"/>
        <v>0</v>
      </c>
      <c r="S86" s="44">
        <f t="shared" si="150"/>
        <v>0</v>
      </c>
      <c r="T86" s="44">
        <f t="shared" si="150"/>
        <v>0</v>
      </c>
      <c r="U86" s="44">
        <f t="shared" si="150"/>
        <v>0</v>
      </c>
      <c r="V86" s="44">
        <f t="shared" si="150"/>
        <v>0</v>
      </c>
      <c r="W86" s="44">
        <f t="shared" si="150"/>
        <v>0</v>
      </c>
      <c r="X86" s="44">
        <f t="shared" si="150"/>
        <v>0</v>
      </c>
      <c r="Y86" s="44">
        <f t="shared" si="150"/>
        <v>0</v>
      </c>
      <c r="Z86" s="44">
        <f t="shared" si="150"/>
        <v>217692635.05656791</v>
      </c>
      <c r="AA86" s="44">
        <f t="shared" si="150"/>
        <v>215863285.18214297</v>
      </c>
      <c r="AB86" s="44">
        <f t="shared" si="150"/>
        <v>214033935.30771804</v>
      </c>
      <c r="AC86" s="44">
        <f t="shared" si="150"/>
        <v>212204585.4332931</v>
      </c>
      <c r="AD86" s="44">
        <f t="shared" si="150"/>
        <v>210375235.55886817</v>
      </c>
      <c r="AE86" s="44">
        <f t="shared" si="150"/>
        <v>208545885.68444324</v>
      </c>
      <c r="AF86" s="44">
        <f t="shared" si="150"/>
        <v>206716535.8100183</v>
      </c>
      <c r="AG86" s="44">
        <f t="shared" si="150"/>
        <v>204887185.93559337</v>
      </c>
      <c r="AH86" s="44">
        <f t="shared" si="150"/>
        <v>203057836.06116843</v>
      </c>
      <c r="AI86" s="44">
        <f t="shared" si="150"/>
        <v>201228486.1867435</v>
      </c>
      <c r="AJ86" s="44">
        <f t="shared" si="150"/>
        <v>199399136.31231856</v>
      </c>
      <c r="AK86" s="44">
        <f t="shared" si="150"/>
        <v>197569786.43789363</v>
      </c>
      <c r="AL86" s="44">
        <f t="shared" si="150"/>
        <v>195740436.56346869</v>
      </c>
      <c r="AM86" s="44">
        <f t="shared" si="150"/>
        <v>193911086.68904376</v>
      </c>
      <c r="AN86" s="44">
        <f t="shared" si="150"/>
        <v>192081736.81461883</v>
      </c>
      <c r="AO86" s="44">
        <f t="shared" si="150"/>
        <v>190252386.94019389</v>
      </c>
      <c r="AP86" s="44">
        <f t="shared" si="150"/>
        <v>188423037.06576896</v>
      </c>
      <c r="AQ86" s="44">
        <f t="shared" si="150"/>
        <v>186593687.19134402</v>
      </c>
      <c r="AR86" s="44">
        <f t="shared" si="150"/>
        <v>184764337.31691909</v>
      </c>
      <c r="AS86" s="44">
        <f t="shared" si="150"/>
        <v>182934987.44249415</v>
      </c>
      <c r="AT86" s="44">
        <f t="shared" si="150"/>
        <v>181105637.56806922</v>
      </c>
      <c r="AU86" s="44">
        <f t="shared" si="150"/>
        <v>179276287.69364429</v>
      </c>
      <c r="AV86" s="44">
        <f t="shared" si="150"/>
        <v>177446937.81921935</v>
      </c>
      <c r="AW86" s="44">
        <f t="shared" si="150"/>
        <v>175617587.94479442</v>
      </c>
      <c r="AX86" s="44">
        <f t="shared" si="150"/>
        <v>173788238.07036948</v>
      </c>
      <c r="AY86" s="44">
        <f t="shared" si="150"/>
        <v>171958888.19594455</v>
      </c>
      <c r="AZ86" s="44">
        <f t="shared" si="150"/>
        <v>170129538.32151961</v>
      </c>
      <c r="BA86" s="44">
        <f t="shared" si="150"/>
        <v>168300188.44709468</v>
      </c>
      <c r="BB86" s="44">
        <f t="shared" si="150"/>
        <v>166470838.57266974</v>
      </c>
      <c r="BC86" s="44">
        <f t="shared" si="150"/>
        <v>164641488.69824481</v>
      </c>
      <c r="BD86" s="44">
        <f t="shared" si="150"/>
        <v>162812138.82381988</v>
      </c>
      <c r="BE86" s="44">
        <f t="shared" si="150"/>
        <v>160982788.94939494</v>
      </c>
      <c r="BF86" s="44">
        <f t="shared" si="150"/>
        <v>159153439.07497001</v>
      </c>
      <c r="BG86" s="44">
        <f t="shared" si="150"/>
        <v>157324089.20054507</v>
      </c>
      <c r="BH86" s="44">
        <f t="shared" si="150"/>
        <v>155494739.32612014</v>
      </c>
      <c r="BI86" s="44">
        <f t="shared" si="150"/>
        <v>153665389.4516952</v>
      </c>
      <c r="BJ86" s="44">
        <f t="shared" si="150"/>
        <v>151836039.57727027</v>
      </c>
      <c r="BK86" s="44">
        <f t="shared" si="150"/>
        <v>150006689.70284534</v>
      </c>
      <c r="BL86" s="44">
        <f t="shared" si="150"/>
        <v>148177339.8284204</v>
      </c>
      <c r="BM86" s="44">
        <f t="shared" si="150"/>
        <v>146347989.95399547</v>
      </c>
      <c r="BN86" s="44">
        <f t="shared" si="150"/>
        <v>144518640.07957053</v>
      </c>
      <c r="BO86" s="44">
        <f t="shared" si="150"/>
        <v>142689290.2051456</v>
      </c>
      <c r="BP86" s="44">
        <f t="shared" si="150"/>
        <v>140859940.33072066</v>
      </c>
      <c r="BQ86" s="44">
        <f t="shared" si="150"/>
        <v>139030590.45629573</v>
      </c>
      <c r="BR86" s="44">
        <f t="shared" si="150"/>
        <v>137201240.58187079</v>
      </c>
      <c r="BS86" s="44">
        <f t="shared" si="150"/>
        <v>135371890.70744586</v>
      </c>
      <c r="BT86" s="44">
        <f t="shared" si="150"/>
        <v>133542540.83302093</v>
      </c>
      <c r="BU86" s="44">
        <f t="shared" ref="BU86:EF86" si="151">IF((BU84-BU85)&gt;0,(BU84-BU85),0)</f>
        <v>131713190.95859599</v>
      </c>
      <c r="BV86" s="44">
        <f t="shared" si="151"/>
        <v>129883841.08417106</v>
      </c>
      <c r="BW86" s="44">
        <f t="shared" si="151"/>
        <v>128054491.20974612</v>
      </c>
      <c r="BX86" s="44">
        <f t="shared" si="151"/>
        <v>126225141.33532119</v>
      </c>
      <c r="BY86" s="44">
        <f t="shared" si="151"/>
        <v>124395791.46089625</v>
      </c>
      <c r="BZ86" s="44">
        <f t="shared" si="151"/>
        <v>122566441.58647132</v>
      </c>
      <c r="CA86" s="44">
        <f t="shared" si="151"/>
        <v>120737091.71204638</v>
      </c>
      <c r="CB86" s="44">
        <f t="shared" si="151"/>
        <v>118907741.83762145</v>
      </c>
      <c r="CC86" s="44">
        <f t="shared" si="151"/>
        <v>117078391.96319652</v>
      </c>
      <c r="CD86" s="44">
        <f t="shared" si="151"/>
        <v>115249042.08877158</v>
      </c>
      <c r="CE86" s="44">
        <f t="shared" si="151"/>
        <v>113419692.21434665</v>
      </c>
      <c r="CF86" s="44">
        <f t="shared" si="151"/>
        <v>111590342.33992171</v>
      </c>
      <c r="CG86" s="44">
        <f t="shared" si="151"/>
        <v>109760992.46549678</v>
      </c>
      <c r="CH86" s="44">
        <f t="shared" si="151"/>
        <v>107931642.59107184</v>
      </c>
      <c r="CI86" s="44">
        <f t="shared" si="151"/>
        <v>106102292.71664691</v>
      </c>
      <c r="CJ86" s="44">
        <f t="shared" si="151"/>
        <v>104272942.84222198</v>
      </c>
      <c r="CK86" s="44">
        <f t="shared" si="151"/>
        <v>102443592.96779704</v>
      </c>
      <c r="CL86" s="44">
        <f t="shared" si="151"/>
        <v>100614243.09337211</v>
      </c>
      <c r="CM86" s="44">
        <f t="shared" si="151"/>
        <v>98784893.218947172</v>
      </c>
      <c r="CN86" s="44">
        <f t="shared" si="151"/>
        <v>96955543.344522238</v>
      </c>
      <c r="CO86" s="44">
        <f t="shared" si="151"/>
        <v>95126193.470097303</v>
      </c>
      <c r="CP86" s="44">
        <f t="shared" si="151"/>
        <v>93296843.595672369</v>
      </c>
      <c r="CQ86" s="44">
        <f t="shared" si="151"/>
        <v>91467493.721247435</v>
      </c>
      <c r="CR86" s="44">
        <f t="shared" si="151"/>
        <v>89638143.8468225</v>
      </c>
      <c r="CS86" s="44">
        <f t="shared" si="151"/>
        <v>87808793.972397566</v>
      </c>
      <c r="CT86" s="44">
        <f t="shared" si="151"/>
        <v>85979444.097972631</v>
      </c>
      <c r="CU86" s="44">
        <f t="shared" si="151"/>
        <v>84150094.223547697</v>
      </c>
      <c r="CV86" s="44">
        <f t="shared" si="151"/>
        <v>82320744.349122763</v>
      </c>
      <c r="CW86" s="44">
        <f t="shared" si="151"/>
        <v>80491394.474697828</v>
      </c>
      <c r="CX86" s="44">
        <f t="shared" si="151"/>
        <v>78662044.600272894</v>
      </c>
      <c r="CY86" s="44">
        <f t="shared" si="151"/>
        <v>76832694.72584796</v>
      </c>
      <c r="CZ86" s="44">
        <f t="shared" si="151"/>
        <v>75003344.851423025</v>
      </c>
      <c r="DA86" s="44">
        <f t="shared" si="151"/>
        <v>73173994.976998091</v>
      </c>
      <c r="DB86" s="44">
        <f t="shared" si="151"/>
        <v>71344645.102573156</v>
      </c>
      <c r="DC86" s="44">
        <f t="shared" si="151"/>
        <v>69515295.228148222</v>
      </c>
      <c r="DD86" s="44">
        <f t="shared" si="151"/>
        <v>67685945.353723288</v>
      </c>
      <c r="DE86" s="44">
        <f t="shared" si="151"/>
        <v>65856595.479298346</v>
      </c>
      <c r="DF86" s="44">
        <f t="shared" si="151"/>
        <v>64027245.604873404</v>
      </c>
      <c r="DG86" s="44">
        <f t="shared" si="151"/>
        <v>62197895.730448462</v>
      </c>
      <c r="DH86" s="44">
        <f t="shared" si="151"/>
        <v>60368545.85602352</v>
      </c>
      <c r="DI86" s="44">
        <f t="shared" si="151"/>
        <v>58539195.981598578</v>
      </c>
      <c r="DJ86" s="44">
        <f t="shared" si="151"/>
        <v>56709846.107173637</v>
      </c>
      <c r="DK86" s="44">
        <f t="shared" si="151"/>
        <v>54880496.232748695</v>
      </c>
      <c r="DL86" s="44">
        <f t="shared" si="151"/>
        <v>53051146.358323753</v>
      </c>
      <c r="DM86" s="44">
        <f t="shared" si="151"/>
        <v>51221796.483898811</v>
      </c>
      <c r="DN86" s="44">
        <f t="shared" si="151"/>
        <v>49392446.609473869</v>
      </c>
      <c r="DO86" s="44">
        <f t="shared" si="151"/>
        <v>47563096.735048927</v>
      </c>
      <c r="DP86" s="44">
        <f t="shared" si="151"/>
        <v>45733746.860623986</v>
      </c>
      <c r="DQ86" s="44">
        <f t="shared" si="151"/>
        <v>43904396.986199044</v>
      </c>
      <c r="DR86" s="44">
        <f t="shared" si="151"/>
        <v>42075047.111774102</v>
      </c>
      <c r="DS86" s="44">
        <f t="shared" si="151"/>
        <v>40245697.23734916</v>
      </c>
      <c r="DT86" s="44">
        <f t="shared" si="151"/>
        <v>38416347.362924218</v>
      </c>
      <c r="DU86" s="44">
        <f t="shared" si="151"/>
        <v>36586997.488499276</v>
      </c>
      <c r="DV86" s="44">
        <f t="shared" si="151"/>
        <v>34757647.614074335</v>
      </c>
      <c r="DW86" s="44">
        <f t="shared" si="151"/>
        <v>32928297.739649393</v>
      </c>
      <c r="DX86" s="44">
        <f t="shared" si="151"/>
        <v>31098947.865224451</v>
      </c>
      <c r="DY86" s="44">
        <f t="shared" si="151"/>
        <v>29269597.990799509</v>
      </c>
      <c r="DZ86" s="44">
        <f t="shared" si="151"/>
        <v>27440248.116374567</v>
      </c>
      <c r="EA86" s="44">
        <f t="shared" si="151"/>
        <v>25610898.241949625</v>
      </c>
      <c r="EB86" s="44">
        <f t="shared" si="151"/>
        <v>23781548.367524683</v>
      </c>
      <c r="EC86" s="44">
        <f t="shared" si="151"/>
        <v>21952198.493099742</v>
      </c>
      <c r="ED86" s="44">
        <f t="shared" si="151"/>
        <v>20122848.6186748</v>
      </c>
      <c r="EE86" s="44">
        <f t="shared" si="151"/>
        <v>18293498.744249858</v>
      </c>
      <c r="EF86" s="44">
        <f t="shared" si="151"/>
        <v>16464148.869824918</v>
      </c>
      <c r="EG86" s="44">
        <f t="shared" ref="EG86:EN86" si="152">IF((EG84-EG85)&gt;0,(EG84-EG85),0)</f>
        <v>14634798.995399978</v>
      </c>
      <c r="EH86" s="44">
        <f t="shared" si="152"/>
        <v>12805449.120975038</v>
      </c>
      <c r="EI86" s="44">
        <f t="shared" si="152"/>
        <v>10976099.246550098</v>
      </c>
      <c r="EJ86" s="44">
        <f t="shared" si="152"/>
        <v>9146749.3721251581</v>
      </c>
      <c r="EK86" s="44">
        <f t="shared" si="152"/>
        <v>7317399.4977002181</v>
      </c>
      <c r="EL86" s="44">
        <f t="shared" si="152"/>
        <v>5488049.6232752781</v>
      </c>
      <c r="EM86" s="44">
        <f t="shared" si="152"/>
        <v>3658699.7488503382</v>
      </c>
      <c r="EN86" s="44">
        <f t="shared" si="152"/>
        <v>1829349.874425398</v>
      </c>
    </row>
    <row r="87" spans="2:144" outlineLevel="1">
      <c r="B87" s="139" t="s">
        <v>43</v>
      </c>
      <c r="C87" s="151" t="s">
        <v>487</v>
      </c>
      <c r="D87" s="44"/>
      <c r="E87" s="44"/>
      <c r="F87" s="44"/>
      <c r="G87" s="44"/>
      <c r="H87" s="44">
        <f>IF(H80&gt;D82,(SUM(G86:H86)/2),IF(H80=D82,H86,0))</f>
        <v>0</v>
      </c>
      <c r="I87" s="44">
        <f>IF(I80&gt;D82,(SUM(H86:I86)/2),IF(I80=D82,I86,0))</f>
        <v>0</v>
      </c>
      <c r="J87" s="44">
        <f>IF(J80&gt;D82,(SUM(I86:J86)/2),IF(J80=D82,J86,0))</f>
        <v>0</v>
      </c>
      <c r="K87" s="44">
        <f>IF(K80&gt;D82,(SUM(J86:K86)/2),IF(K80=D82,K86,0))</f>
        <v>0</v>
      </c>
      <c r="L87" s="44">
        <f>IF(L80&gt;D82,(SUM(K86:L86)/2),IF(L80=D82,L86,0))</f>
        <v>0</v>
      </c>
      <c r="M87" s="44">
        <f>IF(M80&gt;D82,(SUM(L86:M86)/2),IF(M80=D82,M86,0))</f>
        <v>0</v>
      </c>
      <c r="N87" s="44">
        <f>IF(N80&gt;D82,(SUM(M86:N86)/2),IF(N80=D82,N86,0))</f>
        <v>0</v>
      </c>
      <c r="O87" s="44">
        <f>IF(O80&gt;D82,(SUM(N86:O86)/2),IF(O80=D82,O86,0))</f>
        <v>0</v>
      </c>
      <c r="P87" s="44">
        <f>IF(P80&gt;D82,(SUM(O86:P86)/2),IF(P80=D82,P86,0))</f>
        <v>0</v>
      </c>
      <c r="Q87" s="44">
        <f>IF(Q80&gt;D82,(SUM(P86:Q86)/2),IF(Q80=D82,Q86,0))</f>
        <v>0</v>
      </c>
      <c r="R87" s="44">
        <f>IF(R80&gt;D82,(SUM(Q86:R86)/2),IF(R80=D82,R86,0))</f>
        <v>0</v>
      </c>
      <c r="S87" s="44">
        <f>IF(S80&gt;D82,(SUM(R86:S86)/2),IF(S80=D82,S86,0))</f>
        <v>0</v>
      </c>
      <c r="T87" s="44">
        <f>IF(T80&gt;D82,(SUM(S86:T86)/2),IF(T80=D82,T86,0))</f>
        <v>0</v>
      </c>
      <c r="U87" s="44">
        <f>IF(U80&gt;D82,(SUM(T86:U86)/2),IF(U80=D82,U86,0))</f>
        <v>0</v>
      </c>
      <c r="V87" s="44">
        <f>IF(V80&gt;D82,(SUM(U86:V86)/2),IF(V80=D82,V86,0))</f>
        <v>0</v>
      </c>
      <c r="W87" s="44">
        <f>IF(W80&gt;D82,(SUM(V86:W86)/2),IF(W80=D82,W86,0))</f>
        <v>0</v>
      </c>
      <c r="X87" s="44">
        <f>IF(X80&gt;D82,(SUM(W86:X86)/2),IF(X80=D82,X86,0))</f>
        <v>0</v>
      </c>
      <c r="Y87" s="44">
        <f>IF(Y80&gt;D82,(SUM(X86:Y86)/2),IF(Y80=D82,Y86,0))</f>
        <v>0</v>
      </c>
      <c r="Z87" s="44">
        <f>IF(Z80&gt;D82,(SUM(Y86:Z86)/2),IF(Z80=D82,Z86,0))</f>
        <v>217692635.05656791</v>
      </c>
      <c r="AA87" s="44">
        <f>IF(AA80&gt;D82,(SUM(Z86:AA86)/2),IF(AA80=D82,AA86,0))</f>
        <v>216777960.11935544</v>
      </c>
      <c r="AB87" s="44">
        <f>IF(AB80&gt;D82,(SUM(AA86:AB86)/2),IF(AB80=D82,AB86,0))</f>
        <v>214948610.24493051</v>
      </c>
      <c r="AC87" s="44">
        <f>IF(AC80&gt;D82,(SUM(AB86:AC86)/2),IF(AC80=D82,AC86,0))</f>
        <v>213119260.37050557</v>
      </c>
      <c r="AD87" s="44">
        <f>IF(AD80&gt;D82,(SUM(AC86:AD86)/2),IF(AD80=D82,AD86,0))</f>
        <v>211289910.49608064</v>
      </c>
      <c r="AE87" s="44">
        <f>IF(AE80&gt;D82,(SUM(AD86:AE86)/2),IF(AE80=D82,AE86,0))</f>
        <v>209460560.6216557</v>
      </c>
      <c r="AF87" s="44">
        <f>IF(AF80&gt;D82,(SUM(AE86:AF86)/2),IF(AF80=D82,AF86,0))</f>
        <v>207631210.74723077</v>
      </c>
      <c r="AG87" s="44">
        <f>IF(AG80&gt;D82,(SUM(AF86:AG86)/2),IF(AG80=D82,AG86,0))</f>
        <v>205801860.87280583</v>
      </c>
      <c r="AH87" s="44">
        <f>IF(AH80&gt;D82,(SUM(AG86:AH86)/2),IF(AH80=D82,AH86,0))</f>
        <v>203972510.9983809</v>
      </c>
      <c r="AI87" s="44">
        <f>IF(AI80&gt;D82,(SUM(AH86:AI86)/2),IF(AI80=D82,AI86,0))</f>
        <v>202143161.12395597</v>
      </c>
      <c r="AJ87" s="44">
        <f>IF(AJ80&gt;D82,(SUM(AI86:AJ86)/2),IF(AJ80=D82,AJ86,0))</f>
        <v>200313811.24953103</v>
      </c>
      <c r="AK87" s="44">
        <f>IF(AK80&gt;D82,(SUM(AJ86:AK86)/2),IF(AK80=D82,AK86,0))</f>
        <v>198484461.3751061</v>
      </c>
      <c r="AL87" s="44">
        <f>IF(AL80&gt;D82,(SUM(AK86:AL86)/2),IF(AL80=D82,AL86,0))</f>
        <v>196655111.50068116</v>
      </c>
      <c r="AM87" s="44">
        <f>IF(AM80&gt;D82,(SUM(AL86:AM86)/2),IF(AM80=D82,AM86,0))</f>
        <v>194825761.62625623</v>
      </c>
      <c r="AN87" s="44">
        <f>IF(AN80&gt;D82,(SUM(AM86:AN86)/2),IF(AN80=D82,AN86,0))</f>
        <v>192996411.75183129</v>
      </c>
      <c r="AO87" s="44">
        <f>IF(AO80&gt;D82,(SUM(AN86:AO86)/2),IF(AO80=D82,AO86,0))</f>
        <v>191167061.87740636</v>
      </c>
      <c r="AP87" s="44">
        <f>IF(AP80&gt;D82,(SUM(AO86:AP86)/2),IF(AP80=D82,AP86,0))</f>
        <v>189337712.00298142</v>
      </c>
      <c r="AQ87" s="44">
        <f>IF(AQ80&gt;D82,(SUM(AP86:AQ86)/2),IF(AQ80=D82,AQ86,0))</f>
        <v>187508362.12855649</v>
      </c>
      <c r="AR87" s="44">
        <f>IF(AR80&gt;D82,(SUM(AQ86:AR86)/2),IF(AR80=D82,AR86,0))</f>
        <v>185679012.25413156</v>
      </c>
      <c r="AS87" s="44">
        <f>IF(AS80&gt;D82,(SUM(AR86:AS86)/2),IF(AS80=D82,AS86,0))</f>
        <v>183849662.37970662</v>
      </c>
      <c r="AT87" s="44">
        <f>IF(AT80&gt;D82,(SUM(AS86:AT86)/2),IF(AT80=D82,AT86,0))</f>
        <v>182020312.50528169</v>
      </c>
      <c r="AU87" s="44">
        <f>IF(AU80&gt;D82,(SUM(AT86:AU86)/2),IF(AU80=D82,AU86,0))</f>
        <v>180190962.63085675</v>
      </c>
      <c r="AV87" s="44">
        <f>IF(AV80&gt;D82,(SUM(AU86:AV86)/2),IF(AV80=D82,AV86,0))</f>
        <v>178361612.75643182</v>
      </c>
      <c r="AW87" s="44">
        <f>IF(AW80&gt;D82,(SUM(AV86:AW86)/2),IF(AW80=D82,AW86,0))</f>
        <v>176532262.88200688</v>
      </c>
      <c r="AX87" s="44">
        <f>IF(AX80&gt;D82,(SUM(AW86:AX86)/2),IF(AX80=D82,AX86,0))</f>
        <v>174702913.00758195</v>
      </c>
      <c r="AY87" s="44">
        <f>IF(AY80&gt;D82,(SUM(AX86:AY86)/2),IF(AY80=D82,AY86,0))</f>
        <v>172873563.13315701</v>
      </c>
      <c r="AZ87" s="44">
        <f>IF(AZ80&gt;D82,(SUM(AY86:AZ86)/2),IF(AZ80=D82,AZ86,0))</f>
        <v>171044213.25873208</v>
      </c>
      <c r="BA87" s="44">
        <f>IF(BA80&gt;D82,(SUM(AZ86:BA86)/2),IF(BA80=D82,BA86,0))</f>
        <v>169214863.38430715</v>
      </c>
      <c r="BB87" s="44">
        <f>IF(BB80&gt;D82,(SUM(BA86:BB86)/2),IF(BB80=D82,BB86,0))</f>
        <v>167385513.50988221</v>
      </c>
      <c r="BC87" s="44">
        <f>IF(BC80&gt;D82,(SUM(BB86:BC86)/2),IF(BC80=D82,BC86,0))</f>
        <v>165556163.63545728</v>
      </c>
      <c r="BD87" s="44">
        <f>IF(BD80&gt;D82,(SUM(BC86:BD86)/2),IF(BD80=D82,BD86,0))</f>
        <v>163726813.76103234</v>
      </c>
      <c r="BE87" s="44">
        <f>IF(BE80&gt;D82,(SUM(BD86:BE86)/2),IF(BE80=D82,BE86,0))</f>
        <v>161897463.88660741</v>
      </c>
      <c r="BF87" s="44">
        <f>IF(BF80&gt;D82,(SUM(BE86:BF86)/2),IF(BF80=D82,BF86,0))</f>
        <v>160068114.01218247</v>
      </c>
      <c r="BG87" s="44">
        <f>IF(BG80&gt;D82,(SUM(BF86:BG86)/2),IF(BG80=D82,BG86,0))</f>
        <v>158238764.13775754</v>
      </c>
      <c r="BH87" s="44">
        <f>IF(BH80&gt;D82,(SUM(BG86:BH86)/2),IF(BH80=D82,BH86,0))</f>
        <v>156409414.26333261</v>
      </c>
      <c r="BI87" s="44">
        <f>IF(BI80&gt;D82,(SUM(BH86:BI86)/2),IF(BI80=D82,BI86,0))</f>
        <v>154580064.38890767</v>
      </c>
      <c r="BJ87" s="44">
        <f>IF(BJ80&gt;D82,(SUM(BI86:BJ86)/2),IF(BJ80=D82,BJ86,0))</f>
        <v>152750714.51448274</v>
      </c>
      <c r="BK87" s="44">
        <f>IF(BK80&gt;D82,(SUM(BJ86:BK86)/2),IF(BK80=D82,BK86,0))</f>
        <v>150921364.6400578</v>
      </c>
      <c r="BL87" s="44">
        <f>IF(BL80&gt;D82,(SUM(BK86:BL86)/2),IF(BL80=D82,BL86,0))</f>
        <v>149092014.76563287</v>
      </c>
      <c r="BM87" s="44">
        <f>IF(BM80&gt;D82,(SUM(BL86:BM86)/2),IF(BM80=D82,BM86,0))</f>
        <v>147262664.89120793</v>
      </c>
      <c r="BN87" s="44">
        <f>IF(BN80&gt;D82,(SUM(BM86:BN86)/2),IF(BN80=D82,BN86,0))</f>
        <v>145433315.016783</v>
      </c>
      <c r="BO87" s="44">
        <f>IF(BO80&gt;D82,(SUM(BN86:BO86)/2),IF(BO80=D82,BO86,0))</f>
        <v>143603965.14235806</v>
      </c>
      <c r="BP87" s="44">
        <f>IF(BP80&gt;D82,(SUM(BO86:BP86)/2),IF(BP80=D82,BP86,0))</f>
        <v>141774615.26793313</v>
      </c>
      <c r="BQ87" s="44">
        <f>IF(BQ80&gt;D82,(SUM(BP86:BQ86)/2),IF(BQ80=D82,BQ86,0))</f>
        <v>139945265.3935082</v>
      </c>
      <c r="BR87" s="44">
        <f>IF(BR80&gt;D82,(SUM(BQ86:BR86)/2),IF(BR80=D82,BR86,0))</f>
        <v>138115915.51908326</v>
      </c>
      <c r="BS87" s="44">
        <f>IF(BS80&gt;D82,(SUM(BR86:BS86)/2),IF(BS80=D82,BS86,0))</f>
        <v>136286565.64465833</v>
      </c>
      <c r="BT87" s="44">
        <f>IF(BT80&gt;D82,(SUM(BS86:BT86)/2),IF(BT80=D82,BT86,0))</f>
        <v>134457215.77023339</v>
      </c>
      <c r="BU87" s="44">
        <f>IF(BU80&gt;D82,(SUM(BT86:BU86)/2),IF(BU80=D82,BU86,0))</f>
        <v>132627865.89580846</v>
      </c>
      <c r="BV87" s="44">
        <f>IF(BV80&gt;D82,(SUM(BU86:BV86)/2),IF(BV80=D82,BV86,0))</f>
        <v>130798516.02138352</v>
      </c>
      <c r="BW87" s="44">
        <f>IF(BW80&gt;D82,(SUM(BV86:BW86)/2),IF(BW80=D82,BW86,0))</f>
        <v>128969166.14695859</v>
      </c>
      <c r="BX87" s="44">
        <f>IF(BX80&gt;D82,(SUM(BW86:BX86)/2),IF(BX80=D82,BX86,0))</f>
        <v>127139816.27253366</v>
      </c>
      <c r="BY87" s="44">
        <f>IF(BY80&gt;D82,(SUM(BX86:BY86)/2),IF(BY80=D82,BY86,0))</f>
        <v>125310466.39810872</v>
      </c>
      <c r="BZ87" s="44">
        <f>IF(BZ80&gt;D82,(SUM(BY86:BZ86)/2),IF(BZ80=D82,BZ86,0))</f>
        <v>123481116.52368379</v>
      </c>
      <c r="CA87" s="44">
        <f>IF(CA80&gt;D82,(SUM(BZ86:CA86)/2),IF(CA80=D82,CA86,0))</f>
        <v>121651766.64925885</v>
      </c>
      <c r="CB87" s="44">
        <f>IF(CB80&gt;D82,(SUM(CA86:CB86)/2),IF(CB80=D82,CB86,0))</f>
        <v>119822416.77483392</v>
      </c>
      <c r="CC87" s="44">
        <f>IF(CC80&gt;D82,(SUM(CB86:CC86)/2),IF(CC80=D82,CC86,0))</f>
        <v>117993066.90040898</v>
      </c>
      <c r="CD87" s="44">
        <f>IF(CD80&gt;D82,(SUM(CC86:CD86)/2),IF(CD80=D82,CD86,0))</f>
        <v>116163717.02598405</v>
      </c>
      <c r="CE87" s="44">
        <f>IF(CE80&gt;D82,(SUM(CD86:CE86)/2),IF(CE80=D82,CE86,0))</f>
        <v>114334367.15155911</v>
      </c>
      <c r="CF87" s="44">
        <f>IF(CF80&gt;D82,(SUM(CE86:CF86)/2),IF(CF80=D82,CF86,0))</f>
        <v>112505017.27713418</v>
      </c>
      <c r="CG87" s="44">
        <f>IF(CG80&gt;D82,(SUM(CF86:CG86)/2),IF(CG80=D82,CG86,0))</f>
        <v>110675667.40270925</v>
      </c>
      <c r="CH87" s="44">
        <f>IF(CH80&gt;D82,(SUM(CG86:CH86)/2),IF(CH80=D82,CH86,0))</f>
        <v>108846317.52828431</v>
      </c>
      <c r="CI87" s="44">
        <f>IF(CI80&gt;D82,(SUM(CH86:CI86)/2),IF(CI80=D82,CI86,0))</f>
        <v>107016967.65385938</v>
      </c>
      <c r="CJ87" s="44">
        <f>IF(CJ80&gt;D82,(SUM(CI86:CJ86)/2),IF(CJ80=D82,CJ86,0))</f>
        <v>105187617.77943444</v>
      </c>
      <c r="CK87" s="44">
        <f>IF(CK80&gt;D82,(SUM(CJ86:CK86)/2),IF(CK80=D82,CK86,0))</f>
        <v>103358267.90500951</v>
      </c>
      <c r="CL87" s="44">
        <f>IF(CL80&gt;D82,(SUM(CK86:CL86)/2),IF(CL80=D82,CL86,0))</f>
        <v>101528918.03058457</v>
      </c>
      <c r="CM87" s="44">
        <f>IF(CM80&gt;D82,(SUM(CL86:CM86)/2),IF(CM80=D82,CM86,0))</f>
        <v>99699568.156159639</v>
      </c>
      <c r="CN87" s="44">
        <f>IF(CN80&gt;D82,(SUM(CM86:CN86)/2),IF(CN80=D82,CN86,0))</f>
        <v>97870218.281734705</v>
      </c>
      <c r="CO87" s="44">
        <f>IF(CO80&gt;D82,(SUM(CN86:CO86)/2),IF(CO80=D82,CO86,0))</f>
        <v>96040868.407309771</v>
      </c>
      <c r="CP87" s="44">
        <f>IF(CP80&gt;D82,(SUM(CO86:CP86)/2),IF(CP80=D82,CP86,0))</f>
        <v>94211518.532884836</v>
      </c>
      <c r="CQ87" s="44">
        <f>IF(CQ80&gt;D82,(SUM(CP86:CQ86)/2),IF(CQ80=D82,CQ86,0))</f>
        <v>92382168.658459902</v>
      </c>
      <c r="CR87" s="44">
        <f>IF(CR80&gt;D82,(SUM(CQ86:CR86)/2),IF(CR80=D82,CR86,0))</f>
        <v>90552818.784034967</v>
      </c>
      <c r="CS87" s="44">
        <f>IF(CS80&gt;D82,(SUM(CR86:CS86)/2),IF(CS80=D82,CS86,0))</f>
        <v>88723468.909610033</v>
      </c>
      <c r="CT87" s="44">
        <f>IF(CT80&gt;D82,(SUM(CS86:CT86)/2),IF(CT80=D82,CT86,0))</f>
        <v>86894119.035185099</v>
      </c>
      <c r="CU87" s="44">
        <f>IF(CU80&gt;D82,(SUM(CT86:CU86)/2),IF(CU80=D82,CU86,0))</f>
        <v>85064769.160760164</v>
      </c>
      <c r="CV87" s="44">
        <f>IF(CV80&gt;D82,(SUM(CU86:CV86)/2),IF(CV80=D82,CV86,0))</f>
        <v>83235419.28633523</v>
      </c>
      <c r="CW87" s="44">
        <f>IF(CW80&gt;D82,(SUM(CV86:CW86)/2),IF(CW80=D82,CW86,0))</f>
        <v>81406069.411910295</v>
      </c>
      <c r="CX87" s="44">
        <f>IF(CX80&gt;D82,(SUM(CW86:CX86)/2),IF(CX80=D82,CX86,0))</f>
        <v>79576719.537485361</v>
      </c>
      <c r="CY87" s="44">
        <f>IF(CY80&gt;D82,(SUM(CX86:CY86)/2),IF(CY80=D82,CY86,0))</f>
        <v>77747369.663060427</v>
      </c>
      <c r="CZ87" s="44">
        <f>IF(CZ80&gt;D82,(SUM(CY86:CZ86)/2),IF(CZ80=D82,CZ86,0))</f>
        <v>75918019.788635492</v>
      </c>
      <c r="DA87" s="44">
        <f>IF(DA80&gt;D82,(SUM(CZ86:DA86)/2),IF(DA80=D82,DA86,0))</f>
        <v>74088669.914210558</v>
      </c>
      <c r="DB87" s="44">
        <f>IF(DB80&gt;D82,(SUM(DA86:DB86)/2),IF(DB80=D82,DB86,0))</f>
        <v>72259320.039785624</v>
      </c>
      <c r="DC87" s="44">
        <f>IF(DC80&gt;D82,(SUM(DB86:DC86)/2),IF(DC80=D82,DC86,0))</f>
        <v>70429970.165360689</v>
      </c>
      <c r="DD87" s="44">
        <f>IF(DD80&gt;D82,(SUM(DC86:DD86)/2),IF(DD80=D82,DD86,0))</f>
        <v>68600620.290935755</v>
      </c>
      <c r="DE87" s="44">
        <f>IF(DE80&gt;D82,(SUM(DD86:DE86)/2),IF(DE80=D82,DE86,0))</f>
        <v>66771270.41651082</v>
      </c>
      <c r="DF87" s="44">
        <f>IF(DF80&gt;D82,(SUM(DE86:DF86)/2),IF(DF80=D82,DF86,0))</f>
        <v>64941920.542085871</v>
      </c>
      <c r="DG87" s="44">
        <f>IF(DG80&gt;D82,(SUM(DF86:DG86)/2),IF(DG80=D82,DG86,0))</f>
        <v>63112570.667660937</v>
      </c>
      <c r="DH87" s="44">
        <f>IF(DH80&gt;D82,(SUM(DG86:DH86)/2),IF(DH80=D82,DH86,0))</f>
        <v>61283220.793235987</v>
      </c>
      <c r="DI87" s="44">
        <f>IF(DI80&gt;D82,(SUM(DH86:DI86)/2),IF(DI80=D82,DI86,0))</f>
        <v>59453870.918811053</v>
      </c>
      <c r="DJ87" s="44">
        <f>IF(DJ80&gt;D82,(SUM(DI86:DJ86)/2),IF(DJ80=D82,DJ86,0))</f>
        <v>57624521.044386104</v>
      </c>
      <c r="DK87" s="44">
        <f>IF(DK80&gt;D82,(SUM(DJ86:DK86)/2),IF(DK80=D82,DK86,0))</f>
        <v>55795171.169961169</v>
      </c>
      <c r="DL87" s="44">
        <f>IF(DL80&gt;D82,(SUM(DK86:DL86)/2),IF(DL80=D82,DL86,0))</f>
        <v>53965821.29553622</v>
      </c>
      <c r="DM87" s="44">
        <f>IF(DM80&gt;D82,(SUM(DL86:DM86)/2),IF(DM80=D82,DM86,0))</f>
        <v>52136471.421111286</v>
      </c>
      <c r="DN87" s="44">
        <f>IF(DN80&gt;D82,(SUM(DM86:DN86)/2),IF(DN80=D82,DN86,0))</f>
        <v>50307121.546686336</v>
      </c>
      <c r="DO87" s="44">
        <f>IF(DO80&gt;D82,(SUM(DN86:DO86)/2),IF(DO80=D82,DO86,0))</f>
        <v>48477771.672261402</v>
      </c>
      <c r="DP87" s="44">
        <f>IF(DP80&gt;D82,(SUM(DO86:DP86)/2),IF(DP80=D82,DP86,0))</f>
        <v>46648421.797836453</v>
      </c>
      <c r="DQ87" s="44">
        <f>IF(DQ80&gt;D82,(SUM(DP86:DQ86)/2),IF(DQ80=D82,DQ86,0))</f>
        <v>44819071.923411518</v>
      </c>
      <c r="DR87" s="44">
        <f>IF(DR80&gt;D82,(SUM(DQ86:DR86)/2),IF(DR80=D82,DR86,0))</f>
        <v>42989722.048986569</v>
      </c>
      <c r="DS87" s="44">
        <f>IF(DS80&gt;D82,(SUM(DR86:DS86)/2),IF(DS80=D82,DS86,0))</f>
        <v>41160372.174561635</v>
      </c>
      <c r="DT87" s="44">
        <f>IF(DT80&gt;D82,(SUM(DS86:DT86)/2),IF(DT80=D82,DT86,0))</f>
        <v>39331022.300136685</v>
      </c>
      <c r="DU87" s="44">
        <f>IF(DU80&gt;D82,(SUM(DT86:DU86)/2),IF(DU80=D82,DU86,0))</f>
        <v>37501672.425711751</v>
      </c>
      <c r="DV87" s="44">
        <f>IF(DV80&gt;D82,(SUM(DU86:DV86)/2),IF(DV80=D82,DV86,0))</f>
        <v>35672322.551286802</v>
      </c>
      <c r="DW87" s="44">
        <f>IF(DW80&gt;D82,(SUM(DV86:DW86)/2),IF(DW80=D82,DW86,0))</f>
        <v>33842972.676861867</v>
      </c>
      <c r="DX87" s="44">
        <f>IF(DX80&gt;D82,(SUM(DW86:DX86)/2),IF(DX80=D82,DX86,0))</f>
        <v>32013622.802436922</v>
      </c>
      <c r="DY87" s="44">
        <f>IF(DY80&gt;D82,(SUM(DX86:DY86)/2),IF(DY80=D82,DY86,0))</f>
        <v>30184272.92801198</v>
      </c>
      <c r="DZ87" s="44">
        <f>IF(DZ80&gt;D82,(SUM(DY86:DZ86)/2),IF(DZ80=D82,DZ86,0))</f>
        <v>28354923.053587038</v>
      </c>
      <c r="EA87" s="44">
        <f>IF(EA80&gt;D82,(SUM(DZ86:EA86)/2),IF(EA80=D82,EA86,0))</f>
        <v>26525573.179162096</v>
      </c>
      <c r="EB87" s="44">
        <f>IF(EB80&gt;D82,(SUM(EA86:EB86)/2),IF(EB80=D82,EB86,0))</f>
        <v>24696223.304737154</v>
      </c>
      <c r="EC87" s="44">
        <f>IF(EC80&gt;D82,(SUM(EB86:EC86)/2),IF(EC80=D82,EC86,0))</f>
        <v>22866873.430312213</v>
      </c>
      <c r="ED87" s="44">
        <f>IF(ED80&gt;D82,(SUM(EC86:ED86)/2),IF(ED80=D82,ED86,0))</f>
        <v>21037523.555887271</v>
      </c>
      <c r="EE87" s="44">
        <f>IF(EE80&gt;D82,(SUM(ED86:EE86)/2),IF(EE80=D82,EE86,0))</f>
        <v>19208173.681462329</v>
      </c>
      <c r="EF87" s="44">
        <f>IF(EF80&gt;D82,(SUM(EE86:EF86)/2),IF(EF80=D82,EF86,0))</f>
        <v>17378823.807037387</v>
      </c>
      <c r="EG87" s="44">
        <f>IF(EG80&gt;D82,(SUM(EF86:EG86)/2),IF(EG80=D82,EG86,0))</f>
        <v>15549473.932612449</v>
      </c>
      <c r="EH87" s="44">
        <f>IF(EH80&gt;D82,(SUM(EG86:EH86)/2),IF(EH80=D82,EH86,0))</f>
        <v>13720124.058187507</v>
      </c>
      <c r="EI87" s="44">
        <f t="shared" ref="EI87:EN87" si="153">IF(EI80&gt;E82,(SUM(EH86:EI86)/2),IF(EI80=E82,EI86,0))</f>
        <v>11890774.183762569</v>
      </c>
      <c r="EJ87" s="44">
        <f t="shared" si="153"/>
        <v>10061424.309337627</v>
      </c>
      <c r="EK87" s="44">
        <f t="shared" si="153"/>
        <v>8232074.4349126881</v>
      </c>
      <c r="EL87" s="44">
        <f t="shared" si="153"/>
        <v>6402724.5604877481</v>
      </c>
      <c r="EM87" s="44">
        <f t="shared" si="153"/>
        <v>4573374.6860628081</v>
      </c>
      <c r="EN87" s="44">
        <f t="shared" si="153"/>
        <v>2744024.8116378682</v>
      </c>
    </row>
    <row r="88" spans="2:144" outlineLevel="1">
      <c r="C88" s="43" t="s">
        <v>176</v>
      </c>
      <c r="D88" s="44"/>
      <c r="E88" s="773">
        <f>E77</f>
        <v>10</v>
      </c>
      <c r="F88" s="44"/>
      <c r="G88" s="44"/>
      <c r="H88" s="120">
        <f>IF(H79&lt;$E82,0,IF(AND(H79&gt;=$E82,H79&lt;=($E82+$E88-1)),Вводные!$D$30,Вводные!$E$30))</f>
        <v>0</v>
      </c>
      <c r="I88" s="120">
        <f>IF(I79&lt;$E82,0,IF(AND(I79&gt;=$E82,I79&lt;=($E82+$E88-1)),Вводные!$D$30,Вводные!$E$30))</f>
        <v>0</v>
      </c>
      <c r="J88" s="120">
        <f>IF(J79&lt;$E82,0,IF(AND(J79&gt;=$E82,J79&lt;=($E82+$E88-1)),Вводные!$D$30,Вводные!$E$30))</f>
        <v>0</v>
      </c>
      <c r="K88" s="120">
        <f>IF(K79&lt;$E82,0,IF(AND(K79&gt;=$E82,K79&lt;=($E82+$E88-1)),Вводные!$D$30,Вводные!$E$30))</f>
        <v>0</v>
      </c>
      <c r="L88" s="120">
        <f>IF(L79&lt;$E82,0,IF(AND(L79&gt;=$E82,L79&lt;=($E82+$E88-1)),Вводные!$D$30,Вводные!$E$30))</f>
        <v>0</v>
      </c>
      <c r="M88" s="120">
        <f>IF(M79&lt;$E82,0,IF(AND(M79&gt;=$E82,M79&lt;=($E82+$E88-1)),Вводные!$D$30,Вводные!$E$30))</f>
        <v>0</v>
      </c>
      <c r="N88" s="120">
        <f>IF(N79&lt;$E82,0,IF(AND(N79&gt;=$E82,N79&lt;=($E82+$E88-1)),Вводные!$D$30,Вводные!$E$30))</f>
        <v>0</v>
      </c>
      <c r="O88" s="120">
        <f>IF(O79&lt;$E82,0,IF(AND(O79&gt;=$E82,O79&lt;=($E82+$E88-1)),Вводные!$D$30,Вводные!$E$30))</f>
        <v>0</v>
      </c>
      <c r="P88" s="120">
        <f>IF(P79&lt;$E82,0,IF(AND(P79&gt;=$E82,P79&lt;=($E82+$E88-1)),Вводные!$D$30,Вводные!$E$30))</f>
        <v>0</v>
      </c>
      <c r="Q88" s="120">
        <f>IF(Q79&lt;$E82,0,IF(AND(Q79&gt;=$E82,Q79&lt;=($E82+$E88-1)),Вводные!$D$30,Вводные!$E$30))</f>
        <v>0</v>
      </c>
      <c r="R88" s="120">
        <f>IF(R79&lt;$E82,0,IF(AND(R79&gt;=$E82,R79&lt;=($E82+$E88-1)),Вводные!$D$30,Вводные!$E$30))</f>
        <v>0</v>
      </c>
      <c r="S88" s="120">
        <f>IF(S79&lt;$E82,0,IF(AND(S79&gt;=$E82,S79&lt;=($E82+$E88-1)),Вводные!$D$30,Вводные!$E$30))</f>
        <v>0</v>
      </c>
      <c r="T88" s="120">
        <f>IF(T79&lt;$E82,0,IF(AND(T79&gt;=$E82,T79&lt;=($E82+$E88-1)),Вводные!$D$30,Вводные!$E$30))</f>
        <v>0</v>
      </c>
      <c r="U88" s="120">
        <f>IF(U79&lt;$E82,0,IF(AND(U79&gt;=$E82,U79&lt;=($E82+$E88-1)),Вводные!$D$30,Вводные!$E$30))</f>
        <v>0</v>
      </c>
      <c r="V88" s="120">
        <f>IF(V79&lt;$E82,0,IF(AND(V79&gt;=$E82,V79&lt;=($E82+$E88-1)),Вводные!$D$30,Вводные!$E$30))</f>
        <v>0</v>
      </c>
      <c r="W88" s="120">
        <f>IF(W79&lt;$E82,0,IF(AND(W79&gt;=$E82,W79&lt;=($E82+$E88-1)),Вводные!$D$30,Вводные!$E$30))</f>
        <v>0</v>
      </c>
      <c r="X88" s="120">
        <f>IF(X79&lt;$E82,0,IF(AND(X79&gt;=$E82,X79&lt;=($E82+$E88-1)),Вводные!$D$30,Вводные!$E$30))</f>
        <v>0</v>
      </c>
      <c r="Y88" s="120">
        <f>IF(Y79&lt;$E82,0,IF(AND(Y79&gt;=$E82,Y79&lt;=($E82+$E88-1)),Вводные!$D$30,Вводные!$E$30))</f>
        <v>0</v>
      </c>
      <c r="Z88" s="120">
        <f>IF(Z79&lt;$E82,0,IF(AND(Z79&gt;=$E82,Z79&lt;=($E82+$E88-1)),Вводные!$D$30,Вводные!$E$30))</f>
        <v>0</v>
      </c>
      <c r="AA88" s="120">
        <f>IF(AA79&lt;$E82,0,IF(AND(AA79&gt;=$E82,AA79&lt;=($E82+$E88-1)),Вводные!$D$30,Вводные!$E$30))</f>
        <v>0</v>
      </c>
      <c r="AB88" s="120">
        <f>IF(AB79&lt;$E82,0,IF(AND(AB79&gt;=$E82,AB79&lt;=($E82+$E88-1)),Вводные!$D$30,Вводные!$E$30))</f>
        <v>0</v>
      </c>
      <c r="AC88" s="120">
        <f>IF(AC79&lt;$E82,0,IF(AND(AC79&gt;=$E82,AC79&lt;=($E82+$E88-1)),Вводные!$D$30,Вводные!$E$30))</f>
        <v>0</v>
      </c>
      <c r="AD88" s="120">
        <f>IF(AD79&lt;$E82,0,IF(AND(AD79&gt;=$E82,AD79&lt;=($E82+$E88-1)),Вводные!$D$30,Вводные!$E$30))</f>
        <v>0</v>
      </c>
      <c r="AE88" s="120">
        <f>IF(AE79&lt;$E82,0,IF(AND(AE79&gt;=$E82,AE79&lt;=($E82+$E88-1)),Вводные!$D$30,Вводные!$E$30))</f>
        <v>0</v>
      </c>
      <c r="AF88" s="120">
        <f>IF(AF79&lt;$E82,0,IF(AND(AF79&gt;=$E82,AF79&lt;=($E82+$E88-1)),Вводные!$D$30,Вводные!$E$30))</f>
        <v>0</v>
      </c>
      <c r="AG88" s="120">
        <f>IF(AG79&lt;$E82,0,IF(AND(AG79&gt;=$E82,AG79&lt;=($E82+$E88-1)),Вводные!$D$30,Вводные!$E$30))</f>
        <v>0</v>
      </c>
      <c r="AH88" s="120">
        <f>IF(AH79&lt;$E82,0,IF(AND(AH79&gt;=$E82,AH79&lt;=($E82+$E88-1)),Вводные!$D$30,Вводные!$E$30))</f>
        <v>0</v>
      </c>
      <c r="AI88" s="120">
        <f>IF(AI79&lt;$E82,0,IF(AND(AI79&gt;=$E82,AI79&lt;=($E82+$E88-1)),Вводные!$D$30,Вводные!$E$30))</f>
        <v>0</v>
      </c>
      <c r="AJ88" s="120">
        <f>IF(AJ79&lt;$E82,0,IF(AND(AJ79&gt;=$E82,AJ79&lt;=($E82+$E88-1)),Вводные!$D$30,Вводные!$E$30))</f>
        <v>0</v>
      </c>
      <c r="AK88" s="120">
        <f>IF(AK79&lt;$E82,0,IF(AND(AK79&gt;=$E82,AK79&lt;=($E82+$E88-1)),Вводные!$D$30,Вводные!$E$30))</f>
        <v>0</v>
      </c>
      <c r="AL88" s="120">
        <f>IF(AL79&lt;$E82,0,IF(AND(AL79&gt;=$E82,AL79&lt;=($E82+$E88-1)),Вводные!$D$30,Вводные!$E$30))</f>
        <v>0</v>
      </c>
      <c r="AM88" s="120">
        <f>IF(AM79&lt;$E82,0,IF(AND(AM79&gt;=$E82,AM79&lt;=($E82+$E88-1)),Вводные!$D$30,Вводные!$E$30))</f>
        <v>0</v>
      </c>
      <c r="AN88" s="120">
        <f>IF(AN79&lt;$E82,0,IF(AND(AN79&gt;=$E82,AN79&lt;=($E82+$E88-1)),Вводные!$D$30,Вводные!$E$30))</f>
        <v>0</v>
      </c>
      <c r="AO88" s="120">
        <f>IF(AO79&lt;$E82,0,IF(AND(AO79&gt;=$E82,AO79&lt;=($E82+$E88-1)),Вводные!$D$30,Вводные!$E$30))</f>
        <v>0</v>
      </c>
      <c r="AP88" s="120">
        <f>IF(AP79&lt;$E82,0,IF(AND(AP79&gt;=$E82,AP79&lt;=($E82+$E88-1)),Вводные!$D$30,Вводные!$E$30))</f>
        <v>0</v>
      </c>
      <c r="AQ88" s="120">
        <f>IF(AQ79&lt;$E82,0,IF(AND(AQ79&gt;=$E82,AQ79&lt;=($E82+$E88-1)),Вводные!$D$30,Вводные!$E$30))</f>
        <v>0</v>
      </c>
      <c r="AR88" s="120">
        <f>IF(AR79&lt;$E82,0,IF(AND(AR79&gt;=$E82,AR79&lt;=($E82+$E88-1)),Вводные!$D$30,Вводные!$E$30))</f>
        <v>0</v>
      </c>
      <c r="AS88" s="120">
        <f>IF(AS79&lt;$E82,0,IF(AND(AS79&gt;=$E82,AS79&lt;=($E82+$E88-1)),Вводные!$D$30,Вводные!$E$30))</f>
        <v>0</v>
      </c>
      <c r="AT88" s="120">
        <f>IF(AT79&lt;$E82,0,IF(AND(AT79&gt;=$E82,AT79&lt;=($E82+$E88-1)),Вводные!$D$30,Вводные!$E$30))</f>
        <v>0</v>
      </c>
      <c r="AU88" s="120">
        <f>IF(AU79&lt;$E82,0,IF(AND(AU79&gt;=$E82,AU79&lt;=($E82+$E88-1)),Вводные!$D$30,Вводные!$E$30))</f>
        <v>0</v>
      </c>
      <c r="AV88" s="120">
        <f>IF(AV79&lt;$E82,0,IF(AND(AV79&gt;=$E82,AV79&lt;=($E82+$E88-1)),Вводные!$D$30,Вводные!$E$30))</f>
        <v>0</v>
      </c>
      <c r="AW88" s="120">
        <f>IF(AW79&lt;$E82,0,IF(AND(AW79&gt;=$E82,AW79&lt;=($E82+$E88-1)),Вводные!$D$30,Вводные!$E$30))</f>
        <v>0</v>
      </c>
      <c r="AX88" s="120">
        <f>IF(AX79&lt;$E82,0,IF(AND(AX79&gt;=$E82,AX79&lt;=($E82+$E88-1)),Вводные!$D$30,Вводные!$E$30))</f>
        <v>0</v>
      </c>
      <c r="AY88" s="120">
        <f>IF(AY79&lt;$E82,0,IF(AND(AY79&gt;=$E82,AY79&lt;=($E82+$E88-1)),Вводные!$D$30,Вводные!$E$30))</f>
        <v>0</v>
      </c>
      <c r="AZ88" s="120">
        <f>IF(AZ79&lt;$E82,0,IF(AND(AZ79&gt;=$E82,AZ79&lt;=($E82+$E88-1)),Вводные!$D$30,Вводные!$E$30))</f>
        <v>0</v>
      </c>
      <c r="BA88" s="120">
        <f>IF(BA79&lt;$E82,0,IF(AND(BA79&gt;=$E82,BA79&lt;=($E82+$E88-1)),Вводные!$D$30,Вводные!$E$30))</f>
        <v>0</v>
      </c>
      <c r="BB88" s="120">
        <f>IF(BB79&lt;$E82,0,IF(AND(BB79&gt;=$E82,BB79&lt;=($E82+$E88-1)),Вводные!$D$30,Вводные!$E$30))</f>
        <v>0</v>
      </c>
      <c r="BC88" s="120">
        <f>IF(BC79&lt;$E82,0,IF(AND(BC79&gt;=$E82,BC79&lt;=($E82+$E88-1)),Вводные!$D$30,Вводные!$E$30))</f>
        <v>0</v>
      </c>
      <c r="BD88" s="120">
        <f>IF(BD79&lt;$E82,0,IF(AND(BD79&gt;=$E82,BD79&lt;=($E82+$E88-1)),Вводные!$D$30,Вводные!$E$30))</f>
        <v>0</v>
      </c>
      <c r="BE88" s="120">
        <f>IF(BE79&lt;$E82,0,IF(AND(BE79&gt;=$E82,BE79&lt;=($E82+$E88-1)),Вводные!$D$30,Вводные!$E$30))</f>
        <v>0</v>
      </c>
      <c r="BF88" s="120">
        <f>IF(BF79&lt;$E82,0,IF(AND(BF79&gt;=$E82,BF79&lt;=($E82+$E88-1)),Вводные!$D$30,Вводные!$E$30))</f>
        <v>0</v>
      </c>
      <c r="BG88" s="120">
        <f>IF(BG79&lt;$E82,0,IF(AND(BG79&gt;=$E82,BG79&lt;=($E82+$E88-1)),Вводные!$D$30,Вводные!$E$30))</f>
        <v>0</v>
      </c>
      <c r="BH88" s="120">
        <f>IF(BH79&lt;$E82,0,IF(AND(BH79&gt;=$E82,BH79&lt;=($E82+$E88-1)),Вводные!$D$30,Вводные!$E$30))</f>
        <v>0</v>
      </c>
      <c r="BI88" s="120">
        <f>IF(BI79&lt;$E82,0,IF(AND(BI79&gt;=$E82,BI79&lt;=($E82+$E88-1)),Вводные!$D$30,Вводные!$E$30))</f>
        <v>0</v>
      </c>
      <c r="BJ88" s="120">
        <f>IF(BJ79&lt;$E82,0,IF(AND(BJ79&gt;=$E82,BJ79&lt;=($E82+$E88-1)),Вводные!$D$30,Вводные!$E$30))</f>
        <v>0</v>
      </c>
      <c r="BK88" s="120">
        <f>IF(BK79&lt;$E82,0,IF(AND(BK79&gt;=$E82,BK79&lt;=($E82+$E88-1)),Вводные!$D$30,Вводные!$E$30))</f>
        <v>0</v>
      </c>
      <c r="BL88" s="120">
        <f>IF(BL79&lt;$E82,0,IF(AND(BL79&gt;=$E82,BL79&lt;=($E82+$E88-1)),Вводные!$D$30,Вводные!$E$30))</f>
        <v>2.1999999999999999E-2</v>
      </c>
      <c r="BM88" s="120">
        <f>IF(BM79&lt;$E82,0,IF(AND(BM79&gt;=$E82,BM79&lt;=($E82+$E88-1)),Вводные!$D$30,Вводные!$E$30))</f>
        <v>2.1999999999999999E-2</v>
      </c>
      <c r="BN88" s="120">
        <f>IF(BN79&lt;$E82,0,IF(AND(BN79&gt;=$E82,BN79&lt;=($E82+$E88-1)),Вводные!$D$30,Вводные!$E$30))</f>
        <v>2.1999999999999999E-2</v>
      </c>
      <c r="BO88" s="120">
        <f>IF(BO79&lt;$E82,0,IF(AND(BO79&gt;=$E82,BO79&lt;=($E82+$E88-1)),Вводные!$D$30,Вводные!$E$30))</f>
        <v>2.1999999999999999E-2</v>
      </c>
      <c r="BP88" s="120">
        <f>IF(BP79&lt;$E82,0,IF(AND(BP79&gt;=$E82,BP79&lt;=($E82+$E88-1)),Вводные!$D$30,Вводные!$E$30))</f>
        <v>2.1999999999999999E-2</v>
      </c>
      <c r="BQ88" s="120">
        <f>IF(BQ79&lt;$E82,0,IF(AND(BQ79&gt;=$E82,BQ79&lt;=($E82+$E88-1)),Вводные!$D$30,Вводные!$E$30))</f>
        <v>2.1999999999999999E-2</v>
      </c>
      <c r="BR88" s="120">
        <f>IF(BR79&lt;$E82,0,IF(AND(BR79&gt;=$E82,BR79&lt;=($E82+$E88-1)),Вводные!$D$30,Вводные!$E$30))</f>
        <v>2.1999999999999999E-2</v>
      </c>
      <c r="BS88" s="120">
        <f>IF(BS79&lt;$E82,0,IF(AND(BS79&gt;=$E82,BS79&lt;=($E82+$E88-1)),Вводные!$D$30,Вводные!$E$30))</f>
        <v>2.1999999999999999E-2</v>
      </c>
      <c r="BT88" s="120">
        <f>IF(BT79&lt;$E82,0,IF(AND(BT79&gt;=$E82,BT79&lt;=($E82+$E88-1)),Вводные!$D$30,Вводные!$E$30))</f>
        <v>2.1999999999999999E-2</v>
      </c>
      <c r="BU88" s="120">
        <f>IF(BU79&lt;$E82,0,IF(AND(BU79&gt;=$E82,BU79&lt;=($E82+$E88-1)),Вводные!$D$30,Вводные!$E$30))</f>
        <v>2.1999999999999999E-2</v>
      </c>
      <c r="BV88" s="120">
        <f>IF(BV79&lt;$E82,0,IF(AND(BV79&gt;=$E82,BV79&lt;=($E82+$E88-1)),Вводные!$D$30,Вводные!$E$30))</f>
        <v>2.1999999999999999E-2</v>
      </c>
      <c r="BW88" s="120">
        <f>IF(BW79&lt;$E82,0,IF(AND(BW79&gt;=$E82,BW79&lt;=($E82+$E88-1)),Вводные!$D$30,Вводные!$E$30))</f>
        <v>2.1999999999999999E-2</v>
      </c>
      <c r="BX88" s="120">
        <f>IF(BX79&lt;$E82,0,IF(AND(BX79&gt;=$E82,BX79&lt;=($E82+$E88-1)),Вводные!$D$30,Вводные!$E$30))</f>
        <v>2.1999999999999999E-2</v>
      </c>
      <c r="BY88" s="120">
        <f>IF(BY79&lt;$E82,0,IF(AND(BY79&gt;=$E82,BY79&lt;=($E82+$E88-1)),Вводные!$D$30,Вводные!$E$30))</f>
        <v>2.1999999999999999E-2</v>
      </c>
      <c r="BZ88" s="120">
        <f>IF(BZ79&lt;$E82,0,IF(AND(BZ79&gt;=$E82,BZ79&lt;=($E82+$E88-1)),Вводные!$D$30,Вводные!$E$30))</f>
        <v>2.1999999999999999E-2</v>
      </c>
      <c r="CA88" s="120">
        <f>IF(CA79&lt;$E82,0,IF(AND(CA79&gt;=$E82,CA79&lt;=($E82+$E88-1)),Вводные!$D$30,Вводные!$E$30))</f>
        <v>2.1999999999999999E-2</v>
      </c>
      <c r="CB88" s="120">
        <f>IF(CB79&lt;$E82,0,IF(AND(CB79&gt;=$E82,CB79&lt;=($E82+$E88-1)),Вводные!$D$30,Вводные!$E$30))</f>
        <v>2.1999999999999999E-2</v>
      </c>
      <c r="CC88" s="120">
        <f>IF(CC79&lt;$E82,0,IF(AND(CC79&gt;=$E82,CC79&lt;=($E82+$E88-1)),Вводные!$D$30,Вводные!$E$30))</f>
        <v>2.1999999999999999E-2</v>
      </c>
      <c r="CD88" s="120">
        <f>IF(CD79&lt;$E82,0,IF(AND(CD79&gt;=$E82,CD79&lt;=($E82+$E88-1)),Вводные!$D$30,Вводные!$E$30))</f>
        <v>2.1999999999999999E-2</v>
      </c>
      <c r="CE88" s="120">
        <f>IF(CE79&lt;$E82,0,IF(AND(CE79&gt;=$E82,CE79&lt;=($E82+$E88-1)),Вводные!$D$30,Вводные!$E$30))</f>
        <v>2.1999999999999999E-2</v>
      </c>
      <c r="CF88" s="120">
        <f>IF(CF79&lt;$E82,0,IF(AND(CF79&gt;=$E82,CF79&lt;=($E82+$E88-1)),Вводные!$D$30,Вводные!$E$30))</f>
        <v>2.1999999999999999E-2</v>
      </c>
      <c r="CG88" s="120">
        <f>IF(CG79&lt;$E82,0,IF(AND(CG79&gt;=$E82,CG79&lt;=($E82+$E88-1)),Вводные!$D$30,Вводные!$E$30))</f>
        <v>2.1999999999999999E-2</v>
      </c>
      <c r="CH88" s="120">
        <f>IF(CH79&lt;$E82,0,IF(AND(CH79&gt;=$E82,CH79&lt;=($E82+$E88-1)),Вводные!$D$30,Вводные!$E$30))</f>
        <v>2.1999999999999999E-2</v>
      </c>
      <c r="CI88" s="120">
        <f>IF(CI79&lt;$E82,0,IF(AND(CI79&gt;=$E82,CI79&lt;=($E82+$E88-1)),Вводные!$D$30,Вводные!$E$30))</f>
        <v>2.1999999999999999E-2</v>
      </c>
      <c r="CJ88" s="120">
        <f>IF(CJ79&lt;$E82,0,IF(AND(CJ79&gt;=$E82,CJ79&lt;=($E82+$E88-1)),Вводные!$D$30,Вводные!$E$30))</f>
        <v>2.1999999999999999E-2</v>
      </c>
      <c r="CK88" s="120">
        <f>IF(CK79&lt;$E82,0,IF(AND(CK79&gt;=$E82,CK79&lt;=($E82+$E88-1)),Вводные!$D$30,Вводные!$E$30))</f>
        <v>2.1999999999999999E-2</v>
      </c>
      <c r="CL88" s="120">
        <f>IF(CL79&lt;$E82,0,IF(AND(CL79&gt;=$E82,CL79&lt;=($E82+$E88-1)),Вводные!$D$30,Вводные!$E$30))</f>
        <v>2.1999999999999999E-2</v>
      </c>
      <c r="CM88" s="120">
        <f>IF(CM79&lt;$E82,0,IF(AND(CM79&gt;=$E82,CM79&lt;=($E82+$E88-1)),Вводные!$D$30,Вводные!$E$30))</f>
        <v>2.1999999999999999E-2</v>
      </c>
      <c r="CN88" s="120">
        <f>IF(CN79&lt;$E82,0,IF(AND(CN79&gt;=$E82,CN79&lt;=($E82+$E88-1)),Вводные!$D$30,Вводные!$E$30))</f>
        <v>2.1999999999999999E-2</v>
      </c>
      <c r="CO88" s="120">
        <f>IF(CO79&lt;$E82,0,IF(AND(CO79&gt;=$E82,CO79&lt;=($E82+$E88-1)),Вводные!$D$30,Вводные!$E$30))</f>
        <v>2.1999999999999999E-2</v>
      </c>
      <c r="CP88" s="120">
        <f>IF(CP79&lt;$E82,0,IF(AND(CP79&gt;=$E82,CP79&lt;=($E82+$E88-1)),Вводные!$D$30,Вводные!$E$30))</f>
        <v>2.1999999999999999E-2</v>
      </c>
      <c r="CQ88" s="120">
        <f>IF(CQ79&lt;$E82,0,IF(AND(CQ79&gt;=$E82,CQ79&lt;=($E82+$E88-1)),Вводные!$D$30,Вводные!$E$30))</f>
        <v>2.1999999999999999E-2</v>
      </c>
      <c r="CR88" s="120">
        <f>IF(CR79&lt;$E82,0,IF(AND(CR79&gt;=$E82,CR79&lt;=($E82+$E88-1)),Вводные!$D$30,Вводные!$E$30))</f>
        <v>2.1999999999999999E-2</v>
      </c>
      <c r="CS88" s="120">
        <f>IF(CS79&lt;$E82,0,IF(AND(CS79&gt;=$E82,CS79&lt;=($E82+$E88-1)),Вводные!$D$30,Вводные!$E$30))</f>
        <v>2.1999999999999999E-2</v>
      </c>
      <c r="CT88" s="120">
        <f>IF(CT79&lt;$E82,0,IF(AND(CT79&gt;=$E82,CT79&lt;=($E82+$E88-1)),Вводные!$D$30,Вводные!$E$30))</f>
        <v>2.1999999999999999E-2</v>
      </c>
      <c r="CU88" s="120">
        <f>IF(CU79&lt;$E82,0,IF(AND(CU79&gt;=$E82,CU79&lt;=($E82+$E88-1)),Вводные!$D$30,Вводные!$E$30))</f>
        <v>2.1999999999999999E-2</v>
      </c>
      <c r="CV88" s="120">
        <f>IF(CV79&lt;$E82,0,IF(AND(CV79&gt;=$E82,CV79&lt;=($E82+$E88-1)),Вводные!$D$30,Вводные!$E$30))</f>
        <v>2.1999999999999999E-2</v>
      </c>
      <c r="CW88" s="120">
        <f>IF(CW79&lt;$E82,0,IF(AND(CW79&gt;=$E82,CW79&lt;=($E82+$E88-1)),Вводные!$D$30,Вводные!$E$30))</f>
        <v>2.1999999999999999E-2</v>
      </c>
      <c r="CX88" s="120">
        <f>IF(CX79&lt;$E82,0,IF(AND(CX79&gt;=$E82,CX79&lt;=($E82+$E88-1)),Вводные!$D$30,Вводные!$E$30))</f>
        <v>2.1999999999999999E-2</v>
      </c>
      <c r="CY88" s="120">
        <f>IF(CY79&lt;$E82,0,IF(AND(CY79&gt;=$E82,CY79&lt;=($E82+$E88-1)),Вводные!$D$30,Вводные!$E$30))</f>
        <v>2.1999999999999999E-2</v>
      </c>
      <c r="CZ88" s="120">
        <f>IF(CZ79&lt;$E82,0,IF(AND(CZ79&gt;=$E82,CZ79&lt;=($E82+$E88-1)),Вводные!$D$30,Вводные!$E$30))</f>
        <v>2.1999999999999999E-2</v>
      </c>
      <c r="DA88" s="120">
        <f>IF(DA79&lt;$E82,0,IF(AND(DA79&gt;=$E82,DA79&lt;=($E82+$E88-1)),Вводные!$D$30,Вводные!$E$30))</f>
        <v>2.1999999999999999E-2</v>
      </c>
      <c r="DB88" s="120">
        <f>IF(DB79&lt;$E82,0,IF(AND(DB79&gt;=$E82,DB79&lt;=($E82+$E88-1)),Вводные!$D$30,Вводные!$E$30))</f>
        <v>2.1999999999999999E-2</v>
      </c>
      <c r="DC88" s="120">
        <f>IF(DC79&lt;$E82,0,IF(AND(DC79&gt;=$E82,DC79&lt;=($E82+$E88-1)),Вводные!$D$30,Вводные!$E$30))</f>
        <v>2.1999999999999999E-2</v>
      </c>
      <c r="DD88" s="120">
        <f>IF(DD79&lt;$E82,0,IF(AND(DD79&gt;=$E82,DD79&lt;=($E82+$E88-1)),Вводные!$D$30,Вводные!$E$30))</f>
        <v>2.1999999999999999E-2</v>
      </c>
      <c r="DE88" s="120">
        <f>IF(DE79&lt;$E82,0,IF(AND(DE79&gt;=$E82,DE79&lt;=($E82+$E88-1)),Вводные!$D$30,Вводные!$E$30))</f>
        <v>2.1999999999999999E-2</v>
      </c>
      <c r="DF88" s="120">
        <f>IF(DF79&lt;$E82,0,IF(AND(DF79&gt;=$E82,DF79&lt;=($E82+$E88-1)),Вводные!$D$30,Вводные!$E$30))</f>
        <v>2.1999999999999999E-2</v>
      </c>
      <c r="DG88" s="120">
        <f>IF(DG79&lt;$E82,0,IF(AND(DG79&gt;=$E82,DG79&lt;=($E82+$E88-1)),Вводные!$D$30,Вводные!$E$30))</f>
        <v>2.1999999999999999E-2</v>
      </c>
      <c r="DH88" s="120">
        <f>IF(DH79&lt;$E82,0,IF(AND(DH79&gt;=$E82,DH79&lt;=($E82+$E88-1)),Вводные!$D$30,Вводные!$E$30))</f>
        <v>2.1999999999999999E-2</v>
      </c>
      <c r="DI88" s="120">
        <f>IF(DI79&lt;$E82,0,IF(AND(DI79&gt;=$E82,DI79&lt;=($E82+$E88-1)),Вводные!$D$30,Вводные!$E$30))</f>
        <v>2.1999999999999999E-2</v>
      </c>
      <c r="DJ88" s="120">
        <f>IF(DJ79&lt;$E82,0,IF(AND(DJ79&gt;=$E82,DJ79&lt;=($E82+$E88-1)),Вводные!$D$30,Вводные!$E$30))</f>
        <v>2.1999999999999999E-2</v>
      </c>
      <c r="DK88" s="120">
        <f>IF(DK79&lt;$E82,0,IF(AND(DK79&gt;=$E82,DK79&lt;=($E82+$E88-1)),Вводные!$D$30,Вводные!$E$30))</f>
        <v>2.1999999999999999E-2</v>
      </c>
      <c r="DL88" s="120">
        <f>IF(DL79&lt;$E82,0,IF(AND(DL79&gt;=$E82,DL79&lt;=($E82+$E88-1)),Вводные!$D$30,Вводные!$E$30))</f>
        <v>2.1999999999999999E-2</v>
      </c>
      <c r="DM88" s="120">
        <f>IF(DM79&lt;$E82,0,IF(AND(DM79&gt;=$E82,DM79&lt;=($E82+$E88-1)),Вводные!$D$30,Вводные!$E$30))</f>
        <v>2.1999999999999999E-2</v>
      </c>
      <c r="DN88" s="120">
        <f>IF(DN79&lt;$E82,0,IF(AND(DN79&gt;=$E82,DN79&lt;=($E82+$E88-1)),Вводные!$D$30,Вводные!$E$30))</f>
        <v>2.1999999999999999E-2</v>
      </c>
      <c r="DO88" s="120">
        <f>IF(DO79&lt;$E82,0,IF(AND(DO79&gt;=$E82,DO79&lt;=($E82+$E88-1)),Вводные!$D$30,Вводные!$E$30))</f>
        <v>2.1999999999999999E-2</v>
      </c>
      <c r="DP88" s="120">
        <f>IF(DP79&lt;$E82,0,IF(AND(DP79&gt;=$E82,DP79&lt;=($E82+$E88-1)),Вводные!$D$30,Вводные!$E$30))</f>
        <v>2.1999999999999999E-2</v>
      </c>
      <c r="DQ88" s="120">
        <f>IF(DQ79&lt;$E82,0,IF(AND(DQ79&gt;=$E82,DQ79&lt;=($E82+$E88-1)),Вводные!$D$30,Вводные!$E$30))</f>
        <v>2.1999999999999999E-2</v>
      </c>
      <c r="DR88" s="120">
        <f>IF(DR79&lt;$E82,0,IF(AND(DR79&gt;=$E82,DR79&lt;=($E82+$E88-1)),Вводные!$D$30,Вводные!$E$30))</f>
        <v>2.1999999999999999E-2</v>
      </c>
      <c r="DS88" s="120">
        <f>IF(DS79&lt;$E82,0,IF(AND(DS79&gt;=$E82,DS79&lt;=($E82+$E88-1)),Вводные!$D$30,Вводные!$E$30))</f>
        <v>2.1999999999999999E-2</v>
      </c>
      <c r="DT88" s="120">
        <f>IF(DT79&lt;$E82,0,IF(AND(DT79&gt;=$E82,DT79&lt;=($E82+$E88-1)),Вводные!$D$30,Вводные!$E$30))</f>
        <v>2.1999999999999999E-2</v>
      </c>
      <c r="DU88" s="120">
        <f>IF(DU79&lt;$E82,0,IF(AND(DU79&gt;=$E82,DU79&lt;=($E82+$E88-1)),Вводные!$D$30,Вводные!$E$30))</f>
        <v>2.1999999999999999E-2</v>
      </c>
      <c r="DV88" s="120">
        <f>IF(DV79&lt;$E82,0,IF(AND(DV79&gt;=$E82,DV79&lt;=($E82+$E88-1)),Вводные!$D$30,Вводные!$E$30))</f>
        <v>2.1999999999999999E-2</v>
      </c>
      <c r="DW88" s="120">
        <f>IF(DW79&lt;$E82,0,IF(AND(DW79&gt;=$E82,DW79&lt;=($E82+$E88-1)),Вводные!$D$30,Вводные!$E$30))</f>
        <v>2.1999999999999999E-2</v>
      </c>
      <c r="DX88" s="120">
        <f>IF(DX79&lt;$E82,0,IF(AND(DX79&gt;=$E82,DX79&lt;=($E82+$E88-1)),Вводные!$D$30,Вводные!$E$30))</f>
        <v>2.1999999999999999E-2</v>
      </c>
      <c r="DY88" s="120">
        <f>IF(DY79&lt;$E82,0,IF(AND(DY79&gt;=$E82,DY79&lt;=($E82+$E88-1)),Вводные!$D$30,Вводные!$E$30))</f>
        <v>2.1999999999999999E-2</v>
      </c>
      <c r="DZ88" s="120">
        <f>IF(DZ79&lt;$E82,0,IF(AND(DZ79&gt;=$E82,DZ79&lt;=($E82+$E88-1)),Вводные!$D$30,Вводные!$E$30))</f>
        <v>2.1999999999999999E-2</v>
      </c>
      <c r="EA88" s="120">
        <f>IF(EA79&lt;$E82,0,IF(AND(EA79&gt;=$E82,EA79&lt;=($E82+$E88-1)),Вводные!$D$30,Вводные!$E$30))</f>
        <v>2.1999999999999999E-2</v>
      </c>
      <c r="EB88" s="120">
        <f>IF(EB79&lt;$E82,0,IF(AND(EB79&gt;=$E82,EB79&lt;=($E82+$E88-1)),Вводные!$D$30,Вводные!$E$30))</f>
        <v>2.1999999999999999E-2</v>
      </c>
      <c r="EC88" s="120">
        <f>IF(EC79&lt;$E82,0,IF(AND(EC79&gt;=$E82,EC79&lt;=($E82+$E88-1)),Вводные!$D$30,Вводные!$E$30))</f>
        <v>2.1999999999999999E-2</v>
      </c>
      <c r="ED88" s="120">
        <f>IF(ED79&lt;$E82,0,IF(AND(ED79&gt;=$E82,ED79&lt;=($E82+$E88-1)),Вводные!$D$30,Вводные!$E$30))</f>
        <v>2.1999999999999999E-2</v>
      </c>
      <c r="EE88" s="120">
        <f>IF(EE79&lt;$E82,0,IF(AND(EE79&gt;=$E82,EE79&lt;=($E82+$E88-1)),Вводные!$D$30,Вводные!$E$30))</f>
        <v>2.1999999999999999E-2</v>
      </c>
      <c r="EF88" s="120">
        <f>IF(EF79&lt;$E82,0,IF(AND(EF79&gt;=$E82,EF79&lt;=($E82+$E88-1)),Вводные!$D$30,Вводные!$E$30))</f>
        <v>2.1999999999999999E-2</v>
      </c>
      <c r="EG88" s="120">
        <f>IF(EG79&lt;$E82,0,IF(AND(EG79&gt;=$E82,EG79&lt;=($E82+$E88-1)),Вводные!$D$30,Вводные!$E$30))</f>
        <v>2.1999999999999999E-2</v>
      </c>
      <c r="EH88" s="120">
        <f>IF(EH79&lt;$E82,0,IF(AND(EH79&gt;=$E82,EH79&lt;=($E82+$E88-1)),Вводные!$D$30,Вводные!$E$30))</f>
        <v>2.1999999999999999E-2</v>
      </c>
      <c r="EI88" s="120">
        <f>IF(EI79&lt;$E82,0,IF(AND(EI79&gt;=$E82,EI79&lt;=($E82+$E88-1)),Вводные!$D$30,Вводные!$E$30))</f>
        <v>2.1999999999999999E-2</v>
      </c>
      <c r="EJ88" s="120">
        <f>IF(EJ79&lt;$E82,0,IF(AND(EJ79&gt;=$E82,EJ79&lt;=($E82+$E88-1)),Вводные!$D$30,Вводные!$E$30))</f>
        <v>2.1999999999999999E-2</v>
      </c>
      <c r="EK88" s="120">
        <f>IF(EK79&lt;$E82,0,IF(AND(EK79&gt;=$E82,EK79&lt;=($E82+$E88-1)),Вводные!$D$30,Вводные!$E$30))</f>
        <v>2.1999999999999999E-2</v>
      </c>
      <c r="EL88" s="120">
        <f>IF(EL79&lt;$E82,0,IF(AND(EL79&gt;=$E82,EL79&lt;=($E82+$E88-1)),Вводные!$D$30,Вводные!$E$30))</f>
        <v>2.1999999999999999E-2</v>
      </c>
      <c r="EM88" s="120">
        <f>IF(EM79&lt;$E82,0,IF(AND(EM79&gt;=$E82,EM79&lt;=($E82+$E88-1)),Вводные!$D$30,Вводные!$E$30))</f>
        <v>2.1999999999999999E-2</v>
      </c>
      <c r="EN88" s="120">
        <f>IF(EN79&lt;$E82,0,IF(AND(EN79&gt;=$E82,EN79&lt;=($E82+$E88-1)),Вводные!$D$30,Вводные!$E$30))</f>
        <v>2.1999999999999999E-2</v>
      </c>
    </row>
    <row r="89" spans="2:144" outlineLevel="1">
      <c r="C89" s="151" t="s">
        <v>22</v>
      </c>
      <c r="D89" s="44"/>
      <c r="E89" s="469"/>
      <c r="F89" s="44"/>
      <c r="G89" s="44"/>
      <c r="H89" s="44">
        <f t="shared" ref="H89:AM89" si="154">H88*H87/4</f>
        <v>0</v>
      </c>
      <c r="I89" s="44">
        <f t="shared" si="154"/>
        <v>0</v>
      </c>
      <c r="J89" s="44">
        <f t="shared" si="154"/>
        <v>0</v>
      </c>
      <c r="K89" s="44">
        <f t="shared" si="154"/>
        <v>0</v>
      </c>
      <c r="L89" s="44">
        <f t="shared" si="154"/>
        <v>0</v>
      </c>
      <c r="M89" s="44">
        <f t="shared" si="154"/>
        <v>0</v>
      </c>
      <c r="N89" s="44">
        <f t="shared" si="154"/>
        <v>0</v>
      </c>
      <c r="O89" s="44">
        <f t="shared" si="154"/>
        <v>0</v>
      </c>
      <c r="P89" s="44">
        <f t="shared" si="154"/>
        <v>0</v>
      </c>
      <c r="Q89" s="44">
        <f t="shared" si="154"/>
        <v>0</v>
      </c>
      <c r="R89" s="44">
        <f t="shared" si="154"/>
        <v>0</v>
      </c>
      <c r="S89" s="44">
        <f t="shared" si="154"/>
        <v>0</v>
      </c>
      <c r="T89" s="44">
        <f t="shared" si="154"/>
        <v>0</v>
      </c>
      <c r="U89" s="44">
        <f t="shared" si="154"/>
        <v>0</v>
      </c>
      <c r="V89" s="44">
        <f t="shared" si="154"/>
        <v>0</v>
      </c>
      <c r="W89" s="44">
        <f t="shared" si="154"/>
        <v>0</v>
      </c>
      <c r="X89" s="44">
        <f t="shared" si="154"/>
        <v>0</v>
      </c>
      <c r="Y89" s="44">
        <f t="shared" si="154"/>
        <v>0</v>
      </c>
      <c r="Z89" s="44">
        <f t="shared" si="154"/>
        <v>0</v>
      </c>
      <c r="AA89" s="44">
        <f t="shared" si="154"/>
        <v>0</v>
      </c>
      <c r="AB89" s="44">
        <f t="shared" si="154"/>
        <v>0</v>
      </c>
      <c r="AC89" s="44">
        <f t="shared" si="154"/>
        <v>0</v>
      </c>
      <c r="AD89" s="44">
        <f t="shared" si="154"/>
        <v>0</v>
      </c>
      <c r="AE89" s="44">
        <f t="shared" si="154"/>
        <v>0</v>
      </c>
      <c r="AF89" s="44">
        <f t="shared" si="154"/>
        <v>0</v>
      </c>
      <c r="AG89" s="44">
        <f t="shared" si="154"/>
        <v>0</v>
      </c>
      <c r="AH89" s="44">
        <f t="shared" si="154"/>
        <v>0</v>
      </c>
      <c r="AI89" s="44">
        <f t="shared" si="154"/>
        <v>0</v>
      </c>
      <c r="AJ89" s="44">
        <f t="shared" si="154"/>
        <v>0</v>
      </c>
      <c r="AK89" s="44">
        <f t="shared" si="154"/>
        <v>0</v>
      </c>
      <c r="AL89" s="44">
        <f t="shared" si="154"/>
        <v>0</v>
      </c>
      <c r="AM89" s="44">
        <f t="shared" si="154"/>
        <v>0</v>
      </c>
      <c r="AN89" s="44">
        <f t="shared" ref="AN89:BS89" si="155">AN88*AN87/4</f>
        <v>0</v>
      </c>
      <c r="AO89" s="44">
        <f t="shared" si="155"/>
        <v>0</v>
      </c>
      <c r="AP89" s="44">
        <f t="shared" si="155"/>
        <v>0</v>
      </c>
      <c r="AQ89" s="44">
        <f t="shared" si="155"/>
        <v>0</v>
      </c>
      <c r="AR89" s="44">
        <f t="shared" si="155"/>
        <v>0</v>
      </c>
      <c r="AS89" s="44">
        <f t="shared" si="155"/>
        <v>0</v>
      </c>
      <c r="AT89" s="44">
        <f t="shared" si="155"/>
        <v>0</v>
      </c>
      <c r="AU89" s="44">
        <f t="shared" si="155"/>
        <v>0</v>
      </c>
      <c r="AV89" s="44">
        <f t="shared" si="155"/>
        <v>0</v>
      </c>
      <c r="AW89" s="44">
        <f t="shared" si="155"/>
        <v>0</v>
      </c>
      <c r="AX89" s="44">
        <f t="shared" si="155"/>
        <v>0</v>
      </c>
      <c r="AY89" s="44">
        <f t="shared" si="155"/>
        <v>0</v>
      </c>
      <c r="AZ89" s="44">
        <f t="shared" si="155"/>
        <v>0</v>
      </c>
      <c r="BA89" s="44">
        <f t="shared" si="155"/>
        <v>0</v>
      </c>
      <c r="BB89" s="44">
        <f t="shared" si="155"/>
        <v>0</v>
      </c>
      <c r="BC89" s="44">
        <f t="shared" si="155"/>
        <v>0</v>
      </c>
      <c r="BD89" s="44">
        <f t="shared" si="155"/>
        <v>0</v>
      </c>
      <c r="BE89" s="44">
        <f t="shared" si="155"/>
        <v>0</v>
      </c>
      <c r="BF89" s="44">
        <f t="shared" si="155"/>
        <v>0</v>
      </c>
      <c r="BG89" s="44">
        <f t="shared" si="155"/>
        <v>0</v>
      </c>
      <c r="BH89" s="44">
        <f t="shared" si="155"/>
        <v>0</v>
      </c>
      <c r="BI89" s="44">
        <f t="shared" si="155"/>
        <v>0</v>
      </c>
      <c r="BJ89" s="44">
        <f t="shared" si="155"/>
        <v>0</v>
      </c>
      <c r="BK89" s="44">
        <f t="shared" si="155"/>
        <v>0</v>
      </c>
      <c r="BL89" s="44">
        <f t="shared" si="155"/>
        <v>820006.08121098077</v>
      </c>
      <c r="BM89" s="44">
        <f t="shared" si="155"/>
        <v>809944.65690164361</v>
      </c>
      <c r="BN89" s="44">
        <f t="shared" si="155"/>
        <v>799883.23259230645</v>
      </c>
      <c r="BO89" s="44">
        <f t="shared" si="155"/>
        <v>789821.80828296929</v>
      </c>
      <c r="BP89" s="44">
        <f t="shared" si="155"/>
        <v>779760.38397363212</v>
      </c>
      <c r="BQ89" s="44">
        <f t="shared" si="155"/>
        <v>769698.95966429508</v>
      </c>
      <c r="BR89" s="44">
        <f t="shared" si="155"/>
        <v>759637.53535495792</v>
      </c>
      <c r="BS89" s="44">
        <f t="shared" si="155"/>
        <v>749576.11104562075</v>
      </c>
      <c r="BT89" s="44">
        <f t="shared" ref="BT89:CY89" si="156">BT88*BT87/4</f>
        <v>739514.68673628359</v>
      </c>
      <c r="BU89" s="44">
        <f t="shared" si="156"/>
        <v>729453.26242694643</v>
      </c>
      <c r="BV89" s="44">
        <f t="shared" si="156"/>
        <v>719391.83811760938</v>
      </c>
      <c r="BW89" s="44">
        <f t="shared" si="156"/>
        <v>709330.41380827222</v>
      </c>
      <c r="BX89" s="44">
        <f t="shared" si="156"/>
        <v>699268.98949893506</v>
      </c>
      <c r="BY89" s="44">
        <f t="shared" si="156"/>
        <v>689207.5651895979</v>
      </c>
      <c r="BZ89" s="44">
        <f t="shared" si="156"/>
        <v>679146.14088026073</v>
      </c>
      <c r="CA89" s="44">
        <f t="shared" si="156"/>
        <v>669084.71657092369</v>
      </c>
      <c r="CB89" s="44">
        <f t="shared" si="156"/>
        <v>659023.29226158652</v>
      </c>
      <c r="CC89" s="44">
        <f t="shared" si="156"/>
        <v>648961.86795224936</v>
      </c>
      <c r="CD89" s="44">
        <f t="shared" si="156"/>
        <v>638900.4436429122</v>
      </c>
      <c r="CE89" s="44">
        <f t="shared" si="156"/>
        <v>628839.01933357504</v>
      </c>
      <c r="CF89" s="44">
        <f t="shared" si="156"/>
        <v>618777.59502423799</v>
      </c>
      <c r="CG89" s="44">
        <f t="shared" si="156"/>
        <v>608716.17071490083</v>
      </c>
      <c r="CH89" s="44">
        <f t="shared" si="156"/>
        <v>598654.74640556367</v>
      </c>
      <c r="CI89" s="44">
        <f t="shared" si="156"/>
        <v>588593.3220962265</v>
      </c>
      <c r="CJ89" s="44">
        <f t="shared" si="156"/>
        <v>578531.89778688946</v>
      </c>
      <c r="CK89" s="44">
        <f t="shared" si="156"/>
        <v>568470.4734775523</v>
      </c>
      <c r="CL89" s="44">
        <f t="shared" si="156"/>
        <v>558409.04916821513</v>
      </c>
      <c r="CM89" s="44">
        <f t="shared" si="156"/>
        <v>548347.62485887797</v>
      </c>
      <c r="CN89" s="44">
        <f t="shared" si="156"/>
        <v>538286.20054954081</v>
      </c>
      <c r="CO89" s="44">
        <f t="shared" si="156"/>
        <v>528224.77624020376</v>
      </c>
      <c r="CP89" s="44">
        <f t="shared" si="156"/>
        <v>518163.35193086654</v>
      </c>
      <c r="CQ89" s="44">
        <f t="shared" si="156"/>
        <v>508101.92762152944</v>
      </c>
      <c r="CR89" s="44">
        <f t="shared" si="156"/>
        <v>498040.50331219228</v>
      </c>
      <c r="CS89" s="44">
        <f t="shared" si="156"/>
        <v>487979.07900285517</v>
      </c>
      <c r="CT89" s="44">
        <f t="shared" si="156"/>
        <v>477917.65469351801</v>
      </c>
      <c r="CU89" s="44">
        <f t="shared" si="156"/>
        <v>467856.2303841809</v>
      </c>
      <c r="CV89" s="44">
        <f t="shared" si="156"/>
        <v>457794.80607484374</v>
      </c>
      <c r="CW89" s="44">
        <f t="shared" si="156"/>
        <v>447733.38176550658</v>
      </c>
      <c r="CX89" s="44">
        <f t="shared" si="156"/>
        <v>437671.95745616948</v>
      </c>
      <c r="CY89" s="44">
        <f t="shared" si="156"/>
        <v>427610.53314683231</v>
      </c>
      <c r="CZ89" s="44">
        <f t="shared" ref="CZ89:EE89" si="157">CZ88*CZ87/4</f>
        <v>417549.10883749521</v>
      </c>
      <c r="DA89" s="44">
        <f t="shared" si="157"/>
        <v>407487.68452815805</v>
      </c>
      <c r="DB89" s="44">
        <f t="shared" si="157"/>
        <v>397426.26021882088</v>
      </c>
      <c r="DC89" s="44">
        <f t="shared" si="157"/>
        <v>387364.83590948378</v>
      </c>
      <c r="DD89" s="44">
        <f t="shared" si="157"/>
        <v>377303.41160014662</v>
      </c>
      <c r="DE89" s="44">
        <f t="shared" si="157"/>
        <v>367241.98729080951</v>
      </c>
      <c r="DF89" s="44">
        <f t="shared" si="157"/>
        <v>357180.56298147229</v>
      </c>
      <c r="DG89" s="44">
        <f t="shared" si="157"/>
        <v>347119.13867213513</v>
      </c>
      <c r="DH89" s="44">
        <f t="shared" si="157"/>
        <v>337057.71436279791</v>
      </c>
      <c r="DI89" s="44">
        <f t="shared" si="157"/>
        <v>326996.29005346075</v>
      </c>
      <c r="DJ89" s="44">
        <f t="shared" si="157"/>
        <v>316934.86574412353</v>
      </c>
      <c r="DK89" s="44">
        <f t="shared" si="157"/>
        <v>306873.44143478642</v>
      </c>
      <c r="DL89" s="44">
        <f t="shared" si="157"/>
        <v>296812.0171254492</v>
      </c>
      <c r="DM89" s="44">
        <f t="shared" si="157"/>
        <v>286750.59281611204</v>
      </c>
      <c r="DN89" s="44">
        <f t="shared" si="157"/>
        <v>276689.16850677482</v>
      </c>
      <c r="DO89" s="44">
        <f t="shared" si="157"/>
        <v>266627.74419743771</v>
      </c>
      <c r="DP89" s="44">
        <f t="shared" si="157"/>
        <v>256566.31988810046</v>
      </c>
      <c r="DQ89" s="44">
        <f t="shared" si="157"/>
        <v>246504.89557876333</v>
      </c>
      <c r="DR89" s="44">
        <f t="shared" si="157"/>
        <v>236443.47126942611</v>
      </c>
      <c r="DS89" s="44">
        <f t="shared" si="157"/>
        <v>226382.04696008898</v>
      </c>
      <c r="DT89" s="44">
        <f t="shared" si="157"/>
        <v>216320.62265075176</v>
      </c>
      <c r="DU89" s="44">
        <f t="shared" si="157"/>
        <v>206259.19834141462</v>
      </c>
      <c r="DV89" s="44">
        <f t="shared" si="157"/>
        <v>196197.7740320774</v>
      </c>
      <c r="DW89" s="44">
        <f t="shared" si="157"/>
        <v>186136.34972274027</v>
      </c>
      <c r="DX89" s="44">
        <f t="shared" si="157"/>
        <v>176074.92541340305</v>
      </c>
      <c r="DY89" s="44">
        <f t="shared" si="157"/>
        <v>166013.50110406589</v>
      </c>
      <c r="DZ89" s="44">
        <f t="shared" si="157"/>
        <v>155952.07679472869</v>
      </c>
      <c r="EA89" s="44">
        <f t="shared" si="157"/>
        <v>145890.65248539153</v>
      </c>
      <c r="EB89" s="44">
        <f t="shared" si="157"/>
        <v>135829.22817605434</v>
      </c>
      <c r="EC89" s="44">
        <f t="shared" si="157"/>
        <v>125767.80386671716</v>
      </c>
      <c r="ED89" s="44">
        <f t="shared" si="157"/>
        <v>115706.37955737999</v>
      </c>
      <c r="EE89" s="44">
        <f t="shared" si="157"/>
        <v>105644.9552480428</v>
      </c>
      <c r="EF89" s="44">
        <f t="shared" ref="EF89:EN89" si="158">EF88*EF87/4</f>
        <v>95583.530938705619</v>
      </c>
      <c r="EG89" s="44">
        <f t="shared" si="158"/>
        <v>85522.106629368471</v>
      </c>
      <c r="EH89" s="44">
        <f t="shared" si="158"/>
        <v>75460.682320031279</v>
      </c>
      <c r="EI89" s="44">
        <f t="shared" si="158"/>
        <v>65399.258010694124</v>
      </c>
      <c r="EJ89" s="44">
        <f t="shared" si="158"/>
        <v>55337.833701356947</v>
      </c>
      <c r="EK89" s="44">
        <f t="shared" si="158"/>
        <v>45276.409392019785</v>
      </c>
      <c r="EL89" s="44">
        <f t="shared" si="158"/>
        <v>35214.985082682615</v>
      </c>
      <c r="EM89" s="44">
        <f t="shared" si="158"/>
        <v>25153.560773345442</v>
      </c>
      <c r="EN89" s="44">
        <f t="shared" si="158"/>
        <v>15092.136464008274</v>
      </c>
    </row>
    <row r="90" spans="2:144" ht="15.75">
      <c r="B90" s="40"/>
      <c r="C90" s="22"/>
      <c r="E90" s="40"/>
      <c r="F90" s="40"/>
      <c r="G90" s="40"/>
      <c r="H90" s="463">
        <f t="shared" ref="H90:BD90" si="159">YEAR(H92)</f>
        <v>2022</v>
      </c>
      <c r="I90" s="463">
        <f t="shared" si="159"/>
        <v>2022</v>
      </c>
      <c r="J90" s="463">
        <f t="shared" si="159"/>
        <v>2022</v>
      </c>
      <c r="K90" s="463">
        <f t="shared" si="159"/>
        <v>2022</v>
      </c>
      <c r="L90" s="463">
        <f t="shared" si="159"/>
        <v>2023</v>
      </c>
      <c r="M90" s="463">
        <f t="shared" si="159"/>
        <v>2023</v>
      </c>
      <c r="N90" s="463">
        <f t="shared" si="159"/>
        <v>2023</v>
      </c>
      <c r="O90" s="463">
        <f t="shared" si="159"/>
        <v>2023</v>
      </c>
      <c r="P90" s="463">
        <f t="shared" si="159"/>
        <v>2024</v>
      </c>
      <c r="Q90" s="463">
        <f t="shared" si="159"/>
        <v>2024</v>
      </c>
      <c r="R90" s="463">
        <f t="shared" si="159"/>
        <v>2024</v>
      </c>
      <c r="S90" s="463">
        <f t="shared" si="159"/>
        <v>2024</v>
      </c>
      <c r="T90" s="463">
        <f t="shared" si="159"/>
        <v>2025</v>
      </c>
      <c r="U90" s="463">
        <f t="shared" si="159"/>
        <v>2025</v>
      </c>
      <c r="V90" s="463">
        <f t="shared" si="159"/>
        <v>2025</v>
      </c>
      <c r="W90" s="463">
        <f t="shared" si="159"/>
        <v>2025</v>
      </c>
      <c r="X90" s="463">
        <f t="shared" si="159"/>
        <v>2026</v>
      </c>
      <c r="Y90" s="463">
        <f t="shared" si="159"/>
        <v>2026</v>
      </c>
      <c r="Z90" s="463">
        <f t="shared" si="159"/>
        <v>2026</v>
      </c>
      <c r="AA90" s="463">
        <f t="shared" si="159"/>
        <v>2026</v>
      </c>
      <c r="AB90" s="463">
        <f t="shared" si="159"/>
        <v>2027</v>
      </c>
      <c r="AC90" s="463">
        <f t="shared" si="159"/>
        <v>2027</v>
      </c>
      <c r="AD90" s="463">
        <f t="shared" si="159"/>
        <v>2027</v>
      </c>
      <c r="AE90" s="463">
        <f t="shared" si="159"/>
        <v>2027</v>
      </c>
      <c r="AF90" s="463">
        <f t="shared" si="159"/>
        <v>2028</v>
      </c>
      <c r="AG90" s="463">
        <f t="shared" si="159"/>
        <v>2028</v>
      </c>
      <c r="AH90" s="463">
        <f t="shared" si="159"/>
        <v>2028</v>
      </c>
      <c r="AI90" s="463">
        <f t="shared" si="159"/>
        <v>2028</v>
      </c>
      <c r="AJ90" s="463">
        <f t="shared" si="159"/>
        <v>2029</v>
      </c>
      <c r="AK90" s="463">
        <f t="shared" si="159"/>
        <v>2029</v>
      </c>
      <c r="AL90" s="463">
        <f t="shared" si="159"/>
        <v>2029</v>
      </c>
      <c r="AM90" s="463">
        <f t="shared" si="159"/>
        <v>2029</v>
      </c>
      <c r="AN90" s="463">
        <f t="shared" si="159"/>
        <v>2030</v>
      </c>
      <c r="AO90" s="463">
        <f t="shared" si="159"/>
        <v>2030</v>
      </c>
      <c r="AP90" s="463">
        <f t="shared" si="159"/>
        <v>2030</v>
      </c>
      <c r="AQ90" s="463">
        <f t="shared" si="159"/>
        <v>2030</v>
      </c>
      <c r="AR90" s="463">
        <f t="shared" si="159"/>
        <v>2031</v>
      </c>
      <c r="AS90" s="463">
        <f t="shared" si="159"/>
        <v>2031</v>
      </c>
      <c r="AT90" s="463">
        <f t="shared" si="159"/>
        <v>2031</v>
      </c>
      <c r="AU90" s="463">
        <f t="shared" si="159"/>
        <v>2031</v>
      </c>
      <c r="AV90" s="463">
        <f t="shared" si="159"/>
        <v>2032</v>
      </c>
      <c r="AW90" s="463">
        <f t="shared" si="159"/>
        <v>2032</v>
      </c>
      <c r="AX90" s="463">
        <f t="shared" si="159"/>
        <v>2032</v>
      </c>
      <c r="AY90" s="463">
        <f t="shared" si="159"/>
        <v>2032</v>
      </c>
      <c r="AZ90" s="463">
        <f t="shared" si="159"/>
        <v>2033</v>
      </c>
      <c r="BA90" s="463">
        <f t="shared" si="159"/>
        <v>2033</v>
      </c>
      <c r="BB90" s="463">
        <f t="shared" si="159"/>
        <v>2033</v>
      </c>
      <c r="BC90" s="463">
        <f t="shared" si="159"/>
        <v>2033</v>
      </c>
      <c r="BD90" s="463">
        <f t="shared" si="159"/>
        <v>2034</v>
      </c>
      <c r="BE90" s="463">
        <f>YEAR(BE92)</f>
        <v>2034</v>
      </c>
      <c r="BF90" s="463">
        <f>YEAR(BF92)</f>
        <v>2034</v>
      </c>
      <c r="BG90" s="463">
        <f t="shared" ref="BG90:DR90" si="160">YEAR(BG92)</f>
        <v>2034</v>
      </c>
      <c r="BH90" s="463">
        <f t="shared" si="160"/>
        <v>2035</v>
      </c>
      <c r="BI90" s="463">
        <f t="shared" si="160"/>
        <v>2035</v>
      </c>
      <c r="BJ90" s="463">
        <f t="shared" si="160"/>
        <v>2035</v>
      </c>
      <c r="BK90" s="463">
        <f t="shared" si="160"/>
        <v>2035</v>
      </c>
      <c r="BL90" s="463">
        <f t="shared" si="160"/>
        <v>2036</v>
      </c>
      <c r="BM90" s="463">
        <f t="shared" si="160"/>
        <v>2036</v>
      </c>
      <c r="BN90" s="463">
        <f t="shared" si="160"/>
        <v>2036</v>
      </c>
      <c r="BO90" s="463">
        <f t="shared" si="160"/>
        <v>2036</v>
      </c>
      <c r="BP90" s="463">
        <f t="shared" si="160"/>
        <v>2037</v>
      </c>
      <c r="BQ90" s="463">
        <f t="shared" si="160"/>
        <v>2037</v>
      </c>
      <c r="BR90" s="463">
        <f t="shared" si="160"/>
        <v>2037</v>
      </c>
      <c r="BS90" s="463">
        <f t="shared" si="160"/>
        <v>2037</v>
      </c>
      <c r="BT90" s="463">
        <f t="shared" si="160"/>
        <v>2038</v>
      </c>
      <c r="BU90" s="463">
        <f t="shared" si="160"/>
        <v>2038</v>
      </c>
      <c r="BV90" s="463">
        <f t="shared" si="160"/>
        <v>2038</v>
      </c>
      <c r="BW90" s="463">
        <f t="shared" si="160"/>
        <v>2038</v>
      </c>
      <c r="BX90" s="463">
        <f t="shared" si="160"/>
        <v>2039</v>
      </c>
      <c r="BY90" s="463">
        <f t="shared" si="160"/>
        <v>2039</v>
      </c>
      <c r="BZ90" s="463">
        <f t="shared" si="160"/>
        <v>2039</v>
      </c>
      <c r="CA90" s="463">
        <f t="shared" si="160"/>
        <v>2039</v>
      </c>
      <c r="CB90" s="463">
        <f t="shared" si="160"/>
        <v>2040</v>
      </c>
      <c r="CC90" s="463">
        <f t="shared" si="160"/>
        <v>2040</v>
      </c>
      <c r="CD90" s="463">
        <f t="shared" si="160"/>
        <v>2040</v>
      </c>
      <c r="CE90" s="463">
        <f t="shared" si="160"/>
        <v>2040</v>
      </c>
      <c r="CF90" s="463">
        <f t="shared" si="160"/>
        <v>2041</v>
      </c>
      <c r="CG90" s="463">
        <f t="shared" si="160"/>
        <v>2041</v>
      </c>
      <c r="CH90" s="463">
        <f t="shared" si="160"/>
        <v>2041</v>
      </c>
      <c r="CI90" s="463">
        <f t="shared" si="160"/>
        <v>2041</v>
      </c>
      <c r="CJ90" s="463">
        <f t="shared" si="160"/>
        <v>2042</v>
      </c>
      <c r="CK90" s="463">
        <f t="shared" si="160"/>
        <v>2042</v>
      </c>
      <c r="CL90" s="463">
        <f t="shared" si="160"/>
        <v>2042</v>
      </c>
      <c r="CM90" s="463">
        <f t="shared" si="160"/>
        <v>2042</v>
      </c>
      <c r="CN90" s="463">
        <f t="shared" si="160"/>
        <v>2043</v>
      </c>
      <c r="CO90" s="463">
        <f t="shared" si="160"/>
        <v>2043</v>
      </c>
      <c r="CP90" s="463">
        <f t="shared" si="160"/>
        <v>2043</v>
      </c>
      <c r="CQ90" s="463">
        <f t="shared" si="160"/>
        <v>2043</v>
      </c>
      <c r="CR90" s="463">
        <f t="shared" si="160"/>
        <v>2044</v>
      </c>
      <c r="CS90" s="463">
        <f t="shared" si="160"/>
        <v>2044</v>
      </c>
      <c r="CT90" s="463">
        <f t="shared" si="160"/>
        <v>2044</v>
      </c>
      <c r="CU90" s="463">
        <f t="shared" si="160"/>
        <v>2044</v>
      </c>
      <c r="CV90" s="463">
        <f t="shared" si="160"/>
        <v>2045</v>
      </c>
      <c r="CW90" s="463">
        <f t="shared" si="160"/>
        <v>2045</v>
      </c>
      <c r="CX90" s="463">
        <f t="shared" si="160"/>
        <v>2045</v>
      </c>
      <c r="CY90" s="463">
        <f t="shared" si="160"/>
        <v>2045</v>
      </c>
      <c r="CZ90" s="463">
        <f t="shared" si="160"/>
        <v>2046</v>
      </c>
      <c r="DA90" s="463">
        <f t="shared" si="160"/>
        <v>2046</v>
      </c>
      <c r="DB90" s="463">
        <f t="shared" si="160"/>
        <v>2046</v>
      </c>
      <c r="DC90" s="463">
        <f t="shared" si="160"/>
        <v>2046</v>
      </c>
      <c r="DD90" s="463">
        <f t="shared" si="160"/>
        <v>2047</v>
      </c>
      <c r="DE90" s="463">
        <f t="shared" si="160"/>
        <v>2047</v>
      </c>
      <c r="DF90" s="463">
        <f t="shared" si="160"/>
        <v>2047</v>
      </c>
      <c r="DG90" s="463">
        <f t="shared" si="160"/>
        <v>2047</v>
      </c>
      <c r="DH90" s="463">
        <f t="shared" si="160"/>
        <v>2048</v>
      </c>
      <c r="DI90" s="463">
        <f t="shared" si="160"/>
        <v>2048</v>
      </c>
      <c r="DJ90" s="463">
        <f t="shared" si="160"/>
        <v>2048</v>
      </c>
      <c r="DK90" s="463">
        <f t="shared" si="160"/>
        <v>2048</v>
      </c>
      <c r="DL90" s="463">
        <f t="shared" si="160"/>
        <v>2049</v>
      </c>
      <c r="DM90" s="463">
        <f t="shared" si="160"/>
        <v>2049</v>
      </c>
      <c r="DN90" s="463">
        <f t="shared" si="160"/>
        <v>2049</v>
      </c>
      <c r="DO90" s="463">
        <f t="shared" si="160"/>
        <v>2049</v>
      </c>
      <c r="DP90" s="463">
        <f t="shared" si="160"/>
        <v>2050</v>
      </c>
      <c r="DQ90" s="463">
        <f t="shared" si="160"/>
        <v>2050</v>
      </c>
      <c r="DR90" s="463">
        <f t="shared" si="160"/>
        <v>2050</v>
      </c>
      <c r="DS90" s="463">
        <f t="shared" ref="DS90:EN90" si="161">YEAR(DS92)</f>
        <v>2050</v>
      </c>
      <c r="DT90" s="463">
        <f t="shared" si="161"/>
        <v>2051</v>
      </c>
      <c r="DU90" s="463">
        <f t="shared" si="161"/>
        <v>2051</v>
      </c>
      <c r="DV90" s="463">
        <f t="shared" si="161"/>
        <v>2051</v>
      </c>
      <c r="DW90" s="463">
        <f t="shared" si="161"/>
        <v>2051</v>
      </c>
      <c r="DX90" s="463">
        <f t="shared" si="161"/>
        <v>2052</v>
      </c>
      <c r="DY90" s="463">
        <f t="shared" si="161"/>
        <v>2052</v>
      </c>
      <c r="DZ90" s="463">
        <f t="shared" si="161"/>
        <v>2052</v>
      </c>
      <c r="EA90" s="463">
        <f t="shared" si="161"/>
        <v>2052</v>
      </c>
      <c r="EB90" s="463">
        <f t="shared" si="161"/>
        <v>2053</v>
      </c>
      <c r="EC90" s="463">
        <f t="shared" si="161"/>
        <v>2053</v>
      </c>
      <c r="ED90" s="463">
        <f t="shared" si="161"/>
        <v>2053</v>
      </c>
      <c r="EE90" s="463">
        <f t="shared" si="161"/>
        <v>2053</v>
      </c>
      <c r="EF90" s="463">
        <f t="shared" si="161"/>
        <v>2054</v>
      </c>
      <c r="EG90" s="463">
        <f t="shared" si="161"/>
        <v>2054</v>
      </c>
      <c r="EH90" s="463">
        <f t="shared" si="161"/>
        <v>2054</v>
      </c>
      <c r="EI90" s="463">
        <f t="shared" si="161"/>
        <v>2054</v>
      </c>
      <c r="EJ90" s="463">
        <f t="shared" si="161"/>
        <v>2055</v>
      </c>
      <c r="EK90" s="463">
        <f t="shared" si="161"/>
        <v>2055</v>
      </c>
      <c r="EL90" s="463">
        <f t="shared" si="161"/>
        <v>2055</v>
      </c>
      <c r="EM90" s="463">
        <f t="shared" si="161"/>
        <v>2055</v>
      </c>
      <c r="EN90" s="463">
        <f t="shared" si="161"/>
        <v>2056</v>
      </c>
    </row>
    <row r="91" spans="2:144" ht="15.75">
      <c r="B91" s="40"/>
      <c r="C91" s="22"/>
      <c r="E91" s="40"/>
      <c r="F91" s="40"/>
      <c r="G91" s="40"/>
      <c r="H91" s="464">
        <f t="shared" ref="H91:AM91" si="162">H80</f>
        <v>44593</v>
      </c>
      <c r="I91" s="464">
        <f t="shared" si="162"/>
        <v>44652</v>
      </c>
      <c r="J91" s="464">
        <f t="shared" si="162"/>
        <v>44743</v>
      </c>
      <c r="K91" s="464">
        <f t="shared" si="162"/>
        <v>44835</v>
      </c>
      <c r="L91" s="464">
        <f t="shared" si="162"/>
        <v>44927</v>
      </c>
      <c r="M91" s="464">
        <f t="shared" si="162"/>
        <v>45017</v>
      </c>
      <c r="N91" s="464">
        <f t="shared" si="162"/>
        <v>45108</v>
      </c>
      <c r="O91" s="464">
        <f t="shared" si="162"/>
        <v>45200</v>
      </c>
      <c r="P91" s="464">
        <f t="shared" si="162"/>
        <v>45292</v>
      </c>
      <c r="Q91" s="464">
        <f t="shared" si="162"/>
        <v>45383</v>
      </c>
      <c r="R91" s="464">
        <f t="shared" si="162"/>
        <v>45474</v>
      </c>
      <c r="S91" s="464">
        <f t="shared" si="162"/>
        <v>45566</v>
      </c>
      <c r="T91" s="464">
        <f t="shared" si="162"/>
        <v>45658</v>
      </c>
      <c r="U91" s="464">
        <f t="shared" si="162"/>
        <v>45748</v>
      </c>
      <c r="V91" s="464">
        <f t="shared" si="162"/>
        <v>45839</v>
      </c>
      <c r="W91" s="464">
        <f t="shared" si="162"/>
        <v>45931</v>
      </c>
      <c r="X91" s="464">
        <f t="shared" si="162"/>
        <v>46023</v>
      </c>
      <c r="Y91" s="464">
        <f t="shared" si="162"/>
        <v>46113</v>
      </c>
      <c r="Z91" s="464">
        <f t="shared" si="162"/>
        <v>46204</v>
      </c>
      <c r="AA91" s="464">
        <f t="shared" si="162"/>
        <v>46296</v>
      </c>
      <c r="AB91" s="464">
        <f t="shared" si="162"/>
        <v>46388</v>
      </c>
      <c r="AC91" s="464">
        <f t="shared" si="162"/>
        <v>46478</v>
      </c>
      <c r="AD91" s="464">
        <f t="shared" si="162"/>
        <v>46569</v>
      </c>
      <c r="AE91" s="464">
        <f t="shared" si="162"/>
        <v>46661</v>
      </c>
      <c r="AF91" s="464">
        <f t="shared" si="162"/>
        <v>46753</v>
      </c>
      <c r="AG91" s="464">
        <f t="shared" si="162"/>
        <v>46844</v>
      </c>
      <c r="AH91" s="464">
        <f t="shared" si="162"/>
        <v>46935</v>
      </c>
      <c r="AI91" s="464">
        <f t="shared" si="162"/>
        <v>47027</v>
      </c>
      <c r="AJ91" s="464">
        <f t="shared" si="162"/>
        <v>47119</v>
      </c>
      <c r="AK91" s="464">
        <f t="shared" si="162"/>
        <v>47209</v>
      </c>
      <c r="AL91" s="464">
        <f t="shared" si="162"/>
        <v>47300</v>
      </c>
      <c r="AM91" s="464">
        <f t="shared" si="162"/>
        <v>47392</v>
      </c>
      <c r="AN91" s="464">
        <f t="shared" ref="AN91:BS91" si="163">AN80</f>
        <v>47484</v>
      </c>
      <c r="AO91" s="464">
        <f t="shared" si="163"/>
        <v>47574</v>
      </c>
      <c r="AP91" s="464">
        <f t="shared" si="163"/>
        <v>47665</v>
      </c>
      <c r="AQ91" s="464">
        <f t="shared" si="163"/>
        <v>47757</v>
      </c>
      <c r="AR91" s="464">
        <f t="shared" si="163"/>
        <v>47849</v>
      </c>
      <c r="AS91" s="464">
        <f t="shared" si="163"/>
        <v>47939</v>
      </c>
      <c r="AT91" s="464">
        <f t="shared" si="163"/>
        <v>48030</v>
      </c>
      <c r="AU91" s="464">
        <f t="shared" si="163"/>
        <v>48122</v>
      </c>
      <c r="AV91" s="464">
        <f t="shared" si="163"/>
        <v>48214</v>
      </c>
      <c r="AW91" s="464">
        <f t="shared" si="163"/>
        <v>48305</v>
      </c>
      <c r="AX91" s="464">
        <f t="shared" si="163"/>
        <v>48396</v>
      </c>
      <c r="AY91" s="464">
        <f t="shared" si="163"/>
        <v>48488</v>
      </c>
      <c r="AZ91" s="464">
        <f t="shared" si="163"/>
        <v>48580</v>
      </c>
      <c r="BA91" s="464">
        <f t="shared" si="163"/>
        <v>48670</v>
      </c>
      <c r="BB91" s="464">
        <f t="shared" si="163"/>
        <v>48761</v>
      </c>
      <c r="BC91" s="464">
        <f t="shared" si="163"/>
        <v>48853</v>
      </c>
      <c r="BD91" s="464">
        <f t="shared" si="163"/>
        <v>48945</v>
      </c>
      <c r="BE91" s="464">
        <f t="shared" si="163"/>
        <v>49035</v>
      </c>
      <c r="BF91" s="464">
        <f t="shared" si="163"/>
        <v>49126</v>
      </c>
      <c r="BG91" s="464">
        <f t="shared" si="163"/>
        <v>49218</v>
      </c>
      <c r="BH91" s="464">
        <f t="shared" si="163"/>
        <v>49310</v>
      </c>
      <c r="BI91" s="464">
        <f t="shared" si="163"/>
        <v>49400</v>
      </c>
      <c r="BJ91" s="464">
        <f t="shared" si="163"/>
        <v>49491</v>
      </c>
      <c r="BK91" s="464">
        <f t="shared" si="163"/>
        <v>49583</v>
      </c>
      <c r="BL91" s="464">
        <f t="shared" si="163"/>
        <v>49675</v>
      </c>
      <c r="BM91" s="464">
        <f t="shared" si="163"/>
        <v>49766</v>
      </c>
      <c r="BN91" s="464">
        <f t="shared" si="163"/>
        <v>49857</v>
      </c>
      <c r="BO91" s="464">
        <f t="shared" si="163"/>
        <v>49949</v>
      </c>
      <c r="BP91" s="464">
        <f t="shared" si="163"/>
        <v>50041</v>
      </c>
      <c r="BQ91" s="464">
        <f t="shared" si="163"/>
        <v>50131</v>
      </c>
      <c r="BR91" s="464">
        <f t="shared" si="163"/>
        <v>50222</v>
      </c>
      <c r="BS91" s="464">
        <f t="shared" si="163"/>
        <v>50314</v>
      </c>
      <c r="BT91" s="464">
        <f t="shared" ref="BT91:CY91" si="164">BT80</f>
        <v>50406</v>
      </c>
      <c r="BU91" s="464">
        <f t="shared" si="164"/>
        <v>50496</v>
      </c>
      <c r="BV91" s="464">
        <f t="shared" si="164"/>
        <v>50587</v>
      </c>
      <c r="BW91" s="464">
        <f t="shared" si="164"/>
        <v>50679</v>
      </c>
      <c r="BX91" s="464">
        <f t="shared" si="164"/>
        <v>50771</v>
      </c>
      <c r="BY91" s="464">
        <f t="shared" si="164"/>
        <v>50861</v>
      </c>
      <c r="BZ91" s="464">
        <f t="shared" si="164"/>
        <v>50952</v>
      </c>
      <c r="CA91" s="464">
        <f t="shared" si="164"/>
        <v>51044</v>
      </c>
      <c r="CB91" s="464">
        <f t="shared" si="164"/>
        <v>51136</v>
      </c>
      <c r="CC91" s="464">
        <f t="shared" si="164"/>
        <v>51227</v>
      </c>
      <c r="CD91" s="464">
        <f t="shared" si="164"/>
        <v>51318</v>
      </c>
      <c r="CE91" s="464">
        <f t="shared" si="164"/>
        <v>51410</v>
      </c>
      <c r="CF91" s="464">
        <f t="shared" si="164"/>
        <v>51502</v>
      </c>
      <c r="CG91" s="464">
        <f t="shared" si="164"/>
        <v>51592</v>
      </c>
      <c r="CH91" s="464">
        <f t="shared" si="164"/>
        <v>51683</v>
      </c>
      <c r="CI91" s="464">
        <f t="shared" si="164"/>
        <v>51775</v>
      </c>
      <c r="CJ91" s="464">
        <f t="shared" si="164"/>
        <v>51867</v>
      </c>
      <c r="CK91" s="464">
        <f t="shared" si="164"/>
        <v>51957</v>
      </c>
      <c r="CL91" s="464">
        <f t="shared" si="164"/>
        <v>52048</v>
      </c>
      <c r="CM91" s="464">
        <f t="shared" si="164"/>
        <v>52140</v>
      </c>
      <c r="CN91" s="464">
        <f t="shared" si="164"/>
        <v>52232</v>
      </c>
      <c r="CO91" s="464">
        <f t="shared" si="164"/>
        <v>52322</v>
      </c>
      <c r="CP91" s="464">
        <f t="shared" si="164"/>
        <v>52413</v>
      </c>
      <c r="CQ91" s="464">
        <f t="shared" si="164"/>
        <v>52505</v>
      </c>
      <c r="CR91" s="464">
        <f t="shared" si="164"/>
        <v>52597</v>
      </c>
      <c r="CS91" s="464">
        <f t="shared" si="164"/>
        <v>52688</v>
      </c>
      <c r="CT91" s="464">
        <f t="shared" si="164"/>
        <v>52779</v>
      </c>
      <c r="CU91" s="464">
        <f t="shared" si="164"/>
        <v>52871</v>
      </c>
      <c r="CV91" s="464">
        <f t="shared" si="164"/>
        <v>52963</v>
      </c>
      <c r="CW91" s="464">
        <f t="shared" si="164"/>
        <v>53053</v>
      </c>
      <c r="CX91" s="464">
        <f t="shared" si="164"/>
        <v>53144</v>
      </c>
      <c r="CY91" s="464">
        <f t="shared" si="164"/>
        <v>53236</v>
      </c>
      <c r="CZ91" s="464">
        <f t="shared" ref="CZ91:EE91" si="165">CZ80</f>
        <v>53328</v>
      </c>
      <c r="DA91" s="464">
        <f t="shared" si="165"/>
        <v>53418</v>
      </c>
      <c r="DB91" s="464">
        <f t="shared" si="165"/>
        <v>53509</v>
      </c>
      <c r="DC91" s="464">
        <f t="shared" si="165"/>
        <v>53601</v>
      </c>
      <c r="DD91" s="464">
        <f t="shared" si="165"/>
        <v>53693</v>
      </c>
      <c r="DE91" s="464">
        <f t="shared" si="165"/>
        <v>53783</v>
      </c>
      <c r="DF91" s="464">
        <f t="shared" si="165"/>
        <v>53874</v>
      </c>
      <c r="DG91" s="464">
        <f t="shared" si="165"/>
        <v>53966</v>
      </c>
      <c r="DH91" s="464">
        <f t="shared" si="165"/>
        <v>54058</v>
      </c>
      <c r="DI91" s="464">
        <f t="shared" si="165"/>
        <v>54149</v>
      </c>
      <c r="DJ91" s="464">
        <f t="shared" si="165"/>
        <v>54240</v>
      </c>
      <c r="DK91" s="464">
        <f t="shared" si="165"/>
        <v>54332</v>
      </c>
      <c r="DL91" s="464">
        <f t="shared" si="165"/>
        <v>54424</v>
      </c>
      <c r="DM91" s="464">
        <f t="shared" si="165"/>
        <v>54514</v>
      </c>
      <c r="DN91" s="464">
        <f t="shared" si="165"/>
        <v>54605</v>
      </c>
      <c r="DO91" s="464">
        <f t="shared" si="165"/>
        <v>54697</v>
      </c>
      <c r="DP91" s="464">
        <f t="shared" si="165"/>
        <v>54789</v>
      </c>
      <c r="DQ91" s="464">
        <f t="shared" si="165"/>
        <v>54879</v>
      </c>
      <c r="DR91" s="464">
        <f t="shared" si="165"/>
        <v>54970</v>
      </c>
      <c r="DS91" s="464">
        <f t="shared" si="165"/>
        <v>55062</v>
      </c>
      <c r="DT91" s="464">
        <f t="shared" si="165"/>
        <v>55154</v>
      </c>
      <c r="DU91" s="464">
        <f t="shared" si="165"/>
        <v>55244</v>
      </c>
      <c r="DV91" s="464">
        <f t="shared" si="165"/>
        <v>55335</v>
      </c>
      <c r="DW91" s="464">
        <f t="shared" si="165"/>
        <v>55427</v>
      </c>
      <c r="DX91" s="464">
        <f t="shared" si="165"/>
        <v>55519</v>
      </c>
      <c r="DY91" s="464">
        <f t="shared" si="165"/>
        <v>55610</v>
      </c>
      <c r="DZ91" s="464">
        <f t="shared" si="165"/>
        <v>55701</v>
      </c>
      <c r="EA91" s="464">
        <f t="shared" si="165"/>
        <v>55793</v>
      </c>
      <c r="EB91" s="464">
        <f t="shared" si="165"/>
        <v>55885</v>
      </c>
      <c r="EC91" s="464">
        <f t="shared" si="165"/>
        <v>55975</v>
      </c>
      <c r="ED91" s="464">
        <f t="shared" si="165"/>
        <v>56066</v>
      </c>
      <c r="EE91" s="464">
        <f t="shared" si="165"/>
        <v>56158</v>
      </c>
      <c r="EF91" s="464">
        <f t="shared" ref="EF91:EN91" si="166">EF80</f>
        <v>56250</v>
      </c>
      <c r="EG91" s="464">
        <f t="shared" si="166"/>
        <v>56340</v>
      </c>
      <c r="EH91" s="464">
        <f t="shared" si="166"/>
        <v>56431</v>
      </c>
      <c r="EI91" s="464">
        <f t="shared" si="166"/>
        <v>56523</v>
      </c>
      <c r="EJ91" s="464">
        <f t="shared" si="166"/>
        <v>56615</v>
      </c>
      <c r="EK91" s="464">
        <f t="shared" si="166"/>
        <v>56705</v>
      </c>
      <c r="EL91" s="464">
        <f t="shared" si="166"/>
        <v>56796</v>
      </c>
      <c r="EM91" s="464">
        <f t="shared" si="166"/>
        <v>56888</v>
      </c>
      <c r="EN91" s="464">
        <f t="shared" si="166"/>
        <v>56980</v>
      </c>
    </row>
    <row r="92" spans="2:144" ht="15.75">
      <c r="C92" s="22"/>
      <c r="E92" s="42"/>
      <c r="F92" s="42"/>
      <c r="G92" s="42"/>
      <c r="H92" s="464">
        <f t="shared" ref="H92:AM92" si="167">H81</f>
        <v>44651</v>
      </c>
      <c r="I92" s="464">
        <f t="shared" si="167"/>
        <v>44742</v>
      </c>
      <c r="J92" s="464">
        <f t="shared" si="167"/>
        <v>44834</v>
      </c>
      <c r="K92" s="464">
        <f t="shared" si="167"/>
        <v>44926</v>
      </c>
      <c r="L92" s="464">
        <f t="shared" si="167"/>
        <v>45016</v>
      </c>
      <c r="M92" s="464">
        <f t="shared" si="167"/>
        <v>45107</v>
      </c>
      <c r="N92" s="464">
        <f t="shared" si="167"/>
        <v>45199</v>
      </c>
      <c r="O92" s="464">
        <f t="shared" si="167"/>
        <v>45291</v>
      </c>
      <c r="P92" s="464">
        <f t="shared" si="167"/>
        <v>45382</v>
      </c>
      <c r="Q92" s="464">
        <f t="shared" si="167"/>
        <v>45473</v>
      </c>
      <c r="R92" s="464">
        <f t="shared" si="167"/>
        <v>45565</v>
      </c>
      <c r="S92" s="464">
        <f t="shared" si="167"/>
        <v>45657</v>
      </c>
      <c r="T92" s="464">
        <f t="shared" si="167"/>
        <v>45747</v>
      </c>
      <c r="U92" s="464">
        <f t="shared" si="167"/>
        <v>45838</v>
      </c>
      <c r="V92" s="464">
        <f t="shared" si="167"/>
        <v>45930</v>
      </c>
      <c r="W92" s="464">
        <f t="shared" si="167"/>
        <v>46022</v>
      </c>
      <c r="X92" s="464">
        <f t="shared" si="167"/>
        <v>46112</v>
      </c>
      <c r="Y92" s="464">
        <f t="shared" si="167"/>
        <v>46203</v>
      </c>
      <c r="Z92" s="464">
        <f t="shared" si="167"/>
        <v>46295</v>
      </c>
      <c r="AA92" s="464">
        <f t="shared" si="167"/>
        <v>46387</v>
      </c>
      <c r="AB92" s="464">
        <f t="shared" si="167"/>
        <v>46477</v>
      </c>
      <c r="AC92" s="464">
        <f t="shared" si="167"/>
        <v>46568</v>
      </c>
      <c r="AD92" s="464">
        <f t="shared" si="167"/>
        <v>46660</v>
      </c>
      <c r="AE92" s="464">
        <f t="shared" si="167"/>
        <v>46752</v>
      </c>
      <c r="AF92" s="464">
        <f t="shared" si="167"/>
        <v>46843</v>
      </c>
      <c r="AG92" s="464">
        <f t="shared" si="167"/>
        <v>46934</v>
      </c>
      <c r="AH92" s="464">
        <f t="shared" si="167"/>
        <v>47026</v>
      </c>
      <c r="AI92" s="464">
        <f t="shared" si="167"/>
        <v>47118</v>
      </c>
      <c r="AJ92" s="464">
        <f t="shared" si="167"/>
        <v>47208</v>
      </c>
      <c r="AK92" s="464">
        <f t="shared" si="167"/>
        <v>47299</v>
      </c>
      <c r="AL92" s="464">
        <f t="shared" si="167"/>
        <v>47391</v>
      </c>
      <c r="AM92" s="464">
        <f t="shared" si="167"/>
        <v>47483</v>
      </c>
      <c r="AN92" s="464">
        <f t="shared" ref="AN92:BS92" si="168">AN81</f>
        <v>47573</v>
      </c>
      <c r="AO92" s="464">
        <f t="shared" si="168"/>
        <v>47664</v>
      </c>
      <c r="AP92" s="464">
        <f t="shared" si="168"/>
        <v>47756</v>
      </c>
      <c r="AQ92" s="464">
        <f t="shared" si="168"/>
        <v>47848</v>
      </c>
      <c r="AR92" s="464">
        <f t="shared" si="168"/>
        <v>47938</v>
      </c>
      <c r="AS92" s="464">
        <f t="shared" si="168"/>
        <v>48029</v>
      </c>
      <c r="AT92" s="464">
        <f t="shared" si="168"/>
        <v>48121</v>
      </c>
      <c r="AU92" s="464">
        <f t="shared" si="168"/>
        <v>48213</v>
      </c>
      <c r="AV92" s="464">
        <f t="shared" si="168"/>
        <v>48304</v>
      </c>
      <c r="AW92" s="464">
        <f t="shared" si="168"/>
        <v>48395</v>
      </c>
      <c r="AX92" s="464">
        <f t="shared" si="168"/>
        <v>48487</v>
      </c>
      <c r="AY92" s="464">
        <f t="shared" si="168"/>
        <v>48579</v>
      </c>
      <c r="AZ92" s="464">
        <f t="shared" si="168"/>
        <v>48669</v>
      </c>
      <c r="BA92" s="464">
        <f t="shared" si="168"/>
        <v>48760</v>
      </c>
      <c r="BB92" s="464">
        <f t="shared" si="168"/>
        <v>48852</v>
      </c>
      <c r="BC92" s="464">
        <f t="shared" si="168"/>
        <v>48944</v>
      </c>
      <c r="BD92" s="464">
        <f t="shared" si="168"/>
        <v>49034</v>
      </c>
      <c r="BE92" s="464">
        <f t="shared" si="168"/>
        <v>49125</v>
      </c>
      <c r="BF92" s="464">
        <f t="shared" si="168"/>
        <v>49217</v>
      </c>
      <c r="BG92" s="464">
        <f t="shared" si="168"/>
        <v>49309</v>
      </c>
      <c r="BH92" s="464">
        <f t="shared" si="168"/>
        <v>49399</v>
      </c>
      <c r="BI92" s="464">
        <f t="shared" si="168"/>
        <v>49490</v>
      </c>
      <c r="BJ92" s="464">
        <f t="shared" si="168"/>
        <v>49582</v>
      </c>
      <c r="BK92" s="464">
        <f t="shared" si="168"/>
        <v>49674</v>
      </c>
      <c r="BL92" s="464">
        <f t="shared" si="168"/>
        <v>49765</v>
      </c>
      <c r="BM92" s="464">
        <f t="shared" si="168"/>
        <v>49856</v>
      </c>
      <c r="BN92" s="464">
        <f t="shared" si="168"/>
        <v>49948</v>
      </c>
      <c r="BO92" s="464">
        <f t="shared" si="168"/>
        <v>50040</v>
      </c>
      <c r="BP92" s="464">
        <f t="shared" si="168"/>
        <v>50130</v>
      </c>
      <c r="BQ92" s="464">
        <f t="shared" si="168"/>
        <v>50221</v>
      </c>
      <c r="BR92" s="464">
        <f t="shared" si="168"/>
        <v>50313</v>
      </c>
      <c r="BS92" s="464">
        <f t="shared" si="168"/>
        <v>50405</v>
      </c>
      <c r="BT92" s="464">
        <f t="shared" ref="BT92:CY92" si="169">BT81</f>
        <v>50495</v>
      </c>
      <c r="BU92" s="464">
        <f t="shared" si="169"/>
        <v>50586</v>
      </c>
      <c r="BV92" s="464">
        <f t="shared" si="169"/>
        <v>50678</v>
      </c>
      <c r="BW92" s="464">
        <f t="shared" si="169"/>
        <v>50770</v>
      </c>
      <c r="BX92" s="464">
        <f t="shared" si="169"/>
        <v>50860</v>
      </c>
      <c r="BY92" s="464">
        <f t="shared" si="169"/>
        <v>50951</v>
      </c>
      <c r="BZ92" s="464">
        <f t="shared" si="169"/>
        <v>51043</v>
      </c>
      <c r="CA92" s="464">
        <f t="shared" si="169"/>
        <v>51135</v>
      </c>
      <c r="CB92" s="464">
        <f t="shared" si="169"/>
        <v>51226</v>
      </c>
      <c r="CC92" s="464">
        <f t="shared" si="169"/>
        <v>51317</v>
      </c>
      <c r="CD92" s="464">
        <f t="shared" si="169"/>
        <v>51409</v>
      </c>
      <c r="CE92" s="464">
        <f t="shared" si="169"/>
        <v>51501</v>
      </c>
      <c r="CF92" s="464">
        <f t="shared" si="169"/>
        <v>51591</v>
      </c>
      <c r="CG92" s="464">
        <f t="shared" si="169"/>
        <v>51682</v>
      </c>
      <c r="CH92" s="464">
        <f t="shared" si="169"/>
        <v>51774</v>
      </c>
      <c r="CI92" s="464">
        <f t="shared" si="169"/>
        <v>51866</v>
      </c>
      <c r="CJ92" s="464">
        <f t="shared" si="169"/>
        <v>51956</v>
      </c>
      <c r="CK92" s="464">
        <f t="shared" si="169"/>
        <v>52047</v>
      </c>
      <c r="CL92" s="464">
        <f t="shared" si="169"/>
        <v>52139</v>
      </c>
      <c r="CM92" s="464">
        <f t="shared" si="169"/>
        <v>52231</v>
      </c>
      <c r="CN92" s="464">
        <f t="shared" si="169"/>
        <v>52321</v>
      </c>
      <c r="CO92" s="464">
        <f t="shared" si="169"/>
        <v>52412</v>
      </c>
      <c r="CP92" s="464">
        <f t="shared" si="169"/>
        <v>52504</v>
      </c>
      <c r="CQ92" s="464">
        <f t="shared" si="169"/>
        <v>52596</v>
      </c>
      <c r="CR92" s="464">
        <f t="shared" si="169"/>
        <v>52687</v>
      </c>
      <c r="CS92" s="464">
        <f t="shared" si="169"/>
        <v>52778</v>
      </c>
      <c r="CT92" s="464">
        <f t="shared" si="169"/>
        <v>52870</v>
      </c>
      <c r="CU92" s="464">
        <f t="shared" si="169"/>
        <v>52962</v>
      </c>
      <c r="CV92" s="464">
        <f t="shared" si="169"/>
        <v>53052</v>
      </c>
      <c r="CW92" s="464">
        <f t="shared" si="169"/>
        <v>53143</v>
      </c>
      <c r="CX92" s="464">
        <f t="shared" si="169"/>
        <v>53235</v>
      </c>
      <c r="CY92" s="464">
        <f t="shared" si="169"/>
        <v>53327</v>
      </c>
      <c r="CZ92" s="464">
        <f t="shared" ref="CZ92:EE92" si="170">CZ81</f>
        <v>53417</v>
      </c>
      <c r="DA92" s="464">
        <f t="shared" si="170"/>
        <v>53508</v>
      </c>
      <c r="DB92" s="464">
        <f t="shared" si="170"/>
        <v>53600</v>
      </c>
      <c r="DC92" s="464">
        <f t="shared" si="170"/>
        <v>53692</v>
      </c>
      <c r="DD92" s="464">
        <f t="shared" si="170"/>
        <v>53782</v>
      </c>
      <c r="DE92" s="464">
        <f t="shared" si="170"/>
        <v>53873</v>
      </c>
      <c r="DF92" s="464">
        <f t="shared" si="170"/>
        <v>53965</v>
      </c>
      <c r="DG92" s="464">
        <f t="shared" si="170"/>
        <v>54057</v>
      </c>
      <c r="DH92" s="464">
        <f t="shared" si="170"/>
        <v>54148</v>
      </c>
      <c r="DI92" s="464">
        <f t="shared" si="170"/>
        <v>54239</v>
      </c>
      <c r="DJ92" s="464">
        <f t="shared" si="170"/>
        <v>54331</v>
      </c>
      <c r="DK92" s="464">
        <f t="shared" si="170"/>
        <v>54423</v>
      </c>
      <c r="DL92" s="464">
        <f t="shared" si="170"/>
        <v>54513</v>
      </c>
      <c r="DM92" s="464">
        <f t="shared" si="170"/>
        <v>54604</v>
      </c>
      <c r="DN92" s="464">
        <f t="shared" si="170"/>
        <v>54696</v>
      </c>
      <c r="DO92" s="464">
        <f t="shared" si="170"/>
        <v>54788</v>
      </c>
      <c r="DP92" s="464">
        <f t="shared" si="170"/>
        <v>54878</v>
      </c>
      <c r="DQ92" s="464">
        <f t="shared" si="170"/>
        <v>54969</v>
      </c>
      <c r="DR92" s="464">
        <f t="shared" si="170"/>
        <v>55061</v>
      </c>
      <c r="DS92" s="464">
        <f t="shared" si="170"/>
        <v>55153</v>
      </c>
      <c r="DT92" s="464">
        <f t="shared" si="170"/>
        <v>55243</v>
      </c>
      <c r="DU92" s="464">
        <f t="shared" si="170"/>
        <v>55334</v>
      </c>
      <c r="DV92" s="464">
        <f t="shared" si="170"/>
        <v>55426</v>
      </c>
      <c r="DW92" s="464">
        <f t="shared" si="170"/>
        <v>55518</v>
      </c>
      <c r="DX92" s="464">
        <f t="shared" si="170"/>
        <v>55609</v>
      </c>
      <c r="DY92" s="464">
        <f t="shared" si="170"/>
        <v>55700</v>
      </c>
      <c r="DZ92" s="464">
        <f t="shared" si="170"/>
        <v>55792</v>
      </c>
      <c r="EA92" s="464">
        <f t="shared" si="170"/>
        <v>55884</v>
      </c>
      <c r="EB92" s="464">
        <f t="shared" si="170"/>
        <v>55974</v>
      </c>
      <c r="EC92" s="464">
        <f t="shared" si="170"/>
        <v>56065</v>
      </c>
      <c r="ED92" s="464">
        <f t="shared" si="170"/>
        <v>56157</v>
      </c>
      <c r="EE92" s="464">
        <f t="shared" si="170"/>
        <v>56249</v>
      </c>
      <c r="EF92" s="464">
        <f t="shared" ref="EF92:EN92" si="171">EF81</f>
        <v>56339</v>
      </c>
      <c r="EG92" s="464">
        <f t="shared" si="171"/>
        <v>56430</v>
      </c>
      <c r="EH92" s="464">
        <f t="shared" si="171"/>
        <v>56522</v>
      </c>
      <c r="EI92" s="464">
        <f t="shared" si="171"/>
        <v>56614</v>
      </c>
      <c r="EJ92" s="464">
        <f t="shared" si="171"/>
        <v>56704</v>
      </c>
      <c r="EK92" s="464">
        <f t="shared" si="171"/>
        <v>56795</v>
      </c>
      <c r="EL92" s="464">
        <f t="shared" si="171"/>
        <v>56887</v>
      </c>
      <c r="EM92" s="464">
        <f t="shared" si="171"/>
        <v>56979</v>
      </c>
      <c r="EN92" s="464">
        <f t="shared" si="171"/>
        <v>57070</v>
      </c>
    </row>
    <row r="93" spans="2:144">
      <c r="B93" s="776" t="str">
        <f>C10</f>
        <v>Туристские резиденции</v>
      </c>
      <c r="C93" s="1318" t="s">
        <v>921</v>
      </c>
      <c r="D93" s="430">
        <f>SUMIF($C$4:$C$18,B93,$I$4:$I$18)</f>
        <v>45839</v>
      </c>
      <c r="E93" s="772">
        <f>YEAR(D93)</f>
        <v>2025</v>
      </c>
      <c r="F93" s="466"/>
      <c r="G93" s="466"/>
      <c r="H93" s="466"/>
      <c r="I93" s="466"/>
      <c r="J93" s="466"/>
      <c r="K93" s="466"/>
      <c r="L93" s="466"/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466"/>
      <c r="X93" s="466"/>
      <c r="Y93" s="466"/>
      <c r="Z93" s="466"/>
      <c r="AA93" s="466"/>
      <c r="AB93" s="466"/>
      <c r="AC93" s="466"/>
      <c r="AD93" s="466"/>
      <c r="AE93" s="466"/>
      <c r="AF93" s="466"/>
      <c r="AG93" s="466"/>
      <c r="AH93" s="466"/>
      <c r="AI93" s="466"/>
      <c r="AJ93" s="466"/>
      <c r="AK93" s="466"/>
      <c r="AL93" s="466"/>
      <c r="AM93" s="466"/>
      <c r="AN93" s="466"/>
      <c r="AO93" s="466"/>
      <c r="AP93" s="466"/>
      <c r="AQ93" s="466"/>
      <c r="AR93" s="466"/>
      <c r="AS93" s="466"/>
      <c r="AT93" s="466"/>
      <c r="AU93" s="466"/>
      <c r="AV93" s="466"/>
      <c r="AW93" s="466"/>
      <c r="AX93" s="466"/>
      <c r="AY93" s="466"/>
      <c r="AZ93" s="466"/>
      <c r="BA93" s="466"/>
      <c r="BB93" s="466"/>
      <c r="BC93" s="466"/>
      <c r="BD93" s="466"/>
      <c r="BE93" s="466"/>
      <c r="BF93" s="466"/>
      <c r="BG93" s="466"/>
      <c r="BH93" s="466"/>
      <c r="BI93" s="466"/>
      <c r="BJ93" s="466"/>
      <c r="BK93" s="466"/>
      <c r="BL93" s="466"/>
      <c r="BM93" s="466"/>
      <c r="BN93" s="466"/>
      <c r="BO93" s="466"/>
      <c r="BP93" s="466"/>
      <c r="BQ93" s="466"/>
      <c r="BR93" s="466"/>
      <c r="BS93" s="466"/>
      <c r="BT93" s="466"/>
      <c r="BU93" s="466"/>
      <c r="BV93" s="466"/>
      <c r="BW93" s="466"/>
      <c r="BX93" s="466"/>
      <c r="BY93" s="466"/>
      <c r="BZ93" s="466"/>
      <c r="CA93" s="466"/>
      <c r="CB93" s="466"/>
      <c r="CC93" s="466"/>
      <c r="CD93" s="466"/>
      <c r="CE93" s="466"/>
      <c r="CF93" s="466"/>
      <c r="CG93" s="466"/>
      <c r="CH93" s="466"/>
      <c r="CI93" s="466"/>
      <c r="CJ93" s="466"/>
      <c r="CK93" s="466"/>
      <c r="CL93" s="466"/>
      <c r="CM93" s="466"/>
      <c r="CN93" s="466"/>
      <c r="CO93" s="466"/>
      <c r="CP93" s="466"/>
      <c r="CQ93" s="466"/>
      <c r="CR93" s="466"/>
      <c r="CS93" s="466"/>
      <c r="CT93" s="466"/>
      <c r="CU93" s="466"/>
      <c r="CV93" s="466"/>
      <c r="CW93" s="466"/>
      <c r="CX93" s="466"/>
      <c r="CY93" s="466"/>
      <c r="CZ93" s="466"/>
      <c r="DA93" s="466"/>
      <c r="DB93" s="466"/>
      <c r="DC93" s="466"/>
      <c r="DD93" s="466"/>
      <c r="DE93" s="466"/>
      <c r="DF93" s="466"/>
      <c r="DG93" s="466"/>
      <c r="DH93" s="466"/>
      <c r="DI93" s="466"/>
      <c r="DJ93" s="466"/>
      <c r="DK93" s="466"/>
      <c r="DL93" s="466"/>
      <c r="DM93" s="466"/>
      <c r="DN93" s="466"/>
      <c r="DO93" s="466"/>
      <c r="DP93" s="466"/>
      <c r="DQ93" s="466"/>
      <c r="DR93" s="466"/>
      <c r="DS93" s="466"/>
      <c r="DT93" s="466"/>
      <c r="DU93" s="466"/>
      <c r="DV93" s="466"/>
      <c r="DW93" s="466"/>
      <c r="DX93" s="466"/>
      <c r="DY93" s="466"/>
      <c r="DZ93" s="466"/>
      <c r="EA93" s="466"/>
      <c r="EB93" s="466"/>
      <c r="EC93" s="466"/>
      <c r="ED93" s="466"/>
      <c r="EE93" s="466"/>
      <c r="EF93" s="466"/>
      <c r="EG93" s="466"/>
      <c r="EH93" s="466"/>
      <c r="EI93" s="466"/>
      <c r="EJ93" s="466"/>
      <c r="EK93" s="466"/>
      <c r="EL93" s="466"/>
      <c r="EM93" s="466"/>
      <c r="EN93" s="466"/>
    </row>
    <row r="94" spans="2:144" outlineLevel="1">
      <c r="C94" s="151" t="s">
        <v>72</v>
      </c>
      <c r="D94" s="771"/>
      <c r="E94" s="44"/>
      <c r="F94" s="44"/>
      <c r="G94" s="44"/>
      <c r="H94" s="44">
        <f>IF(H91=D93,D94,0)</f>
        <v>0</v>
      </c>
      <c r="I94" s="44">
        <f>IF(I91=D93,D94,0)</f>
        <v>0</v>
      </c>
      <c r="J94" s="44">
        <f>IF(J91=D93,D94,0)</f>
        <v>0</v>
      </c>
      <c r="K94" s="44">
        <f>IF(K91=D93,D94,0)</f>
        <v>0</v>
      </c>
      <c r="L94" s="44">
        <f>IF(L91=D93,D94,0)</f>
        <v>0</v>
      </c>
      <c r="M94" s="44">
        <f>IF(M91=D93,D94,0)</f>
        <v>0</v>
      </c>
      <c r="N94" s="44">
        <f>IF(N91=D93,D94,0)</f>
        <v>0</v>
      </c>
      <c r="O94" s="44">
        <f>IF(O91=D93,D94,0)</f>
        <v>0</v>
      </c>
      <c r="P94" s="44">
        <f>IF(P91=D93,D94,0)</f>
        <v>0</v>
      </c>
      <c r="Q94" s="44">
        <f>IF(Q91=D93,D94,0)</f>
        <v>0</v>
      </c>
      <c r="R94" s="44">
        <f>IF(R91=D93,D94,0)</f>
        <v>0</v>
      </c>
      <c r="S94" s="44">
        <f>IF(S91=D93,D94,0)</f>
        <v>0</v>
      </c>
      <c r="T94" s="44">
        <f>IF(T91=D93,D94,0)</f>
        <v>0</v>
      </c>
      <c r="U94" s="44">
        <f>IF(U91=D93,D94,0)</f>
        <v>0</v>
      </c>
      <c r="V94" s="44">
        <f>IF(V91=D93,D94,0)</f>
        <v>0</v>
      </c>
      <c r="W94" s="44">
        <f>IF(W91=D93,D94,0)</f>
        <v>0</v>
      </c>
      <c r="X94" s="44">
        <f>IF(X91=D93,D94,0)</f>
        <v>0</v>
      </c>
      <c r="Y94" s="44">
        <f>IF(Y91=D93,D94,0)</f>
        <v>0</v>
      </c>
      <c r="Z94" s="44">
        <f>IF(Z91=D93,D94,0)</f>
        <v>0</v>
      </c>
      <c r="AA94" s="44">
        <f>IF(AA91=D93,D94,0)</f>
        <v>0</v>
      </c>
      <c r="AB94" s="44">
        <f>IF(AB91=D93,D94,0)</f>
        <v>0</v>
      </c>
      <c r="AC94" s="44">
        <f>IF(AC91=D93,D94,0)</f>
        <v>0</v>
      </c>
      <c r="AD94" s="44">
        <f>IF(AD91=D93,D94,0)</f>
        <v>0</v>
      </c>
      <c r="AE94" s="44">
        <f>IF(AE91=D93,D94,0)</f>
        <v>0</v>
      </c>
      <c r="AF94" s="44">
        <f>IF(AF91=D93,D94,0)</f>
        <v>0</v>
      </c>
      <c r="AG94" s="44">
        <f>IF(AG91=D93,D94,0)</f>
        <v>0</v>
      </c>
      <c r="AH94" s="44">
        <f>IF(AH91=D93,D94,0)</f>
        <v>0</v>
      </c>
      <c r="AI94" s="44">
        <f>IF(AI91=D93,D94,0)</f>
        <v>0</v>
      </c>
      <c r="AJ94" s="44">
        <f>IF(AJ91=D93,D94,0)</f>
        <v>0</v>
      </c>
      <c r="AK94" s="44">
        <f>IF(AK91=D93,D94,0)</f>
        <v>0</v>
      </c>
      <c r="AL94" s="44">
        <f>IF(AL91=D93,D94,0)</f>
        <v>0</v>
      </c>
      <c r="AM94" s="44">
        <f>IF(AM91=D93,D94,0)</f>
        <v>0</v>
      </c>
      <c r="AN94" s="44">
        <f>IF(AN91=D93,D94,0)</f>
        <v>0</v>
      </c>
      <c r="AO94" s="44">
        <f>IF(AO91=D93,D94,0)</f>
        <v>0</v>
      </c>
      <c r="AP94" s="44">
        <f>IF(AP91=D93,D94,0)</f>
        <v>0</v>
      </c>
      <c r="AQ94" s="44">
        <f>IF(AQ91=D93,D94,0)</f>
        <v>0</v>
      </c>
      <c r="AR94" s="44">
        <f>IF(AR91=D93,D94,0)</f>
        <v>0</v>
      </c>
      <c r="AS94" s="44">
        <f>IF(AS91=D93,D94,0)</f>
        <v>0</v>
      </c>
      <c r="AT94" s="44">
        <f>IF(AT91=D93,D94,0)</f>
        <v>0</v>
      </c>
      <c r="AU94" s="44">
        <f>IF(AU91=D93,D94,0)</f>
        <v>0</v>
      </c>
      <c r="AV94" s="44">
        <f>IF(AV91=D93,D94,0)</f>
        <v>0</v>
      </c>
      <c r="AW94" s="44">
        <f>IF(AW91=D93,D94,0)</f>
        <v>0</v>
      </c>
      <c r="AX94" s="44">
        <f>IF(AX91=D93,D94,0)</f>
        <v>0</v>
      </c>
      <c r="AY94" s="44">
        <f>IF(AY91=D93,D94,0)</f>
        <v>0</v>
      </c>
      <c r="AZ94" s="44">
        <f>IF(AZ91=D93,D94,0)</f>
        <v>0</v>
      </c>
      <c r="BA94" s="44">
        <f>IF(BA91=D93,D94,0)</f>
        <v>0</v>
      </c>
      <c r="BB94" s="44">
        <f>IF(BB91=D93,D94,0)</f>
        <v>0</v>
      </c>
      <c r="BC94" s="44">
        <f>IF(BC91=D93,D94,0)</f>
        <v>0</v>
      </c>
      <c r="BD94" s="44">
        <f>IF(BD91=D93,D94,0)</f>
        <v>0</v>
      </c>
      <c r="BE94" s="44">
        <f>IF(BE91=D93,D94,0)</f>
        <v>0</v>
      </c>
      <c r="BF94" s="44">
        <f>IF(BF91=D93,D94,0)</f>
        <v>0</v>
      </c>
      <c r="BG94" s="44">
        <f>IF(BG91=D93,D94,0)</f>
        <v>0</v>
      </c>
      <c r="BH94" s="44">
        <f>IF(BH91=D93,D94,0)</f>
        <v>0</v>
      </c>
      <c r="BI94" s="44">
        <f>IF(BI91=D93,D94,0)</f>
        <v>0</v>
      </c>
      <c r="BJ94" s="44">
        <f>IF(BJ91=D93,D94,0)</f>
        <v>0</v>
      </c>
      <c r="BK94" s="44">
        <f>IF(BK91=D93,D94,0)</f>
        <v>0</v>
      </c>
      <c r="BL94" s="44">
        <f>IF(BL91=D93,D94,0)</f>
        <v>0</v>
      </c>
      <c r="BM94" s="44">
        <f>IF(BM91=D93,D94,0)</f>
        <v>0</v>
      </c>
      <c r="BN94" s="44">
        <f>IF(BN91=D93,D94,0)</f>
        <v>0</v>
      </c>
      <c r="BO94" s="44">
        <f>IF(BO91=D93,D94,0)</f>
        <v>0</v>
      </c>
      <c r="BP94" s="44">
        <f>IF(BP91=D93,D94,0)</f>
        <v>0</v>
      </c>
      <c r="BQ94" s="44">
        <f>IF(BQ91=D93,D94,0)</f>
        <v>0</v>
      </c>
      <c r="BR94" s="44">
        <f>IF(BR91=D93,D94,0)</f>
        <v>0</v>
      </c>
      <c r="BS94" s="44">
        <f>IF(BS91=D93,D94,0)</f>
        <v>0</v>
      </c>
      <c r="BT94" s="44">
        <f>IF(BT91=D93,D94,0)</f>
        <v>0</v>
      </c>
      <c r="BU94" s="44">
        <f>IF(BU91=D93,D94,0)</f>
        <v>0</v>
      </c>
      <c r="BV94" s="44">
        <f>IF(BV91=D93,D94,0)</f>
        <v>0</v>
      </c>
      <c r="BW94" s="44">
        <f>IF(BW91=D93,D94,0)</f>
        <v>0</v>
      </c>
      <c r="BX94" s="44">
        <f>IF(BX91=D93,D94,0)</f>
        <v>0</v>
      </c>
      <c r="BY94" s="44">
        <f>IF(BY91=D93,D94,0)</f>
        <v>0</v>
      </c>
      <c r="BZ94" s="44">
        <f>IF(BZ91=D93,D94,0)</f>
        <v>0</v>
      </c>
      <c r="CA94" s="44">
        <f>IF(CA91=D93,D94,0)</f>
        <v>0</v>
      </c>
      <c r="CB94" s="44">
        <f>IF(CB91=D93,D94,0)</f>
        <v>0</v>
      </c>
      <c r="CC94" s="44">
        <f>IF(CC91=D93,D94,0)</f>
        <v>0</v>
      </c>
      <c r="CD94" s="44">
        <f>IF(CD91=D93,D94,0)</f>
        <v>0</v>
      </c>
      <c r="CE94" s="44">
        <f>IF(CE91=D93,D94,0)</f>
        <v>0</v>
      </c>
      <c r="CF94" s="44">
        <f>IF(CF91=D93,D94,0)</f>
        <v>0</v>
      </c>
      <c r="CG94" s="44">
        <f>IF(CG91=D93,D94,0)</f>
        <v>0</v>
      </c>
      <c r="CH94" s="44">
        <f>IF(CH91=D93,D94,0)</f>
        <v>0</v>
      </c>
      <c r="CI94" s="44">
        <f>IF(CI91=D93,D94,0)</f>
        <v>0</v>
      </c>
      <c r="CJ94" s="44">
        <f>IF(CJ91=D93,D94,0)</f>
        <v>0</v>
      </c>
      <c r="CK94" s="44">
        <f>IF(CK91=D93,D94,0)</f>
        <v>0</v>
      </c>
      <c r="CL94" s="44">
        <f>IF(CL91=D93,D94,0)</f>
        <v>0</v>
      </c>
      <c r="CM94" s="44">
        <f>IF(CM91=D93,D94,0)</f>
        <v>0</v>
      </c>
      <c r="CN94" s="44">
        <f>IF(CN91=D93,D94,0)</f>
        <v>0</v>
      </c>
      <c r="CO94" s="44">
        <f>IF(CO91=D93,D94,0)</f>
        <v>0</v>
      </c>
      <c r="CP94" s="44">
        <f>IF(CP91=D93,D94,0)</f>
        <v>0</v>
      </c>
      <c r="CQ94" s="44">
        <f>IF(CQ91=D93,D94,0)</f>
        <v>0</v>
      </c>
      <c r="CR94" s="44">
        <f>IF(CR91=D93,D94,0)</f>
        <v>0</v>
      </c>
      <c r="CS94" s="44">
        <f>IF(CS91=D93,D94,0)</f>
        <v>0</v>
      </c>
      <c r="CT94" s="44">
        <f>IF(CT91=D93,D94,0)</f>
        <v>0</v>
      </c>
      <c r="CU94" s="44">
        <f>IF(CU91=D93,D94,0)</f>
        <v>0</v>
      </c>
      <c r="CV94" s="44">
        <f>IF(CV91=D93,D94,0)</f>
        <v>0</v>
      </c>
      <c r="CW94" s="44">
        <f>IF(CW91=D93,D94,0)</f>
        <v>0</v>
      </c>
      <c r="CX94" s="44">
        <f>IF(CX91=D93,D94,0)</f>
        <v>0</v>
      </c>
      <c r="CY94" s="44">
        <f>IF(CY91=D93,D94,0)</f>
        <v>0</v>
      </c>
      <c r="CZ94" s="44">
        <f>IF(CZ91=D93,D94,0)</f>
        <v>0</v>
      </c>
      <c r="DA94" s="44">
        <f>IF(DA91=D93,D94,0)</f>
        <v>0</v>
      </c>
      <c r="DB94" s="44">
        <f>IF(DB91=D93,D94,0)</f>
        <v>0</v>
      </c>
      <c r="DC94" s="44">
        <f>IF(DC91=D93,D94,0)</f>
        <v>0</v>
      </c>
      <c r="DD94" s="44">
        <f>IF(DD91=D93,D94,0)</f>
        <v>0</v>
      </c>
      <c r="DE94" s="44">
        <f>IF(DE91=D93,D94,0)</f>
        <v>0</v>
      </c>
      <c r="DF94" s="44">
        <f>IF(DF91=D93,D94,0)</f>
        <v>0</v>
      </c>
      <c r="DG94" s="44">
        <f>IF(DG91=D93,D94,0)</f>
        <v>0</v>
      </c>
      <c r="DH94" s="44">
        <f>IF(DH91=D93,D94,0)</f>
        <v>0</v>
      </c>
      <c r="DI94" s="44">
        <f>IF(DI91=D93,D94,0)</f>
        <v>0</v>
      </c>
      <c r="DJ94" s="44">
        <f>IF(DJ91=D93,D94,0)</f>
        <v>0</v>
      </c>
      <c r="DK94" s="44">
        <f>IF(DK91=D93,D94,0)</f>
        <v>0</v>
      </c>
      <c r="DL94" s="44">
        <f>IF(DL91=D93,D94,0)</f>
        <v>0</v>
      </c>
      <c r="DM94" s="44">
        <f>IF(DM91=D93,D94,0)</f>
        <v>0</v>
      </c>
      <c r="DN94" s="44">
        <f>IF(DN91=D93,D94,0)</f>
        <v>0</v>
      </c>
      <c r="DO94" s="44">
        <f>IF(DO91=D93,D94,0)</f>
        <v>0</v>
      </c>
      <c r="DP94" s="44">
        <f>IF(DP91=D93,D94,0)</f>
        <v>0</v>
      </c>
      <c r="DQ94" s="44">
        <f>IF(DQ91=D93,D94,0)</f>
        <v>0</v>
      </c>
      <c r="DR94" s="44">
        <f>IF(DR91=D93,D94,0)</f>
        <v>0</v>
      </c>
      <c r="DS94" s="44">
        <f>IF(DS91=D93,D94,0)</f>
        <v>0</v>
      </c>
      <c r="DT94" s="44">
        <f>IF(DT91=D93,D94,0)</f>
        <v>0</v>
      </c>
      <c r="DU94" s="44">
        <f>IF(DU91=D93,D94,0)</f>
        <v>0</v>
      </c>
      <c r="DV94" s="44">
        <f>IF(DV91=D93,D94,0)</f>
        <v>0</v>
      </c>
      <c r="DW94" s="44">
        <f>IF(DW91=D93,D94,0)</f>
        <v>0</v>
      </c>
      <c r="DX94" s="44">
        <f>IF(DX91=D93,D94,0)</f>
        <v>0</v>
      </c>
      <c r="DY94" s="44">
        <f>IF(DY91=D93,D94,0)</f>
        <v>0</v>
      </c>
      <c r="DZ94" s="44">
        <f>IF(DZ91=D93,D94,0)</f>
        <v>0</v>
      </c>
      <c r="EA94" s="44">
        <f>IF(EA91=D93,D94,0)</f>
        <v>0</v>
      </c>
      <c r="EB94" s="44">
        <f>IF(EB91=D93,D94,0)</f>
        <v>0</v>
      </c>
      <c r="EC94" s="44">
        <f>IF(EC91=D93,D94,0)</f>
        <v>0</v>
      </c>
      <c r="ED94" s="44">
        <f>IF(ED91=D93,D94,0)</f>
        <v>0</v>
      </c>
      <c r="EE94" s="44">
        <f>IF(EE91=D93,D94,0)</f>
        <v>0</v>
      </c>
      <c r="EF94" s="44">
        <f>IF(EF91=D93,D94,0)</f>
        <v>0</v>
      </c>
      <c r="EG94" s="44">
        <f>IF(EG91=D93,D94,0)</f>
        <v>0</v>
      </c>
      <c r="EH94" s="44">
        <f>IF(EH91=D93,D94,0)</f>
        <v>0</v>
      </c>
      <c r="EI94" s="44">
        <f t="shared" ref="EI94:EN94" si="172">IF(EI91=E93,E94,0)</f>
        <v>0</v>
      </c>
      <c r="EJ94" s="44">
        <f t="shared" si="172"/>
        <v>0</v>
      </c>
      <c r="EK94" s="44">
        <f t="shared" si="172"/>
        <v>0</v>
      </c>
      <c r="EL94" s="44">
        <f t="shared" si="172"/>
        <v>0</v>
      </c>
      <c r="EM94" s="44">
        <f t="shared" si="172"/>
        <v>0</v>
      </c>
      <c r="EN94" s="44">
        <f t="shared" si="172"/>
        <v>0</v>
      </c>
    </row>
    <row r="95" spans="2:144" outlineLevel="1">
      <c r="C95" s="151" t="s">
        <v>73</v>
      </c>
      <c r="D95" s="45"/>
      <c r="E95" s="44"/>
      <c r="F95" s="44"/>
      <c r="G95" s="44"/>
      <c r="H95" s="44">
        <f>(IF(H91=D93,H94,G97))</f>
        <v>0</v>
      </c>
      <c r="I95" s="44">
        <f>(IF(I91=D93,I94,H97))</f>
        <v>0</v>
      </c>
      <c r="J95" s="44">
        <f>(IF(J91=D93,J94,I97))</f>
        <v>0</v>
      </c>
      <c r="K95" s="44">
        <f>(IF(K91=D93,K94,J97))</f>
        <v>0</v>
      </c>
      <c r="L95" s="44">
        <f>(IF(L91=D93,L94,K97))</f>
        <v>0</v>
      </c>
      <c r="M95" s="44">
        <f>(IF(M91=D93,M94,L97))</f>
        <v>0</v>
      </c>
      <c r="N95" s="44">
        <f>(IF(N91=D93,N94,M97))</f>
        <v>0</v>
      </c>
      <c r="O95" s="44">
        <f>(IF(O91=D93,O94,N97))</f>
        <v>0</v>
      </c>
      <c r="P95" s="44">
        <f>(IF(P91=D93,P94,O97))</f>
        <v>0</v>
      </c>
      <c r="Q95" s="44">
        <f>(IF(Q91=D93,Q94,P97))</f>
        <v>0</v>
      </c>
      <c r="R95" s="44">
        <f>(IF(R91=D93,R94,Q97))</f>
        <v>0</v>
      </c>
      <c r="S95" s="44">
        <f>(IF(S91=D93,S94,R97))</f>
        <v>0</v>
      </c>
      <c r="T95" s="44">
        <f>(IF(T91=D93,T94,S97))</f>
        <v>0</v>
      </c>
      <c r="U95" s="44">
        <f>(IF(U91=D93,U94,T97))</f>
        <v>0</v>
      </c>
      <c r="V95" s="44">
        <f>(IF(V91=D93,V94,U97))</f>
        <v>0</v>
      </c>
      <c r="W95" s="44">
        <f>(IF(W91=D93,W94,V97))</f>
        <v>0</v>
      </c>
      <c r="X95" s="44">
        <f>(IF(X91=D93,X94,W97))</f>
        <v>0</v>
      </c>
      <c r="Y95" s="44">
        <f>(IF(Y91=D93,Y94,X97))</f>
        <v>0</v>
      </c>
      <c r="Z95" s="44">
        <f>(IF(Z91=D93,Z94,Y97))</f>
        <v>0</v>
      </c>
      <c r="AA95" s="44">
        <f>(IF(AA91=D93,AA94,Z97))</f>
        <v>0</v>
      </c>
      <c r="AB95" s="44">
        <f>(IF(AB91=D93,AB94,AA97))</f>
        <v>0</v>
      </c>
      <c r="AC95" s="44">
        <f>(IF(AC91=D93,AC94,AB97))</f>
        <v>0</v>
      </c>
      <c r="AD95" s="44">
        <f>(IF(AD91=D93,AD94,AC97))</f>
        <v>0</v>
      </c>
      <c r="AE95" s="44">
        <f>(IF(AE91=D93,AE94,AD97))</f>
        <v>0</v>
      </c>
      <c r="AF95" s="44">
        <f>(IF(AF91=D93,AF94,AE97))</f>
        <v>0</v>
      </c>
      <c r="AG95" s="44">
        <f>(IF(AG91=D93,AG94,AF97))</f>
        <v>0</v>
      </c>
      <c r="AH95" s="44">
        <f>(IF(AH91=D93,AH94,AG97))</f>
        <v>0</v>
      </c>
      <c r="AI95" s="44">
        <f>(IF(AI91=D93,AI94,AH97))</f>
        <v>0</v>
      </c>
      <c r="AJ95" s="44">
        <f>(IF(AJ91=D93,AJ94,AI97))</f>
        <v>0</v>
      </c>
      <c r="AK95" s="44">
        <f>(IF(AK91=D93,AK94,AJ97))</f>
        <v>0</v>
      </c>
      <c r="AL95" s="44">
        <f>(IF(AL91=D93,AL94,AK97))</f>
        <v>0</v>
      </c>
      <c r="AM95" s="44">
        <f>(IF(AM91=D93,AM94,AL97))</f>
        <v>0</v>
      </c>
      <c r="AN95" s="44">
        <f>(IF(AN91=D93,AN94,AM97))</f>
        <v>0</v>
      </c>
      <c r="AO95" s="44">
        <f>(IF(AO91=D93,AO94,AN97))</f>
        <v>0</v>
      </c>
      <c r="AP95" s="44">
        <f>(IF(AP91=D93,AP94,AO97))</f>
        <v>0</v>
      </c>
      <c r="AQ95" s="44">
        <f>(IF(AQ91=D93,AQ94,AP97))</f>
        <v>0</v>
      </c>
      <c r="AR95" s="44">
        <f>(IF(AR91=D93,AR94,AQ97))</f>
        <v>0</v>
      </c>
      <c r="AS95" s="44">
        <f>(IF(AS91=D93,AS94,AR97))</f>
        <v>0</v>
      </c>
      <c r="AT95" s="44">
        <f>(IF(AT91=D93,AT94,AS97))</f>
        <v>0</v>
      </c>
      <c r="AU95" s="44">
        <f>(IF(AU91=D93,AU94,AT97))</f>
        <v>0</v>
      </c>
      <c r="AV95" s="44">
        <f>(IF(AV91=D93,AV94,AU97))</f>
        <v>0</v>
      </c>
      <c r="AW95" s="44">
        <f>(IF(AW91=D93,AW94,AV97))</f>
        <v>0</v>
      </c>
      <c r="AX95" s="44">
        <f>(IF(AX91=D93,AX94,AW97))</f>
        <v>0</v>
      </c>
      <c r="AY95" s="44">
        <f>(IF(AY91=D93,AY94,AX97))</f>
        <v>0</v>
      </c>
      <c r="AZ95" s="44">
        <f>(IF(AZ91=D93,AZ94,AY97))</f>
        <v>0</v>
      </c>
      <c r="BA95" s="44">
        <f>(IF(BA91=D93,BA94,AZ97))</f>
        <v>0</v>
      </c>
      <c r="BB95" s="44">
        <f>(IF(BB91=D93,BB94,BA97))</f>
        <v>0</v>
      </c>
      <c r="BC95" s="44">
        <f>(IF(BC91=D93,BC94,BB97))</f>
        <v>0</v>
      </c>
      <c r="BD95" s="44">
        <f>(IF(BD91=D93,BD94,BC97))</f>
        <v>0</v>
      </c>
      <c r="BE95" s="44">
        <f>(IF(BE91=D93,BE94,BD97))</f>
        <v>0</v>
      </c>
      <c r="BF95" s="44">
        <f>(IF(BF91=D93,BF94,BE97))</f>
        <v>0</v>
      </c>
      <c r="BG95" s="44">
        <f>(IF(BG91=D93,BG94,BF97))</f>
        <v>0</v>
      </c>
      <c r="BH95" s="44">
        <f>(IF(BH91=D93,BH94,BG97))</f>
        <v>0</v>
      </c>
      <c r="BI95" s="44">
        <f>(IF(BI91=D93,BI94,BH97))</f>
        <v>0</v>
      </c>
      <c r="BJ95" s="44">
        <f>(IF(BJ91=D93,BJ94,BI97))</f>
        <v>0</v>
      </c>
      <c r="BK95" s="44">
        <f>(IF(BK91=D93,BK94,BJ97))</f>
        <v>0</v>
      </c>
      <c r="BL95" s="44">
        <f>(IF(BL91=D93,BL94,BK97))</f>
        <v>0</v>
      </c>
      <c r="BM95" s="44">
        <f>(IF(BM91=D93,BM94,BL97))</f>
        <v>0</v>
      </c>
      <c r="BN95" s="44">
        <f>(IF(BN91=D93,BN94,BM97))</f>
        <v>0</v>
      </c>
      <c r="BO95" s="44">
        <f>(IF(BO91=D93,BO94,BN97))</f>
        <v>0</v>
      </c>
      <c r="BP95" s="44">
        <f>(IF(BP91=D93,BP94,BO97))</f>
        <v>0</v>
      </c>
      <c r="BQ95" s="44">
        <f>(IF(BQ91=D93,BQ94,BP97))</f>
        <v>0</v>
      </c>
      <c r="BR95" s="44">
        <f>(IF(BR91=D93,BR94,BQ97))</f>
        <v>0</v>
      </c>
      <c r="BS95" s="44">
        <f>(IF(BS91=D93,BS94,BR97))</f>
        <v>0</v>
      </c>
      <c r="BT95" s="44">
        <f>(IF(BT91=D93,BT94,BS97))</f>
        <v>0</v>
      </c>
      <c r="BU95" s="44">
        <f>(IF(BU91=D93,BU94,BT97))</f>
        <v>0</v>
      </c>
      <c r="BV95" s="44">
        <f>(IF(BV91=D93,BV94,BU97))</f>
        <v>0</v>
      </c>
      <c r="BW95" s="44">
        <f>(IF(BW91=D93,BW94,BV97))</f>
        <v>0</v>
      </c>
      <c r="BX95" s="44">
        <f>(IF(BX91=D93,BX94,BW97))</f>
        <v>0</v>
      </c>
      <c r="BY95" s="44">
        <f>(IF(BY91=D93,BY94,BX97))</f>
        <v>0</v>
      </c>
      <c r="BZ95" s="44">
        <f>(IF(BZ91=D93,BZ94,BY97))</f>
        <v>0</v>
      </c>
      <c r="CA95" s="44">
        <f>(IF(CA91=D93,CA94,BZ97))</f>
        <v>0</v>
      </c>
      <c r="CB95" s="44">
        <f>(IF(CB91=D93,CB94,CA97))</f>
        <v>0</v>
      </c>
      <c r="CC95" s="44">
        <f>(IF(CC91=D93,CC94,CB97))</f>
        <v>0</v>
      </c>
      <c r="CD95" s="44">
        <f>(IF(CD91=D93,CD94,CC97))</f>
        <v>0</v>
      </c>
      <c r="CE95" s="44">
        <f>(IF(CE91=D93,CE94,CD97))</f>
        <v>0</v>
      </c>
      <c r="CF95" s="44">
        <f>(IF(CF91=D93,CF94,CE97))</f>
        <v>0</v>
      </c>
      <c r="CG95" s="44">
        <f>(IF(CG91=D93,CG94,CF97))</f>
        <v>0</v>
      </c>
      <c r="CH95" s="44">
        <f>(IF(CH91=D93,CH94,CG97))</f>
        <v>0</v>
      </c>
      <c r="CI95" s="44">
        <f>(IF(CI91=D93,CI94,CH97))</f>
        <v>0</v>
      </c>
      <c r="CJ95" s="44">
        <f>(IF(CJ91=D93,CJ94,CI97))</f>
        <v>0</v>
      </c>
      <c r="CK95" s="44">
        <f>(IF(CK91=D93,CK94,CJ97))</f>
        <v>0</v>
      </c>
      <c r="CL95" s="44">
        <f>(IF(CL91=D93,CL94,CK97))</f>
        <v>0</v>
      </c>
      <c r="CM95" s="44">
        <f>(IF(CM91=D93,CM94,CL97))</f>
        <v>0</v>
      </c>
      <c r="CN95" s="44">
        <f>(IF(CN91=D93,CN94,CM97))</f>
        <v>0</v>
      </c>
      <c r="CO95" s="44">
        <f>(IF(CO91=D93,CO94,CN97))</f>
        <v>0</v>
      </c>
      <c r="CP95" s="44">
        <f>(IF(CP91=D93,CP94,CO97))</f>
        <v>0</v>
      </c>
      <c r="CQ95" s="44">
        <f>(IF(CQ91=D93,CQ94,CP97))</f>
        <v>0</v>
      </c>
      <c r="CR95" s="44">
        <f>(IF(CR91=D93,CR94,CQ97))</f>
        <v>0</v>
      </c>
      <c r="CS95" s="44">
        <f>(IF(CS91=D93,CS94,CR97))</f>
        <v>0</v>
      </c>
      <c r="CT95" s="44">
        <f>(IF(CT91=D93,CT94,CS97))</f>
        <v>0</v>
      </c>
      <c r="CU95" s="44">
        <f>(IF(CU91=D93,CU94,CT97))</f>
        <v>0</v>
      </c>
      <c r="CV95" s="44">
        <f>(IF(CV91=D93,CV94,CU97))</f>
        <v>0</v>
      </c>
      <c r="CW95" s="44">
        <f>(IF(CW91=D93,CW94,CV97))</f>
        <v>0</v>
      </c>
      <c r="CX95" s="44">
        <f>(IF(CX91=D93,CX94,CW97))</f>
        <v>0</v>
      </c>
      <c r="CY95" s="44">
        <f>(IF(CY91=D93,CY94,CX97))</f>
        <v>0</v>
      </c>
      <c r="CZ95" s="44">
        <f>(IF(CZ91=D93,CZ94,CY97))</f>
        <v>0</v>
      </c>
      <c r="DA95" s="44">
        <f>(IF(DA91=D93,DA94,CZ97))</f>
        <v>0</v>
      </c>
      <c r="DB95" s="44">
        <f>(IF(DB91=D93,DB94,DA97))</f>
        <v>0</v>
      </c>
      <c r="DC95" s="44">
        <f>(IF(DC91=D93,DC94,DB97))</f>
        <v>0</v>
      </c>
      <c r="DD95" s="44">
        <f>(IF(DD91=D93,DD94,DC97))</f>
        <v>0</v>
      </c>
      <c r="DE95" s="44">
        <f>(IF(DE91=D93,DE94,DD97))</f>
        <v>0</v>
      </c>
      <c r="DF95" s="44">
        <f>(IF(DF91=D93,DF94,DE97))</f>
        <v>0</v>
      </c>
      <c r="DG95" s="44">
        <f>(IF(DG91=D93,DG94,DF97))</f>
        <v>0</v>
      </c>
      <c r="DH95" s="44">
        <f>(IF(DH91=D93,DH94,DG97))</f>
        <v>0</v>
      </c>
      <c r="DI95" s="44">
        <f>(IF(DI91=D93,DI94,DH97))</f>
        <v>0</v>
      </c>
      <c r="DJ95" s="44">
        <f>(IF(DJ91=D93,DJ94,DI97))</f>
        <v>0</v>
      </c>
      <c r="DK95" s="44">
        <f>(IF(DK91=D93,DK94,DJ97))</f>
        <v>0</v>
      </c>
      <c r="DL95" s="44">
        <f>(IF(DL91=D93,DL94,DK97))</f>
        <v>0</v>
      </c>
      <c r="DM95" s="44">
        <f>(IF(DM91=D93,DM94,DL97))</f>
        <v>0</v>
      </c>
      <c r="DN95" s="44">
        <f>(IF(DN91=D93,DN94,DM97))</f>
        <v>0</v>
      </c>
      <c r="DO95" s="44">
        <f>(IF(DO91=D93,DO94,DN97))</f>
        <v>0</v>
      </c>
      <c r="DP95" s="44">
        <f>(IF(DP91=D93,DP94,DO97))</f>
        <v>0</v>
      </c>
      <c r="DQ95" s="44">
        <f>(IF(DQ91=D93,DQ94,DP97))</f>
        <v>0</v>
      </c>
      <c r="DR95" s="44">
        <f>(IF(DR91=D93,DR94,DQ97))</f>
        <v>0</v>
      </c>
      <c r="DS95" s="44">
        <f>(IF(DS91=D93,DS94,DR97))</f>
        <v>0</v>
      </c>
      <c r="DT95" s="44">
        <f>(IF(DT91=D93,DT94,DS97))</f>
        <v>0</v>
      </c>
      <c r="DU95" s="44">
        <f>(IF(DU91=D93,DU94,DT97))</f>
        <v>0</v>
      </c>
      <c r="DV95" s="44">
        <f>(IF(DV91=D93,DV94,DU97))</f>
        <v>0</v>
      </c>
      <c r="DW95" s="44">
        <f>(IF(DW91=D93,DW94,DV97))</f>
        <v>0</v>
      </c>
      <c r="DX95" s="44">
        <f>(IF(DX91=D93,DX94,DW97))</f>
        <v>0</v>
      </c>
      <c r="DY95" s="44">
        <f>(IF(DY91=D93,DY94,DX97))</f>
        <v>0</v>
      </c>
      <c r="DZ95" s="44">
        <f>(IF(DZ91=D93,DZ94,DY97))</f>
        <v>0</v>
      </c>
      <c r="EA95" s="44">
        <f>(IF(EA91=D93,EA94,DZ97))</f>
        <v>0</v>
      </c>
      <c r="EB95" s="44">
        <f>(IF(EB91=D93,EB94,EA97))</f>
        <v>0</v>
      </c>
      <c r="EC95" s="44">
        <f>(IF(EC91=D93,EC94,EB97))</f>
        <v>0</v>
      </c>
      <c r="ED95" s="44">
        <f>(IF(ED91=D93,ED94,EC97))</f>
        <v>0</v>
      </c>
      <c r="EE95" s="44">
        <f>(IF(EE91=D93,EE94,ED97))</f>
        <v>0</v>
      </c>
      <c r="EF95" s="44">
        <f>(IF(EF91=D93,EF94,EE97))</f>
        <v>0</v>
      </c>
      <c r="EG95" s="44">
        <f>(IF(EG91=D93,EG94,EF97))</f>
        <v>0</v>
      </c>
      <c r="EH95" s="44">
        <f>(IF(EH91=D93,EH94,EG97))</f>
        <v>0</v>
      </c>
      <c r="EI95" s="44">
        <f t="shared" ref="EI95:EN95" si="173">(IF(EI91=E93,EI94,EH97))</f>
        <v>0</v>
      </c>
      <c r="EJ95" s="44">
        <f t="shared" si="173"/>
        <v>0</v>
      </c>
      <c r="EK95" s="44">
        <f t="shared" si="173"/>
        <v>0</v>
      </c>
      <c r="EL95" s="44">
        <f t="shared" si="173"/>
        <v>0</v>
      </c>
      <c r="EM95" s="44">
        <f t="shared" si="173"/>
        <v>0</v>
      </c>
      <c r="EN95" s="44">
        <f t="shared" si="173"/>
        <v>0</v>
      </c>
    </row>
    <row r="96" spans="2:144" outlineLevel="1">
      <c r="B96" s="459">
        <f>SUM(H96:XX96)</f>
        <v>0</v>
      </c>
      <c r="C96" s="151" t="s">
        <v>24</v>
      </c>
      <c r="D96" s="467"/>
      <c r="E96" s="468"/>
      <c r="F96" s="44">
        <f>D94*E96</f>
        <v>0</v>
      </c>
      <c r="G96" s="44"/>
      <c r="H96" s="44">
        <f>IF(H95&gt;1,$F96/4,0)</f>
        <v>0</v>
      </c>
      <c r="I96" s="44">
        <f t="shared" ref="I96:BT96" si="174">IF(I95&gt;1,$F96/4,0)</f>
        <v>0</v>
      </c>
      <c r="J96" s="44">
        <f t="shared" si="174"/>
        <v>0</v>
      </c>
      <c r="K96" s="44">
        <f t="shared" si="174"/>
        <v>0</v>
      </c>
      <c r="L96" s="44">
        <f t="shared" si="174"/>
        <v>0</v>
      </c>
      <c r="M96" s="44">
        <f t="shared" si="174"/>
        <v>0</v>
      </c>
      <c r="N96" s="44">
        <f t="shared" si="174"/>
        <v>0</v>
      </c>
      <c r="O96" s="44">
        <f t="shared" si="174"/>
        <v>0</v>
      </c>
      <c r="P96" s="44">
        <f t="shared" si="174"/>
        <v>0</v>
      </c>
      <c r="Q96" s="44">
        <f t="shared" si="174"/>
        <v>0</v>
      </c>
      <c r="R96" s="44">
        <f t="shared" si="174"/>
        <v>0</v>
      </c>
      <c r="S96" s="44">
        <f t="shared" si="174"/>
        <v>0</v>
      </c>
      <c r="T96" s="44">
        <f t="shared" si="174"/>
        <v>0</v>
      </c>
      <c r="U96" s="44">
        <f t="shared" si="174"/>
        <v>0</v>
      </c>
      <c r="V96" s="44">
        <f t="shared" si="174"/>
        <v>0</v>
      </c>
      <c r="W96" s="44">
        <f t="shared" si="174"/>
        <v>0</v>
      </c>
      <c r="X96" s="44">
        <f t="shared" si="174"/>
        <v>0</v>
      </c>
      <c r="Y96" s="44">
        <f t="shared" si="174"/>
        <v>0</v>
      </c>
      <c r="Z96" s="44">
        <f t="shared" si="174"/>
        <v>0</v>
      </c>
      <c r="AA96" s="44">
        <f t="shared" si="174"/>
        <v>0</v>
      </c>
      <c r="AB96" s="44">
        <f t="shared" si="174"/>
        <v>0</v>
      </c>
      <c r="AC96" s="44">
        <f t="shared" si="174"/>
        <v>0</v>
      </c>
      <c r="AD96" s="44">
        <f t="shared" si="174"/>
        <v>0</v>
      </c>
      <c r="AE96" s="44">
        <f t="shared" si="174"/>
        <v>0</v>
      </c>
      <c r="AF96" s="44">
        <f t="shared" si="174"/>
        <v>0</v>
      </c>
      <c r="AG96" s="44">
        <f t="shared" si="174"/>
        <v>0</v>
      </c>
      <c r="AH96" s="44">
        <f t="shared" si="174"/>
        <v>0</v>
      </c>
      <c r="AI96" s="44">
        <f t="shared" si="174"/>
        <v>0</v>
      </c>
      <c r="AJ96" s="44">
        <f t="shared" si="174"/>
        <v>0</v>
      </c>
      <c r="AK96" s="44">
        <f t="shared" si="174"/>
        <v>0</v>
      </c>
      <c r="AL96" s="44">
        <f t="shared" si="174"/>
        <v>0</v>
      </c>
      <c r="AM96" s="44">
        <f t="shared" si="174"/>
        <v>0</v>
      </c>
      <c r="AN96" s="44">
        <f t="shared" si="174"/>
        <v>0</v>
      </c>
      <c r="AO96" s="44">
        <f t="shared" si="174"/>
        <v>0</v>
      </c>
      <c r="AP96" s="44">
        <f t="shared" si="174"/>
        <v>0</v>
      </c>
      <c r="AQ96" s="44">
        <f t="shared" si="174"/>
        <v>0</v>
      </c>
      <c r="AR96" s="44">
        <f t="shared" si="174"/>
        <v>0</v>
      </c>
      <c r="AS96" s="44">
        <f t="shared" si="174"/>
        <v>0</v>
      </c>
      <c r="AT96" s="44">
        <f t="shared" si="174"/>
        <v>0</v>
      </c>
      <c r="AU96" s="44">
        <f t="shared" si="174"/>
        <v>0</v>
      </c>
      <c r="AV96" s="44">
        <f t="shared" si="174"/>
        <v>0</v>
      </c>
      <c r="AW96" s="44">
        <f t="shared" si="174"/>
        <v>0</v>
      </c>
      <c r="AX96" s="44">
        <f t="shared" si="174"/>
        <v>0</v>
      </c>
      <c r="AY96" s="44">
        <f t="shared" si="174"/>
        <v>0</v>
      </c>
      <c r="AZ96" s="44">
        <f t="shared" si="174"/>
        <v>0</v>
      </c>
      <c r="BA96" s="44">
        <f t="shared" si="174"/>
        <v>0</v>
      </c>
      <c r="BB96" s="44">
        <f t="shared" si="174"/>
        <v>0</v>
      </c>
      <c r="BC96" s="44">
        <f t="shared" si="174"/>
        <v>0</v>
      </c>
      <c r="BD96" s="44">
        <f t="shared" si="174"/>
        <v>0</v>
      </c>
      <c r="BE96" s="44">
        <f t="shared" si="174"/>
        <v>0</v>
      </c>
      <c r="BF96" s="44">
        <f t="shared" si="174"/>
        <v>0</v>
      </c>
      <c r="BG96" s="44">
        <f t="shared" si="174"/>
        <v>0</v>
      </c>
      <c r="BH96" s="44">
        <f t="shared" si="174"/>
        <v>0</v>
      </c>
      <c r="BI96" s="44">
        <f t="shared" si="174"/>
        <v>0</v>
      </c>
      <c r="BJ96" s="44">
        <f t="shared" si="174"/>
        <v>0</v>
      </c>
      <c r="BK96" s="44">
        <f t="shared" si="174"/>
        <v>0</v>
      </c>
      <c r="BL96" s="44">
        <f t="shared" si="174"/>
        <v>0</v>
      </c>
      <c r="BM96" s="44">
        <f t="shared" si="174"/>
        <v>0</v>
      </c>
      <c r="BN96" s="44">
        <f t="shared" si="174"/>
        <v>0</v>
      </c>
      <c r="BO96" s="44">
        <f t="shared" si="174"/>
        <v>0</v>
      </c>
      <c r="BP96" s="44">
        <f t="shared" si="174"/>
        <v>0</v>
      </c>
      <c r="BQ96" s="44">
        <f t="shared" si="174"/>
        <v>0</v>
      </c>
      <c r="BR96" s="44">
        <f t="shared" si="174"/>
        <v>0</v>
      </c>
      <c r="BS96" s="44">
        <f t="shared" si="174"/>
        <v>0</v>
      </c>
      <c r="BT96" s="44">
        <f t="shared" si="174"/>
        <v>0</v>
      </c>
      <c r="BU96" s="44">
        <f t="shared" ref="BU96:EF96" si="175">IF(BU95&gt;1,$F96/4,0)</f>
        <v>0</v>
      </c>
      <c r="BV96" s="44">
        <f t="shared" si="175"/>
        <v>0</v>
      </c>
      <c r="BW96" s="44">
        <f t="shared" si="175"/>
        <v>0</v>
      </c>
      <c r="BX96" s="44">
        <f t="shared" si="175"/>
        <v>0</v>
      </c>
      <c r="BY96" s="44">
        <f t="shared" si="175"/>
        <v>0</v>
      </c>
      <c r="BZ96" s="44">
        <f t="shared" si="175"/>
        <v>0</v>
      </c>
      <c r="CA96" s="44">
        <f t="shared" si="175"/>
        <v>0</v>
      </c>
      <c r="CB96" s="44">
        <f t="shared" si="175"/>
        <v>0</v>
      </c>
      <c r="CC96" s="44">
        <f t="shared" si="175"/>
        <v>0</v>
      </c>
      <c r="CD96" s="44">
        <f t="shared" si="175"/>
        <v>0</v>
      </c>
      <c r="CE96" s="44">
        <f t="shared" si="175"/>
        <v>0</v>
      </c>
      <c r="CF96" s="44">
        <f t="shared" si="175"/>
        <v>0</v>
      </c>
      <c r="CG96" s="44">
        <f t="shared" si="175"/>
        <v>0</v>
      </c>
      <c r="CH96" s="44">
        <f t="shared" si="175"/>
        <v>0</v>
      </c>
      <c r="CI96" s="44">
        <f t="shared" si="175"/>
        <v>0</v>
      </c>
      <c r="CJ96" s="44">
        <f t="shared" si="175"/>
        <v>0</v>
      </c>
      <c r="CK96" s="44">
        <f t="shared" si="175"/>
        <v>0</v>
      </c>
      <c r="CL96" s="44">
        <f t="shared" si="175"/>
        <v>0</v>
      </c>
      <c r="CM96" s="44">
        <f t="shared" si="175"/>
        <v>0</v>
      </c>
      <c r="CN96" s="44">
        <f t="shared" si="175"/>
        <v>0</v>
      </c>
      <c r="CO96" s="44">
        <f t="shared" si="175"/>
        <v>0</v>
      </c>
      <c r="CP96" s="44">
        <f t="shared" si="175"/>
        <v>0</v>
      </c>
      <c r="CQ96" s="44">
        <f t="shared" si="175"/>
        <v>0</v>
      </c>
      <c r="CR96" s="44">
        <f t="shared" si="175"/>
        <v>0</v>
      </c>
      <c r="CS96" s="44">
        <f t="shared" si="175"/>
        <v>0</v>
      </c>
      <c r="CT96" s="44">
        <f t="shared" si="175"/>
        <v>0</v>
      </c>
      <c r="CU96" s="44">
        <f t="shared" si="175"/>
        <v>0</v>
      </c>
      <c r="CV96" s="44">
        <f t="shared" si="175"/>
        <v>0</v>
      </c>
      <c r="CW96" s="44">
        <f t="shared" si="175"/>
        <v>0</v>
      </c>
      <c r="CX96" s="44">
        <f t="shared" si="175"/>
        <v>0</v>
      </c>
      <c r="CY96" s="44">
        <f t="shared" si="175"/>
        <v>0</v>
      </c>
      <c r="CZ96" s="44">
        <f t="shared" si="175"/>
        <v>0</v>
      </c>
      <c r="DA96" s="44">
        <f t="shared" si="175"/>
        <v>0</v>
      </c>
      <c r="DB96" s="44">
        <f t="shared" si="175"/>
        <v>0</v>
      </c>
      <c r="DC96" s="44">
        <f t="shared" si="175"/>
        <v>0</v>
      </c>
      <c r="DD96" s="44">
        <f t="shared" si="175"/>
        <v>0</v>
      </c>
      <c r="DE96" s="44">
        <f t="shared" si="175"/>
        <v>0</v>
      </c>
      <c r="DF96" s="44">
        <f t="shared" si="175"/>
        <v>0</v>
      </c>
      <c r="DG96" s="44">
        <f t="shared" si="175"/>
        <v>0</v>
      </c>
      <c r="DH96" s="44">
        <f t="shared" si="175"/>
        <v>0</v>
      </c>
      <c r="DI96" s="44">
        <f t="shared" si="175"/>
        <v>0</v>
      </c>
      <c r="DJ96" s="44">
        <f t="shared" si="175"/>
        <v>0</v>
      </c>
      <c r="DK96" s="44">
        <f t="shared" si="175"/>
        <v>0</v>
      </c>
      <c r="DL96" s="44">
        <f t="shared" si="175"/>
        <v>0</v>
      </c>
      <c r="DM96" s="44">
        <f t="shared" si="175"/>
        <v>0</v>
      </c>
      <c r="DN96" s="44">
        <f t="shared" si="175"/>
        <v>0</v>
      </c>
      <c r="DO96" s="44">
        <f t="shared" si="175"/>
        <v>0</v>
      </c>
      <c r="DP96" s="44">
        <f t="shared" si="175"/>
        <v>0</v>
      </c>
      <c r="DQ96" s="44">
        <f t="shared" si="175"/>
        <v>0</v>
      </c>
      <c r="DR96" s="44">
        <f t="shared" si="175"/>
        <v>0</v>
      </c>
      <c r="DS96" s="44">
        <f t="shared" si="175"/>
        <v>0</v>
      </c>
      <c r="DT96" s="44">
        <f t="shared" si="175"/>
        <v>0</v>
      </c>
      <c r="DU96" s="44">
        <f t="shared" si="175"/>
        <v>0</v>
      </c>
      <c r="DV96" s="44">
        <f t="shared" si="175"/>
        <v>0</v>
      </c>
      <c r="DW96" s="44">
        <f t="shared" si="175"/>
        <v>0</v>
      </c>
      <c r="DX96" s="44">
        <f t="shared" si="175"/>
        <v>0</v>
      </c>
      <c r="DY96" s="44">
        <f t="shared" si="175"/>
        <v>0</v>
      </c>
      <c r="DZ96" s="44">
        <f t="shared" si="175"/>
        <v>0</v>
      </c>
      <c r="EA96" s="44">
        <f t="shared" si="175"/>
        <v>0</v>
      </c>
      <c r="EB96" s="44">
        <f t="shared" si="175"/>
        <v>0</v>
      </c>
      <c r="EC96" s="44">
        <f t="shared" si="175"/>
        <v>0</v>
      </c>
      <c r="ED96" s="44">
        <f t="shared" si="175"/>
        <v>0</v>
      </c>
      <c r="EE96" s="44">
        <f t="shared" si="175"/>
        <v>0</v>
      </c>
      <c r="EF96" s="44">
        <f t="shared" si="175"/>
        <v>0</v>
      </c>
      <c r="EG96" s="44">
        <f t="shared" ref="EG96:EN96" si="176">IF(EG95&gt;1,$F96/4,0)</f>
        <v>0</v>
      </c>
      <c r="EH96" s="44">
        <f t="shared" si="176"/>
        <v>0</v>
      </c>
      <c r="EI96" s="44">
        <f t="shared" si="176"/>
        <v>0</v>
      </c>
      <c r="EJ96" s="44">
        <f t="shared" si="176"/>
        <v>0</v>
      </c>
      <c r="EK96" s="44">
        <f t="shared" si="176"/>
        <v>0</v>
      </c>
      <c r="EL96" s="44">
        <f t="shared" si="176"/>
        <v>0</v>
      </c>
      <c r="EM96" s="44">
        <f t="shared" si="176"/>
        <v>0</v>
      </c>
      <c r="EN96" s="44">
        <f t="shared" si="176"/>
        <v>0</v>
      </c>
    </row>
    <row r="97" spans="2:144" outlineLevel="1">
      <c r="B97" s="459">
        <f>D94-B96</f>
        <v>0</v>
      </c>
      <c r="C97" s="151" t="s">
        <v>74</v>
      </c>
      <c r="D97" s="44"/>
      <c r="E97" s="44"/>
      <c r="F97" s="44"/>
      <c r="G97" s="44"/>
      <c r="H97" s="44">
        <f>IF((H95-H96)&gt;0,(H95-H96),0)</f>
        <v>0</v>
      </c>
      <c r="I97" s="44">
        <f t="shared" ref="I97:BT97" si="177">IF((I95-I96)&gt;0,(I95-I96),0)</f>
        <v>0</v>
      </c>
      <c r="J97" s="44">
        <f t="shared" si="177"/>
        <v>0</v>
      </c>
      <c r="K97" s="44">
        <f t="shared" si="177"/>
        <v>0</v>
      </c>
      <c r="L97" s="44">
        <f t="shared" si="177"/>
        <v>0</v>
      </c>
      <c r="M97" s="44">
        <f t="shared" si="177"/>
        <v>0</v>
      </c>
      <c r="N97" s="44">
        <f t="shared" si="177"/>
        <v>0</v>
      </c>
      <c r="O97" s="44">
        <f t="shared" si="177"/>
        <v>0</v>
      </c>
      <c r="P97" s="44">
        <f t="shared" si="177"/>
        <v>0</v>
      </c>
      <c r="Q97" s="44">
        <f t="shared" si="177"/>
        <v>0</v>
      </c>
      <c r="R97" s="44">
        <f t="shared" si="177"/>
        <v>0</v>
      </c>
      <c r="S97" s="44">
        <f t="shared" si="177"/>
        <v>0</v>
      </c>
      <c r="T97" s="44">
        <f t="shared" si="177"/>
        <v>0</v>
      </c>
      <c r="U97" s="44">
        <f t="shared" si="177"/>
        <v>0</v>
      </c>
      <c r="V97" s="44">
        <f t="shared" si="177"/>
        <v>0</v>
      </c>
      <c r="W97" s="44">
        <f t="shared" si="177"/>
        <v>0</v>
      </c>
      <c r="X97" s="44">
        <f t="shared" si="177"/>
        <v>0</v>
      </c>
      <c r="Y97" s="44">
        <f t="shared" si="177"/>
        <v>0</v>
      </c>
      <c r="Z97" s="44">
        <f t="shared" si="177"/>
        <v>0</v>
      </c>
      <c r="AA97" s="44">
        <f t="shared" si="177"/>
        <v>0</v>
      </c>
      <c r="AB97" s="44">
        <f t="shared" si="177"/>
        <v>0</v>
      </c>
      <c r="AC97" s="44">
        <f t="shared" si="177"/>
        <v>0</v>
      </c>
      <c r="AD97" s="44">
        <f t="shared" si="177"/>
        <v>0</v>
      </c>
      <c r="AE97" s="44">
        <f t="shared" si="177"/>
        <v>0</v>
      </c>
      <c r="AF97" s="44">
        <f t="shared" si="177"/>
        <v>0</v>
      </c>
      <c r="AG97" s="44">
        <f t="shared" si="177"/>
        <v>0</v>
      </c>
      <c r="AH97" s="44">
        <f t="shared" si="177"/>
        <v>0</v>
      </c>
      <c r="AI97" s="44">
        <f t="shared" si="177"/>
        <v>0</v>
      </c>
      <c r="AJ97" s="44">
        <f t="shared" si="177"/>
        <v>0</v>
      </c>
      <c r="AK97" s="44">
        <f t="shared" si="177"/>
        <v>0</v>
      </c>
      <c r="AL97" s="44">
        <f t="shared" si="177"/>
        <v>0</v>
      </c>
      <c r="AM97" s="44">
        <f t="shared" si="177"/>
        <v>0</v>
      </c>
      <c r="AN97" s="44">
        <f t="shared" si="177"/>
        <v>0</v>
      </c>
      <c r="AO97" s="44">
        <f t="shared" si="177"/>
        <v>0</v>
      </c>
      <c r="AP97" s="44">
        <f t="shared" si="177"/>
        <v>0</v>
      </c>
      <c r="AQ97" s="44">
        <f t="shared" si="177"/>
        <v>0</v>
      </c>
      <c r="AR97" s="44">
        <f t="shared" si="177"/>
        <v>0</v>
      </c>
      <c r="AS97" s="44">
        <f t="shared" si="177"/>
        <v>0</v>
      </c>
      <c r="AT97" s="44">
        <f t="shared" si="177"/>
        <v>0</v>
      </c>
      <c r="AU97" s="44">
        <f t="shared" si="177"/>
        <v>0</v>
      </c>
      <c r="AV97" s="44">
        <f t="shared" si="177"/>
        <v>0</v>
      </c>
      <c r="AW97" s="44">
        <f t="shared" si="177"/>
        <v>0</v>
      </c>
      <c r="AX97" s="44">
        <f t="shared" si="177"/>
        <v>0</v>
      </c>
      <c r="AY97" s="44">
        <f t="shared" si="177"/>
        <v>0</v>
      </c>
      <c r="AZ97" s="44">
        <f t="shared" si="177"/>
        <v>0</v>
      </c>
      <c r="BA97" s="44">
        <f t="shared" si="177"/>
        <v>0</v>
      </c>
      <c r="BB97" s="44">
        <f t="shared" si="177"/>
        <v>0</v>
      </c>
      <c r="BC97" s="44">
        <f t="shared" si="177"/>
        <v>0</v>
      </c>
      <c r="BD97" s="44">
        <f t="shared" si="177"/>
        <v>0</v>
      </c>
      <c r="BE97" s="44">
        <f t="shared" si="177"/>
        <v>0</v>
      </c>
      <c r="BF97" s="44">
        <f t="shared" si="177"/>
        <v>0</v>
      </c>
      <c r="BG97" s="44">
        <f t="shared" si="177"/>
        <v>0</v>
      </c>
      <c r="BH97" s="44">
        <f t="shared" si="177"/>
        <v>0</v>
      </c>
      <c r="BI97" s="44">
        <f t="shared" si="177"/>
        <v>0</v>
      </c>
      <c r="BJ97" s="44">
        <f t="shared" si="177"/>
        <v>0</v>
      </c>
      <c r="BK97" s="44">
        <f t="shared" si="177"/>
        <v>0</v>
      </c>
      <c r="BL97" s="44">
        <f t="shared" si="177"/>
        <v>0</v>
      </c>
      <c r="BM97" s="44">
        <f t="shared" si="177"/>
        <v>0</v>
      </c>
      <c r="BN97" s="44">
        <f t="shared" si="177"/>
        <v>0</v>
      </c>
      <c r="BO97" s="44">
        <f t="shared" si="177"/>
        <v>0</v>
      </c>
      <c r="BP97" s="44">
        <f t="shared" si="177"/>
        <v>0</v>
      </c>
      <c r="BQ97" s="44">
        <f t="shared" si="177"/>
        <v>0</v>
      </c>
      <c r="BR97" s="44">
        <f t="shared" si="177"/>
        <v>0</v>
      </c>
      <c r="BS97" s="44">
        <f t="shared" si="177"/>
        <v>0</v>
      </c>
      <c r="BT97" s="44">
        <f t="shared" si="177"/>
        <v>0</v>
      </c>
      <c r="BU97" s="44">
        <f t="shared" ref="BU97:EF97" si="178">IF((BU95-BU96)&gt;0,(BU95-BU96),0)</f>
        <v>0</v>
      </c>
      <c r="BV97" s="44">
        <f t="shared" si="178"/>
        <v>0</v>
      </c>
      <c r="BW97" s="44">
        <f t="shared" si="178"/>
        <v>0</v>
      </c>
      <c r="BX97" s="44">
        <f t="shared" si="178"/>
        <v>0</v>
      </c>
      <c r="BY97" s="44">
        <f t="shared" si="178"/>
        <v>0</v>
      </c>
      <c r="BZ97" s="44">
        <f t="shared" si="178"/>
        <v>0</v>
      </c>
      <c r="CA97" s="44">
        <f t="shared" si="178"/>
        <v>0</v>
      </c>
      <c r="CB97" s="44">
        <f t="shared" si="178"/>
        <v>0</v>
      </c>
      <c r="CC97" s="44">
        <f t="shared" si="178"/>
        <v>0</v>
      </c>
      <c r="CD97" s="44">
        <f t="shared" si="178"/>
        <v>0</v>
      </c>
      <c r="CE97" s="44">
        <f t="shared" si="178"/>
        <v>0</v>
      </c>
      <c r="CF97" s="44">
        <f t="shared" si="178"/>
        <v>0</v>
      </c>
      <c r="CG97" s="44">
        <f t="shared" si="178"/>
        <v>0</v>
      </c>
      <c r="CH97" s="44">
        <f t="shared" si="178"/>
        <v>0</v>
      </c>
      <c r="CI97" s="44">
        <f t="shared" si="178"/>
        <v>0</v>
      </c>
      <c r="CJ97" s="44">
        <f t="shared" si="178"/>
        <v>0</v>
      </c>
      <c r="CK97" s="44">
        <f t="shared" si="178"/>
        <v>0</v>
      </c>
      <c r="CL97" s="44">
        <f t="shared" si="178"/>
        <v>0</v>
      </c>
      <c r="CM97" s="44">
        <f t="shared" si="178"/>
        <v>0</v>
      </c>
      <c r="CN97" s="44">
        <f t="shared" si="178"/>
        <v>0</v>
      </c>
      <c r="CO97" s="44">
        <f t="shared" si="178"/>
        <v>0</v>
      </c>
      <c r="CP97" s="44">
        <f t="shared" si="178"/>
        <v>0</v>
      </c>
      <c r="CQ97" s="44">
        <f t="shared" si="178"/>
        <v>0</v>
      </c>
      <c r="CR97" s="44">
        <f t="shared" si="178"/>
        <v>0</v>
      </c>
      <c r="CS97" s="44">
        <f t="shared" si="178"/>
        <v>0</v>
      </c>
      <c r="CT97" s="44">
        <f t="shared" si="178"/>
        <v>0</v>
      </c>
      <c r="CU97" s="44">
        <f t="shared" si="178"/>
        <v>0</v>
      </c>
      <c r="CV97" s="44">
        <f t="shared" si="178"/>
        <v>0</v>
      </c>
      <c r="CW97" s="44">
        <f t="shared" si="178"/>
        <v>0</v>
      </c>
      <c r="CX97" s="44">
        <f t="shared" si="178"/>
        <v>0</v>
      </c>
      <c r="CY97" s="44">
        <f t="shared" si="178"/>
        <v>0</v>
      </c>
      <c r="CZ97" s="44">
        <f t="shared" si="178"/>
        <v>0</v>
      </c>
      <c r="DA97" s="44">
        <f t="shared" si="178"/>
        <v>0</v>
      </c>
      <c r="DB97" s="44">
        <f t="shared" si="178"/>
        <v>0</v>
      </c>
      <c r="DC97" s="44">
        <f t="shared" si="178"/>
        <v>0</v>
      </c>
      <c r="DD97" s="44">
        <f t="shared" si="178"/>
        <v>0</v>
      </c>
      <c r="DE97" s="44">
        <f t="shared" si="178"/>
        <v>0</v>
      </c>
      <c r="DF97" s="44">
        <f t="shared" si="178"/>
        <v>0</v>
      </c>
      <c r="DG97" s="44">
        <f t="shared" si="178"/>
        <v>0</v>
      </c>
      <c r="DH97" s="44">
        <f t="shared" si="178"/>
        <v>0</v>
      </c>
      <c r="DI97" s="44">
        <f t="shared" si="178"/>
        <v>0</v>
      </c>
      <c r="DJ97" s="44">
        <f t="shared" si="178"/>
        <v>0</v>
      </c>
      <c r="DK97" s="44">
        <f t="shared" si="178"/>
        <v>0</v>
      </c>
      <c r="DL97" s="44">
        <f t="shared" si="178"/>
        <v>0</v>
      </c>
      <c r="DM97" s="44">
        <f t="shared" si="178"/>
        <v>0</v>
      </c>
      <c r="DN97" s="44">
        <f t="shared" si="178"/>
        <v>0</v>
      </c>
      <c r="DO97" s="44">
        <f t="shared" si="178"/>
        <v>0</v>
      </c>
      <c r="DP97" s="44">
        <f t="shared" si="178"/>
        <v>0</v>
      </c>
      <c r="DQ97" s="44">
        <f t="shared" si="178"/>
        <v>0</v>
      </c>
      <c r="DR97" s="44">
        <f t="shared" si="178"/>
        <v>0</v>
      </c>
      <c r="DS97" s="44">
        <f t="shared" si="178"/>
        <v>0</v>
      </c>
      <c r="DT97" s="44">
        <f t="shared" si="178"/>
        <v>0</v>
      </c>
      <c r="DU97" s="44">
        <f t="shared" si="178"/>
        <v>0</v>
      </c>
      <c r="DV97" s="44">
        <f t="shared" si="178"/>
        <v>0</v>
      </c>
      <c r="DW97" s="44">
        <f t="shared" si="178"/>
        <v>0</v>
      </c>
      <c r="DX97" s="44">
        <f t="shared" si="178"/>
        <v>0</v>
      </c>
      <c r="DY97" s="44">
        <f t="shared" si="178"/>
        <v>0</v>
      </c>
      <c r="DZ97" s="44">
        <f t="shared" si="178"/>
        <v>0</v>
      </c>
      <c r="EA97" s="44">
        <f t="shared" si="178"/>
        <v>0</v>
      </c>
      <c r="EB97" s="44">
        <f t="shared" si="178"/>
        <v>0</v>
      </c>
      <c r="EC97" s="44">
        <f t="shared" si="178"/>
        <v>0</v>
      </c>
      <c r="ED97" s="44">
        <f t="shared" si="178"/>
        <v>0</v>
      </c>
      <c r="EE97" s="44">
        <f t="shared" si="178"/>
        <v>0</v>
      </c>
      <c r="EF97" s="44">
        <f t="shared" si="178"/>
        <v>0</v>
      </c>
      <c r="EG97" s="44">
        <f t="shared" ref="EG97:EN97" si="179">IF((EG95-EG96)&gt;0,(EG95-EG96),0)</f>
        <v>0</v>
      </c>
      <c r="EH97" s="44">
        <f t="shared" si="179"/>
        <v>0</v>
      </c>
      <c r="EI97" s="44">
        <f t="shared" si="179"/>
        <v>0</v>
      </c>
      <c r="EJ97" s="44">
        <f t="shared" si="179"/>
        <v>0</v>
      </c>
      <c r="EK97" s="44">
        <f t="shared" si="179"/>
        <v>0</v>
      </c>
      <c r="EL97" s="44">
        <f t="shared" si="179"/>
        <v>0</v>
      </c>
      <c r="EM97" s="44">
        <f t="shared" si="179"/>
        <v>0</v>
      </c>
      <c r="EN97" s="44">
        <f t="shared" si="179"/>
        <v>0</v>
      </c>
    </row>
    <row r="98" spans="2:144" outlineLevel="1">
      <c r="B98" s="139" t="s">
        <v>43</v>
      </c>
      <c r="C98" s="151" t="s">
        <v>487</v>
      </c>
      <c r="D98" s="44"/>
      <c r="E98" s="44"/>
      <c r="F98" s="44"/>
      <c r="G98" s="44"/>
      <c r="H98" s="44">
        <f>IF(H91&gt;D93,(SUM(G97:H97)/2),IF(H91=D93,H97,0))</f>
        <v>0</v>
      </c>
      <c r="I98" s="44">
        <f>IF(I91&gt;D93,(SUM(H97:I97)/2),IF(I91=D93,I97,0))</f>
        <v>0</v>
      </c>
      <c r="J98" s="44">
        <f>IF(J91&gt;D93,(SUM(I97:J97)/2),IF(J91=D93,J97,0))</f>
        <v>0</v>
      </c>
      <c r="K98" s="44">
        <f>IF(K91&gt;D93,(SUM(J97:K97)/2),IF(K91=D93,K97,0))</f>
        <v>0</v>
      </c>
      <c r="L98" s="44">
        <f>IF(L91&gt;D93,(SUM(K97:L97)/2),IF(L91=D93,L97,0))</f>
        <v>0</v>
      </c>
      <c r="M98" s="44">
        <f>IF(M91&gt;D93,(SUM(L97:M97)/2),IF(M91=D93,M97,0))</f>
        <v>0</v>
      </c>
      <c r="N98" s="44">
        <f>IF(N91&gt;D93,(SUM(M97:N97)/2),IF(N91=D93,N97,0))</f>
        <v>0</v>
      </c>
      <c r="O98" s="44">
        <f>IF(O91&gt;D93,(SUM(N97:O97)/2),IF(O91=D93,O97,0))</f>
        <v>0</v>
      </c>
      <c r="P98" s="44">
        <f>IF(P91&gt;D93,(SUM(O97:P97)/2),IF(P91=D93,P97,0))</f>
        <v>0</v>
      </c>
      <c r="Q98" s="44">
        <f>IF(Q91&gt;D93,(SUM(P97:Q97)/2),IF(Q91=D93,Q97,0))</f>
        <v>0</v>
      </c>
      <c r="R98" s="44">
        <f>IF(R91&gt;D93,(SUM(Q97:R97)/2),IF(R91=D93,R97,0))</f>
        <v>0</v>
      </c>
      <c r="S98" s="44">
        <f>IF(S91&gt;D93,(SUM(R97:S97)/2),IF(S91=D93,S97,0))</f>
        <v>0</v>
      </c>
      <c r="T98" s="44">
        <f>IF(T91&gt;D93,(SUM(S97:T97)/2),IF(T91=D93,T97,0))</f>
        <v>0</v>
      </c>
      <c r="U98" s="44">
        <f>IF(U91&gt;D93,(SUM(T97:U97)/2),IF(U91=D93,U97,0))</f>
        <v>0</v>
      </c>
      <c r="V98" s="44">
        <f>IF(V91&gt;D93,(SUM(U97:V97)/2),IF(V91=D93,V97,0))</f>
        <v>0</v>
      </c>
      <c r="W98" s="44">
        <f>IF(W91&gt;D93,(SUM(V97:W97)/2),IF(W91=D93,W97,0))</f>
        <v>0</v>
      </c>
      <c r="X98" s="44">
        <f>IF(X91&gt;D93,(SUM(W97:X97)/2),IF(X91=D93,X97,0))</f>
        <v>0</v>
      </c>
      <c r="Y98" s="44">
        <f>IF(Y91&gt;D93,(SUM(X97:Y97)/2),IF(Y91=D93,Y97,0))</f>
        <v>0</v>
      </c>
      <c r="Z98" s="44">
        <f>IF(Z91&gt;D93,(SUM(Y97:Z97)/2),IF(Z91=D93,Z97,0))</f>
        <v>0</v>
      </c>
      <c r="AA98" s="44">
        <f>IF(AA91&gt;D93,(SUM(Z97:AA97)/2),IF(AA91=D93,AA97,0))</f>
        <v>0</v>
      </c>
      <c r="AB98" s="44">
        <f>IF(AB91&gt;D93,(SUM(AA97:AB97)/2),IF(AB91=D93,AB97,0))</f>
        <v>0</v>
      </c>
      <c r="AC98" s="44">
        <f>IF(AC91&gt;D93,(SUM(AB97:AC97)/2),IF(AC91=D93,AC97,0))</f>
        <v>0</v>
      </c>
      <c r="AD98" s="44">
        <f>IF(AD91&gt;D93,(SUM(AC97:AD97)/2),IF(AD91=D93,AD97,0))</f>
        <v>0</v>
      </c>
      <c r="AE98" s="44">
        <f>IF(AE91&gt;D93,(SUM(AD97:AE97)/2),IF(AE91=D93,AE97,0))</f>
        <v>0</v>
      </c>
      <c r="AF98" s="44">
        <f>IF(AF91&gt;D93,(SUM(AE97:AF97)/2),IF(AF91=D93,AF97,0))</f>
        <v>0</v>
      </c>
      <c r="AG98" s="44">
        <f>IF(AG91&gt;D93,(SUM(AF97:AG97)/2),IF(AG91=D93,AG97,0))</f>
        <v>0</v>
      </c>
      <c r="AH98" s="44">
        <f>IF(AH91&gt;D93,(SUM(AG97:AH97)/2),IF(AH91=D93,AH97,0))</f>
        <v>0</v>
      </c>
      <c r="AI98" s="44">
        <f>IF(AI91&gt;D93,(SUM(AH97:AI97)/2),IF(AI91=D93,AI97,0))</f>
        <v>0</v>
      </c>
      <c r="AJ98" s="44">
        <f>IF(AJ91&gt;D93,(SUM(AI97:AJ97)/2),IF(AJ91=D93,AJ97,0))</f>
        <v>0</v>
      </c>
      <c r="AK98" s="44">
        <f>IF(AK91&gt;D93,(SUM(AJ97:AK97)/2),IF(AK91=D93,AK97,0))</f>
        <v>0</v>
      </c>
      <c r="AL98" s="44">
        <f>IF(AL91&gt;D93,(SUM(AK97:AL97)/2),IF(AL91=D93,AL97,0))</f>
        <v>0</v>
      </c>
      <c r="AM98" s="44">
        <f>IF(AM91&gt;D93,(SUM(AL97:AM97)/2),IF(AM91=D93,AM97,0))</f>
        <v>0</v>
      </c>
      <c r="AN98" s="44">
        <f>IF(AN91&gt;D93,(SUM(AM97:AN97)/2),IF(AN91=D93,AN97,0))</f>
        <v>0</v>
      </c>
      <c r="AO98" s="44">
        <f>IF(AO91&gt;D93,(SUM(AN97:AO97)/2),IF(AO91=D93,AO97,0))</f>
        <v>0</v>
      </c>
      <c r="AP98" s="44">
        <f>IF(AP91&gt;D93,(SUM(AO97:AP97)/2),IF(AP91=D93,AP97,0))</f>
        <v>0</v>
      </c>
      <c r="AQ98" s="44">
        <f>IF(AQ91&gt;D93,(SUM(AP97:AQ97)/2),IF(AQ91=D93,AQ97,0))</f>
        <v>0</v>
      </c>
      <c r="AR98" s="44">
        <f>IF(AR91&gt;D93,(SUM(AQ97:AR97)/2),IF(AR91=D93,AR97,0))</f>
        <v>0</v>
      </c>
      <c r="AS98" s="44">
        <f>IF(AS91&gt;D93,(SUM(AR97:AS97)/2),IF(AS91=D93,AS97,0))</f>
        <v>0</v>
      </c>
      <c r="AT98" s="44">
        <f>IF(AT91&gt;D93,(SUM(AS97:AT97)/2),IF(AT91=D93,AT97,0))</f>
        <v>0</v>
      </c>
      <c r="AU98" s="44">
        <f>IF(AU91&gt;D93,(SUM(AT97:AU97)/2),IF(AU91=D93,AU97,0))</f>
        <v>0</v>
      </c>
      <c r="AV98" s="44">
        <f>IF(AV91&gt;D93,(SUM(AU97:AV97)/2),IF(AV91=D93,AV97,0))</f>
        <v>0</v>
      </c>
      <c r="AW98" s="44">
        <f>IF(AW91&gt;D93,(SUM(AV97:AW97)/2),IF(AW91=D93,AW97,0))</f>
        <v>0</v>
      </c>
      <c r="AX98" s="44">
        <f>IF(AX91&gt;D93,(SUM(AW97:AX97)/2),IF(AX91=D93,AX97,0))</f>
        <v>0</v>
      </c>
      <c r="AY98" s="44">
        <f>IF(AY91&gt;D93,(SUM(AX97:AY97)/2),IF(AY91=D93,AY97,0))</f>
        <v>0</v>
      </c>
      <c r="AZ98" s="44">
        <f>IF(AZ91&gt;D93,(SUM(AY97:AZ97)/2),IF(AZ91=D93,AZ97,0))</f>
        <v>0</v>
      </c>
      <c r="BA98" s="44">
        <f>IF(BA91&gt;D93,(SUM(AZ97:BA97)/2),IF(BA91=D93,BA97,0))</f>
        <v>0</v>
      </c>
      <c r="BB98" s="44">
        <f>IF(BB91&gt;D93,(SUM(BA97:BB97)/2),IF(BB91=D93,BB97,0))</f>
        <v>0</v>
      </c>
      <c r="BC98" s="44">
        <f>IF(BC91&gt;D93,(SUM(BB97:BC97)/2),IF(BC91=D93,BC97,0))</f>
        <v>0</v>
      </c>
      <c r="BD98" s="44">
        <f>IF(BD91&gt;D93,(SUM(BC97:BD97)/2),IF(BD91=D93,BD97,0))</f>
        <v>0</v>
      </c>
      <c r="BE98" s="44">
        <f>IF(BE91&gt;D93,(SUM(BD97:BE97)/2),IF(BE91=D93,BE97,0))</f>
        <v>0</v>
      </c>
      <c r="BF98" s="44">
        <f>IF(BF91&gt;D93,(SUM(BE97:BF97)/2),IF(BF91=D93,BF97,0))</f>
        <v>0</v>
      </c>
      <c r="BG98" s="44">
        <f>IF(BG91&gt;D93,(SUM(BF97:BG97)/2),IF(BG91=D93,BG97,0))</f>
        <v>0</v>
      </c>
      <c r="BH98" s="44">
        <f>IF(BH91&gt;D93,(SUM(BG97:BH97)/2),IF(BH91=D93,BH97,0))</f>
        <v>0</v>
      </c>
      <c r="BI98" s="44">
        <f>IF(BI91&gt;D93,(SUM(BH97:BI97)/2),IF(BI91=D93,BI97,0))</f>
        <v>0</v>
      </c>
      <c r="BJ98" s="44">
        <f>IF(BJ91&gt;D93,(SUM(BI97:BJ97)/2),IF(BJ91=D93,BJ97,0))</f>
        <v>0</v>
      </c>
      <c r="BK98" s="44">
        <f>IF(BK91&gt;D93,(SUM(BJ97:BK97)/2),IF(BK91=D93,BK97,0))</f>
        <v>0</v>
      </c>
      <c r="BL98" s="44">
        <f>IF(BL91&gt;D93,(SUM(BK97:BL97)/2),IF(BL91=D93,BL97,0))</f>
        <v>0</v>
      </c>
      <c r="BM98" s="44">
        <f>IF(BM91&gt;D93,(SUM(BL97:BM97)/2),IF(BM91=D93,BM97,0))</f>
        <v>0</v>
      </c>
      <c r="BN98" s="44">
        <f>IF(BN91&gt;D93,(SUM(BM97:BN97)/2),IF(BN91=D93,BN97,0))</f>
        <v>0</v>
      </c>
      <c r="BO98" s="44">
        <f>IF(BO91&gt;D93,(SUM(BN97:BO97)/2),IF(BO91=D93,BO97,0))</f>
        <v>0</v>
      </c>
      <c r="BP98" s="44">
        <f>IF(BP91&gt;D93,(SUM(BO97:BP97)/2),IF(BP91=D93,BP97,0))</f>
        <v>0</v>
      </c>
      <c r="BQ98" s="44">
        <f>IF(BQ91&gt;D93,(SUM(BP97:BQ97)/2),IF(BQ91=D93,BQ97,0))</f>
        <v>0</v>
      </c>
      <c r="BR98" s="44">
        <f>IF(BR91&gt;D93,(SUM(BQ97:BR97)/2),IF(BR91=D93,BR97,0))</f>
        <v>0</v>
      </c>
      <c r="BS98" s="44">
        <f>IF(BS91&gt;D93,(SUM(BR97:BS97)/2),IF(BS91=D93,BS97,0))</f>
        <v>0</v>
      </c>
      <c r="BT98" s="44">
        <f>IF(BT91&gt;D93,(SUM(BS97:BT97)/2),IF(BT91=D93,BT97,0))</f>
        <v>0</v>
      </c>
      <c r="BU98" s="44">
        <f>IF(BU91&gt;D93,(SUM(BT97:BU97)/2),IF(BU91=D93,BU97,0))</f>
        <v>0</v>
      </c>
      <c r="BV98" s="44">
        <f>IF(BV91&gt;D93,(SUM(BU97:BV97)/2),IF(BV91=D93,BV97,0))</f>
        <v>0</v>
      </c>
      <c r="BW98" s="44">
        <f>IF(BW91&gt;D93,(SUM(BV97:BW97)/2),IF(BW91=D93,BW97,0))</f>
        <v>0</v>
      </c>
      <c r="BX98" s="44">
        <f>IF(BX91&gt;D93,(SUM(BW97:BX97)/2),IF(BX91=D93,BX97,0))</f>
        <v>0</v>
      </c>
      <c r="BY98" s="44">
        <f>IF(BY91&gt;D93,(SUM(BX97:BY97)/2),IF(BY91=D93,BY97,0))</f>
        <v>0</v>
      </c>
      <c r="BZ98" s="44">
        <f>IF(BZ91&gt;D93,(SUM(BY97:BZ97)/2),IF(BZ91=D93,BZ97,0))</f>
        <v>0</v>
      </c>
      <c r="CA98" s="44">
        <f>IF(CA91&gt;D93,(SUM(BZ97:CA97)/2),IF(CA91=D93,CA97,0))</f>
        <v>0</v>
      </c>
      <c r="CB98" s="44">
        <f>IF(CB91&gt;D93,(SUM(CA97:CB97)/2),IF(CB91=D93,CB97,0))</f>
        <v>0</v>
      </c>
      <c r="CC98" s="44">
        <f>IF(CC91&gt;D93,(SUM(CB97:CC97)/2),IF(CC91=D93,CC97,0))</f>
        <v>0</v>
      </c>
      <c r="CD98" s="44">
        <f>IF(CD91&gt;D93,(SUM(CC97:CD97)/2),IF(CD91=D93,CD97,0))</f>
        <v>0</v>
      </c>
      <c r="CE98" s="44">
        <f>IF(CE91&gt;D93,(SUM(CD97:CE97)/2),IF(CE91=D93,CE97,0))</f>
        <v>0</v>
      </c>
      <c r="CF98" s="44">
        <f>IF(CF91&gt;D93,(SUM(CE97:CF97)/2),IF(CF91=D93,CF97,0))</f>
        <v>0</v>
      </c>
      <c r="CG98" s="44">
        <f>IF(CG91&gt;D93,(SUM(CF97:CG97)/2),IF(CG91=D93,CG97,0))</f>
        <v>0</v>
      </c>
      <c r="CH98" s="44">
        <f>IF(CH91&gt;D93,(SUM(CG97:CH97)/2),IF(CH91=D93,CH97,0))</f>
        <v>0</v>
      </c>
      <c r="CI98" s="44">
        <f>IF(CI91&gt;D93,(SUM(CH97:CI97)/2),IF(CI91=D93,CI97,0))</f>
        <v>0</v>
      </c>
      <c r="CJ98" s="44">
        <f>IF(CJ91&gt;D93,(SUM(CI97:CJ97)/2),IF(CJ91=D93,CJ97,0))</f>
        <v>0</v>
      </c>
      <c r="CK98" s="44">
        <f>IF(CK91&gt;D93,(SUM(CJ97:CK97)/2),IF(CK91=D93,CK97,0))</f>
        <v>0</v>
      </c>
      <c r="CL98" s="44">
        <f>IF(CL91&gt;D93,(SUM(CK97:CL97)/2),IF(CL91=D93,CL97,0))</f>
        <v>0</v>
      </c>
      <c r="CM98" s="44">
        <f>IF(CM91&gt;D93,(SUM(CL97:CM97)/2),IF(CM91=D93,CM97,0))</f>
        <v>0</v>
      </c>
      <c r="CN98" s="44">
        <f>IF(CN91&gt;D93,(SUM(CM97:CN97)/2),IF(CN91=D93,CN97,0))</f>
        <v>0</v>
      </c>
      <c r="CO98" s="44">
        <f>IF(CO91&gt;D93,(SUM(CN97:CO97)/2),IF(CO91=D93,CO97,0))</f>
        <v>0</v>
      </c>
      <c r="CP98" s="44">
        <f>IF(CP91&gt;D93,(SUM(CO97:CP97)/2),IF(CP91=D93,CP97,0))</f>
        <v>0</v>
      </c>
      <c r="CQ98" s="44">
        <f>IF(CQ91&gt;D93,(SUM(CP97:CQ97)/2),IF(CQ91=D93,CQ97,0))</f>
        <v>0</v>
      </c>
      <c r="CR98" s="44">
        <f>IF(CR91&gt;D93,(SUM(CQ97:CR97)/2),IF(CR91=D93,CR97,0))</f>
        <v>0</v>
      </c>
      <c r="CS98" s="44">
        <f>IF(CS91&gt;D93,(SUM(CR97:CS97)/2),IF(CS91=D93,CS97,0))</f>
        <v>0</v>
      </c>
      <c r="CT98" s="44">
        <f>IF(CT91&gt;D93,(SUM(CS97:CT97)/2),IF(CT91=D93,CT97,0))</f>
        <v>0</v>
      </c>
      <c r="CU98" s="44">
        <f>IF(CU91&gt;D93,(SUM(CT97:CU97)/2),IF(CU91=D93,CU97,0))</f>
        <v>0</v>
      </c>
      <c r="CV98" s="44">
        <f>IF(CV91&gt;D93,(SUM(CU97:CV97)/2),IF(CV91=D93,CV97,0))</f>
        <v>0</v>
      </c>
      <c r="CW98" s="44">
        <f>IF(CW91&gt;D93,(SUM(CV97:CW97)/2),IF(CW91=D93,CW97,0))</f>
        <v>0</v>
      </c>
      <c r="CX98" s="44">
        <f>IF(CX91&gt;D93,(SUM(CW97:CX97)/2),IF(CX91=D93,CX97,0))</f>
        <v>0</v>
      </c>
      <c r="CY98" s="44">
        <f>IF(CY91&gt;D93,(SUM(CX97:CY97)/2),IF(CY91=D93,CY97,0))</f>
        <v>0</v>
      </c>
      <c r="CZ98" s="44">
        <f>IF(CZ91&gt;D93,(SUM(CY97:CZ97)/2),IF(CZ91=D93,CZ97,0))</f>
        <v>0</v>
      </c>
      <c r="DA98" s="44">
        <f>IF(DA91&gt;D93,(SUM(CZ97:DA97)/2),IF(DA91=D93,DA97,0))</f>
        <v>0</v>
      </c>
      <c r="DB98" s="44">
        <f>IF(DB91&gt;D93,(SUM(DA97:DB97)/2),IF(DB91=D93,DB97,0))</f>
        <v>0</v>
      </c>
      <c r="DC98" s="44">
        <f>IF(DC91&gt;D93,(SUM(DB97:DC97)/2),IF(DC91=D93,DC97,0))</f>
        <v>0</v>
      </c>
      <c r="DD98" s="44">
        <f>IF(DD91&gt;D93,(SUM(DC97:DD97)/2),IF(DD91=D93,DD97,0))</f>
        <v>0</v>
      </c>
      <c r="DE98" s="44">
        <f>IF(DE91&gt;D93,(SUM(DD97:DE97)/2),IF(DE91=D93,DE97,0))</f>
        <v>0</v>
      </c>
      <c r="DF98" s="44">
        <f>IF(DF91&gt;D93,(SUM(DE97:DF97)/2),IF(DF91=D93,DF97,0))</f>
        <v>0</v>
      </c>
      <c r="DG98" s="44">
        <f>IF(DG91&gt;D93,(SUM(DF97:DG97)/2),IF(DG91=D93,DG97,0))</f>
        <v>0</v>
      </c>
      <c r="DH98" s="44">
        <f>IF(DH91&gt;D93,(SUM(DG97:DH97)/2),IF(DH91=D93,DH97,0))</f>
        <v>0</v>
      </c>
      <c r="DI98" s="44">
        <f>IF(DI91&gt;D93,(SUM(DH97:DI97)/2),IF(DI91=D93,DI97,0))</f>
        <v>0</v>
      </c>
      <c r="DJ98" s="44">
        <f>IF(DJ91&gt;D93,(SUM(DI97:DJ97)/2),IF(DJ91=D93,DJ97,0))</f>
        <v>0</v>
      </c>
      <c r="DK98" s="44">
        <f>IF(DK91&gt;D93,(SUM(DJ97:DK97)/2),IF(DK91=D93,DK97,0))</f>
        <v>0</v>
      </c>
      <c r="DL98" s="44">
        <f>IF(DL91&gt;D93,(SUM(DK97:DL97)/2),IF(DL91=D93,DL97,0))</f>
        <v>0</v>
      </c>
      <c r="DM98" s="44">
        <f>IF(DM91&gt;D93,(SUM(DL97:DM97)/2),IF(DM91=D93,DM97,0))</f>
        <v>0</v>
      </c>
      <c r="DN98" s="44">
        <f>IF(DN91&gt;D93,(SUM(DM97:DN97)/2),IF(DN91=D93,DN97,0))</f>
        <v>0</v>
      </c>
      <c r="DO98" s="44">
        <f>IF(DO91&gt;D93,(SUM(DN97:DO97)/2),IF(DO91=D93,DO97,0))</f>
        <v>0</v>
      </c>
      <c r="DP98" s="44">
        <f>IF(DP91&gt;D93,(SUM(DO97:DP97)/2),IF(DP91=D93,DP97,0))</f>
        <v>0</v>
      </c>
      <c r="DQ98" s="44">
        <f>IF(DQ91&gt;D93,(SUM(DP97:DQ97)/2),IF(DQ91=D93,DQ97,0))</f>
        <v>0</v>
      </c>
      <c r="DR98" s="44">
        <f>IF(DR91&gt;D93,(SUM(DQ97:DR97)/2),IF(DR91=D93,DR97,0))</f>
        <v>0</v>
      </c>
      <c r="DS98" s="44">
        <f>IF(DS91&gt;D93,(SUM(DR97:DS97)/2),IF(DS91=D93,DS97,0))</f>
        <v>0</v>
      </c>
      <c r="DT98" s="44">
        <f>IF(DT91&gt;D93,(SUM(DS97:DT97)/2),IF(DT91=D93,DT97,0))</f>
        <v>0</v>
      </c>
      <c r="DU98" s="44">
        <f>IF(DU91&gt;D93,(SUM(DT97:DU97)/2),IF(DU91=D93,DU97,0))</f>
        <v>0</v>
      </c>
      <c r="DV98" s="44">
        <f>IF(DV91&gt;D93,(SUM(DU97:DV97)/2),IF(DV91=D93,DV97,0))</f>
        <v>0</v>
      </c>
      <c r="DW98" s="44">
        <f>IF(DW91&gt;D93,(SUM(DV97:DW97)/2),IF(DW91=D93,DW97,0))</f>
        <v>0</v>
      </c>
      <c r="DX98" s="44">
        <f>IF(DX91&gt;D93,(SUM(DW97:DX97)/2),IF(DX91=D93,DX97,0))</f>
        <v>0</v>
      </c>
      <c r="DY98" s="44">
        <f>IF(DY91&gt;D93,(SUM(DX97:DY97)/2),IF(DY91=D93,DY97,0))</f>
        <v>0</v>
      </c>
      <c r="DZ98" s="44">
        <f>IF(DZ91&gt;D93,(SUM(DY97:DZ97)/2),IF(DZ91=D93,DZ97,0))</f>
        <v>0</v>
      </c>
      <c r="EA98" s="44">
        <f>IF(EA91&gt;D93,(SUM(DZ97:EA97)/2),IF(EA91=D93,EA97,0))</f>
        <v>0</v>
      </c>
      <c r="EB98" s="44">
        <f>IF(EB91&gt;D93,(SUM(EA97:EB97)/2),IF(EB91=D93,EB97,0))</f>
        <v>0</v>
      </c>
      <c r="EC98" s="44">
        <f>IF(EC91&gt;D93,(SUM(EB97:EC97)/2),IF(EC91=D93,EC97,0))</f>
        <v>0</v>
      </c>
      <c r="ED98" s="44">
        <f>IF(ED91&gt;D93,(SUM(EC97:ED97)/2),IF(ED91=D93,ED97,0))</f>
        <v>0</v>
      </c>
      <c r="EE98" s="44">
        <f>IF(EE91&gt;D93,(SUM(ED97:EE97)/2),IF(EE91=D93,EE97,0))</f>
        <v>0</v>
      </c>
      <c r="EF98" s="44">
        <f>IF(EF91&gt;D93,(SUM(EE97:EF97)/2),IF(EF91=D93,EF97,0))</f>
        <v>0</v>
      </c>
      <c r="EG98" s="44">
        <f>IF(EG91&gt;D93,(SUM(EF97:EG97)/2),IF(EG91=D93,EG97,0))</f>
        <v>0</v>
      </c>
      <c r="EH98" s="44">
        <f>IF(EH91&gt;D93,(SUM(EG97:EH97)/2),IF(EH91=D93,EH97,0))</f>
        <v>0</v>
      </c>
      <c r="EI98" s="44">
        <f t="shared" ref="EI98:EN98" si="180">IF(EI91&gt;E93,(SUM(EH97:EI97)/2),IF(EI91=E93,EI97,0))</f>
        <v>0</v>
      </c>
      <c r="EJ98" s="44">
        <f t="shared" si="180"/>
        <v>0</v>
      </c>
      <c r="EK98" s="44">
        <f t="shared" si="180"/>
        <v>0</v>
      </c>
      <c r="EL98" s="44">
        <f t="shared" si="180"/>
        <v>0</v>
      </c>
      <c r="EM98" s="44">
        <f t="shared" si="180"/>
        <v>0</v>
      </c>
      <c r="EN98" s="44">
        <f t="shared" si="180"/>
        <v>0</v>
      </c>
    </row>
    <row r="99" spans="2:144" outlineLevel="1">
      <c r="C99" s="43" t="s">
        <v>176</v>
      </c>
      <c r="D99" s="44"/>
      <c r="E99" s="773"/>
      <c r="F99" s="44"/>
      <c r="G99" s="44"/>
      <c r="H99" s="120">
        <f>IF(H90&lt;$E93,0,IF(AND(H90&gt;=$E93,H90&lt;=($E93+$E99-1)),Вводные!$D$30,Вводные!$E$30))</f>
        <v>0</v>
      </c>
      <c r="I99" s="120">
        <f>IF(I90&lt;$E93,0,IF(AND(I90&gt;=$E93,I90&lt;=($E93+$E99-1)),Вводные!$D$30,Вводные!$E$30))</f>
        <v>0</v>
      </c>
      <c r="J99" s="120">
        <f>IF(J90&lt;$E93,0,IF(AND(J90&gt;=$E93,J90&lt;=($E93+$E99-1)),Вводные!$D$30,Вводные!$E$30))</f>
        <v>0</v>
      </c>
      <c r="K99" s="120">
        <f>IF(K90&lt;$E93,0,IF(AND(K90&gt;=$E93,K90&lt;=($E93+$E99-1)),Вводные!$D$30,Вводные!$E$30))</f>
        <v>0</v>
      </c>
      <c r="L99" s="120">
        <f>IF(L90&lt;$E93,0,IF(AND(L90&gt;=$E93,L90&lt;=($E93+$E99-1)),Вводные!$D$30,Вводные!$E$30))</f>
        <v>0</v>
      </c>
      <c r="M99" s="120">
        <f>IF(M90&lt;$E93,0,IF(AND(M90&gt;=$E93,M90&lt;=($E93+$E99-1)),Вводные!$D$30,Вводные!$E$30))</f>
        <v>0</v>
      </c>
      <c r="N99" s="120">
        <f>IF(N90&lt;$E93,0,IF(AND(N90&gt;=$E93,N90&lt;=($E93+$E99-1)),Вводные!$D$30,Вводные!$E$30))</f>
        <v>0</v>
      </c>
      <c r="O99" s="120">
        <f>IF(O90&lt;$E93,0,IF(AND(O90&gt;=$E93,O90&lt;=($E93+$E99-1)),Вводные!$D$30,Вводные!$E$30))</f>
        <v>0</v>
      </c>
      <c r="P99" s="120">
        <f>IF(P90&lt;$E93,0,IF(AND(P90&gt;=$E93,P90&lt;=($E93+$E99-1)),Вводные!$D$30,Вводные!$E$30))</f>
        <v>0</v>
      </c>
      <c r="Q99" s="120">
        <f>IF(Q90&lt;$E93,0,IF(AND(Q90&gt;=$E93,Q90&lt;=($E93+$E99-1)),Вводные!$D$30,Вводные!$E$30))</f>
        <v>0</v>
      </c>
      <c r="R99" s="120">
        <f>IF(R90&lt;$E93,0,IF(AND(R90&gt;=$E93,R90&lt;=($E93+$E99-1)),Вводные!$D$30,Вводные!$E$30))</f>
        <v>0</v>
      </c>
      <c r="S99" s="120">
        <f>IF(S90&lt;$E93,0,IF(AND(S90&gt;=$E93,S90&lt;=($E93+$E99-1)),Вводные!$D$30,Вводные!$E$30))</f>
        <v>0</v>
      </c>
      <c r="T99" s="120">
        <f>IF(T90&lt;$E93,0,IF(AND(T90&gt;=$E93,T90&lt;=($E93+$E99-1)),Вводные!$D$30,Вводные!$E$30))</f>
        <v>2.1999999999999999E-2</v>
      </c>
      <c r="U99" s="120">
        <f>IF(U90&lt;$E93,0,IF(AND(U90&gt;=$E93,U90&lt;=($E93+$E99-1)),Вводные!$D$30,Вводные!$E$30))</f>
        <v>2.1999999999999999E-2</v>
      </c>
      <c r="V99" s="120">
        <f>IF(V90&lt;$E93,0,IF(AND(V90&gt;=$E93,V90&lt;=($E93+$E99-1)),Вводные!$D$30,Вводные!$E$30))</f>
        <v>2.1999999999999999E-2</v>
      </c>
      <c r="W99" s="120">
        <f>IF(W90&lt;$E93,0,IF(AND(W90&gt;=$E93,W90&lt;=($E93+$E99-1)),Вводные!$D$30,Вводные!$E$30))</f>
        <v>2.1999999999999999E-2</v>
      </c>
      <c r="X99" s="120">
        <f>IF(X90&lt;$E93,0,IF(AND(X90&gt;=$E93,X90&lt;=($E93+$E99-1)),Вводные!$D$30,Вводные!$E$30))</f>
        <v>2.1999999999999999E-2</v>
      </c>
      <c r="Y99" s="120">
        <f>IF(Y90&lt;$E93,0,IF(AND(Y90&gt;=$E93,Y90&lt;=($E93+$E99-1)),Вводные!$D$30,Вводные!$E$30))</f>
        <v>2.1999999999999999E-2</v>
      </c>
      <c r="Z99" s="120">
        <f>IF(Z90&lt;$E93,0,IF(AND(Z90&gt;=$E93,Z90&lt;=($E93+$E99-1)),Вводные!$D$30,Вводные!$E$30))</f>
        <v>2.1999999999999999E-2</v>
      </c>
      <c r="AA99" s="120">
        <f>IF(AA90&lt;$E93,0,IF(AND(AA90&gt;=$E93,AA90&lt;=($E93+$E99-1)),Вводные!$D$30,Вводные!$E$30))</f>
        <v>2.1999999999999999E-2</v>
      </c>
      <c r="AB99" s="120">
        <f>IF(AB90&lt;$E93,0,IF(AND(AB90&gt;=$E93,AB90&lt;=($E93+$E99-1)),Вводные!$D$30,Вводные!$E$30))</f>
        <v>2.1999999999999999E-2</v>
      </c>
      <c r="AC99" s="120">
        <f>IF(AC90&lt;$E93,0,IF(AND(AC90&gt;=$E93,AC90&lt;=($E93+$E99-1)),Вводные!$D$30,Вводные!$E$30))</f>
        <v>2.1999999999999999E-2</v>
      </c>
      <c r="AD99" s="120">
        <f>IF(AD90&lt;$E93,0,IF(AND(AD90&gt;=$E93,AD90&lt;=($E93+$E99-1)),Вводные!$D$30,Вводные!$E$30))</f>
        <v>2.1999999999999999E-2</v>
      </c>
      <c r="AE99" s="120">
        <f>IF(AE90&lt;$E93,0,IF(AND(AE90&gt;=$E93,AE90&lt;=($E93+$E99-1)),Вводные!$D$30,Вводные!$E$30))</f>
        <v>2.1999999999999999E-2</v>
      </c>
      <c r="AF99" s="120">
        <f>IF(AF90&lt;$E93,0,IF(AND(AF90&gt;=$E93,AF90&lt;=($E93+$E99-1)),Вводные!$D$30,Вводные!$E$30))</f>
        <v>2.1999999999999999E-2</v>
      </c>
      <c r="AG99" s="120">
        <f>IF(AG90&lt;$E93,0,IF(AND(AG90&gt;=$E93,AG90&lt;=($E93+$E99-1)),Вводные!$D$30,Вводные!$E$30))</f>
        <v>2.1999999999999999E-2</v>
      </c>
      <c r="AH99" s="120">
        <f>IF(AH90&lt;$E93,0,IF(AND(AH90&gt;=$E93,AH90&lt;=($E93+$E99-1)),Вводные!$D$30,Вводные!$E$30))</f>
        <v>2.1999999999999999E-2</v>
      </c>
      <c r="AI99" s="120">
        <f>IF(AI90&lt;$E93,0,IF(AND(AI90&gt;=$E93,AI90&lt;=($E93+$E99-1)),Вводные!$D$30,Вводные!$E$30))</f>
        <v>2.1999999999999999E-2</v>
      </c>
      <c r="AJ99" s="120">
        <f>IF(AJ90&lt;$E93,0,IF(AND(AJ90&gt;=$E93,AJ90&lt;=($E93+$E99-1)),Вводные!$D$30,Вводные!$E$30))</f>
        <v>2.1999999999999999E-2</v>
      </c>
      <c r="AK99" s="120">
        <f>IF(AK90&lt;$E93,0,IF(AND(AK90&gt;=$E93,AK90&lt;=($E93+$E99-1)),Вводные!$D$30,Вводные!$E$30))</f>
        <v>2.1999999999999999E-2</v>
      </c>
      <c r="AL99" s="120">
        <f>IF(AL90&lt;$E93,0,IF(AND(AL90&gt;=$E93,AL90&lt;=($E93+$E99-1)),Вводные!$D$30,Вводные!$E$30))</f>
        <v>2.1999999999999999E-2</v>
      </c>
      <c r="AM99" s="120">
        <f>IF(AM90&lt;$E93,0,IF(AND(AM90&gt;=$E93,AM90&lt;=($E93+$E99-1)),Вводные!$D$30,Вводные!$E$30))</f>
        <v>2.1999999999999999E-2</v>
      </c>
      <c r="AN99" s="120">
        <f>IF(AN90&lt;$E93,0,IF(AND(AN90&gt;=$E93,AN90&lt;=($E93+$E99-1)),Вводные!$D$30,Вводные!$E$30))</f>
        <v>2.1999999999999999E-2</v>
      </c>
      <c r="AO99" s="120">
        <f>IF(AO90&lt;$E93,0,IF(AND(AO90&gt;=$E93,AO90&lt;=($E93+$E99-1)),Вводные!$D$30,Вводные!$E$30))</f>
        <v>2.1999999999999999E-2</v>
      </c>
      <c r="AP99" s="120">
        <f>IF(AP90&lt;$E93,0,IF(AND(AP90&gt;=$E93,AP90&lt;=($E93+$E99-1)),Вводные!$D$30,Вводные!$E$30))</f>
        <v>2.1999999999999999E-2</v>
      </c>
      <c r="AQ99" s="120">
        <f>IF(AQ90&lt;$E93,0,IF(AND(AQ90&gt;=$E93,AQ90&lt;=($E93+$E99-1)),Вводные!$D$30,Вводные!$E$30))</f>
        <v>2.1999999999999999E-2</v>
      </c>
      <c r="AR99" s="120">
        <f>IF(AR90&lt;$E93,0,IF(AND(AR90&gt;=$E93,AR90&lt;=($E93+$E99-1)),Вводные!$D$30,Вводные!$E$30))</f>
        <v>2.1999999999999999E-2</v>
      </c>
      <c r="AS99" s="120">
        <f>IF(AS90&lt;$E93,0,IF(AND(AS90&gt;=$E93,AS90&lt;=($E93+$E99-1)),Вводные!$D$30,Вводные!$E$30))</f>
        <v>2.1999999999999999E-2</v>
      </c>
      <c r="AT99" s="120">
        <f>IF(AT90&lt;$E93,0,IF(AND(AT90&gt;=$E93,AT90&lt;=($E93+$E99-1)),Вводные!$D$30,Вводные!$E$30))</f>
        <v>2.1999999999999999E-2</v>
      </c>
      <c r="AU99" s="120">
        <f>IF(AU90&lt;$E93,0,IF(AND(AU90&gt;=$E93,AU90&lt;=($E93+$E99-1)),Вводные!$D$30,Вводные!$E$30))</f>
        <v>2.1999999999999999E-2</v>
      </c>
      <c r="AV99" s="120">
        <f>IF(AV90&lt;$E93,0,IF(AND(AV90&gt;=$E93,AV90&lt;=($E93+$E99-1)),Вводные!$D$30,Вводные!$E$30))</f>
        <v>2.1999999999999999E-2</v>
      </c>
      <c r="AW99" s="120">
        <f>IF(AW90&lt;$E93,0,IF(AND(AW90&gt;=$E93,AW90&lt;=($E93+$E99-1)),Вводные!$D$30,Вводные!$E$30))</f>
        <v>2.1999999999999999E-2</v>
      </c>
      <c r="AX99" s="120">
        <f>IF(AX90&lt;$E93,0,IF(AND(AX90&gt;=$E93,AX90&lt;=($E93+$E99-1)),Вводные!$D$30,Вводные!$E$30))</f>
        <v>2.1999999999999999E-2</v>
      </c>
      <c r="AY99" s="120">
        <f>IF(AY90&lt;$E93,0,IF(AND(AY90&gt;=$E93,AY90&lt;=($E93+$E99-1)),Вводные!$D$30,Вводные!$E$30))</f>
        <v>2.1999999999999999E-2</v>
      </c>
      <c r="AZ99" s="120">
        <f>IF(AZ90&lt;$E93,0,IF(AND(AZ90&gt;=$E93,AZ90&lt;=($E93+$E99-1)),Вводные!$D$30,Вводные!$E$30))</f>
        <v>2.1999999999999999E-2</v>
      </c>
      <c r="BA99" s="120">
        <f>IF(BA90&lt;$E93,0,IF(AND(BA90&gt;=$E93,BA90&lt;=($E93+$E99-1)),Вводные!$D$30,Вводные!$E$30))</f>
        <v>2.1999999999999999E-2</v>
      </c>
      <c r="BB99" s="120">
        <f>IF(BB90&lt;$E93,0,IF(AND(BB90&gt;=$E93,BB90&lt;=($E93+$E99-1)),Вводные!$D$30,Вводные!$E$30))</f>
        <v>2.1999999999999999E-2</v>
      </c>
      <c r="BC99" s="120">
        <f>IF(BC90&lt;$E93,0,IF(AND(BC90&gt;=$E93,BC90&lt;=($E93+$E99-1)),Вводные!$D$30,Вводные!$E$30))</f>
        <v>2.1999999999999999E-2</v>
      </c>
      <c r="BD99" s="120">
        <f>IF(BD90&lt;$E93,0,IF(AND(BD90&gt;=$E93,BD90&lt;=($E93+$E99-1)),Вводные!$D$30,Вводные!$E$30))</f>
        <v>2.1999999999999999E-2</v>
      </c>
      <c r="BE99" s="120">
        <f>IF(BE90&lt;$E93,0,IF(AND(BE90&gt;=$E93,BE90&lt;=($E93+$E99-1)),Вводные!$D$30,Вводные!$E$30))</f>
        <v>2.1999999999999999E-2</v>
      </c>
      <c r="BF99" s="120">
        <f>IF(BF90&lt;$E93,0,IF(AND(BF90&gt;=$E93,BF90&lt;=($E93+$E99-1)),Вводные!$D$30,Вводные!$E$30))</f>
        <v>2.1999999999999999E-2</v>
      </c>
      <c r="BG99" s="120">
        <f>IF(BG90&lt;$E93,0,IF(AND(BG90&gt;=$E93,BG90&lt;=($E93+$E99-1)),Вводные!$D$30,Вводные!$E$30))</f>
        <v>2.1999999999999999E-2</v>
      </c>
      <c r="BH99" s="120">
        <f>IF(BH90&lt;$E93,0,IF(AND(BH90&gt;=$E93,BH90&lt;=($E93+$E99-1)),Вводные!$D$30,Вводные!$E$30))</f>
        <v>2.1999999999999999E-2</v>
      </c>
      <c r="BI99" s="120">
        <f>IF(BI90&lt;$E93,0,IF(AND(BI90&gt;=$E93,BI90&lt;=($E93+$E99-1)),Вводные!$D$30,Вводные!$E$30))</f>
        <v>2.1999999999999999E-2</v>
      </c>
      <c r="BJ99" s="120">
        <f>IF(BJ90&lt;$E93,0,IF(AND(BJ90&gt;=$E93,BJ90&lt;=($E93+$E99-1)),Вводные!$D$30,Вводные!$E$30))</f>
        <v>2.1999999999999999E-2</v>
      </c>
      <c r="BK99" s="120">
        <f>IF(BK90&lt;$E93,0,IF(AND(BK90&gt;=$E93,BK90&lt;=($E93+$E99-1)),Вводные!$D$30,Вводные!$E$30))</f>
        <v>2.1999999999999999E-2</v>
      </c>
      <c r="BL99" s="120">
        <f>IF(BL90&lt;$E93,0,IF(AND(BL90&gt;=$E93,BL90&lt;=($E93+$E99-1)),Вводные!$D$30,Вводные!$E$30))</f>
        <v>2.1999999999999999E-2</v>
      </c>
      <c r="BM99" s="120">
        <f>IF(BM90&lt;$E93,0,IF(AND(BM90&gt;=$E93,BM90&lt;=($E93+$E99-1)),Вводные!$D$30,Вводные!$E$30))</f>
        <v>2.1999999999999999E-2</v>
      </c>
      <c r="BN99" s="120">
        <f>IF(BN90&lt;$E93,0,IF(AND(BN90&gt;=$E93,BN90&lt;=($E93+$E99-1)),Вводные!$D$30,Вводные!$E$30))</f>
        <v>2.1999999999999999E-2</v>
      </c>
      <c r="BO99" s="120">
        <f>IF(BO90&lt;$E93,0,IF(AND(BO90&gt;=$E93,BO90&lt;=($E93+$E99-1)),Вводные!$D$30,Вводные!$E$30))</f>
        <v>2.1999999999999999E-2</v>
      </c>
      <c r="BP99" s="120">
        <f>IF(BP90&lt;$E93,0,IF(AND(BP90&gt;=$E93,BP90&lt;=($E93+$E99-1)),Вводные!$D$30,Вводные!$E$30))</f>
        <v>2.1999999999999999E-2</v>
      </c>
      <c r="BQ99" s="120">
        <f>IF(BQ90&lt;$E93,0,IF(AND(BQ90&gt;=$E93,BQ90&lt;=($E93+$E99-1)),Вводные!$D$30,Вводные!$E$30))</f>
        <v>2.1999999999999999E-2</v>
      </c>
      <c r="BR99" s="120">
        <f>IF(BR90&lt;$E93,0,IF(AND(BR90&gt;=$E93,BR90&lt;=($E93+$E99-1)),Вводные!$D$30,Вводные!$E$30))</f>
        <v>2.1999999999999999E-2</v>
      </c>
      <c r="BS99" s="120">
        <f>IF(BS90&lt;$E93,0,IF(AND(BS90&gt;=$E93,BS90&lt;=($E93+$E99-1)),Вводные!$D$30,Вводные!$E$30))</f>
        <v>2.1999999999999999E-2</v>
      </c>
      <c r="BT99" s="120">
        <f>IF(BT90&lt;$E93,0,IF(AND(BT90&gt;=$E93,BT90&lt;=($E93+$E99-1)),Вводные!$D$30,Вводные!$E$30))</f>
        <v>2.1999999999999999E-2</v>
      </c>
      <c r="BU99" s="120">
        <f>IF(BU90&lt;$E93,0,IF(AND(BU90&gt;=$E93,BU90&lt;=($E93+$E99-1)),Вводные!$D$30,Вводные!$E$30))</f>
        <v>2.1999999999999999E-2</v>
      </c>
      <c r="BV99" s="120">
        <f>IF(BV90&lt;$E93,0,IF(AND(BV90&gt;=$E93,BV90&lt;=($E93+$E99-1)),Вводные!$D$30,Вводные!$E$30))</f>
        <v>2.1999999999999999E-2</v>
      </c>
      <c r="BW99" s="120">
        <f>IF(BW90&lt;$E93,0,IF(AND(BW90&gt;=$E93,BW90&lt;=($E93+$E99-1)),Вводные!$D$30,Вводные!$E$30))</f>
        <v>2.1999999999999999E-2</v>
      </c>
      <c r="BX99" s="120">
        <f>IF(BX90&lt;$E93,0,IF(AND(BX90&gt;=$E93,BX90&lt;=($E93+$E99-1)),Вводные!$D$30,Вводные!$E$30))</f>
        <v>2.1999999999999999E-2</v>
      </c>
      <c r="BY99" s="120">
        <f>IF(BY90&lt;$E93,0,IF(AND(BY90&gt;=$E93,BY90&lt;=($E93+$E99-1)),Вводные!$D$30,Вводные!$E$30))</f>
        <v>2.1999999999999999E-2</v>
      </c>
      <c r="BZ99" s="120">
        <f>IF(BZ90&lt;$E93,0,IF(AND(BZ90&gt;=$E93,BZ90&lt;=($E93+$E99-1)),Вводные!$D$30,Вводные!$E$30))</f>
        <v>2.1999999999999999E-2</v>
      </c>
      <c r="CA99" s="120">
        <f>IF(CA90&lt;$E93,0,IF(AND(CA90&gt;=$E93,CA90&lt;=($E93+$E99-1)),Вводные!$D$30,Вводные!$E$30))</f>
        <v>2.1999999999999999E-2</v>
      </c>
      <c r="CB99" s="120">
        <f>IF(CB90&lt;$E93,0,IF(AND(CB90&gt;=$E93,CB90&lt;=($E93+$E99-1)),Вводные!$D$30,Вводные!$E$30))</f>
        <v>2.1999999999999999E-2</v>
      </c>
      <c r="CC99" s="120">
        <f>IF(CC90&lt;$E93,0,IF(AND(CC90&gt;=$E93,CC90&lt;=($E93+$E99-1)),Вводные!$D$30,Вводные!$E$30))</f>
        <v>2.1999999999999999E-2</v>
      </c>
      <c r="CD99" s="120">
        <f>IF(CD90&lt;$E93,0,IF(AND(CD90&gt;=$E93,CD90&lt;=($E93+$E99-1)),Вводные!$D$30,Вводные!$E$30))</f>
        <v>2.1999999999999999E-2</v>
      </c>
      <c r="CE99" s="120">
        <f>IF(CE90&lt;$E93,0,IF(AND(CE90&gt;=$E93,CE90&lt;=($E93+$E99-1)),Вводные!$D$30,Вводные!$E$30))</f>
        <v>2.1999999999999999E-2</v>
      </c>
      <c r="CF99" s="120">
        <f>IF(CF90&lt;$E93,0,IF(AND(CF90&gt;=$E93,CF90&lt;=($E93+$E99-1)),Вводные!$D$30,Вводные!$E$30))</f>
        <v>2.1999999999999999E-2</v>
      </c>
      <c r="CG99" s="120">
        <f>IF(CG90&lt;$E93,0,IF(AND(CG90&gt;=$E93,CG90&lt;=($E93+$E99-1)),Вводные!$D$30,Вводные!$E$30))</f>
        <v>2.1999999999999999E-2</v>
      </c>
      <c r="CH99" s="120">
        <f>IF(CH90&lt;$E93,0,IF(AND(CH90&gt;=$E93,CH90&lt;=($E93+$E99-1)),Вводные!$D$30,Вводные!$E$30))</f>
        <v>2.1999999999999999E-2</v>
      </c>
      <c r="CI99" s="120">
        <f>IF(CI90&lt;$E93,0,IF(AND(CI90&gt;=$E93,CI90&lt;=($E93+$E99-1)),Вводные!$D$30,Вводные!$E$30))</f>
        <v>2.1999999999999999E-2</v>
      </c>
      <c r="CJ99" s="120">
        <f>IF(CJ90&lt;$E93,0,IF(AND(CJ90&gt;=$E93,CJ90&lt;=($E93+$E99-1)),Вводные!$D$30,Вводные!$E$30))</f>
        <v>2.1999999999999999E-2</v>
      </c>
      <c r="CK99" s="120">
        <f>IF(CK90&lt;$E93,0,IF(AND(CK90&gt;=$E93,CK90&lt;=($E93+$E99-1)),Вводные!$D$30,Вводные!$E$30))</f>
        <v>2.1999999999999999E-2</v>
      </c>
      <c r="CL99" s="120">
        <f>IF(CL90&lt;$E93,0,IF(AND(CL90&gt;=$E93,CL90&lt;=($E93+$E99-1)),Вводные!$D$30,Вводные!$E$30))</f>
        <v>2.1999999999999999E-2</v>
      </c>
      <c r="CM99" s="120">
        <f>IF(CM90&lt;$E93,0,IF(AND(CM90&gt;=$E93,CM90&lt;=($E93+$E99-1)),Вводные!$D$30,Вводные!$E$30))</f>
        <v>2.1999999999999999E-2</v>
      </c>
      <c r="CN99" s="120">
        <f>IF(CN90&lt;$E93,0,IF(AND(CN90&gt;=$E93,CN90&lt;=($E93+$E99-1)),Вводные!$D$30,Вводные!$E$30))</f>
        <v>2.1999999999999999E-2</v>
      </c>
      <c r="CO99" s="120">
        <f>IF(CO90&lt;$E93,0,IF(AND(CO90&gt;=$E93,CO90&lt;=($E93+$E99-1)),Вводные!$D$30,Вводные!$E$30))</f>
        <v>2.1999999999999999E-2</v>
      </c>
      <c r="CP99" s="120">
        <f>IF(CP90&lt;$E93,0,IF(AND(CP90&gt;=$E93,CP90&lt;=($E93+$E99-1)),Вводные!$D$30,Вводные!$E$30))</f>
        <v>2.1999999999999999E-2</v>
      </c>
      <c r="CQ99" s="120">
        <f>IF(CQ90&lt;$E93,0,IF(AND(CQ90&gt;=$E93,CQ90&lt;=($E93+$E99-1)),Вводные!$D$30,Вводные!$E$30))</f>
        <v>2.1999999999999999E-2</v>
      </c>
      <c r="CR99" s="120">
        <f>IF(CR90&lt;$E93,0,IF(AND(CR90&gt;=$E93,CR90&lt;=($E93+$E99-1)),Вводные!$D$30,Вводные!$E$30))</f>
        <v>2.1999999999999999E-2</v>
      </c>
      <c r="CS99" s="120">
        <f>IF(CS90&lt;$E93,0,IF(AND(CS90&gt;=$E93,CS90&lt;=($E93+$E99-1)),Вводные!$D$30,Вводные!$E$30))</f>
        <v>2.1999999999999999E-2</v>
      </c>
      <c r="CT99" s="120">
        <f>IF(CT90&lt;$E93,0,IF(AND(CT90&gt;=$E93,CT90&lt;=($E93+$E99-1)),Вводные!$D$30,Вводные!$E$30))</f>
        <v>2.1999999999999999E-2</v>
      </c>
      <c r="CU99" s="120">
        <f>IF(CU90&lt;$E93,0,IF(AND(CU90&gt;=$E93,CU90&lt;=($E93+$E99-1)),Вводные!$D$30,Вводные!$E$30))</f>
        <v>2.1999999999999999E-2</v>
      </c>
      <c r="CV99" s="120">
        <f>IF(CV90&lt;$E93,0,IF(AND(CV90&gt;=$E93,CV90&lt;=($E93+$E99-1)),Вводные!$D$30,Вводные!$E$30))</f>
        <v>2.1999999999999999E-2</v>
      </c>
      <c r="CW99" s="120">
        <f>IF(CW90&lt;$E93,0,IF(AND(CW90&gt;=$E93,CW90&lt;=($E93+$E99-1)),Вводные!$D$30,Вводные!$E$30))</f>
        <v>2.1999999999999999E-2</v>
      </c>
      <c r="CX99" s="120">
        <f>IF(CX90&lt;$E93,0,IF(AND(CX90&gt;=$E93,CX90&lt;=($E93+$E99-1)),Вводные!$D$30,Вводные!$E$30))</f>
        <v>2.1999999999999999E-2</v>
      </c>
      <c r="CY99" s="120">
        <f>IF(CY90&lt;$E93,0,IF(AND(CY90&gt;=$E93,CY90&lt;=($E93+$E99-1)),Вводные!$D$30,Вводные!$E$30))</f>
        <v>2.1999999999999999E-2</v>
      </c>
      <c r="CZ99" s="120">
        <f>IF(CZ90&lt;$E93,0,IF(AND(CZ90&gt;=$E93,CZ90&lt;=($E93+$E99-1)),Вводные!$D$30,Вводные!$E$30))</f>
        <v>2.1999999999999999E-2</v>
      </c>
      <c r="DA99" s="120">
        <f>IF(DA90&lt;$E93,0,IF(AND(DA90&gt;=$E93,DA90&lt;=($E93+$E99-1)),Вводные!$D$30,Вводные!$E$30))</f>
        <v>2.1999999999999999E-2</v>
      </c>
      <c r="DB99" s="120">
        <f>IF(DB90&lt;$E93,0,IF(AND(DB90&gt;=$E93,DB90&lt;=($E93+$E99-1)),Вводные!$D$30,Вводные!$E$30))</f>
        <v>2.1999999999999999E-2</v>
      </c>
      <c r="DC99" s="120">
        <f>IF(DC90&lt;$E93,0,IF(AND(DC90&gt;=$E93,DC90&lt;=($E93+$E99-1)),Вводные!$D$30,Вводные!$E$30))</f>
        <v>2.1999999999999999E-2</v>
      </c>
      <c r="DD99" s="120">
        <f>IF(DD90&lt;$E93,0,IF(AND(DD90&gt;=$E93,DD90&lt;=($E93+$E99-1)),Вводные!$D$30,Вводные!$E$30))</f>
        <v>2.1999999999999999E-2</v>
      </c>
      <c r="DE99" s="120">
        <f>IF(DE90&lt;$E93,0,IF(AND(DE90&gt;=$E93,DE90&lt;=($E93+$E99-1)),Вводные!$D$30,Вводные!$E$30))</f>
        <v>2.1999999999999999E-2</v>
      </c>
      <c r="DF99" s="120">
        <f>IF(DF90&lt;$E93,0,IF(AND(DF90&gt;=$E93,DF90&lt;=($E93+$E99-1)),Вводные!$D$30,Вводные!$E$30))</f>
        <v>2.1999999999999999E-2</v>
      </c>
      <c r="DG99" s="120">
        <f>IF(DG90&lt;$E93,0,IF(AND(DG90&gt;=$E93,DG90&lt;=($E93+$E99-1)),Вводные!$D$30,Вводные!$E$30))</f>
        <v>2.1999999999999999E-2</v>
      </c>
      <c r="DH99" s="120">
        <f>IF(DH90&lt;$E93,0,IF(AND(DH90&gt;=$E93,DH90&lt;=($E93+$E99-1)),Вводные!$D$30,Вводные!$E$30))</f>
        <v>2.1999999999999999E-2</v>
      </c>
      <c r="DI99" s="120">
        <f>IF(DI90&lt;$E93,0,IF(AND(DI90&gt;=$E93,DI90&lt;=($E93+$E99-1)),Вводные!$D$30,Вводные!$E$30))</f>
        <v>2.1999999999999999E-2</v>
      </c>
      <c r="DJ99" s="120">
        <f>IF(DJ90&lt;$E93,0,IF(AND(DJ90&gt;=$E93,DJ90&lt;=($E93+$E99-1)),Вводные!$D$30,Вводные!$E$30))</f>
        <v>2.1999999999999999E-2</v>
      </c>
      <c r="DK99" s="120">
        <f>IF(DK90&lt;$E93,0,IF(AND(DK90&gt;=$E93,DK90&lt;=($E93+$E99-1)),Вводные!$D$30,Вводные!$E$30))</f>
        <v>2.1999999999999999E-2</v>
      </c>
      <c r="DL99" s="120">
        <f>IF(DL90&lt;$E93,0,IF(AND(DL90&gt;=$E93,DL90&lt;=($E93+$E99-1)),Вводные!$D$30,Вводные!$E$30))</f>
        <v>2.1999999999999999E-2</v>
      </c>
      <c r="DM99" s="120">
        <f>IF(DM90&lt;$E93,0,IF(AND(DM90&gt;=$E93,DM90&lt;=($E93+$E99-1)),Вводные!$D$30,Вводные!$E$30))</f>
        <v>2.1999999999999999E-2</v>
      </c>
      <c r="DN99" s="120">
        <f>IF(DN90&lt;$E93,0,IF(AND(DN90&gt;=$E93,DN90&lt;=($E93+$E99-1)),Вводные!$D$30,Вводные!$E$30))</f>
        <v>2.1999999999999999E-2</v>
      </c>
      <c r="DO99" s="120">
        <f>IF(DO90&lt;$E93,0,IF(AND(DO90&gt;=$E93,DO90&lt;=($E93+$E99-1)),Вводные!$D$30,Вводные!$E$30))</f>
        <v>2.1999999999999999E-2</v>
      </c>
      <c r="DP99" s="120">
        <f>IF(DP90&lt;$E93,0,IF(AND(DP90&gt;=$E93,DP90&lt;=($E93+$E99-1)),Вводные!$D$30,Вводные!$E$30))</f>
        <v>2.1999999999999999E-2</v>
      </c>
      <c r="DQ99" s="120">
        <f>IF(DQ90&lt;$E93,0,IF(AND(DQ90&gt;=$E93,DQ90&lt;=($E93+$E99-1)),Вводные!$D$30,Вводные!$E$30))</f>
        <v>2.1999999999999999E-2</v>
      </c>
      <c r="DR99" s="120">
        <f>IF(DR90&lt;$E93,0,IF(AND(DR90&gt;=$E93,DR90&lt;=($E93+$E99-1)),Вводные!$D$30,Вводные!$E$30))</f>
        <v>2.1999999999999999E-2</v>
      </c>
      <c r="DS99" s="120">
        <f>IF(DS90&lt;$E93,0,IF(AND(DS90&gt;=$E93,DS90&lt;=($E93+$E99-1)),Вводные!$D$30,Вводные!$E$30))</f>
        <v>2.1999999999999999E-2</v>
      </c>
      <c r="DT99" s="120">
        <f>IF(DT90&lt;$E93,0,IF(AND(DT90&gt;=$E93,DT90&lt;=($E93+$E99-1)),Вводные!$D$30,Вводные!$E$30))</f>
        <v>2.1999999999999999E-2</v>
      </c>
      <c r="DU99" s="120">
        <f>IF(DU90&lt;$E93,0,IF(AND(DU90&gt;=$E93,DU90&lt;=($E93+$E99-1)),Вводные!$D$30,Вводные!$E$30))</f>
        <v>2.1999999999999999E-2</v>
      </c>
      <c r="DV99" s="120">
        <f>IF(DV90&lt;$E93,0,IF(AND(DV90&gt;=$E93,DV90&lt;=($E93+$E99-1)),Вводные!$D$30,Вводные!$E$30))</f>
        <v>2.1999999999999999E-2</v>
      </c>
      <c r="DW99" s="120">
        <f>IF(DW90&lt;$E93,0,IF(AND(DW90&gt;=$E93,DW90&lt;=($E93+$E99-1)),Вводные!$D$30,Вводные!$E$30))</f>
        <v>2.1999999999999999E-2</v>
      </c>
      <c r="DX99" s="120">
        <f>IF(DX90&lt;$E93,0,IF(AND(DX90&gt;=$E93,DX90&lt;=($E93+$E99-1)),Вводные!$D$30,Вводные!$E$30))</f>
        <v>2.1999999999999999E-2</v>
      </c>
      <c r="DY99" s="120">
        <f>IF(DY90&lt;$E93,0,IF(AND(DY90&gt;=$E93,DY90&lt;=($E93+$E99-1)),Вводные!$D$30,Вводные!$E$30))</f>
        <v>2.1999999999999999E-2</v>
      </c>
      <c r="DZ99" s="120">
        <f>IF(DZ90&lt;$E93,0,IF(AND(DZ90&gt;=$E93,DZ90&lt;=($E93+$E99-1)),Вводные!$D$30,Вводные!$E$30))</f>
        <v>2.1999999999999999E-2</v>
      </c>
      <c r="EA99" s="120">
        <f>IF(EA90&lt;$E93,0,IF(AND(EA90&gt;=$E93,EA90&lt;=($E93+$E99-1)),Вводные!$D$30,Вводные!$E$30))</f>
        <v>2.1999999999999999E-2</v>
      </c>
      <c r="EB99" s="120">
        <f>IF(EB90&lt;$E93,0,IF(AND(EB90&gt;=$E93,EB90&lt;=($E93+$E99-1)),Вводные!$D$30,Вводные!$E$30))</f>
        <v>2.1999999999999999E-2</v>
      </c>
      <c r="EC99" s="120">
        <f>IF(EC90&lt;$E93,0,IF(AND(EC90&gt;=$E93,EC90&lt;=($E93+$E99-1)),Вводные!$D$30,Вводные!$E$30))</f>
        <v>2.1999999999999999E-2</v>
      </c>
      <c r="ED99" s="120">
        <f>IF(ED90&lt;$E93,0,IF(AND(ED90&gt;=$E93,ED90&lt;=($E93+$E99-1)),Вводные!$D$30,Вводные!$E$30))</f>
        <v>2.1999999999999999E-2</v>
      </c>
      <c r="EE99" s="120">
        <f>IF(EE90&lt;$E93,0,IF(AND(EE90&gt;=$E93,EE90&lt;=($E93+$E99-1)),Вводные!$D$30,Вводные!$E$30))</f>
        <v>2.1999999999999999E-2</v>
      </c>
      <c r="EF99" s="120">
        <f>IF(EF90&lt;$E93,0,IF(AND(EF90&gt;=$E93,EF90&lt;=($E93+$E99-1)),Вводные!$D$30,Вводные!$E$30))</f>
        <v>2.1999999999999999E-2</v>
      </c>
      <c r="EG99" s="120">
        <f>IF(EG90&lt;$E93,0,IF(AND(EG90&gt;=$E93,EG90&lt;=($E93+$E99-1)),Вводные!$D$30,Вводные!$E$30))</f>
        <v>2.1999999999999999E-2</v>
      </c>
      <c r="EH99" s="120">
        <f>IF(EH90&lt;$E93,0,IF(AND(EH90&gt;=$E93,EH90&lt;=($E93+$E99-1)),Вводные!$D$30,Вводные!$E$30))</f>
        <v>2.1999999999999999E-2</v>
      </c>
      <c r="EI99" s="120">
        <f>IF(EI90&lt;$E93,0,IF(AND(EI90&gt;=$E93,EI90&lt;=($E93+$E99-1)),Вводные!$D$30,Вводные!$E$30))</f>
        <v>2.1999999999999999E-2</v>
      </c>
      <c r="EJ99" s="120">
        <f>IF(EJ90&lt;$E93,0,IF(AND(EJ90&gt;=$E93,EJ90&lt;=($E93+$E99-1)),Вводные!$D$30,Вводные!$E$30))</f>
        <v>2.1999999999999999E-2</v>
      </c>
      <c r="EK99" s="120">
        <f>IF(EK90&lt;$E93,0,IF(AND(EK90&gt;=$E93,EK90&lt;=($E93+$E99-1)),Вводные!$D$30,Вводные!$E$30))</f>
        <v>2.1999999999999999E-2</v>
      </c>
      <c r="EL99" s="120">
        <f>IF(EL90&lt;$E93,0,IF(AND(EL90&gt;=$E93,EL90&lt;=($E93+$E99-1)),Вводные!$D$30,Вводные!$E$30))</f>
        <v>2.1999999999999999E-2</v>
      </c>
      <c r="EM99" s="120">
        <f>IF(EM90&lt;$E93,0,IF(AND(EM90&gt;=$E93,EM90&lt;=($E93+$E99-1)),Вводные!$D$30,Вводные!$E$30))</f>
        <v>2.1999999999999999E-2</v>
      </c>
      <c r="EN99" s="120">
        <f>IF(EN90&lt;$E93,0,IF(AND(EN90&gt;=$E93,EN90&lt;=($E93+$E99-1)),Вводные!$D$30,Вводные!$E$30))</f>
        <v>2.1999999999999999E-2</v>
      </c>
    </row>
    <row r="100" spans="2:144" outlineLevel="1">
      <c r="C100" s="151" t="s">
        <v>22</v>
      </c>
      <c r="D100" s="44"/>
      <c r="E100" s="469"/>
      <c r="F100" s="44"/>
      <c r="G100" s="44"/>
      <c r="H100" s="44">
        <f t="shared" ref="H100:AM100" si="181">H99*H98/4</f>
        <v>0</v>
      </c>
      <c r="I100" s="44">
        <f t="shared" si="181"/>
        <v>0</v>
      </c>
      <c r="J100" s="44">
        <f t="shared" si="181"/>
        <v>0</v>
      </c>
      <c r="K100" s="44">
        <f t="shared" si="181"/>
        <v>0</v>
      </c>
      <c r="L100" s="44">
        <f t="shared" si="181"/>
        <v>0</v>
      </c>
      <c r="M100" s="44">
        <f t="shared" si="181"/>
        <v>0</v>
      </c>
      <c r="N100" s="44">
        <f t="shared" si="181"/>
        <v>0</v>
      </c>
      <c r="O100" s="44">
        <f t="shared" si="181"/>
        <v>0</v>
      </c>
      <c r="P100" s="44">
        <f t="shared" si="181"/>
        <v>0</v>
      </c>
      <c r="Q100" s="44">
        <f t="shared" si="181"/>
        <v>0</v>
      </c>
      <c r="R100" s="44">
        <f t="shared" si="181"/>
        <v>0</v>
      </c>
      <c r="S100" s="44">
        <f t="shared" si="181"/>
        <v>0</v>
      </c>
      <c r="T100" s="44">
        <f t="shared" si="181"/>
        <v>0</v>
      </c>
      <c r="U100" s="44">
        <f t="shared" si="181"/>
        <v>0</v>
      </c>
      <c r="V100" s="44">
        <f t="shared" si="181"/>
        <v>0</v>
      </c>
      <c r="W100" s="44">
        <f t="shared" si="181"/>
        <v>0</v>
      </c>
      <c r="X100" s="44">
        <f t="shared" si="181"/>
        <v>0</v>
      </c>
      <c r="Y100" s="44">
        <f t="shared" si="181"/>
        <v>0</v>
      </c>
      <c r="Z100" s="44">
        <f t="shared" si="181"/>
        <v>0</v>
      </c>
      <c r="AA100" s="44">
        <f t="shared" si="181"/>
        <v>0</v>
      </c>
      <c r="AB100" s="44">
        <f t="shared" si="181"/>
        <v>0</v>
      </c>
      <c r="AC100" s="44">
        <f t="shared" si="181"/>
        <v>0</v>
      </c>
      <c r="AD100" s="44">
        <f t="shared" si="181"/>
        <v>0</v>
      </c>
      <c r="AE100" s="44">
        <f t="shared" si="181"/>
        <v>0</v>
      </c>
      <c r="AF100" s="44">
        <f t="shared" si="181"/>
        <v>0</v>
      </c>
      <c r="AG100" s="44">
        <f t="shared" si="181"/>
        <v>0</v>
      </c>
      <c r="AH100" s="44">
        <f t="shared" si="181"/>
        <v>0</v>
      </c>
      <c r="AI100" s="44">
        <f t="shared" si="181"/>
        <v>0</v>
      </c>
      <c r="AJ100" s="44">
        <f t="shared" si="181"/>
        <v>0</v>
      </c>
      <c r="AK100" s="44">
        <f t="shared" si="181"/>
        <v>0</v>
      </c>
      <c r="AL100" s="44">
        <f t="shared" si="181"/>
        <v>0</v>
      </c>
      <c r="AM100" s="44">
        <f t="shared" si="181"/>
        <v>0</v>
      </c>
      <c r="AN100" s="44">
        <f t="shared" ref="AN100:BS100" si="182">AN99*AN98/4</f>
        <v>0</v>
      </c>
      <c r="AO100" s="44">
        <f t="shared" si="182"/>
        <v>0</v>
      </c>
      <c r="AP100" s="44">
        <f t="shared" si="182"/>
        <v>0</v>
      </c>
      <c r="AQ100" s="44">
        <f t="shared" si="182"/>
        <v>0</v>
      </c>
      <c r="AR100" s="44">
        <f t="shared" si="182"/>
        <v>0</v>
      </c>
      <c r="AS100" s="44">
        <f t="shared" si="182"/>
        <v>0</v>
      </c>
      <c r="AT100" s="44">
        <f t="shared" si="182"/>
        <v>0</v>
      </c>
      <c r="AU100" s="44">
        <f t="shared" si="182"/>
        <v>0</v>
      </c>
      <c r="AV100" s="44">
        <f t="shared" si="182"/>
        <v>0</v>
      </c>
      <c r="AW100" s="44">
        <f t="shared" si="182"/>
        <v>0</v>
      </c>
      <c r="AX100" s="44">
        <f t="shared" si="182"/>
        <v>0</v>
      </c>
      <c r="AY100" s="44">
        <f t="shared" si="182"/>
        <v>0</v>
      </c>
      <c r="AZ100" s="44">
        <f t="shared" si="182"/>
        <v>0</v>
      </c>
      <c r="BA100" s="44">
        <f t="shared" si="182"/>
        <v>0</v>
      </c>
      <c r="BB100" s="44">
        <f t="shared" si="182"/>
        <v>0</v>
      </c>
      <c r="BC100" s="44">
        <f t="shared" si="182"/>
        <v>0</v>
      </c>
      <c r="BD100" s="44">
        <f t="shared" si="182"/>
        <v>0</v>
      </c>
      <c r="BE100" s="44">
        <f t="shared" si="182"/>
        <v>0</v>
      </c>
      <c r="BF100" s="44">
        <f t="shared" si="182"/>
        <v>0</v>
      </c>
      <c r="BG100" s="44">
        <f t="shared" si="182"/>
        <v>0</v>
      </c>
      <c r="BH100" s="44">
        <f t="shared" si="182"/>
        <v>0</v>
      </c>
      <c r="BI100" s="44">
        <f t="shared" si="182"/>
        <v>0</v>
      </c>
      <c r="BJ100" s="44">
        <f t="shared" si="182"/>
        <v>0</v>
      </c>
      <c r="BK100" s="44">
        <f t="shared" si="182"/>
        <v>0</v>
      </c>
      <c r="BL100" s="44">
        <f t="shared" si="182"/>
        <v>0</v>
      </c>
      <c r="BM100" s="44">
        <f t="shared" si="182"/>
        <v>0</v>
      </c>
      <c r="BN100" s="44">
        <f t="shared" si="182"/>
        <v>0</v>
      </c>
      <c r="BO100" s="44">
        <f t="shared" si="182"/>
        <v>0</v>
      </c>
      <c r="BP100" s="44">
        <f t="shared" si="182"/>
        <v>0</v>
      </c>
      <c r="BQ100" s="44">
        <f t="shared" si="182"/>
        <v>0</v>
      </c>
      <c r="BR100" s="44">
        <f t="shared" si="182"/>
        <v>0</v>
      </c>
      <c r="BS100" s="44">
        <f t="shared" si="182"/>
        <v>0</v>
      </c>
      <c r="BT100" s="44">
        <f t="shared" ref="BT100:CY100" si="183">BT99*BT98/4</f>
        <v>0</v>
      </c>
      <c r="BU100" s="44">
        <f t="shared" si="183"/>
        <v>0</v>
      </c>
      <c r="BV100" s="44">
        <f t="shared" si="183"/>
        <v>0</v>
      </c>
      <c r="BW100" s="44">
        <f t="shared" si="183"/>
        <v>0</v>
      </c>
      <c r="BX100" s="44">
        <f t="shared" si="183"/>
        <v>0</v>
      </c>
      <c r="BY100" s="44">
        <f t="shared" si="183"/>
        <v>0</v>
      </c>
      <c r="BZ100" s="44">
        <f t="shared" si="183"/>
        <v>0</v>
      </c>
      <c r="CA100" s="44">
        <f t="shared" si="183"/>
        <v>0</v>
      </c>
      <c r="CB100" s="44">
        <f t="shared" si="183"/>
        <v>0</v>
      </c>
      <c r="CC100" s="44">
        <f t="shared" si="183"/>
        <v>0</v>
      </c>
      <c r="CD100" s="44">
        <f t="shared" si="183"/>
        <v>0</v>
      </c>
      <c r="CE100" s="44">
        <f t="shared" si="183"/>
        <v>0</v>
      </c>
      <c r="CF100" s="44">
        <f t="shared" si="183"/>
        <v>0</v>
      </c>
      <c r="CG100" s="44">
        <f t="shared" si="183"/>
        <v>0</v>
      </c>
      <c r="CH100" s="44">
        <f t="shared" si="183"/>
        <v>0</v>
      </c>
      <c r="CI100" s="44">
        <f t="shared" si="183"/>
        <v>0</v>
      </c>
      <c r="CJ100" s="44">
        <f t="shared" si="183"/>
        <v>0</v>
      </c>
      <c r="CK100" s="44">
        <f t="shared" si="183"/>
        <v>0</v>
      </c>
      <c r="CL100" s="44">
        <f t="shared" si="183"/>
        <v>0</v>
      </c>
      <c r="CM100" s="44">
        <f t="shared" si="183"/>
        <v>0</v>
      </c>
      <c r="CN100" s="44">
        <f t="shared" si="183"/>
        <v>0</v>
      </c>
      <c r="CO100" s="44">
        <f t="shared" si="183"/>
        <v>0</v>
      </c>
      <c r="CP100" s="44">
        <f t="shared" si="183"/>
        <v>0</v>
      </c>
      <c r="CQ100" s="44">
        <f t="shared" si="183"/>
        <v>0</v>
      </c>
      <c r="CR100" s="44">
        <f t="shared" si="183"/>
        <v>0</v>
      </c>
      <c r="CS100" s="44">
        <f t="shared" si="183"/>
        <v>0</v>
      </c>
      <c r="CT100" s="44">
        <f t="shared" si="183"/>
        <v>0</v>
      </c>
      <c r="CU100" s="44">
        <f t="shared" si="183"/>
        <v>0</v>
      </c>
      <c r="CV100" s="44">
        <f t="shared" si="183"/>
        <v>0</v>
      </c>
      <c r="CW100" s="44">
        <f t="shared" si="183"/>
        <v>0</v>
      </c>
      <c r="CX100" s="44">
        <f t="shared" si="183"/>
        <v>0</v>
      </c>
      <c r="CY100" s="44">
        <f t="shared" si="183"/>
        <v>0</v>
      </c>
      <c r="CZ100" s="44">
        <f t="shared" ref="CZ100:EE100" si="184">CZ99*CZ98/4</f>
        <v>0</v>
      </c>
      <c r="DA100" s="44">
        <f t="shared" si="184"/>
        <v>0</v>
      </c>
      <c r="DB100" s="44">
        <f t="shared" si="184"/>
        <v>0</v>
      </c>
      <c r="DC100" s="44">
        <f t="shared" si="184"/>
        <v>0</v>
      </c>
      <c r="DD100" s="44">
        <f t="shared" si="184"/>
        <v>0</v>
      </c>
      <c r="DE100" s="44">
        <f t="shared" si="184"/>
        <v>0</v>
      </c>
      <c r="DF100" s="44">
        <f t="shared" si="184"/>
        <v>0</v>
      </c>
      <c r="DG100" s="44">
        <f t="shared" si="184"/>
        <v>0</v>
      </c>
      <c r="DH100" s="44">
        <f t="shared" si="184"/>
        <v>0</v>
      </c>
      <c r="DI100" s="44">
        <f t="shared" si="184"/>
        <v>0</v>
      </c>
      <c r="DJ100" s="44">
        <f t="shared" si="184"/>
        <v>0</v>
      </c>
      <c r="DK100" s="44">
        <f t="shared" si="184"/>
        <v>0</v>
      </c>
      <c r="DL100" s="44">
        <f t="shared" si="184"/>
        <v>0</v>
      </c>
      <c r="DM100" s="44">
        <f t="shared" si="184"/>
        <v>0</v>
      </c>
      <c r="DN100" s="44">
        <f t="shared" si="184"/>
        <v>0</v>
      </c>
      <c r="DO100" s="44">
        <f t="shared" si="184"/>
        <v>0</v>
      </c>
      <c r="DP100" s="44">
        <f t="shared" si="184"/>
        <v>0</v>
      </c>
      <c r="DQ100" s="44">
        <f t="shared" si="184"/>
        <v>0</v>
      </c>
      <c r="DR100" s="44">
        <f t="shared" si="184"/>
        <v>0</v>
      </c>
      <c r="DS100" s="44">
        <f t="shared" si="184"/>
        <v>0</v>
      </c>
      <c r="DT100" s="44">
        <f t="shared" si="184"/>
        <v>0</v>
      </c>
      <c r="DU100" s="44">
        <f t="shared" si="184"/>
        <v>0</v>
      </c>
      <c r="DV100" s="44">
        <f t="shared" si="184"/>
        <v>0</v>
      </c>
      <c r="DW100" s="44">
        <f t="shared" si="184"/>
        <v>0</v>
      </c>
      <c r="DX100" s="44">
        <f t="shared" si="184"/>
        <v>0</v>
      </c>
      <c r="DY100" s="44">
        <f t="shared" si="184"/>
        <v>0</v>
      </c>
      <c r="DZ100" s="44">
        <f t="shared" si="184"/>
        <v>0</v>
      </c>
      <c r="EA100" s="44">
        <f t="shared" si="184"/>
        <v>0</v>
      </c>
      <c r="EB100" s="44">
        <f t="shared" si="184"/>
        <v>0</v>
      </c>
      <c r="EC100" s="44">
        <f t="shared" si="184"/>
        <v>0</v>
      </c>
      <c r="ED100" s="44">
        <f t="shared" si="184"/>
        <v>0</v>
      </c>
      <c r="EE100" s="44">
        <f t="shared" si="184"/>
        <v>0</v>
      </c>
      <c r="EF100" s="44">
        <f t="shared" ref="EF100:EN100" si="185">EF99*EF98/4</f>
        <v>0</v>
      </c>
      <c r="EG100" s="44">
        <f t="shared" si="185"/>
        <v>0</v>
      </c>
      <c r="EH100" s="44">
        <f t="shared" si="185"/>
        <v>0</v>
      </c>
      <c r="EI100" s="44">
        <f t="shared" si="185"/>
        <v>0</v>
      </c>
      <c r="EJ100" s="44">
        <f t="shared" si="185"/>
        <v>0</v>
      </c>
      <c r="EK100" s="44">
        <f t="shared" si="185"/>
        <v>0</v>
      </c>
      <c r="EL100" s="44">
        <f t="shared" si="185"/>
        <v>0</v>
      </c>
      <c r="EM100" s="44">
        <f t="shared" si="185"/>
        <v>0</v>
      </c>
      <c r="EN100" s="44">
        <f t="shared" si="185"/>
        <v>0</v>
      </c>
    </row>
    <row r="101" spans="2:144" ht="15.75">
      <c r="B101" s="40"/>
      <c r="C101" s="22"/>
      <c r="E101" s="40"/>
      <c r="F101" s="40"/>
      <c r="G101" s="40"/>
      <c r="H101" s="463">
        <f t="shared" ref="H101:BD101" si="186">YEAR(H103)</f>
        <v>2022</v>
      </c>
      <c r="I101" s="463">
        <f t="shared" si="186"/>
        <v>2022</v>
      </c>
      <c r="J101" s="463">
        <f t="shared" si="186"/>
        <v>2022</v>
      </c>
      <c r="K101" s="463">
        <f t="shared" si="186"/>
        <v>2022</v>
      </c>
      <c r="L101" s="463">
        <f t="shared" si="186"/>
        <v>2023</v>
      </c>
      <c r="M101" s="463">
        <f t="shared" si="186"/>
        <v>2023</v>
      </c>
      <c r="N101" s="463">
        <f t="shared" si="186"/>
        <v>2023</v>
      </c>
      <c r="O101" s="463">
        <f t="shared" si="186"/>
        <v>2023</v>
      </c>
      <c r="P101" s="463">
        <f t="shared" si="186"/>
        <v>2024</v>
      </c>
      <c r="Q101" s="463">
        <f t="shared" si="186"/>
        <v>2024</v>
      </c>
      <c r="R101" s="463">
        <f t="shared" si="186"/>
        <v>2024</v>
      </c>
      <c r="S101" s="463">
        <f t="shared" si="186"/>
        <v>2024</v>
      </c>
      <c r="T101" s="463">
        <f t="shared" si="186"/>
        <v>2025</v>
      </c>
      <c r="U101" s="463">
        <f t="shared" si="186"/>
        <v>2025</v>
      </c>
      <c r="V101" s="463">
        <f t="shared" si="186"/>
        <v>2025</v>
      </c>
      <c r="W101" s="463">
        <f t="shared" si="186"/>
        <v>2025</v>
      </c>
      <c r="X101" s="463">
        <f t="shared" si="186"/>
        <v>2026</v>
      </c>
      <c r="Y101" s="463">
        <f t="shared" si="186"/>
        <v>2026</v>
      </c>
      <c r="Z101" s="463">
        <f t="shared" si="186"/>
        <v>2026</v>
      </c>
      <c r="AA101" s="463">
        <f t="shared" si="186"/>
        <v>2026</v>
      </c>
      <c r="AB101" s="463">
        <f t="shared" si="186"/>
        <v>2027</v>
      </c>
      <c r="AC101" s="463">
        <f t="shared" si="186"/>
        <v>2027</v>
      </c>
      <c r="AD101" s="463">
        <f t="shared" si="186"/>
        <v>2027</v>
      </c>
      <c r="AE101" s="463">
        <f t="shared" si="186"/>
        <v>2027</v>
      </c>
      <c r="AF101" s="463">
        <f t="shared" si="186"/>
        <v>2028</v>
      </c>
      <c r="AG101" s="463">
        <f t="shared" si="186"/>
        <v>2028</v>
      </c>
      <c r="AH101" s="463">
        <f t="shared" si="186"/>
        <v>2028</v>
      </c>
      <c r="AI101" s="463">
        <f t="shared" si="186"/>
        <v>2028</v>
      </c>
      <c r="AJ101" s="463">
        <f t="shared" si="186"/>
        <v>2029</v>
      </c>
      <c r="AK101" s="463">
        <f t="shared" si="186"/>
        <v>2029</v>
      </c>
      <c r="AL101" s="463">
        <f t="shared" si="186"/>
        <v>2029</v>
      </c>
      <c r="AM101" s="463">
        <f t="shared" si="186"/>
        <v>2029</v>
      </c>
      <c r="AN101" s="463">
        <f t="shared" si="186"/>
        <v>2030</v>
      </c>
      <c r="AO101" s="463">
        <f t="shared" si="186"/>
        <v>2030</v>
      </c>
      <c r="AP101" s="463">
        <f t="shared" si="186"/>
        <v>2030</v>
      </c>
      <c r="AQ101" s="463">
        <f t="shared" si="186"/>
        <v>2030</v>
      </c>
      <c r="AR101" s="463">
        <f t="shared" si="186"/>
        <v>2031</v>
      </c>
      <c r="AS101" s="463">
        <f t="shared" si="186"/>
        <v>2031</v>
      </c>
      <c r="AT101" s="463">
        <f t="shared" si="186"/>
        <v>2031</v>
      </c>
      <c r="AU101" s="463">
        <f t="shared" si="186"/>
        <v>2031</v>
      </c>
      <c r="AV101" s="463">
        <f t="shared" si="186"/>
        <v>2032</v>
      </c>
      <c r="AW101" s="463">
        <f t="shared" si="186"/>
        <v>2032</v>
      </c>
      <c r="AX101" s="463">
        <f t="shared" si="186"/>
        <v>2032</v>
      </c>
      <c r="AY101" s="463">
        <f t="shared" si="186"/>
        <v>2032</v>
      </c>
      <c r="AZ101" s="463">
        <f t="shared" si="186"/>
        <v>2033</v>
      </c>
      <c r="BA101" s="463">
        <f t="shared" si="186"/>
        <v>2033</v>
      </c>
      <c r="BB101" s="463">
        <f t="shared" si="186"/>
        <v>2033</v>
      </c>
      <c r="BC101" s="463">
        <f t="shared" si="186"/>
        <v>2033</v>
      </c>
      <c r="BD101" s="463">
        <f t="shared" si="186"/>
        <v>2034</v>
      </c>
      <c r="BE101" s="463">
        <f>YEAR(BE103)</f>
        <v>2034</v>
      </c>
      <c r="BF101" s="463">
        <f>YEAR(BF103)</f>
        <v>2034</v>
      </c>
      <c r="BG101" s="463">
        <f t="shared" ref="BG101:DR101" si="187">YEAR(BG103)</f>
        <v>2034</v>
      </c>
      <c r="BH101" s="463">
        <f t="shared" si="187"/>
        <v>2035</v>
      </c>
      <c r="BI101" s="463">
        <f t="shared" si="187"/>
        <v>2035</v>
      </c>
      <c r="BJ101" s="463">
        <f t="shared" si="187"/>
        <v>2035</v>
      </c>
      <c r="BK101" s="463">
        <f t="shared" si="187"/>
        <v>2035</v>
      </c>
      <c r="BL101" s="463">
        <f t="shared" si="187"/>
        <v>2036</v>
      </c>
      <c r="BM101" s="463">
        <f t="shared" si="187"/>
        <v>2036</v>
      </c>
      <c r="BN101" s="463">
        <f t="shared" si="187"/>
        <v>2036</v>
      </c>
      <c r="BO101" s="463">
        <f t="shared" si="187"/>
        <v>2036</v>
      </c>
      <c r="BP101" s="463">
        <f t="shared" si="187"/>
        <v>2037</v>
      </c>
      <c r="BQ101" s="463">
        <f t="shared" si="187"/>
        <v>2037</v>
      </c>
      <c r="BR101" s="463">
        <f t="shared" si="187"/>
        <v>2037</v>
      </c>
      <c r="BS101" s="463">
        <f t="shared" si="187"/>
        <v>2037</v>
      </c>
      <c r="BT101" s="463">
        <f t="shared" si="187"/>
        <v>2038</v>
      </c>
      <c r="BU101" s="463">
        <f t="shared" si="187"/>
        <v>2038</v>
      </c>
      <c r="BV101" s="463">
        <f t="shared" si="187"/>
        <v>2038</v>
      </c>
      <c r="BW101" s="463">
        <f t="shared" si="187"/>
        <v>2038</v>
      </c>
      <c r="BX101" s="463">
        <f t="shared" si="187"/>
        <v>2039</v>
      </c>
      <c r="BY101" s="463">
        <f t="shared" si="187"/>
        <v>2039</v>
      </c>
      <c r="BZ101" s="463">
        <f t="shared" si="187"/>
        <v>2039</v>
      </c>
      <c r="CA101" s="463">
        <f t="shared" si="187"/>
        <v>2039</v>
      </c>
      <c r="CB101" s="463">
        <f t="shared" si="187"/>
        <v>2040</v>
      </c>
      <c r="CC101" s="463">
        <f t="shared" si="187"/>
        <v>2040</v>
      </c>
      <c r="CD101" s="463">
        <f t="shared" si="187"/>
        <v>2040</v>
      </c>
      <c r="CE101" s="463">
        <f t="shared" si="187"/>
        <v>2040</v>
      </c>
      <c r="CF101" s="463">
        <f t="shared" si="187"/>
        <v>2041</v>
      </c>
      <c r="CG101" s="463">
        <f t="shared" si="187"/>
        <v>2041</v>
      </c>
      <c r="CH101" s="463">
        <f t="shared" si="187"/>
        <v>2041</v>
      </c>
      <c r="CI101" s="463">
        <f t="shared" si="187"/>
        <v>2041</v>
      </c>
      <c r="CJ101" s="463">
        <f t="shared" si="187"/>
        <v>2042</v>
      </c>
      <c r="CK101" s="463">
        <f t="shared" si="187"/>
        <v>2042</v>
      </c>
      <c r="CL101" s="463">
        <f t="shared" si="187"/>
        <v>2042</v>
      </c>
      <c r="CM101" s="463">
        <f t="shared" si="187"/>
        <v>2042</v>
      </c>
      <c r="CN101" s="463">
        <f t="shared" si="187"/>
        <v>2043</v>
      </c>
      <c r="CO101" s="463">
        <f t="shared" si="187"/>
        <v>2043</v>
      </c>
      <c r="CP101" s="463">
        <f t="shared" si="187"/>
        <v>2043</v>
      </c>
      <c r="CQ101" s="463">
        <f t="shared" si="187"/>
        <v>2043</v>
      </c>
      <c r="CR101" s="463">
        <f t="shared" si="187"/>
        <v>2044</v>
      </c>
      <c r="CS101" s="463">
        <f t="shared" si="187"/>
        <v>2044</v>
      </c>
      <c r="CT101" s="463">
        <f t="shared" si="187"/>
        <v>2044</v>
      </c>
      <c r="CU101" s="463">
        <f t="shared" si="187"/>
        <v>2044</v>
      </c>
      <c r="CV101" s="463">
        <f t="shared" si="187"/>
        <v>2045</v>
      </c>
      <c r="CW101" s="463">
        <f t="shared" si="187"/>
        <v>2045</v>
      </c>
      <c r="CX101" s="463">
        <f t="shared" si="187"/>
        <v>2045</v>
      </c>
      <c r="CY101" s="463">
        <f t="shared" si="187"/>
        <v>2045</v>
      </c>
      <c r="CZ101" s="463">
        <f t="shared" si="187"/>
        <v>2046</v>
      </c>
      <c r="DA101" s="463">
        <f t="shared" si="187"/>
        <v>2046</v>
      </c>
      <c r="DB101" s="463">
        <f t="shared" si="187"/>
        <v>2046</v>
      </c>
      <c r="DC101" s="463">
        <f t="shared" si="187"/>
        <v>2046</v>
      </c>
      <c r="DD101" s="463">
        <f t="shared" si="187"/>
        <v>2047</v>
      </c>
      <c r="DE101" s="463">
        <f t="shared" si="187"/>
        <v>2047</v>
      </c>
      <c r="DF101" s="463">
        <f t="shared" si="187"/>
        <v>2047</v>
      </c>
      <c r="DG101" s="463">
        <f t="shared" si="187"/>
        <v>2047</v>
      </c>
      <c r="DH101" s="463">
        <f t="shared" si="187"/>
        <v>2048</v>
      </c>
      <c r="DI101" s="463">
        <f t="shared" si="187"/>
        <v>2048</v>
      </c>
      <c r="DJ101" s="463">
        <f t="shared" si="187"/>
        <v>2048</v>
      </c>
      <c r="DK101" s="463">
        <f t="shared" si="187"/>
        <v>2048</v>
      </c>
      <c r="DL101" s="463">
        <f t="shared" si="187"/>
        <v>2049</v>
      </c>
      <c r="DM101" s="463">
        <f t="shared" si="187"/>
        <v>2049</v>
      </c>
      <c r="DN101" s="463">
        <f t="shared" si="187"/>
        <v>2049</v>
      </c>
      <c r="DO101" s="463">
        <f t="shared" si="187"/>
        <v>2049</v>
      </c>
      <c r="DP101" s="463">
        <f t="shared" si="187"/>
        <v>2050</v>
      </c>
      <c r="DQ101" s="463">
        <f t="shared" si="187"/>
        <v>2050</v>
      </c>
      <c r="DR101" s="463">
        <f t="shared" si="187"/>
        <v>2050</v>
      </c>
      <c r="DS101" s="463">
        <f t="shared" ref="DS101:EN101" si="188">YEAR(DS103)</f>
        <v>2050</v>
      </c>
      <c r="DT101" s="463">
        <f t="shared" si="188"/>
        <v>2051</v>
      </c>
      <c r="DU101" s="463">
        <f t="shared" si="188"/>
        <v>2051</v>
      </c>
      <c r="DV101" s="463">
        <f t="shared" si="188"/>
        <v>2051</v>
      </c>
      <c r="DW101" s="463">
        <f t="shared" si="188"/>
        <v>2051</v>
      </c>
      <c r="DX101" s="463">
        <f t="shared" si="188"/>
        <v>2052</v>
      </c>
      <c r="DY101" s="463">
        <f t="shared" si="188"/>
        <v>2052</v>
      </c>
      <c r="DZ101" s="463">
        <f t="shared" si="188"/>
        <v>2052</v>
      </c>
      <c r="EA101" s="463">
        <f t="shared" si="188"/>
        <v>2052</v>
      </c>
      <c r="EB101" s="463">
        <f t="shared" si="188"/>
        <v>2053</v>
      </c>
      <c r="EC101" s="463">
        <f t="shared" si="188"/>
        <v>2053</v>
      </c>
      <c r="ED101" s="463">
        <f t="shared" si="188"/>
        <v>2053</v>
      </c>
      <c r="EE101" s="463">
        <f t="shared" si="188"/>
        <v>2053</v>
      </c>
      <c r="EF101" s="463">
        <f t="shared" si="188"/>
        <v>2054</v>
      </c>
      <c r="EG101" s="463">
        <f t="shared" si="188"/>
        <v>2054</v>
      </c>
      <c r="EH101" s="463">
        <f t="shared" si="188"/>
        <v>2054</v>
      </c>
      <c r="EI101" s="463">
        <f t="shared" si="188"/>
        <v>2054</v>
      </c>
      <c r="EJ101" s="463">
        <f t="shared" si="188"/>
        <v>2055</v>
      </c>
      <c r="EK101" s="463">
        <f t="shared" si="188"/>
        <v>2055</v>
      </c>
      <c r="EL101" s="463">
        <f t="shared" si="188"/>
        <v>2055</v>
      </c>
      <c r="EM101" s="463">
        <f t="shared" si="188"/>
        <v>2055</v>
      </c>
      <c r="EN101" s="463">
        <f t="shared" si="188"/>
        <v>2056</v>
      </c>
    </row>
    <row r="102" spans="2:144" ht="15.75">
      <c r="B102" s="40"/>
      <c r="C102" s="22"/>
      <c r="E102" s="40"/>
      <c r="F102" s="40"/>
      <c r="G102" s="40"/>
      <c r="H102" s="464">
        <f t="shared" ref="H102:AM102" si="189">H91</f>
        <v>44593</v>
      </c>
      <c r="I102" s="464">
        <f t="shared" si="189"/>
        <v>44652</v>
      </c>
      <c r="J102" s="464">
        <f t="shared" si="189"/>
        <v>44743</v>
      </c>
      <c r="K102" s="464">
        <f t="shared" si="189"/>
        <v>44835</v>
      </c>
      <c r="L102" s="464">
        <f t="shared" si="189"/>
        <v>44927</v>
      </c>
      <c r="M102" s="464">
        <f t="shared" si="189"/>
        <v>45017</v>
      </c>
      <c r="N102" s="464">
        <f t="shared" si="189"/>
        <v>45108</v>
      </c>
      <c r="O102" s="464">
        <f t="shared" si="189"/>
        <v>45200</v>
      </c>
      <c r="P102" s="464">
        <f t="shared" si="189"/>
        <v>45292</v>
      </c>
      <c r="Q102" s="464">
        <f t="shared" si="189"/>
        <v>45383</v>
      </c>
      <c r="R102" s="464">
        <f t="shared" si="189"/>
        <v>45474</v>
      </c>
      <c r="S102" s="464">
        <f t="shared" si="189"/>
        <v>45566</v>
      </c>
      <c r="T102" s="464">
        <f t="shared" si="189"/>
        <v>45658</v>
      </c>
      <c r="U102" s="464">
        <f t="shared" si="189"/>
        <v>45748</v>
      </c>
      <c r="V102" s="464">
        <f t="shared" si="189"/>
        <v>45839</v>
      </c>
      <c r="W102" s="464">
        <f t="shared" si="189"/>
        <v>45931</v>
      </c>
      <c r="X102" s="464">
        <f t="shared" si="189"/>
        <v>46023</v>
      </c>
      <c r="Y102" s="464">
        <f t="shared" si="189"/>
        <v>46113</v>
      </c>
      <c r="Z102" s="464">
        <f t="shared" si="189"/>
        <v>46204</v>
      </c>
      <c r="AA102" s="464">
        <f t="shared" si="189"/>
        <v>46296</v>
      </c>
      <c r="AB102" s="464">
        <f t="shared" si="189"/>
        <v>46388</v>
      </c>
      <c r="AC102" s="464">
        <f t="shared" si="189"/>
        <v>46478</v>
      </c>
      <c r="AD102" s="464">
        <f t="shared" si="189"/>
        <v>46569</v>
      </c>
      <c r="AE102" s="464">
        <f t="shared" si="189"/>
        <v>46661</v>
      </c>
      <c r="AF102" s="464">
        <f t="shared" si="189"/>
        <v>46753</v>
      </c>
      <c r="AG102" s="464">
        <f t="shared" si="189"/>
        <v>46844</v>
      </c>
      <c r="AH102" s="464">
        <f t="shared" si="189"/>
        <v>46935</v>
      </c>
      <c r="AI102" s="464">
        <f t="shared" si="189"/>
        <v>47027</v>
      </c>
      <c r="AJ102" s="464">
        <f t="shared" si="189"/>
        <v>47119</v>
      </c>
      <c r="AK102" s="464">
        <f t="shared" si="189"/>
        <v>47209</v>
      </c>
      <c r="AL102" s="464">
        <f t="shared" si="189"/>
        <v>47300</v>
      </c>
      <c r="AM102" s="464">
        <f t="shared" si="189"/>
        <v>47392</v>
      </c>
      <c r="AN102" s="464">
        <f t="shared" ref="AN102:BS102" si="190">AN91</f>
        <v>47484</v>
      </c>
      <c r="AO102" s="464">
        <f t="shared" si="190"/>
        <v>47574</v>
      </c>
      <c r="AP102" s="464">
        <f t="shared" si="190"/>
        <v>47665</v>
      </c>
      <c r="AQ102" s="464">
        <f t="shared" si="190"/>
        <v>47757</v>
      </c>
      <c r="AR102" s="464">
        <f t="shared" si="190"/>
        <v>47849</v>
      </c>
      <c r="AS102" s="464">
        <f t="shared" si="190"/>
        <v>47939</v>
      </c>
      <c r="AT102" s="464">
        <f t="shared" si="190"/>
        <v>48030</v>
      </c>
      <c r="AU102" s="464">
        <f t="shared" si="190"/>
        <v>48122</v>
      </c>
      <c r="AV102" s="464">
        <f t="shared" si="190"/>
        <v>48214</v>
      </c>
      <c r="AW102" s="464">
        <f t="shared" si="190"/>
        <v>48305</v>
      </c>
      <c r="AX102" s="464">
        <f t="shared" si="190"/>
        <v>48396</v>
      </c>
      <c r="AY102" s="464">
        <f t="shared" si="190"/>
        <v>48488</v>
      </c>
      <c r="AZ102" s="464">
        <f t="shared" si="190"/>
        <v>48580</v>
      </c>
      <c r="BA102" s="464">
        <f t="shared" si="190"/>
        <v>48670</v>
      </c>
      <c r="BB102" s="464">
        <f t="shared" si="190"/>
        <v>48761</v>
      </c>
      <c r="BC102" s="464">
        <f t="shared" si="190"/>
        <v>48853</v>
      </c>
      <c r="BD102" s="464">
        <f t="shared" si="190"/>
        <v>48945</v>
      </c>
      <c r="BE102" s="464">
        <f t="shared" si="190"/>
        <v>49035</v>
      </c>
      <c r="BF102" s="464">
        <f t="shared" si="190"/>
        <v>49126</v>
      </c>
      <c r="BG102" s="464">
        <f t="shared" si="190"/>
        <v>49218</v>
      </c>
      <c r="BH102" s="464">
        <f t="shared" si="190"/>
        <v>49310</v>
      </c>
      <c r="BI102" s="464">
        <f t="shared" si="190"/>
        <v>49400</v>
      </c>
      <c r="BJ102" s="464">
        <f t="shared" si="190"/>
        <v>49491</v>
      </c>
      <c r="BK102" s="464">
        <f t="shared" si="190"/>
        <v>49583</v>
      </c>
      <c r="BL102" s="464">
        <f t="shared" si="190"/>
        <v>49675</v>
      </c>
      <c r="BM102" s="464">
        <f t="shared" si="190"/>
        <v>49766</v>
      </c>
      <c r="BN102" s="464">
        <f t="shared" si="190"/>
        <v>49857</v>
      </c>
      <c r="BO102" s="464">
        <f t="shared" si="190"/>
        <v>49949</v>
      </c>
      <c r="BP102" s="464">
        <f t="shared" si="190"/>
        <v>50041</v>
      </c>
      <c r="BQ102" s="464">
        <f t="shared" si="190"/>
        <v>50131</v>
      </c>
      <c r="BR102" s="464">
        <f t="shared" si="190"/>
        <v>50222</v>
      </c>
      <c r="BS102" s="464">
        <f t="shared" si="190"/>
        <v>50314</v>
      </c>
      <c r="BT102" s="464">
        <f t="shared" ref="BT102:CY102" si="191">BT91</f>
        <v>50406</v>
      </c>
      <c r="BU102" s="464">
        <f t="shared" si="191"/>
        <v>50496</v>
      </c>
      <c r="BV102" s="464">
        <f t="shared" si="191"/>
        <v>50587</v>
      </c>
      <c r="BW102" s="464">
        <f t="shared" si="191"/>
        <v>50679</v>
      </c>
      <c r="BX102" s="464">
        <f t="shared" si="191"/>
        <v>50771</v>
      </c>
      <c r="BY102" s="464">
        <f t="shared" si="191"/>
        <v>50861</v>
      </c>
      <c r="BZ102" s="464">
        <f t="shared" si="191"/>
        <v>50952</v>
      </c>
      <c r="CA102" s="464">
        <f t="shared" si="191"/>
        <v>51044</v>
      </c>
      <c r="CB102" s="464">
        <f t="shared" si="191"/>
        <v>51136</v>
      </c>
      <c r="CC102" s="464">
        <f t="shared" si="191"/>
        <v>51227</v>
      </c>
      <c r="CD102" s="464">
        <f t="shared" si="191"/>
        <v>51318</v>
      </c>
      <c r="CE102" s="464">
        <f t="shared" si="191"/>
        <v>51410</v>
      </c>
      <c r="CF102" s="464">
        <f t="shared" si="191"/>
        <v>51502</v>
      </c>
      <c r="CG102" s="464">
        <f t="shared" si="191"/>
        <v>51592</v>
      </c>
      <c r="CH102" s="464">
        <f t="shared" si="191"/>
        <v>51683</v>
      </c>
      <c r="CI102" s="464">
        <f t="shared" si="191"/>
        <v>51775</v>
      </c>
      <c r="CJ102" s="464">
        <f t="shared" si="191"/>
        <v>51867</v>
      </c>
      <c r="CK102" s="464">
        <f t="shared" si="191"/>
        <v>51957</v>
      </c>
      <c r="CL102" s="464">
        <f t="shared" si="191"/>
        <v>52048</v>
      </c>
      <c r="CM102" s="464">
        <f t="shared" si="191"/>
        <v>52140</v>
      </c>
      <c r="CN102" s="464">
        <f t="shared" si="191"/>
        <v>52232</v>
      </c>
      <c r="CO102" s="464">
        <f t="shared" si="191"/>
        <v>52322</v>
      </c>
      <c r="CP102" s="464">
        <f t="shared" si="191"/>
        <v>52413</v>
      </c>
      <c r="CQ102" s="464">
        <f t="shared" si="191"/>
        <v>52505</v>
      </c>
      <c r="CR102" s="464">
        <f t="shared" si="191"/>
        <v>52597</v>
      </c>
      <c r="CS102" s="464">
        <f t="shared" si="191"/>
        <v>52688</v>
      </c>
      <c r="CT102" s="464">
        <f t="shared" si="191"/>
        <v>52779</v>
      </c>
      <c r="CU102" s="464">
        <f t="shared" si="191"/>
        <v>52871</v>
      </c>
      <c r="CV102" s="464">
        <f t="shared" si="191"/>
        <v>52963</v>
      </c>
      <c r="CW102" s="464">
        <f t="shared" si="191"/>
        <v>53053</v>
      </c>
      <c r="CX102" s="464">
        <f t="shared" si="191"/>
        <v>53144</v>
      </c>
      <c r="CY102" s="464">
        <f t="shared" si="191"/>
        <v>53236</v>
      </c>
      <c r="CZ102" s="464">
        <f t="shared" ref="CZ102:EE102" si="192">CZ91</f>
        <v>53328</v>
      </c>
      <c r="DA102" s="464">
        <f t="shared" si="192"/>
        <v>53418</v>
      </c>
      <c r="DB102" s="464">
        <f t="shared" si="192"/>
        <v>53509</v>
      </c>
      <c r="DC102" s="464">
        <f t="shared" si="192"/>
        <v>53601</v>
      </c>
      <c r="DD102" s="464">
        <f t="shared" si="192"/>
        <v>53693</v>
      </c>
      <c r="DE102" s="464">
        <f t="shared" si="192"/>
        <v>53783</v>
      </c>
      <c r="DF102" s="464">
        <f t="shared" si="192"/>
        <v>53874</v>
      </c>
      <c r="DG102" s="464">
        <f t="shared" si="192"/>
        <v>53966</v>
      </c>
      <c r="DH102" s="464">
        <f t="shared" si="192"/>
        <v>54058</v>
      </c>
      <c r="DI102" s="464">
        <f t="shared" si="192"/>
        <v>54149</v>
      </c>
      <c r="DJ102" s="464">
        <f t="shared" si="192"/>
        <v>54240</v>
      </c>
      <c r="DK102" s="464">
        <f t="shared" si="192"/>
        <v>54332</v>
      </c>
      <c r="DL102" s="464">
        <f t="shared" si="192"/>
        <v>54424</v>
      </c>
      <c r="DM102" s="464">
        <f t="shared" si="192"/>
        <v>54514</v>
      </c>
      <c r="DN102" s="464">
        <f t="shared" si="192"/>
        <v>54605</v>
      </c>
      <c r="DO102" s="464">
        <f t="shared" si="192"/>
        <v>54697</v>
      </c>
      <c r="DP102" s="464">
        <f t="shared" si="192"/>
        <v>54789</v>
      </c>
      <c r="DQ102" s="464">
        <f t="shared" si="192"/>
        <v>54879</v>
      </c>
      <c r="DR102" s="464">
        <f t="shared" si="192"/>
        <v>54970</v>
      </c>
      <c r="DS102" s="464">
        <f t="shared" si="192"/>
        <v>55062</v>
      </c>
      <c r="DT102" s="464">
        <f t="shared" si="192"/>
        <v>55154</v>
      </c>
      <c r="DU102" s="464">
        <f t="shared" si="192"/>
        <v>55244</v>
      </c>
      <c r="DV102" s="464">
        <f t="shared" si="192"/>
        <v>55335</v>
      </c>
      <c r="DW102" s="464">
        <f t="shared" si="192"/>
        <v>55427</v>
      </c>
      <c r="DX102" s="464">
        <f t="shared" si="192"/>
        <v>55519</v>
      </c>
      <c r="DY102" s="464">
        <f t="shared" si="192"/>
        <v>55610</v>
      </c>
      <c r="DZ102" s="464">
        <f t="shared" si="192"/>
        <v>55701</v>
      </c>
      <c r="EA102" s="464">
        <f t="shared" si="192"/>
        <v>55793</v>
      </c>
      <c r="EB102" s="464">
        <f t="shared" si="192"/>
        <v>55885</v>
      </c>
      <c r="EC102" s="464">
        <f t="shared" si="192"/>
        <v>55975</v>
      </c>
      <c r="ED102" s="464">
        <f t="shared" si="192"/>
        <v>56066</v>
      </c>
      <c r="EE102" s="464">
        <f t="shared" si="192"/>
        <v>56158</v>
      </c>
      <c r="EF102" s="464">
        <f t="shared" ref="EF102:EN102" si="193">EF91</f>
        <v>56250</v>
      </c>
      <c r="EG102" s="464">
        <f t="shared" si="193"/>
        <v>56340</v>
      </c>
      <c r="EH102" s="464">
        <f t="shared" si="193"/>
        <v>56431</v>
      </c>
      <c r="EI102" s="464">
        <f t="shared" si="193"/>
        <v>56523</v>
      </c>
      <c r="EJ102" s="464">
        <f t="shared" si="193"/>
        <v>56615</v>
      </c>
      <c r="EK102" s="464">
        <f t="shared" si="193"/>
        <v>56705</v>
      </c>
      <c r="EL102" s="464">
        <f t="shared" si="193"/>
        <v>56796</v>
      </c>
      <c r="EM102" s="464">
        <f t="shared" si="193"/>
        <v>56888</v>
      </c>
      <c r="EN102" s="464">
        <f t="shared" si="193"/>
        <v>56980</v>
      </c>
    </row>
    <row r="103" spans="2:144" ht="15.75">
      <c r="C103" s="22"/>
      <c r="E103" s="42"/>
      <c r="F103" s="42"/>
      <c r="G103" s="42"/>
      <c r="H103" s="464">
        <f t="shared" ref="H103:AM103" si="194">H92</f>
        <v>44651</v>
      </c>
      <c r="I103" s="464">
        <f t="shared" si="194"/>
        <v>44742</v>
      </c>
      <c r="J103" s="464">
        <f t="shared" si="194"/>
        <v>44834</v>
      </c>
      <c r="K103" s="464">
        <f t="shared" si="194"/>
        <v>44926</v>
      </c>
      <c r="L103" s="464">
        <f t="shared" si="194"/>
        <v>45016</v>
      </c>
      <c r="M103" s="464">
        <f t="shared" si="194"/>
        <v>45107</v>
      </c>
      <c r="N103" s="464">
        <f t="shared" si="194"/>
        <v>45199</v>
      </c>
      <c r="O103" s="464">
        <f t="shared" si="194"/>
        <v>45291</v>
      </c>
      <c r="P103" s="464">
        <f t="shared" si="194"/>
        <v>45382</v>
      </c>
      <c r="Q103" s="464">
        <f t="shared" si="194"/>
        <v>45473</v>
      </c>
      <c r="R103" s="464">
        <f t="shared" si="194"/>
        <v>45565</v>
      </c>
      <c r="S103" s="464">
        <f t="shared" si="194"/>
        <v>45657</v>
      </c>
      <c r="T103" s="464">
        <f t="shared" si="194"/>
        <v>45747</v>
      </c>
      <c r="U103" s="464">
        <f t="shared" si="194"/>
        <v>45838</v>
      </c>
      <c r="V103" s="464">
        <f t="shared" si="194"/>
        <v>45930</v>
      </c>
      <c r="W103" s="464">
        <f t="shared" si="194"/>
        <v>46022</v>
      </c>
      <c r="X103" s="464">
        <f t="shared" si="194"/>
        <v>46112</v>
      </c>
      <c r="Y103" s="464">
        <f t="shared" si="194"/>
        <v>46203</v>
      </c>
      <c r="Z103" s="464">
        <f t="shared" si="194"/>
        <v>46295</v>
      </c>
      <c r="AA103" s="464">
        <f t="shared" si="194"/>
        <v>46387</v>
      </c>
      <c r="AB103" s="464">
        <f t="shared" si="194"/>
        <v>46477</v>
      </c>
      <c r="AC103" s="464">
        <f t="shared" si="194"/>
        <v>46568</v>
      </c>
      <c r="AD103" s="464">
        <f t="shared" si="194"/>
        <v>46660</v>
      </c>
      <c r="AE103" s="464">
        <f t="shared" si="194"/>
        <v>46752</v>
      </c>
      <c r="AF103" s="464">
        <f t="shared" si="194"/>
        <v>46843</v>
      </c>
      <c r="AG103" s="464">
        <f t="shared" si="194"/>
        <v>46934</v>
      </c>
      <c r="AH103" s="464">
        <f t="shared" si="194"/>
        <v>47026</v>
      </c>
      <c r="AI103" s="464">
        <f t="shared" si="194"/>
        <v>47118</v>
      </c>
      <c r="AJ103" s="464">
        <f t="shared" si="194"/>
        <v>47208</v>
      </c>
      <c r="AK103" s="464">
        <f t="shared" si="194"/>
        <v>47299</v>
      </c>
      <c r="AL103" s="464">
        <f t="shared" si="194"/>
        <v>47391</v>
      </c>
      <c r="AM103" s="464">
        <f t="shared" si="194"/>
        <v>47483</v>
      </c>
      <c r="AN103" s="464">
        <f t="shared" ref="AN103:BS103" si="195">AN92</f>
        <v>47573</v>
      </c>
      <c r="AO103" s="464">
        <f t="shared" si="195"/>
        <v>47664</v>
      </c>
      <c r="AP103" s="464">
        <f t="shared" si="195"/>
        <v>47756</v>
      </c>
      <c r="AQ103" s="464">
        <f t="shared" si="195"/>
        <v>47848</v>
      </c>
      <c r="AR103" s="464">
        <f t="shared" si="195"/>
        <v>47938</v>
      </c>
      <c r="AS103" s="464">
        <f t="shared" si="195"/>
        <v>48029</v>
      </c>
      <c r="AT103" s="464">
        <f t="shared" si="195"/>
        <v>48121</v>
      </c>
      <c r="AU103" s="464">
        <f t="shared" si="195"/>
        <v>48213</v>
      </c>
      <c r="AV103" s="464">
        <f t="shared" si="195"/>
        <v>48304</v>
      </c>
      <c r="AW103" s="464">
        <f t="shared" si="195"/>
        <v>48395</v>
      </c>
      <c r="AX103" s="464">
        <f t="shared" si="195"/>
        <v>48487</v>
      </c>
      <c r="AY103" s="464">
        <f t="shared" si="195"/>
        <v>48579</v>
      </c>
      <c r="AZ103" s="464">
        <f t="shared" si="195"/>
        <v>48669</v>
      </c>
      <c r="BA103" s="464">
        <f t="shared" si="195"/>
        <v>48760</v>
      </c>
      <c r="BB103" s="464">
        <f t="shared" si="195"/>
        <v>48852</v>
      </c>
      <c r="BC103" s="464">
        <f t="shared" si="195"/>
        <v>48944</v>
      </c>
      <c r="BD103" s="464">
        <f t="shared" si="195"/>
        <v>49034</v>
      </c>
      <c r="BE103" s="464">
        <f t="shared" si="195"/>
        <v>49125</v>
      </c>
      <c r="BF103" s="464">
        <f t="shared" si="195"/>
        <v>49217</v>
      </c>
      <c r="BG103" s="464">
        <f t="shared" si="195"/>
        <v>49309</v>
      </c>
      <c r="BH103" s="464">
        <f t="shared" si="195"/>
        <v>49399</v>
      </c>
      <c r="BI103" s="464">
        <f t="shared" si="195"/>
        <v>49490</v>
      </c>
      <c r="BJ103" s="464">
        <f t="shared" si="195"/>
        <v>49582</v>
      </c>
      <c r="BK103" s="464">
        <f t="shared" si="195"/>
        <v>49674</v>
      </c>
      <c r="BL103" s="464">
        <f t="shared" si="195"/>
        <v>49765</v>
      </c>
      <c r="BM103" s="464">
        <f t="shared" si="195"/>
        <v>49856</v>
      </c>
      <c r="BN103" s="464">
        <f t="shared" si="195"/>
        <v>49948</v>
      </c>
      <c r="BO103" s="464">
        <f t="shared" si="195"/>
        <v>50040</v>
      </c>
      <c r="BP103" s="464">
        <f t="shared" si="195"/>
        <v>50130</v>
      </c>
      <c r="BQ103" s="464">
        <f t="shared" si="195"/>
        <v>50221</v>
      </c>
      <c r="BR103" s="464">
        <f t="shared" si="195"/>
        <v>50313</v>
      </c>
      <c r="BS103" s="464">
        <f t="shared" si="195"/>
        <v>50405</v>
      </c>
      <c r="BT103" s="464">
        <f t="shared" ref="BT103:CY103" si="196">BT92</f>
        <v>50495</v>
      </c>
      <c r="BU103" s="464">
        <f t="shared" si="196"/>
        <v>50586</v>
      </c>
      <c r="BV103" s="464">
        <f t="shared" si="196"/>
        <v>50678</v>
      </c>
      <c r="BW103" s="464">
        <f t="shared" si="196"/>
        <v>50770</v>
      </c>
      <c r="BX103" s="464">
        <f t="shared" si="196"/>
        <v>50860</v>
      </c>
      <c r="BY103" s="464">
        <f t="shared" si="196"/>
        <v>50951</v>
      </c>
      <c r="BZ103" s="464">
        <f t="shared" si="196"/>
        <v>51043</v>
      </c>
      <c r="CA103" s="464">
        <f t="shared" si="196"/>
        <v>51135</v>
      </c>
      <c r="CB103" s="464">
        <f t="shared" si="196"/>
        <v>51226</v>
      </c>
      <c r="CC103" s="464">
        <f t="shared" si="196"/>
        <v>51317</v>
      </c>
      <c r="CD103" s="464">
        <f t="shared" si="196"/>
        <v>51409</v>
      </c>
      <c r="CE103" s="464">
        <f t="shared" si="196"/>
        <v>51501</v>
      </c>
      <c r="CF103" s="464">
        <f t="shared" si="196"/>
        <v>51591</v>
      </c>
      <c r="CG103" s="464">
        <f t="shared" si="196"/>
        <v>51682</v>
      </c>
      <c r="CH103" s="464">
        <f t="shared" si="196"/>
        <v>51774</v>
      </c>
      <c r="CI103" s="464">
        <f t="shared" si="196"/>
        <v>51866</v>
      </c>
      <c r="CJ103" s="464">
        <f t="shared" si="196"/>
        <v>51956</v>
      </c>
      <c r="CK103" s="464">
        <f t="shared" si="196"/>
        <v>52047</v>
      </c>
      <c r="CL103" s="464">
        <f t="shared" si="196"/>
        <v>52139</v>
      </c>
      <c r="CM103" s="464">
        <f t="shared" si="196"/>
        <v>52231</v>
      </c>
      <c r="CN103" s="464">
        <f t="shared" si="196"/>
        <v>52321</v>
      </c>
      <c r="CO103" s="464">
        <f t="shared" si="196"/>
        <v>52412</v>
      </c>
      <c r="CP103" s="464">
        <f t="shared" si="196"/>
        <v>52504</v>
      </c>
      <c r="CQ103" s="464">
        <f t="shared" si="196"/>
        <v>52596</v>
      </c>
      <c r="CR103" s="464">
        <f t="shared" si="196"/>
        <v>52687</v>
      </c>
      <c r="CS103" s="464">
        <f t="shared" si="196"/>
        <v>52778</v>
      </c>
      <c r="CT103" s="464">
        <f t="shared" si="196"/>
        <v>52870</v>
      </c>
      <c r="CU103" s="464">
        <f t="shared" si="196"/>
        <v>52962</v>
      </c>
      <c r="CV103" s="464">
        <f t="shared" si="196"/>
        <v>53052</v>
      </c>
      <c r="CW103" s="464">
        <f t="shared" si="196"/>
        <v>53143</v>
      </c>
      <c r="CX103" s="464">
        <f t="shared" si="196"/>
        <v>53235</v>
      </c>
      <c r="CY103" s="464">
        <f t="shared" si="196"/>
        <v>53327</v>
      </c>
      <c r="CZ103" s="464">
        <f t="shared" ref="CZ103:EE103" si="197">CZ92</f>
        <v>53417</v>
      </c>
      <c r="DA103" s="464">
        <f t="shared" si="197"/>
        <v>53508</v>
      </c>
      <c r="DB103" s="464">
        <f t="shared" si="197"/>
        <v>53600</v>
      </c>
      <c r="DC103" s="464">
        <f t="shared" si="197"/>
        <v>53692</v>
      </c>
      <c r="DD103" s="464">
        <f t="shared" si="197"/>
        <v>53782</v>
      </c>
      <c r="DE103" s="464">
        <f t="shared" si="197"/>
        <v>53873</v>
      </c>
      <c r="DF103" s="464">
        <f t="shared" si="197"/>
        <v>53965</v>
      </c>
      <c r="DG103" s="464">
        <f t="shared" si="197"/>
        <v>54057</v>
      </c>
      <c r="DH103" s="464">
        <f t="shared" si="197"/>
        <v>54148</v>
      </c>
      <c r="DI103" s="464">
        <f t="shared" si="197"/>
        <v>54239</v>
      </c>
      <c r="DJ103" s="464">
        <f t="shared" si="197"/>
        <v>54331</v>
      </c>
      <c r="DK103" s="464">
        <f t="shared" si="197"/>
        <v>54423</v>
      </c>
      <c r="DL103" s="464">
        <f t="shared" si="197"/>
        <v>54513</v>
      </c>
      <c r="DM103" s="464">
        <f t="shared" si="197"/>
        <v>54604</v>
      </c>
      <c r="DN103" s="464">
        <f t="shared" si="197"/>
        <v>54696</v>
      </c>
      <c r="DO103" s="464">
        <f t="shared" si="197"/>
        <v>54788</v>
      </c>
      <c r="DP103" s="464">
        <f t="shared" si="197"/>
        <v>54878</v>
      </c>
      <c r="DQ103" s="464">
        <f t="shared" si="197"/>
        <v>54969</v>
      </c>
      <c r="DR103" s="464">
        <f t="shared" si="197"/>
        <v>55061</v>
      </c>
      <c r="DS103" s="464">
        <f t="shared" si="197"/>
        <v>55153</v>
      </c>
      <c r="DT103" s="464">
        <f t="shared" si="197"/>
        <v>55243</v>
      </c>
      <c r="DU103" s="464">
        <f t="shared" si="197"/>
        <v>55334</v>
      </c>
      <c r="DV103" s="464">
        <f t="shared" si="197"/>
        <v>55426</v>
      </c>
      <c r="DW103" s="464">
        <f t="shared" si="197"/>
        <v>55518</v>
      </c>
      <c r="DX103" s="464">
        <f t="shared" si="197"/>
        <v>55609</v>
      </c>
      <c r="DY103" s="464">
        <f t="shared" si="197"/>
        <v>55700</v>
      </c>
      <c r="DZ103" s="464">
        <f t="shared" si="197"/>
        <v>55792</v>
      </c>
      <c r="EA103" s="464">
        <f t="shared" si="197"/>
        <v>55884</v>
      </c>
      <c r="EB103" s="464">
        <f t="shared" si="197"/>
        <v>55974</v>
      </c>
      <c r="EC103" s="464">
        <f t="shared" si="197"/>
        <v>56065</v>
      </c>
      <c r="ED103" s="464">
        <f t="shared" si="197"/>
        <v>56157</v>
      </c>
      <c r="EE103" s="464">
        <f t="shared" si="197"/>
        <v>56249</v>
      </c>
      <c r="EF103" s="464">
        <f t="shared" ref="EF103:EN103" si="198">EF92</f>
        <v>56339</v>
      </c>
      <c r="EG103" s="464">
        <f t="shared" si="198"/>
        <v>56430</v>
      </c>
      <c r="EH103" s="464">
        <f t="shared" si="198"/>
        <v>56522</v>
      </c>
      <c r="EI103" s="464">
        <f t="shared" si="198"/>
        <v>56614</v>
      </c>
      <c r="EJ103" s="464">
        <f t="shared" si="198"/>
        <v>56704</v>
      </c>
      <c r="EK103" s="464">
        <f t="shared" si="198"/>
        <v>56795</v>
      </c>
      <c r="EL103" s="464">
        <f t="shared" si="198"/>
        <v>56887</v>
      </c>
      <c r="EM103" s="464">
        <f t="shared" si="198"/>
        <v>56979</v>
      </c>
      <c r="EN103" s="464">
        <f t="shared" si="198"/>
        <v>57070</v>
      </c>
    </row>
    <row r="104" spans="2:144">
      <c r="B104" s="776" t="str">
        <f>C11</f>
        <v>Ресторан в зоне катания</v>
      </c>
      <c r="C104" s="465"/>
      <c r="D104" s="430">
        <f>SUMIF($C$4:$C$18,B104,$I$4:$I$18)</f>
        <v>45839</v>
      </c>
      <c r="E104" s="772">
        <f>YEAR(D104)</f>
        <v>2025</v>
      </c>
      <c r="F104" s="466"/>
      <c r="G104" s="466"/>
      <c r="H104" s="466"/>
      <c r="I104" s="466"/>
      <c r="J104" s="466"/>
      <c r="K104" s="466"/>
      <c r="L104" s="466"/>
      <c r="M104" s="466"/>
      <c r="N104" s="466"/>
      <c r="O104" s="466"/>
      <c r="P104" s="466"/>
      <c r="Q104" s="466"/>
      <c r="R104" s="466"/>
      <c r="S104" s="466"/>
      <c r="T104" s="466"/>
      <c r="U104" s="466"/>
      <c r="V104" s="466"/>
      <c r="W104" s="466"/>
      <c r="X104" s="466"/>
      <c r="Y104" s="466"/>
      <c r="Z104" s="466"/>
      <c r="AA104" s="466"/>
      <c r="AB104" s="466"/>
      <c r="AC104" s="466"/>
      <c r="AD104" s="466"/>
      <c r="AE104" s="466"/>
      <c r="AF104" s="466"/>
      <c r="AG104" s="466"/>
      <c r="AH104" s="466"/>
      <c r="AI104" s="466"/>
      <c r="AJ104" s="466"/>
      <c r="AK104" s="466"/>
      <c r="AL104" s="466"/>
      <c r="AM104" s="466"/>
      <c r="AN104" s="466"/>
      <c r="AO104" s="466"/>
      <c r="AP104" s="466"/>
      <c r="AQ104" s="466"/>
      <c r="AR104" s="466"/>
      <c r="AS104" s="466"/>
      <c r="AT104" s="466"/>
      <c r="AU104" s="466"/>
      <c r="AV104" s="466"/>
      <c r="AW104" s="466"/>
      <c r="AX104" s="466"/>
      <c r="AY104" s="466"/>
      <c r="AZ104" s="466"/>
      <c r="BA104" s="466"/>
      <c r="BB104" s="466"/>
      <c r="BC104" s="466"/>
      <c r="BD104" s="466"/>
      <c r="BE104" s="466"/>
      <c r="BF104" s="466"/>
      <c r="BG104" s="466"/>
      <c r="BH104" s="466"/>
      <c r="BI104" s="466"/>
      <c r="BJ104" s="466"/>
      <c r="BK104" s="466"/>
      <c r="BL104" s="466"/>
      <c r="BM104" s="466"/>
      <c r="BN104" s="466"/>
      <c r="BO104" s="466"/>
      <c r="BP104" s="466"/>
      <c r="BQ104" s="466"/>
      <c r="BR104" s="466"/>
      <c r="BS104" s="466"/>
      <c r="BT104" s="466"/>
      <c r="BU104" s="466"/>
      <c r="BV104" s="466"/>
      <c r="BW104" s="466"/>
      <c r="BX104" s="466"/>
      <c r="BY104" s="466"/>
      <c r="BZ104" s="466"/>
      <c r="CA104" s="466"/>
      <c r="CB104" s="466"/>
      <c r="CC104" s="466"/>
      <c r="CD104" s="466"/>
      <c r="CE104" s="466"/>
      <c r="CF104" s="466"/>
      <c r="CG104" s="466"/>
      <c r="CH104" s="466"/>
      <c r="CI104" s="466"/>
      <c r="CJ104" s="466"/>
      <c r="CK104" s="466"/>
      <c r="CL104" s="466"/>
      <c r="CM104" s="466"/>
      <c r="CN104" s="466"/>
      <c r="CO104" s="466"/>
      <c r="CP104" s="466"/>
      <c r="CQ104" s="466"/>
      <c r="CR104" s="466"/>
      <c r="CS104" s="466"/>
      <c r="CT104" s="466"/>
      <c r="CU104" s="466"/>
      <c r="CV104" s="466"/>
      <c r="CW104" s="466"/>
      <c r="CX104" s="466"/>
      <c r="CY104" s="466"/>
      <c r="CZ104" s="466"/>
      <c r="DA104" s="466"/>
      <c r="DB104" s="466"/>
      <c r="DC104" s="466"/>
      <c r="DD104" s="466"/>
      <c r="DE104" s="466"/>
      <c r="DF104" s="466"/>
      <c r="DG104" s="466"/>
      <c r="DH104" s="466"/>
      <c r="DI104" s="466"/>
      <c r="DJ104" s="466"/>
      <c r="DK104" s="466"/>
      <c r="DL104" s="466"/>
      <c r="DM104" s="466"/>
      <c r="DN104" s="466"/>
      <c r="DO104" s="466"/>
      <c r="DP104" s="466"/>
      <c r="DQ104" s="466"/>
      <c r="DR104" s="466"/>
      <c r="DS104" s="466"/>
      <c r="DT104" s="466"/>
      <c r="DU104" s="466"/>
      <c r="DV104" s="466"/>
      <c r="DW104" s="466"/>
      <c r="DX104" s="466"/>
      <c r="DY104" s="466"/>
      <c r="DZ104" s="466"/>
      <c r="EA104" s="466"/>
      <c r="EB104" s="466"/>
      <c r="EC104" s="466"/>
      <c r="ED104" s="466"/>
      <c r="EE104" s="466"/>
      <c r="EF104" s="466"/>
      <c r="EG104" s="466"/>
      <c r="EH104" s="466"/>
      <c r="EI104" s="466"/>
      <c r="EJ104" s="466"/>
      <c r="EK104" s="466"/>
      <c r="EL104" s="466"/>
      <c r="EM104" s="466"/>
      <c r="EN104" s="466"/>
    </row>
    <row r="105" spans="2:144" outlineLevel="1">
      <c r="C105" s="151" t="s">
        <v>72</v>
      </c>
      <c r="D105" s="771">
        <f>SUMIF($C$4:$C$18,B104,$H$4:$H$18)</f>
        <v>181613949.39807203</v>
      </c>
      <c r="E105" s="44"/>
      <c r="F105" s="44"/>
      <c r="G105" s="44"/>
      <c r="H105" s="44">
        <f>IF(H102=D104,D105,0)</f>
        <v>0</v>
      </c>
      <c r="I105" s="44">
        <f>IF(I102=D104,D105,0)</f>
        <v>0</v>
      </c>
      <c r="J105" s="44">
        <f>IF(J102=D104,D105,0)</f>
        <v>0</v>
      </c>
      <c r="K105" s="44">
        <f>IF(K102=D104,D105,0)</f>
        <v>0</v>
      </c>
      <c r="L105" s="44">
        <f>IF(L102=D104,D105,0)</f>
        <v>0</v>
      </c>
      <c r="M105" s="44">
        <f>IF(M102=D104,D105,0)</f>
        <v>0</v>
      </c>
      <c r="N105" s="44">
        <f>IF(N102=D104,D105,0)</f>
        <v>0</v>
      </c>
      <c r="O105" s="44">
        <f>IF(O102=D104,D105,0)</f>
        <v>0</v>
      </c>
      <c r="P105" s="44">
        <f>IF(P102=D104,D105,0)</f>
        <v>0</v>
      </c>
      <c r="Q105" s="44">
        <f>IF(Q102=D104,D105,0)</f>
        <v>0</v>
      </c>
      <c r="R105" s="44">
        <f>IF(R102=D104,D105,0)</f>
        <v>0</v>
      </c>
      <c r="S105" s="44">
        <f>IF(S102=D104,D105,0)</f>
        <v>0</v>
      </c>
      <c r="T105" s="44">
        <f>IF(T102=D104,D105,0)</f>
        <v>0</v>
      </c>
      <c r="U105" s="44">
        <f>IF(U102=D104,D105,0)</f>
        <v>0</v>
      </c>
      <c r="V105" s="44">
        <f>IF(V102=D104,D105,0)</f>
        <v>181613949.39807203</v>
      </c>
      <c r="W105" s="44">
        <f>IF(W102=D104,D105,0)</f>
        <v>0</v>
      </c>
      <c r="X105" s="44">
        <f>IF(X102=D104,D105,0)</f>
        <v>0</v>
      </c>
      <c r="Y105" s="44">
        <f>IF(Y102=D104,D105,0)</f>
        <v>0</v>
      </c>
      <c r="Z105" s="44">
        <f>IF(Z102=D104,D105,0)</f>
        <v>0</v>
      </c>
      <c r="AA105" s="44">
        <f>IF(AA102=D104,D105,0)</f>
        <v>0</v>
      </c>
      <c r="AB105" s="44">
        <f>IF(AB102=D104,D105,0)</f>
        <v>0</v>
      </c>
      <c r="AC105" s="44">
        <f>IF(AC102=D104,D105,0)</f>
        <v>0</v>
      </c>
      <c r="AD105" s="44">
        <f>IF(AD102=D104,D105,0)</f>
        <v>0</v>
      </c>
      <c r="AE105" s="44">
        <f>IF(AE102=D104,D105,0)</f>
        <v>0</v>
      </c>
      <c r="AF105" s="44">
        <f>IF(AF102=D104,D105,0)</f>
        <v>0</v>
      </c>
      <c r="AG105" s="44">
        <f>IF(AG102=D104,D105,0)</f>
        <v>0</v>
      </c>
      <c r="AH105" s="44">
        <f>IF(AH102=D104,D105,0)</f>
        <v>0</v>
      </c>
      <c r="AI105" s="44">
        <f>IF(AI102=D104,D105,0)</f>
        <v>0</v>
      </c>
      <c r="AJ105" s="44">
        <f>IF(AJ102=D104,D105,0)</f>
        <v>0</v>
      </c>
      <c r="AK105" s="44">
        <f>IF(AK102=D104,D105,0)</f>
        <v>0</v>
      </c>
      <c r="AL105" s="44">
        <f>IF(AL102=D104,D105,0)</f>
        <v>0</v>
      </c>
      <c r="AM105" s="44">
        <f>IF(AM102=D104,D105,0)</f>
        <v>0</v>
      </c>
      <c r="AN105" s="44">
        <f>IF(AN102=D104,D105,0)</f>
        <v>0</v>
      </c>
      <c r="AO105" s="44">
        <f>IF(AO102=D104,D105,0)</f>
        <v>0</v>
      </c>
      <c r="AP105" s="44">
        <f>IF(AP102=D104,D105,0)</f>
        <v>0</v>
      </c>
      <c r="AQ105" s="44">
        <f>IF(AQ102=D104,D105,0)</f>
        <v>0</v>
      </c>
      <c r="AR105" s="44">
        <f>IF(AR102=D104,D105,0)</f>
        <v>0</v>
      </c>
      <c r="AS105" s="44">
        <f>IF(AS102=D104,D105,0)</f>
        <v>0</v>
      </c>
      <c r="AT105" s="44">
        <f>IF(AT102=D104,D105,0)</f>
        <v>0</v>
      </c>
      <c r="AU105" s="44">
        <f>IF(AU102=D104,D105,0)</f>
        <v>0</v>
      </c>
      <c r="AV105" s="44">
        <f>IF(AV102=D104,D105,0)</f>
        <v>0</v>
      </c>
      <c r="AW105" s="44">
        <f>IF(AW102=D104,D105,0)</f>
        <v>0</v>
      </c>
      <c r="AX105" s="44">
        <f>IF(AX102=D104,D105,0)</f>
        <v>0</v>
      </c>
      <c r="AY105" s="44">
        <f>IF(AY102=D104,D105,0)</f>
        <v>0</v>
      </c>
      <c r="AZ105" s="44">
        <f>IF(AZ102=D104,D105,0)</f>
        <v>0</v>
      </c>
      <c r="BA105" s="44">
        <f>IF(BA102=D104,D105,0)</f>
        <v>0</v>
      </c>
      <c r="BB105" s="44">
        <f>IF(BB102=D104,D105,0)</f>
        <v>0</v>
      </c>
      <c r="BC105" s="44">
        <f>IF(BC102=D104,D105,0)</f>
        <v>0</v>
      </c>
      <c r="BD105" s="44">
        <f>IF(BD102=D104,D105,0)</f>
        <v>0</v>
      </c>
      <c r="BE105" s="44">
        <f>IF(BE102=D104,D105,0)</f>
        <v>0</v>
      </c>
      <c r="BF105" s="44">
        <f>IF(BF102=D104,D105,0)</f>
        <v>0</v>
      </c>
      <c r="BG105" s="44">
        <f>IF(BG102=D104,D105,0)</f>
        <v>0</v>
      </c>
      <c r="BH105" s="44">
        <f>IF(BH102=D104,D105,0)</f>
        <v>0</v>
      </c>
      <c r="BI105" s="44">
        <f>IF(BI102=D104,D105,0)</f>
        <v>0</v>
      </c>
      <c r="BJ105" s="44">
        <f>IF(BJ102=D104,D105,0)</f>
        <v>0</v>
      </c>
      <c r="BK105" s="44">
        <f>IF(BK102=D104,D105,0)</f>
        <v>0</v>
      </c>
      <c r="BL105" s="44">
        <f>IF(BL102=D104,D105,0)</f>
        <v>0</v>
      </c>
      <c r="BM105" s="44">
        <f>IF(BM102=D104,D105,0)</f>
        <v>0</v>
      </c>
      <c r="BN105" s="44">
        <f>IF(BN102=D104,D105,0)</f>
        <v>0</v>
      </c>
      <c r="BO105" s="44">
        <f>IF(BO102=D104,D105,0)</f>
        <v>0</v>
      </c>
      <c r="BP105" s="44">
        <f>IF(BP102=D104,D105,0)</f>
        <v>0</v>
      </c>
      <c r="BQ105" s="44">
        <f>IF(BQ102=D104,D105,0)</f>
        <v>0</v>
      </c>
      <c r="BR105" s="44">
        <f>IF(BR102=D104,D105,0)</f>
        <v>0</v>
      </c>
      <c r="BS105" s="44">
        <f>IF(BS102=D104,D105,0)</f>
        <v>0</v>
      </c>
      <c r="BT105" s="44">
        <f>IF(BT102=D104,D105,0)</f>
        <v>0</v>
      </c>
      <c r="BU105" s="44">
        <f>IF(BU102=D104,D105,0)</f>
        <v>0</v>
      </c>
      <c r="BV105" s="44">
        <f>IF(BV102=D104,D105,0)</f>
        <v>0</v>
      </c>
      <c r="BW105" s="44">
        <f>IF(BW102=D104,D105,0)</f>
        <v>0</v>
      </c>
      <c r="BX105" s="44">
        <f>IF(BX102=D104,D105,0)</f>
        <v>0</v>
      </c>
      <c r="BY105" s="44">
        <f>IF(BY102=D104,D105,0)</f>
        <v>0</v>
      </c>
      <c r="BZ105" s="44">
        <f>IF(BZ102=D104,D105,0)</f>
        <v>0</v>
      </c>
      <c r="CA105" s="44">
        <f>IF(CA102=D104,D105,0)</f>
        <v>0</v>
      </c>
      <c r="CB105" s="44">
        <f>IF(CB102=D104,D105,0)</f>
        <v>0</v>
      </c>
      <c r="CC105" s="44">
        <f>IF(CC102=D104,D105,0)</f>
        <v>0</v>
      </c>
      <c r="CD105" s="44">
        <f>IF(CD102=D104,D105,0)</f>
        <v>0</v>
      </c>
      <c r="CE105" s="44">
        <f>IF(CE102=D104,D105,0)</f>
        <v>0</v>
      </c>
      <c r="CF105" s="44">
        <f>IF(CF102=D104,D105,0)</f>
        <v>0</v>
      </c>
      <c r="CG105" s="44">
        <f>IF(CG102=D104,D105,0)</f>
        <v>0</v>
      </c>
      <c r="CH105" s="44">
        <f>IF(CH102=D104,D105,0)</f>
        <v>0</v>
      </c>
      <c r="CI105" s="44">
        <f>IF(CI102=D104,D105,0)</f>
        <v>0</v>
      </c>
      <c r="CJ105" s="44">
        <f>IF(CJ102=D104,D105,0)</f>
        <v>0</v>
      </c>
      <c r="CK105" s="44">
        <f>IF(CK102=D104,D105,0)</f>
        <v>0</v>
      </c>
      <c r="CL105" s="44">
        <f>IF(CL102=D104,D105,0)</f>
        <v>0</v>
      </c>
      <c r="CM105" s="44">
        <f>IF(CM102=D104,D105,0)</f>
        <v>0</v>
      </c>
      <c r="CN105" s="44">
        <f>IF(CN102=D104,D105,0)</f>
        <v>0</v>
      </c>
      <c r="CO105" s="44">
        <f>IF(CO102=D104,D105,0)</f>
        <v>0</v>
      </c>
      <c r="CP105" s="44">
        <f>IF(CP102=D104,D105,0)</f>
        <v>0</v>
      </c>
      <c r="CQ105" s="44">
        <f>IF(CQ102=D104,D105,0)</f>
        <v>0</v>
      </c>
      <c r="CR105" s="44">
        <f>IF(CR102=D104,D105,0)</f>
        <v>0</v>
      </c>
      <c r="CS105" s="44">
        <f>IF(CS102=D104,D105,0)</f>
        <v>0</v>
      </c>
      <c r="CT105" s="44">
        <f>IF(CT102=D104,D105,0)</f>
        <v>0</v>
      </c>
      <c r="CU105" s="44">
        <f>IF(CU102=D104,D105,0)</f>
        <v>0</v>
      </c>
      <c r="CV105" s="44">
        <f>IF(CV102=D104,D105,0)</f>
        <v>0</v>
      </c>
      <c r="CW105" s="44">
        <f>IF(CW102=D104,D105,0)</f>
        <v>0</v>
      </c>
      <c r="CX105" s="44">
        <f>IF(CX102=D104,D105,0)</f>
        <v>0</v>
      </c>
      <c r="CY105" s="44">
        <f>IF(CY102=D104,D105,0)</f>
        <v>0</v>
      </c>
      <c r="CZ105" s="44">
        <f>IF(CZ102=D104,D105,0)</f>
        <v>0</v>
      </c>
      <c r="DA105" s="44">
        <f>IF(DA102=D104,D105,0)</f>
        <v>0</v>
      </c>
      <c r="DB105" s="44">
        <f>IF(DB102=D104,D105,0)</f>
        <v>0</v>
      </c>
      <c r="DC105" s="44">
        <f>IF(DC102=D104,D105,0)</f>
        <v>0</v>
      </c>
      <c r="DD105" s="44">
        <f>IF(DD102=D104,D105,0)</f>
        <v>0</v>
      </c>
      <c r="DE105" s="44">
        <f>IF(DE102=D104,D105,0)</f>
        <v>0</v>
      </c>
      <c r="DF105" s="44">
        <f>IF(DF102=D104,D105,0)</f>
        <v>0</v>
      </c>
      <c r="DG105" s="44">
        <f>IF(DG102=D104,D105,0)</f>
        <v>0</v>
      </c>
      <c r="DH105" s="44">
        <f>IF(DH102=D104,D105,0)</f>
        <v>0</v>
      </c>
      <c r="DI105" s="44">
        <f>IF(DI102=D104,D105,0)</f>
        <v>0</v>
      </c>
      <c r="DJ105" s="44">
        <f>IF(DJ102=D104,D105,0)</f>
        <v>0</v>
      </c>
      <c r="DK105" s="44">
        <f>IF(DK102=D104,D105,0)</f>
        <v>0</v>
      </c>
      <c r="DL105" s="44">
        <f>IF(DL102=D104,D105,0)</f>
        <v>0</v>
      </c>
      <c r="DM105" s="44">
        <f>IF(DM102=D104,D105,0)</f>
        <v>0</v>
      </c>
      <c r="DN105" s="44">
        <f>IF(DN102=D104,D105,0)</f>
        <v>0</v>
      </c>
      <c r="DO105" s="44">
        <f>IF(DO102=D104,D105,0)</f>
        <v>0</v>
      </c>
      <c r="DP105" s="44">
        <f>IF(DP102=D104,D105,0)</f>
        <v>0</v>
      </c>
      <c r="DQ105" s="44">
        <f>IF(DQ102=D104,D105,0)</f>
        <v>0</v>
      </c>
      <c r="DR105" s="44">
        <f>IF(DR102=D104,D105,0)</f>
        <v>0</v>
      </c>
      <c r="DS105" s="44">
        <f>IF(DS102=D104,D105,0)</f>
        <v>0</v>
      </c>
      <c r="DT105" s="44">
        <f>IF(DT102=D104,D105,0)</f>
        <v>0</v>
      </c>
      <c r="DU105" s="44">
        <f>IF(DU102=D104,D105,0)</f>
        <v>0</v>
      </c>
      <c r="DV105" s="44">
        <f>IF(DV102=D104,D105,0)</f>
        <v>0</v>
      </c>
      <c r="DW105" s="44">
        <f>IF(DW102=D104,D105,0)</f>
        <v>0</v>
      </c>
      <c r="DX105" s="44">
        <f>IF(DX102=D104,D105,0)</f>
        <v>0</v>
      </c>
      <c r="DY105" s="44">
        <f>IF(DY102=D104,D105,0)</f>
        <v>0</v>
      </c>
      <c r="DZ105" s="44">
        <f>IF(DZ102=D104,D105,0)</f>
        <v>0</v>
      </c>
      <c r="EA105" s="44">
        <f>IF(EA102=D104,D105,0)</f>
        <v>0</v>
      </c>
      <c r="EB105" s="44">
        <f>IF(EB102=D104,D105,0)</f>
        <v>0</v>
      </c>
      <c r="EC105" s="44">
        <f>IF(EC102=D104,D105,0)</f>
        <v>0</v>
      </c>
      <c r="ED105" s="44">
        <f>IF(ED102=D104,D105,0)</f>
        <v>0</v>
      </c>
      <c r="EE105" s="44">
        <f>IF(EE102=D104,D105,0)</f>
        <v>0</v>
      </c>
      <c r="EF105" s="44">
        <f>IF(EF102=D104,D105,0)</f>
        <v>0</v>
      </c>
      <c r="EG105" s="44">
        <f>IF(EG102=D104,D105,0)</f>
        <v>0</v>
      </c>
      <c r="EH105" s="44">
        <f>IF(EH102=D104,D105,0)</f>
        <v>0</v>
      </c>
      <c r="EI105" s="44">
        <f t="shared" ref="EI105:EN105" si="199">IF(EI102=E104,E105,0)</f>
        <v>0</v>
      </c>
      <c r="EJ105" s="44">
        <f t="shared" si="199"/>
        <v>0</v>
      </c>
      <c r="EK105" s="44">
        <f t="shared" si="199"/>
        <v>0</v>
      </c>
      <c r="EL105" s="44">
        <f t="shared" si="199"/>
        <v>0</v>
      </c>
      <c r="EM105" s="44">
        <f t="shared" si="199"/>
        <v>0</v>
      </c>
      <c r="EN105" s="44">
        <f t="shared" si="199"/>
        <v>0</v>
      </c>
    </row>
    <row r="106" spans="2:144" outlineLevel="1">
      <c r="C106" s="151" t="s">
        <v>73</v>
      </c>
      <c r="D106" s="45"/>
      <c r="E106" s="44"/>
      <c r="F106" s="44"/>
      <c r="G106" s="44"/>
      <c r="H106" s="44">
        <f>(IF(H102=D104,H105,G108))</f>
        <v>0</v>
      </c>
      <c r="I106" s="44">
        <f>(IF(I102=D104,I105,H108))</f>
        <v>0</v>
      </c>
      <c r="J106" s="44">
        <f>(IF(J102=D104,J105,I108))</f>
        <v>0</v>
      </c>
      <c r="K106" s="44">
        <f>(IF(K102=D104,K105,J108))</f>
        <v>0</v>
      </c>
      <c r="L106" s="44">
        <f>(IF(L102=D104,L105,K108))</f>
        <v>0</v>
      </c>
      <c r="M106" s="44">
        <f>(IF(M102=D104,M105,L108))</f>
        <v>0</v>
      </c>
      <c r="N106" s="44">
        <f>(IF(N102=D104,N105,M108))</f>
        <v>0</v>
      </c>
      <c r="O106" s="44">
        <f>(IF(O102=D104,O105,N108))</f>
        <v>0</v>
      </c>
      <c r="P106" s="44">
        <f>(IF(P102=D104,P105,O108))</f>
        <v>0</v>
      </c>
      <c r="Q106" s="44">
        <f>(IF(Q102=D104,Q105,P108))</f>
        <v>0</v>
      </c>
      <c r="R106" s="44">
        <f>(IF(R102=D104,R105,Q108))</f>
        <v>0</v>
      </c>
      <c r="S106" s="44">
        <f>(IF(S102=D104,S105,R108))</f>
        <v>0</v>
      </c>
      <c r="T106" s="44">
        <f>(IF(T102=D104,T105,S108))</f>
        <v>0</v>
      </c>
      <c r="U106" s="44">
        <f>(IF(U102=D104,U105,T108))</f>
        <v>0</v>
      </c>
      <c r="V106" s="44">
        <f>(IF(V102=D104,V105,U108))</f>
        <v>181613949.39807203</v>
      </c>
      <c r="W106" s="44">
        <f>(IF(W102=D104,W105,V108))</f>
        <v>180100499.81975478</v>
      </c>
      <c r="X106" s="44">
        <f>(IF(X102=D104,X105,W108))</f>
        <v>178587050.24143752</v>
      </c>
      <c r="Y106" s="44">
        <f>(IF(Y102=D104,Y105,X108))</f>
        <v>177073600.66312027</v>
      </c>
      <c r="Z106" s="44">
        <f>(IF(Z102=D104,Z105,Y108))</f>
        <v>175560151.08480301</v>
      </c>
      <c r="AA106" s="44">
        <f>(IF(AA102=D104,AA105,Z108))</f>
        <v>174046701.50648576</v>
      </c>
      <c r="AB106" s="44">
        <f>(IF(AB102=D104,AB105,AA108))</f>
        <v>172533251.92816851</v>
      </c>
      <c r="AC106" s="44">
        <f>(IF(AC102=D104,AC105,AB108))</f>
        <v>171019802.34985125</v>
      </c>
      <c r="AD106" s="44">
        <f>(IF(AD102=D104,AD105,AC108))</f>
        <v>169506352.771534</v>
      </c>
      <c r="AE106" s="44">
        <f>(IF(AE102=D104,AE105,AD108))</f>
        <v>167992903.19321674</v>
      </c>
      <c r="AF106" s="44">
        <f>(IF(AF102=D104,AF105,AE108))</f>
        <v>166479453.61489949</v>
      </c>
      <c r="AG106" s="44">
        <f>(IF(AG102=D104,AG105,AF108))</f>
        <v>164966004.03658223</v>
      </c>
      <c r="AH106" s="44">
        <f>(IF(AH102=D104,AH105,AG108))</f>
        <v>163452554.45826498</v>
      </c>
      <c r="AI106" s="44">
        <f>(IF(AI102=D104,AI105,AH108))</f>
        <v>161939104.87994772</v>
      </c>
      <c r="AJ106" s="44">
        <f>(IF(AJ102=D104,AJ105,AI108))</f>
        <v>160425655.30163047</v>
      </c>
      <c r="AK106" s="44">
        <f>(IF(AK102=D104,AK105,AJ108))</f>
        <v>158912205.72331321</v>
      </c>
      <c r="AL106" s="44">
        <f>(IF(AL102=D104,AL105,AK108))</f>
        <v>157398756.14499596</v>
      </c>
      <c r="AM106" s="44">
        <f>(IF(AM102=D104,AM105,AL108))</f>
        <v>155885306.5666787</v>
      </c>
      <c r="AN106" s="44">
        <f>(IF(AN102=D104,AN105,AM108))</f>
        <v>154371856.98836145</v>
      </c>
      <c r="AO106" s="44">
        <f>(IF(AO102=D104,AO105,AN108))</f>
        <v>152858407.41004419</v>
      </c>
      <c r="AP106" s="44">
        <f>(IF(AP102=D104,AP105,AO108))</f>
        <v>151344957.83172694</v>
      </c>
      <c r="AQ106" s="44">
        <f>(IF(AQ102=D104,AQ105,AP108))</f>
        <v>149831508.25340968</v>
      </c>
      <c r="AR106" s="44">
        <f>(IF(AR102=D104,AR105,AQ108))</f>
        <v>148318058.67509243</v>
      </c>
      <c r="AS106" s="44">
        <f>(IF(AS102=D104,AS105,AR108))</f>
        <v>146804609.09677517</v>
      </c>
      <c r="AT106" s="44">
        <f>(IF(AT102=D104,AT105,AS108))</f>
        <v>145291159.51845792</v>
      </c>
      <c r="AU106" s="44">
        <f>(IF(AU102=D104,AU105,AT108))</f>
        <v>143777709.94014066</v>
      </c>
      <c r="AV106" s="44">
        <f>(IF(AV102=D104,AV105,AU108))</f>
        <v>142264260.36182341</v>
      </c>
      <c r="AW106" s="44">
        <f>(IF(AW102=D104,AW105,AV108))</f>
        <v>140750810.78350616</v>
      </c>
      <c r="AX106" s="44">
        <f>(IF(AX102=D104,AX105,AW108))</f>
        <v>139237361.2051889</v>
      </c>
      <c r="AY106" s="44">
        <f>(IF(AY102=D104,AY105,AX108))</f>
        <v>137723911.62687165</v>
      </c>
      <c r="AZ106" s="44">
        <f>(IF(AZ102=D104,AZ105,AY108))</f>
        <v>136210462.04855439</v>
      </c>
      <c r="BA106" s="44">
        <f>(IF(BA102=D104,BA105,AZ108))</f>
        <v>134697012.47023714</v>
      </c>
      <c r="BB106" s="44">
        <f>(IF(BB102=D104,BB105,BA108))</f>
        <v>133183562.89191987</v>
      </c>
      <c r="BC106" s="44">
        <f>(IF(BC102=D104,BC105,BB108))</f>
        <v>131670113.3136026</v>
      </c>
      <c r="BD106" s="44">
        <f>(IF(BD102=D104,BD105,BC108))</f>
        <v>130156663.73528533</v>
      </c>
      <c r="BE106" s="44">
        <f>(IF(BE102=D104,BE105,BD108))</f>
        <v>128643214.15696806</v>
      </c>
      <c r="BF106" s="44">
        <f>(IF(BF102=D104,BF105,BE108))</f>
        <v>127129764.57865079</v>
      </c>
      <c r="BG106" s="44">
        <f>(IF(BG102=D104,BG105,BF108))</f>
        <v>125616315.00033352</v>
      </c>
      <c r="BH106" s="44">
        <f>(IF(BH102=D104,BH105,BG108))</f>
        <v>124102865.42201625</v>
      </c>
      <c r="BI106" s="44">
        <f>(IF(BI102=D104,BI105,BH108))</f>
        <v>122589415.84369898</v>
      </c>
      <c r="BJ106" s="44">
        <f>(IF(BJ102=D104,BJ105,BI108))</f>
        <v>121075966.26538171</v>
      </c>
      <c r="BK106" s="44">
        <f>(IF(BK102=D104,BK105,BJ108))</f>
        <v>119562516.68706444</v>
      </c>
      <c r="BL106" s="44">
        <f>(IF(BL102=D104,BL105,BK108))</f>
        <v>118049067.10874717</v>
      </c>
      <c r="BM106" s="44">
        <f>(IF(BM102=D104,BM105,BL108))</f>
        <v>116535617.5304299</v>
      </c>
      <c r="BN106" s="44">
        <f>(IF(BN102=D104,BN105,BM108))</f>
        <v>115022167.95211263</v>
      </c>
      <c r="BO106" s="44">
        <f>(IF(BO102=D104,BO105,BN108))</f>
        <v>113508718.37379536</v>
      </c>
      <c r="BP106" s="44">
        <f>(IF(BP102=D104,BP105,BO108))</f>
        <v>111995268.79547809</v>
      </c>
      <c r="BQ106" s="44">
        <f>(IF(BQ102=D104,BQ105,BP108))</f>
        <v>110481819.21716082</v>
      </c>
      <c r="BR106" s="44">
        <f>(IF(BR102=D104,BR105,BQ108))</f>
        <v>108968369.63884355</v>
      </c>
      <c r="BS106" s="44">
        <f>(IF(BS102=D104,BS105,BR108))</f>
        <v>107454920.06052628</v>
      </c>
      <c r="BT106" s="44">
        <f>(IF(BT102=D104,BT105,BS108))</f>
        <v>105941470.48220901</v>
      </c>
      <c r="BU106" s="44">
        <f>(IF(BU102=D104,BU105,BT108))</f>
        <v>104428020.90389174</v>
      </c>
      <c r="BV106" s="44">
        <f>(IF(BV102=D104,BV105,BU108))</f>
        <v>102914571.32557447</v>
      </c>
      <c r="BW106" s="44">
        <f>(IF(BW102=D104,BW105,BV108))</f>
        <v>101401121.7472572</v>
      </c>
      <c r="BX106" s="44">
        <f>(IF(BX102=D104,BX105,BW108))</f>
        <v>99887672.168939933</v>
      </c>
      <c r="BY106" s="44">
        <f>(IF(BY102=D104,BY105,BX108))</f>
        <v>98374222.590622663</v>
      </c>
      <c r="BZ106" s="44">
        <f>(IF(BZ102=D104,BZ105,BY108))</f>
        <v>96860773.012305394</v>
      </c>
      <c r="CA106" s="44">
        <f>(IF(CA102=D104,CA105,BZ108))</f>
        <v>95347323.433988124</v>
      </c>
      <c r="CB106" s="44">
        <f>(IF(CB102=D104,CB105,CA108))</f>
        <v>93833873.855670854</v>
      </c>
      <c r="CC106" s="44">
        <f>(IF(CC102=D104,CC105,CB108))</f>
        <v>92320424.277353585</v>
      </c>
      <c r="CD106" s="44">
        <f>(IF(CD102=D104,CD105,CC108))</f>
        <v>90806974.699036315</v>
      </c>
      <c r="CE106" s="44">
        <f>(IF(CE102=D104,CE105,CD108))</f>
        <v>89293525.120719045</v>
      </c>
      <c r="CF106" s="44">
        <f>(IF(CF102=D104,CF105,CE108))</f>
        <v>87780075.542401776</v>
      </c>
      <c r="CG106" s="44">
        <f>(IF(CG102=D104,CG105,CF108))</f>
        <v>86266625.964084506</v>
      </c>
      <c r="CH106" s="44">
        <f>(IF(CH102=D104,CH105,CG108))</f>
        <v>84753176.385767236</v>
      </c>
      <c r="CI106" s="44">
        <f>(IF(CI102=D104,CI105,CH108))</f>
        <v>83239726.807449967</v>
      </c>
      <c r="CJ106" s="44">
        <f>(IF(CJ102=D104,CJ105,CI108))</f>
        <v>81726277.229132697</v>
      </c>
      <c r="CK106" s="44">
        <f>(IF(CK102=D104,CK105,CJ108))</f>
        <v>80212827.650815427</v>
      </c>
      <c r="CL106" s="44">
        <f>(IF(CL102=D104,CL105,CK108))</f>
        <v>78699378.072498158</v>
      </c>
      <c r="CM106" s="44">
        <f>(IF(CM102=D104,CM105,CL108))</f>
        <v>77185928.494180888</v>
      </c>
      <c r="CN106" s="44">
        <f>(IF(CN102=D104,CN105,CM108))</f>
        <v>75672478.915863618</v>
      </c>
      <c r="CO106" s="44">
        <f>(IF(CO102=D104,CO105,CN108))</f>
        <v>74159029.337546349</v>
      </c>
      <c r="CP106" s="44">
        <f>(IF(CP102=D104,CP105,CO108))</f>
        <v>72645579.759229079</v>
      </c>
      <c r="CQ106" s="44">
        <f>(IF(CQ102=D104,CQ105,CP108))</f>
        <v>71132130.180911809</v>
      </c>
      <c r="CR106" s="44">
        <f>(IF(CR102=D104,CR105,CQ108))</f>
        <v>69618680.60259454</v>
      </c>
      <c r="CS106" s="44">
        <f>(IF(CS102=D104,CS105,CR108))</f>
        <v>68105231.02427727</v>
      </c>
      <c r="CT106" s="44">
        <f>(IF(CT102=D104,CT105,CS108))</f>
        <v>66591781.44596</v>
      </c>
      <c r="CU106" s="44">
        <f>(IF(CU102=D104,CU105,CT108))</f>
        <v>65078331.86764273</v>
      </c>
      <c r="CV106" s="44">
        <f>(IF(CV102=D104,CV105,CU108))</f>
        <v>63564882.289325461</v>
      </c>
      <c r="CW106" s="44">
        <f>(IF(CW102=D104,CW105,CV108))</f>
        <v>62051432.711008191</v>
      </c>
      <c r="CX106" s="44">
        <f>(IF(CX102=D104,CX105,CW108))</f>
        <v>60537983.132690921</v>
      </c>
      <c r="CY106" s="44">
        <f>(IF(CY102=D104,CY105,CX108))</f>
        <v>59024533.554373652</v>
      </c>
      <c r="CZ106" s="44">
        <f>(IF(CZ102=D104,CZ105,CY108))</f>
        <v>57511083.976056382</v>
      </c>
      <c r="DA106" s="44">
        <f>(IF(DA102=D104,DA105,CZ108))</f>
        <v>55997634.397739112</v>
      </c>
      <c r="DB106" s="44">
        <f>(IF(DB102=D104,DB105,DA108))</f>
        <v>54484184.819421843</v>
      </c>
      <c r="DC106" s="44">
        <f>(IF(DC102=D104,DC105,DB108))</f>
        <v>52970735.241104573</v>
      </c>
      <c r="DD106" s="44">
        <f>(IF(DD102=D104,DD105,DC108))</f>
        <v>51457285.662787303</v>
      </c>
      <c r="DE106" s="44">
        <f>(IF(DE102=D104,DE105,DD108))</f>
        <v>49943836.084470034</v>
      </c>
      <c r="DF106" s="44">
        <f>(IF(DF102=D104,DF105,DE108))</f>
        <v>48430386.506152764</v>
      </c>
      <c r="DG106" s="44">
        <f>(IF(DG102=D104,DG105,DF108))</f>
        <v>46916936.927835494</v>
      </c>
      <c r="DH106" s="44">
        <f>(IF(DH102=D104,DH105,DG108))</f>
        <v>45403487.349518225</v>
      </c>
      <c r="DI106" s="44">
        <f>(IF(DI102=D104,DI105,DH108))</f>
        <v>43890037.771200955</v>
      </c>
      <c r="DJ106" s="44">
        <f>(IF(DJ102=D104,DJ105,DI108))</f>
        <v>42376588.192883685</v>
      </c>
      <c r="DK106" s="44">
        <f>(IF(DK102=D104,DK105,DJ108))</f>
        <v>40863138.614566416</v>
      </c>
      <c r="DL106" s="44">
        <f>(IF(DL102=D104,DL105,DK108))</f>
        <v>39349689.036249146</v>
      </c>
      <c r="DM106" s="44">
        <f>(IF(DM102=D104,DM105,DL108))</f>
        <v>37836239.457931876</v>
      </c>
      <c r="DN106" s="44">
        <f>(IF(DN102=D104,DN105,DM108))</f>
        <v>36322789.879614606</v>
      </c>
      <c r="DO106" s="44">
        <f>(IF(DO102=D104,DO105,DN108))</f>
        <v>34809340.301297337</v>
      </c>
      <c r="DP106" s="44">
        <f>(IF(DP102=D104,DP105,DO108))</f>
        <v>33295890.722980071</v>
      </c>
      <c r="DQ106" s="44">
        <f>(IF(DQ102=D104,DQ105,DP108))</f>
        <v>31782441.144662805</v>
      </c>
      <c r="DR106" s="44">
        <f>(IF(DR102=D104,DR105,DQ108))</f>
        <v>30268991.566345539</v>
      </c>
      <c r="DS106" s="44">
        <f>(IF(DS102=D104,DS105,DR108))</f>
        <v>28755541.988028273</v>
      </c>
      <c r="DT106" s="44">
        <f>(IF(DT102=D104,DT105,DS108))</f>
        <v>27242092.409711007</v>
      </c>
      <c r="DU106" s="44">
        <f>(IF(DU102=D104,DU105,DT108))</f>
        <v>25728642.831393741</v>
      </c>
      <c r="DV106" s="44">
        <f>(IF(DV102=D104,DV105,DU108))</f>
        <v>24215193.253076475</v>
      </c>
      <c r="DW106" s="44">
        <f>(IF(DW102=D104,DW105,DV108))</f>
        <v>22701743.674759209</v>
      </c>
      <c r="DX106" s="44">
        <f>(IF(DX102=D104,DX105,DW108))</f>
        <v>21188294.096441943</v>
      </c>
      <c r="DY106" s="44">
        <f>(IF(DY102=D104,DY105,DX108))</f>
        <v>19674844.518124677</v>
      </c>
      <c r="DZ106" s="44">
        <f>(IF(DZ102=D104,DZ105,DY108))</f>
        <v>18161394.939807411</v>
      </c>
      <c r="EA106" s="44">
        <f>(IF(EA102=D104,EA105,DZ108))</f>
        <v>16647945.361490145</v>
      </c>
      <c r="EB106" s="44">
        <f>(IF(EB102=D104,EB105,EA108))</f>
        <v>15134495.783172879</v>
      </c>
      <c r="EC106" s="44">
        <f>(IF(EC102=D104,EC105,EB108))</f>
        <v>13621046.204855613</v>
      </c>
      <c r="ED106" s="44">
        <f>(IF(ED102=D104,ED105,EC108))</f>
        <v>12107596.626538347</v>
      </c>
      <c r="EE106" s="44">
        <f>(IF(EE102=D104,EE105,ED108))</f>
        <v>10594147.048221081</v>
      </c>
      <c r="EF106" s="44">
        <f>(IF(EF102=D104,EF105,EE108))</f>
        <v>9080697.4699038155</v>
      </c>
      <c r="EG106" s="44">
        <f>(IF(EG102=D104,EG105,EF108))</f>
        <v>7567247.8915865486</v>
      </c>
      <c r="EH106" s="44">
        <f>(IF(EH102=D104,EH105,EG108))</f>
        <v>6053798.3132692818</v>
      </c>
      <c r="EI106" s="44">
        <f t="shared" ref="EI106:EN106" si="200">(IF(EI102=E104,EI105,EH108))</f>
        <v>4540348.7349520149</v>
      </c>
      <c r="EJ106" s="44">
        <f t="shared" si="200"/>
        <v>3026899.156634748</v>
      </c>
      <c r="EK106" s="44">
        <f t="shared" si="200"/>
        <v>1513449.5783174811</v>
      </c>
      <c r="EL106" s="44">
        <f t="shared" si="200"/>
        <v>2.1420419216156006E-7</v>
      </c>
      <c r="EM106" s="44">
        <f t="shared" si="200"/>
        <v>2.1420419216156006E-7</v>
      </c>
      <c r="EN106" s="44">
        <f t="shared" si="200"/>
        <v>2.1420419216156006E-7</v>
      </c>
    </row>
    <row r="107" spans="2:144" outlineLevel="1">
      <c r="B107" s="459">
        <f>SUM(H107:XX107)</f>
        <v>181613949.39807183</v>
      </c>
      <c r="C107" s="151" t="s">
        <v>24</v>
      </c>
      <c r="D107" s="467">
        <f>SUMIF($C$4:$C$18,B104,$J$4:$J$18)</f>
        <v>30</v>
      </c>
      <c r="E107" s="468">
        <f>1/D107</f>
        <v>3.3333333333333333E-2</v>
      </c>
      <c r="F107" s="44">
        <f>D105*E107</f>
        <v>6053798.3132690676</v>
      </c>
      <c r="G107" s="44"/>
      <c r="H107" s="44">
        <f>IF(H106&gt;1,$F107/4,0)</f>
        <v>0</v>
      </c>
      <c r="I107" s="44">
        <f t="shared" ref="I107:BT107" si="201">IF(I106&gt;1,$F107/4,0)</f>
        <v>0</v>
      </c>
      <c r="J107" s="44">
        <f t="shared" si="201"/>
        <v>0</v>
      </c>
      <c r="K107" s="44">
        <f t="shared" si="201"/>
        <v>0</v>
      </c>
      <c r="L107" s="44">
        <f t="shared" si="201"/>
        <v>0</v>
      </c>
      <c r="M107" s="44">
        <f t="shared" si="201"/>
        <v>0</v>
      </c>
      <c r="N107" s="44">
        <f t="shared" si="201"/>
        <v>0</v>
      </c>
      <c r="O107" s="44">
        <f t="shared" si="201"/>
        <v>0</v>
      </c>
      <c r="P107" s="44">
        <f t="shared" si="201"/>
        <v>0</v>
      </c>
      <c r="Q107" s="44">
        <f t="shared" si="201"/>
        <v>0</v>
      </c>
      <c r="R107" s="44">
        <f t="shared" si="201"/>
        <v>0</v>
      </c>
      <c r="S107" s="44">
        <f t="shared" si="201"/>
        <v>0</v>
      </c>
      <c r="T107" s="44">
        <f t="shared" si="201"/>
        <v>0</v>
      </c>
      <c r="U107" s="44">
        <f t="shared" si="201"/>
        <v>0</v>
      </c>
      <c r="V107" s="44">
        <f t="shared" si="201"/>
        <v>1513449.5783172669</v>
      </c>
      <c r="W107" s="44">
        <f t="shared" si="201"/>
        <v>1513449.5783172669</v>
      </c>
      <c r="X107" s="44">
        <f t="shared" si="201"/>
        <v>1513449.5783172669</v>
      </c>
      <c r="Y107" s="44">
        <f t="shared" si="201"/>
        <v>1513449.5783172669</v>
      </c>
      <c r="Z107" s="44">
        <f t="shared" si="201"/>
        <v>1513449.5783172669</v>
      </c>
      <c r="AA107" s="44">
        <f t="shared" si="201"/>
        <v>1513449.5783172669</v>
      </c>
      <c r="AB107" s="44">
        <f t="shared" si="201"/>
        <v>1513449.5783172669</v>
      </c>
      <c r="AC107" s="44">
        <f t="shared" si="201"/>
        <v>1513449.5783172669</v>
      </c>
      <c r="AD107" s="44">
        <f t="shared" si="201"/>
        <v>1513449.5783172669</v>
      </c>
      <c r="AE107" s="44">
        <f t="shared" si="201"/>
        <v>1513449.5783172669</v>
      </c>
      <c r="AF107" s="44">
        <f t="shared" si="201"/>
        <v>1513449.5783172669</v>
      </c>
      <c r="AG107" s="44">
        <f t="shared" si="201"/>
        <v>1513449.5783172669</v>
      </c>
      <c r="AH107" s="44">
        <f t="shared" si="201"/>
        <v>1513449.5783172669</v>
      </c>
      <c r="AI107" s="44">
        <f t="shared" si="201"/>
        <v>1513449.5783172669</v>
      </c>
      <c r="AJ107" s="44">
        <f t="shared" si="201"/>
        <v>1513449.5783172669</v>
      </c>
      <c r="AK107" s="44">
        <f t="shared" si="201"/>
        <v>1513449.5783172669</v>
      </c>
      <c r="AL107" s="44">
        <f t="shared" si="201"/>
        <v>1513449.5783172669</v>
      </c>
      <c r="AM107" s="44">
        <f t="shared" si="201"/>
        <v>1513449.5783172669</v>
      </c>
      <c r="AN107" s="44">
        <f t="shared" si="201"/>
        <v>1513449.5783172669</v>
      </c>
      <c r="AO107" s="44">
        <f t="shared" si="201"/>
        <v>1513449.5783172669</v>
      </c>
      <c r="AP107" s="44">
        <f t="shared" si="201"/>
        <v>1513449.5783172669</v>
      </c>
      <c r="AQ107" s="44">
        <f t="shared" si="201"/>
        <v>1513449.5783172669</v>
      </c>
      <c r="AR107" s="44">
        <f t="shared" si="201"/>
        <v>1513449.5783172669</v>
      </c>
      <c r="AS107" s="44">
        <f t="shared" si="201"/>
        <v>1513449.5783172669</v>
      </c>
      <c r="AT107" s="44">
        <f t="shared" si="201"/>
        <v>1513449.5783172669</v>
      </c>
      <c r="AU107" s="44">
        <f t="shared" si="201"/>
        <v>1513449.5783172669</v>
      </c>
      <c r="AV107" s="44">
        <f t="shared" si="201"/>
        <v>1513449.5783172669</v>
      </c>
      <c r="AW107" s="44">
        <f t="shared" si="201"/>
        <v>1513449.5783172669</v>
      </c>
      <c r="AX107" s="44">
        <f t="shared" si="201"/>
        <v>1513449.5783172669</v>
      </c>
      <c r="AY107" s="44">
        <f t="shared" si="201"/>
        <v>1513449.5783172669</v>
      </c>
      <c r="AZ107" s="44">
        <f t="shared" si="201"/>
        <v>1513449.5783172669</v>
      </c>
      <c r="BA107" s="44">
        <f t="shared" si="201"/>
        <v>1513449.5783172669</v>
      </c>
      <c r="BB107" s="44">
        <f t="shared" si="201"/>
        <v>1513449.5783172669</v>
      </c>
      <c r="BC107" s="44">
        <f t="shared" si="201"/>
        <v>1513449.5783172669</v>
      </c>
      <c r="BD107" s="44">
        <f t="shared" si="201"/>
        <v>1513449.5783172669</v>
      </c>
      <c r="BE107" s="44">
        <f t="shared" si="201"/>
        <v>1513449.5783172669</v>
      </c>
      <c r="BF107" s="44">
        <f t="shared" si="201"/>
        <v>1513449.5783172669</v>
      </c>
      <c r="BG107" s="44">
        <f t="shared" si="201"/>
        <v>1513449.5783172669</v>
      </c>
      <c r="BH107" s="44">
        <f t="shared" si="201"/>
        <v>1513449.5783172669</v>
      </c>
      <c r="BI107" s="44">
        <f t="shared" si="201"/>
        <v>1513449.5783172669</v>
      </c>
      <c r="BJ107" s="44">
        <f t="shared" si="201"/>
        <v>1513449.5783172669</v>
      </c>
      <c r="BK107" s="44">
        <f t="shared" si="201"/>
        <v>1513449.5783172669</v>
      </c>
      <c r="BL107" s="44">
        <f t="shared" si="201"/>
        <v>1513449.5783172669</v>
      </c>
      <c r="BM107" s="44">
        <f t="shared" si="201"/>
        <v>1513449.5783172669</v>
      </c>
      <c r="BN107" s="44">
        <f t="shared" si="201"/>
        <v>1513449.5783172669</v>
      </c>
      <c r="BO107" s="44">
        <f t="shared" si="201"/>
        <v>1513449.5783172669</v>
      </c>
      <c r="BP107" s="44">
        <f t="shared" si="201"/>
        <v>1513449.5783172669</v>
      </c>
      <c r="BQ107" s="44">
        <f t="shared" si="201"/>
        <v>1513449.5783172669</v>
      </c>
      <c r="BR107" s="44">
        <f t="shared" si="201"/>
        <v>1513449.5783172669</v>
      </c>
      <c r="BS107" s="44">
        <f t="shared" si="201"/>
        <v>1513449.5783172669</v>
      </c>
      <c r="BT107" s="44">
        <f t="shared" si="201"/>
        <v>1513449.5783172669</v>
      </c>
      <c r="BU107" s="44">
        <f t="shared" ref="BU107:EF107" si="202">IF(BU106&gt;1,$F107/4,0)</f>
        <v>1513449.5783172669</v>
      </c>
      <c r="BV107" s="44">
        <f t="shared" si="202"/>
        <v>1513449.5783172669</v>
      </c>
      <c r="BW107" s="44">
        <f t="shared" si="202"/>
        <v>1513449.5783172669</v>
      </c>
      <c r="BX107" s="44">
        <f t="shared" si="202"/>
        <v>1513449.5783172669</v>
      </c>
      <c r="BY107" s="44">
        <f t="shared" si="202"/>
        <v>1513449.5783172669</v>
      </c>
      <c r="BZ107" s="44">
        <f t="shared" si="202"/>
        <v>1513449.5783172669</v>
      </c>
      <c r="CA107" s="44">
        <f t="shared" si="202"/>
        <v>1513449.5783172669</v>
      </c>
      <c r="CB107" s="44">
        <f t="shared" si="202"/>
        <v>1513449.5783172669</v>
      </c>
      <c r="CC107" s="44">
        <f t="shared" si="202"/>
        <v>1513449.5783172669</v>
      </c>
      <c r="CD107" s="44">
        <f t="shared" si="202"/>
        <v>1513449.5783172669</v>
      </c>
      <c r="CE107" s="44">
        <f t="shared" si="202"/>
        <v>1513449.5783172669</v>
      </c>
      <c r="CF107" s="44">
        <f t="shared" si="202"/>
        <v>1513449.5783172669</v>
      </c>
      <c r="CG107" s="44">
        <f t="shared" si="202"/>
        <v>1513449.5783172669</v>
      </c>
      <c r="CH107" s="44">
        <f t="shared" si="202"/>
        <v>1513449.5783172669</v>
      </c>
      <c r="CI107" s="44">
        <f t="shared" si="202"/>
        <v>1513449.5783172669</v>
      </c>
      <c r="CJ107" s="44">
        <f t="shared" si="202"/>
        <v>1513449.5783172669</v>
      </c>
      <c r="CK107" s="44">
        <f t="shared" si="202"/>
        <v>1513449.5783172669</v>
      </c>
      <c r="CL107" s="44">
        <f t="shared" si="202"/>
        <v>1513449.5783172669</v>
      </c>
      <c r="CM107" s="44">
        <f t="shared" si="202"/>
        <v>1513449.5783172669</v>
      </c>
      <c r="CN107" s="44">
        <f t="shared" si="202"/>
        <v>1513449.5783172669</v>
      </c>
      <c r="CO107" s="44">
        <f t="shared" si="202"/>
        <v>1513449.5783172669</v>
      </c>
      <c r="CP107" s="44">
        <f t="shared" si="202"/>
        <v>1513449.5783172669</v>
      </c>
      <c r="CQ107" s="44">
        <f t="shared" si="202"/>
        <v>1513449.5783172669</v>
      </c>
      <c r="CR107" s="44">
        <f t="shared" si="202"/>
        <v>1513449.5783172669</v>
      </c>
      <c r="CS107" s="44">
        <f t="shared" si="202"/>
        <v>1513449.5783172669</v>
      </c>
      <c r="CT107" s="44">
        <f t="shared" si="202"/>
        <v>1513449.5783172669</v>
      </c>
      <c r="CU107" s="44">
        <f t="shared" si="202"/>
        <v>1513449.5783172669</v>
      </c>
      <c r="CV107" s="44">
        <f t="shared" si="202"/>
        <v>1513449.5783172669</v>
      </c>
      <c r="CW107" s="44">
        <f t="shared" si="202"/>
        <v>1513449.5783172669</v>
      </c>
      <c r="CX107" s="44">
        <f t="shared" si="202"/>
        <v>1513449.5783172669</v>
      </c>
      <c r="CY107" s="44">
        <f t="shared" si="202"/>
        <v>1513449.5783172669</v>
      </c>
      <c r="CZ107" s="44">
        <f t="shared" si="202"/>
        <v>1513449.5783172669</v>
      </c>
      <c r="DA107" s="44">
        <f t="shared" si="202"/>
        <v>1513449.5783172669</v>
      </c>
      <c r="DB107" s="44">
        <f t="shared" si="202"/>
        <v>1513449.5783172669</v>
      </c>
      <c r="DC107" s="44">
        <f t="shared" si="202"/>
        <v>1513449.5783172669</v>
      </c>
      <c r="DD107" s="44">
        <f t="shared" si="202"/>
        <v>1513449.5783172669</v>
      </c>
      <c r="DE107" s="44">
        <f t="shared" si="202"/>
        <v>1513449.5783172669</v>
      </c>
      <c r="DF107" s="44">
        <f t="shared" si="202"/>
        <v>1513449.5783172669</v>
      </c>
      <c r="DG107" s="44">
        <f t="shared" si="202"/>
        <v>1513449.5783172669</v>
      </c>
      <c r="DH107" s="44">
        <f t="shared" si="202"/>
        <v>1513449.5783172669</v>
      </c>
      <c r="DI107" s="44">
        <f t="shared" si="202"/>
        <v>1513449.5783172669</v>
      </c>
      <c r="DJ107" s="44">
        <f t="shared" si="202"/>
        <v>1513449.5783172669</v>
      </c>
      <c r="DK107" s="44">
        <f t="shared" si="202"/>
        <v>1513449.5783172669</v>
      </c>
      <c r="DL107" s="44">
        <f t="shared" si="202"/>
        <v>1513449.5783172669</v>
      </c>
      <c r="DM107" s="44">
        <f t="shared" si="202"/>
        <v>1513449.5783172669</v>
      </c>
      <c r="DN107" s="44">
        <f t="shared" si="202"/>
        <v>1513449.5783172669</v>
      </c>
      <c r="DO107" s="44">
        <f t="shared" si="202"/>
        <v>1513449.5783172669</v>
      </c>
      <c r="DP107" s="44">
        <f t="shared" si="202"/>
        <v>1513449.5783172669</v>
      </c>
      <c r="DQ107" s="44">
        <f t="shared" si="202"/>
        <v>1513449.5783172669</v>
      </c>
      <c r="DR107" s="44">
        <f t="shared" si="202"/>
        <v>1513449.5783172669</v>
      </c>
      <c r="DS107" s="44">
        <f t="shared" si="202"/>
        <v>1513449.5783172669</v>
      </c>
      <c r="DT107" s="44">
        <f t="shared" si="202"/>
        <v>1513449.5783172669</v>
      </c>
      <c r="DU107" s="44">
        <f t="shared" si="202"/>
        <v>1513449.5783172669</v>
      </c>
      <c r="DV107" s="44">
        <f t="shared" si="202"/>
        <v>1513449.5783172669</v>
      </c>
      <c r="DW107" s="44">
        <f t="shared" si="202"/>
        <v>1513449.5783172669</v>
      </c>
      <c r="DX107" s="44">
        <f t="shared" si="202"/>
        <v>1513449.5783172669</v>
      </c>
      <c r="DY107" s="44">
        <f t="shared" si="202"/>
        <v>1513449.5783172669</v>
      </c>
      <c r="DZ107" s="44">
        <f t="shared" si="202"/>
        <v>1513449.5783172669</v>
      </c>
      <c r="EA107" s="44">
        <f t="shared" si="202"/>
        <v>1513449.5783172669</v>
      </c>
      <c r="EB107" s="44">
        <f t="shared" si="202"/>
        <v>1513449.5783172669</v>
      </c>
      <c r="EC107" s="44">
        <f t="shared" si="202"/>
        <v>1513449.5783172669</v>
      </c>
      <c r="ED107" s="44">
        <f t="shared" si="202"/>
        <v>1513449.5783172669</v>
      </c>
      <c r="EE107" s="44">
        <f t="shared" si="202"/>
        <v>1513449.5783172669</v>
      </c>
      <c r="EF107" s="44">
        <f t="shared" si="202"/>
        <v>1513449.5783172669</v>
      </c>
      <c r="EG107" s="44">
        <f t="shared" ref="EG107:EN107" si="203">IF(EG106&gt;1,$F107/4,0)</f>
        <v>1513449.5783172669</v>
      </c>
      <c r="EH107" s="44">
        <f t="shared" si="203"/>
        <v>1513449.5783172669</v>
      </c>
      <c r="EI107" s="44">
        <f t="shared" si="203"/>
        <v>1513449.5783172669</v>
      </c>
      <c r="EJ107" s="44">
        <f t="shared" si="203"/>
        <v>1513449.5783172669</v>
      </c>
      <c r="EK107" s="44">
        <f t="shared" si="203"/>
        <v>1513449.5783172669</v>
      </c>
      <c r="EL107" s="44">
        <f t="shared" si="203"/>
        <v>0</v>
      </c>
      <c r="EM107" s="44">
        <f t="shared" si="203"/>
        <v>0</v>
      </c>
      <c r="EN107" s="44">
        <f t="shared" si="203"/>
        <v>0</v>
      </c>
    </row>
    <row r="108" spans="2:144" outlineLevel="1">
      <c r="B108" s="459">
        <f>D105-B107</f>
        <v>0</v>
      </c>
      <c r="C108" s="151" t="s">
        <v>74</v>
      </c>
      <c r="D108" s="44"/>
      <c r="E108" s="44"/>
      <c r="F108" s="44"/>
      <c r="G108" s="44"/>
      <c r="H108" s="44">
        <f>IF((H106-H107)&gt;0,(H106-H107),0)</f>
        <v>0</v>
      </c>
      <c r="I108" s="44">
        <f t="shared" ref="I108:BT108" si="204">IF((I106-I107)&gt;0,(I106-I107),0)</f>
        <v>0</v>
      </c>
      <c r="J108" s="44">
        <f t="shared" si="204"/>
        <v>0</v>
      </c>
      <c r="K108" s="44">
        <f t="shared" si="204"/>
        <v>0</v>
      </c>
      <c r="L108" s="44">
        <f t="shared" si="204"/>
        <v>0</v>
      </c>
      <c r="M108" s="44">
        <f t="shared" si="204"/>
        <v>0</v>
      </c>
      <c r="N108" s="44">
        <f t="shared" si="204"/>
        <v>0</v>
      </c>
      <c r="O108" s="44">
        <f t="shared" si="204"/>
        <v>0</v>
      </c>
      <c r="P108" s="44">
        <f t="shared" si="204"/>
        <v>0</v>
      </c>
      <c r="Q108" s="44">
        <f t="shared" si="204"/>
        <v>0</v>
      </c>
      <c r="R108" s="44">
        <f t="shared" si="204"/>
        <v>0</v>
      </c>
      <c r="S108" s="44">
        <f t="shared" si="204"/>
        <v>0</v>
      </c>
      <c r="T108" s="44">
        <f t="shared" si="204"/>
        <v>0</v>
      </c>
      <c r="U108" s="44">
        <f t="shared" si="204"/>
        <v>0</v>
      </c>
      <c r="V108" s="44">
        <f t="shared" si="204"/>
        <v>180100499.81975478</v>
      </c>
      <c r="W108" s="44">
        <f t="shared" si="204"/>
        <v>178587050.24143752</v>
      </c>
      <c r="X108" s="44">
        <f t="shared" si="204"/>
        <v>177073600.66312027</v>
      </c>
      <c r="Y108" s="44">
        <f t="shared" si="204"/>
        <v>175560151.08480301</v>
      </c>
      <c r="Z108" s="44">
        <f t="shared" si="204"/>
        <v>174046701.50648576</v>
      </c>
      <c r="AA108" s="44">
        <f t="shared" si="204"/>
        <v>172533251.92816851</v>
      </c>
      <c r="AB108" s="44">
        <f t="shared" si="204"/>
        <v>171019802.34985125</v>
      </c>
      <c r="AC108" s="44">
        <f t="shared" si="204"/>
        <v>169506352.771534</v>
      </c>
      <c r="AD108" s="44">
        <f t="shared" si="204"/>
        <v>167992903.19321674</v>
      </c>
      <c r="AE108" s="44">
        <f t="shared" si="204"/>
        <v>166479453.61489949</v>
      </c>
      <c r="AF108" s="44">
        <f t="shared" si="204"/>
        <v>164966004.03658223</v>
      </c>
      <c r="AG108" s="44">
        <f t="shared" si="204"/>
        <v>163452554.45826498</v>
      </c>
      <c r="AH108" s="44">
        <f t="shared" si="204"/>
        <v>161939104.87994772</v>
      </c>
      <c r="AI108" s="44">
        <f t="shared" si="204"/>
        <v>160425655.30163047</v>
      </c>
      <c r="AJ108" s="44">
        <f t="shared" si="204"/>
        <v>158912205.72331321</v>
      </c>
      <c r="AK108" s="44">
        <f t="shared" si="204"/>
        <v>157398756.14499596</v>
      </c>
      <c r="AL108" s="44">
        <f t="shared" si="204"/>
        <v>155885306.5666787</v>
      </c>
      <c r="AM108" s="44">
        <f t="shared" si="204"/>
        <v>154371856.98836145</v>
      </c>
      <c r="AN108" s="44">
        <f t="shared" si="204"/>
        <v>152858407.41004419</v>
      </c>
      <c r="AO108" s="44">
        <f t="shared" si="204"/>
        <v>151344957.83172694</v>
      </c>
      <c r="AP108" s="44">
        <f t="shared" si="204"/>
        <v>149831508.25340968</v>
      </c>
      <c r="AQ108" s="44">
        <f t="shared" si="204"/>
        <v>148318058.67509243</v>
      </c>
      <c r="AR108" s="44">
        <f t="shared" si="204"/>
        <v>146804609.09677517</v>
      </c>
      <c r="AS108" s="44">
        <f t="shared" si="204"/>
        <v>145291159.51845792</v>
      </c>
      <c r="AT108" s="44">
        <f t="shared" si="204"/>
        <v>143777709.94014066</v>
      </c>
      <c r="AU108" s="44">
        <f t="shared" si="204"/>
        <v>142264260.36182341</v>
      </c>
      <c r="AV108" s="44">
        <f t="shared" si="204"/>
        <v>140750810.78350616</v>
      </c>
      <c r="AW108" s="44">
        <f t="shared" si="204"/>
        <v>139237361.2051889</v>
      </c>
      <c r="AX108" s="44">
        <f t="shared" si="204"/>
        <v>137723911.62687165</v>
      </c>
      <c r="AY108" s="44">
        <f t="shared" si="204"/>
        <v>136210462.04855439</v>
      </c>
      <c r="AZ108" s="44">
        <f t="shared" si="204"/>
        <v>134697012.47023714</v>
      </c>
      <c r="BA108" s="44">
        <f t="shared" si="204"/>
        <v>133183562.89191987</v>
      </c>
      <c r="BB108" s="44">
        <f t="shared" si="204"/>
        <v>131670113.3136026</v>
      </c>
      <c r="BC108" s="44">
        <f t="shared" si="204"/>
        <v>130156663.73528533</v>
      </c>
      <c r="BD108" s="44">
        <f t="shared" si="204"/>
        <v>128643214.15696806</v>
      </c>
      <c r="BE108" s="44">
        <f t="shared" si="204"/>
        <v>127129764.57865079</v>
      </c>
      <c r="BF108" s="44">
        <f t="shared" si="204"/>
        <v>125616315.00033352</v>
      </c>
      <c r="BG108" s="44">
        <f t="shared" si="204"/>
        <v>124102865.42201625</v>
      </c>
      <c r="BH108" s="44">
        <f t="shared" si="204"/>
        <v>122589415.84369898</v>
      </c>
      <c r="BI108" s="44">
        <f t="shared" si="204"/>
        <v>121075966.26538171</v>
      </c>
      <c r="BJ108" s="44">
        <f t="shared" si="204"/>
        <v>119562516.68706444</v>
      </c>
      <c r="BK108" s="44">
        <f t="shared" si="204"/>
        <v>118049067.10874717</v>
      </c>
      <c r="BL108" s="44">
        <f t="shared" si="204"/>
        <v>116535617.5304299</v>
      </c>
      <c r="BM108" s="44">
        <f t="shared" si="204"/>
        <v>115022167.95211263</v>
      </c>
      <c r="BN108" s="44">
        <f t="shared" si="204"/>
        <v>113508718.37379536</v>
      </c>
      <c r="BO108" s="44">
        <f t="shared" si="204"/>
        <v>111995268.79547809</v>
      </c>
      <c r="BP108" s="44">
        <f t="shared" si="204"/>
        <v>110481819.21716082</v>
      </c>
      <c r="BQ108" s="44">
        <f t="shared" si="204"/>
        <v>108968369.63884355</v>
      </c>
      <c r="BR108" s="44">
        <f t="shared" si="204"/>
        <v>107454920.06052628</v>
      </c>
      <c r="BS108" s="44">
        <f t="shared" si="204"/>
        <v>105941470.48220901</v>
      </c>
      <c r="BT108" s="44">
        <f t="shared" si="204"/>
        <v>104428020.90389174</v>
      </c>
      <c r="BU108" s="44">
        <f t="shared" ref="BU108:EF108" si="205">IF((BU106-BU107)&gt;0,(BU106-BU107),0)</f>
        <v>102914571.32557447</v>
      </c>
      <c r="BV108" s="44">
        <f t="shared" si="205"/>
        <v>101401121.7472572</v>
      </c>
      <c r="BW108" s="44">
        <f t="shared" si="205"/>
        <v>99887672.168939933</v>
      </c>
      <c r="BX108" s="44">
        <f t="shared" si="205"/>
        <v>98374222.590622663</v>
      </c>
      <c r="BY108" s="44">
        <f t="shared" si="205"/>
        <v>96860773.012305394</v>
      </c>
      <c r="BZ108" s="44">
        <f t="shared" si="205"/>
        <v>95347323.433988124</v>
      </c>
      <c r="CA108" s="44">
        <f t="shared" si="205"/>
        <v>93833873.855670854</v>
      </c>
      <c r="CB108" s="44">
        <f t="shared" si="205"/>
        <v>92320424.277353585</v>
      </c>
      <c r="CC108" s="44">
        <f t="shared" si="205"/>
        <v>90806974.699036315</v>
      </c>
      <c r="CD108" s="44">
        <f t="shared" si="205"/>
        <v>89293525.120719045</v>
      </c>
      <c r="CE108" s="44">
        <f t="shared" si="205"/>
        <v>87780075.542401776</v>
      </c>
      <c r="CF108" s="44">
        <f t="shared" si="205"/>
        <v>86266625.964084506</v>
      </c>
      <c r="CG108" s="44">
        <f t="shared" si="205"/>
        <v>84753176.385767236</v>
      </c>
      <c r="CH108" s="44">
        <f t="shared" si="205"/>
        <v>83239726.807449967</v>
      </c>
      <c r="CI108" s="44">
        <f t="shared" si="205"/>
        <v>81726277.229132697</v>
      </c>
      <c r="CJ108" s="44">
        <f t="shared" si="205"/>
        <v>80212827.650815427</v>
      </c>
      <c r="CK108" s="44">
        <f t="shared" si="205"/>
        <v>78699378.072498158</v>
      </c>
      <c r="CL108" s="44">
        <f t="shared" si="205"/>
        <v>77185928.494180888</v>
      </c>
      <c r="CM108" s="44">
        <f t="shared" si="205"/>
        <v>75672478.915863618</v>
      </c>
      <c r="CN108" s="44">
        <f t="shared" si="205"/>
        <v>74159029.337546349</v>
      </c>
      <c r="CO108" s="44">
        <f t="shared" si="205"/>
        <v>72645579.759229079</v>
      </c>
      <c r="CP108" s="44">
        <f t="shared" si="205"/>
        <v>71132130.180911809</v>
      </c>
      <c r="CQ108" s="44">
        <f t="shared" si="205"/>
        <v>69618680.60259454</v>
      </c>
      <c r="CR108" s="44">
        <f t="shared" si="205"/>
        <v>68105231.02427727</v>
      </c>
      <c r="CS108" s="44">
        <f t="shared" si="205"/>
        <v>66591781.44596</v>
      </c>
      <c r="CT108" s="44">
        <f t="shared" si="205"/>
        <v>65078331.86764273</v>
      </c>
      <c r="CU108" s="44">
        <f t="shared" si="205"/>
        <v>63564882.289325461</v>
      </c>
      <c r="CV108" s="44">
        <f t="shared" si="205"/>
        <v>62051432.711008191</v>
      </c>
      <c r="CW108" s="44">
        <f t="shared" si="205"/>
        <v>60537983.132690921</v>
      </c>
      <c r="CX108" s="44">
        <f t="shared" si="205"/>
        <v>59024533.554373652</v>
      </c>
      <c r="CY108" s="44">
        <f t="shared" si="205"/>
        <v>57511083.976056382</v>
      </c>
      <c r="CZ108" s="44">
        <f t="shared" si="205"/>
        <v>55997634.397739112</v>
      </c>
      <c r="DA108" s="44">
        <f t="shared" si="205"/>
        <v>54484184.819421843</v>
      </c>
      <c r="DB108" s="44">
        <f t="shared" si="205"/>
        <v>52970735.241104573</v>
      </c>
      <c r="DC108" s="44">
        <f t="shared" si="205"/>
        <v>51457285.662787303</v>
      </c>
      <c r="DD108" s="44">
        <f t="shared" si="205"/>
        <v>49943836.084470034</v>
      </c>
      <c r="DE108" s="44">
        <f t="shared" si="205"/>
        <v>48430386.506152764</v>
      </c>
      <c r="DF108" s="44">
        <f t="shared" si="205"/>
        <v>46916936.927835494</v>
      </c>
      <c r="DG108" s="44">
        <f t="shared" si="205"/>
        <v>45403487.349518225</v>
      </c>
      <c r="DH108" s="44">
        <f t="shared" si="205"/>
        <v>43890037.771200955</v>
      </c>
      <c r="DI108" s="44">
        <f t="shared" si="205"/>
        <v>42376588.192883685</v>
      </c>
      <c r="DJ108" s="44">
        <f t="shared" si="205"/>
        <v>40863138.614566416</v>
      </c>
      <c r="DK108" s="44">
        <f t="shared" si="205"/>
        <v>39349689.036249146</v>
      </c>
      <c r="DL108" s="44">
        <f t="shared" si="205"/>
        <v>37836239.457931876</v>
      </c>
      <c r="DM108" s="44">
        <f t="shared" si="205"/>
        <v>36322789.879614606</v>
      </c>
      <c r="DN108" s="44">
        <f t="shared" si="205"/>
        <v>34809340.301297337</v>
      </c>
      <c r="DO108" s="44">
        <f t="shared" si="205"/>
        <v>33295890.722980071</v>
      </c>
      <c r="DP108" s="44">
        <f t="shared" si="205"/>
        <v>31782441.144662805</v>
      </c>
      <c r="DQ108" s="44">
        <f t="shared" si="205"/>
        <v>30268991.566345539</v>
      </c>
      <c r="DR108" s="44">
        <f t="shared" si="205"/>
        <v>28755541.988028273</v>
      </c>
      <c r="DS108" s="44">
        <f t="shared" si="205"/>
        <v>27242092.409711007</v>
      </c>
      <c r="DT108" s="44">
        <f t="shared" si="205"/>
        <v>25728642.831393741</v>
      </c>
      <c r="DU108" s="44">
        <f t="shared" si="205"/>
        <v>24215193.253076475</v>
      </c>
      <c r="DV108" s="44">
        <f t="shared" si="205"/>
        <v>22701743.674759209</v>
      </c>
      <c r="DW108" s="44">
        <f t="shared" si="205"/>
        <v>21188294.096441943</v>
      </c>
      <c r="DX108" s="44">
        <f t="shared" si="205"/>
        <v>19674844.518124677</v>
      </c>
      <c r="DY108" s="44">
        <f t="shared" si="205"/>
        <v>18161394.939807411</v>
      </c>
      <c r="DZ108" s="44">
        <f t="shared" si="205"/>
        <v>16647945.361490145</v>
      </c>
      <c r="EA108" s="44">
        <f t="shared" si="205"/>
        <v>15134495.783172879</v>
      </c>
      <c r="EB108" s="44">
        <f t="shared" si="205"/>
        <v>13621046.204855613</v>
      </c>
      <c r="EC108" s="44">
        <f t="shared" si="205"/>
        <v>12107596.626538347</v>
      </c>
      <c r="ED108" s="44">
        <f t="shared" si="205"/>
        <v>10594147.048221081</v>
      </c>
      <c r="EE108" s="44">
        <f t="shared" si="205"/>
        <v>9080697.4699038155</v>
      </c>
      <c r="EF108" s="44">
        <f t="shared" si="205"/>
        <v>7567247.8915865486</v>
      </c>
      <c r="EG108" s="44">
        <f t="shared" ref="EG108:EN108" si="206">IF((EG106-EG107)&gt;0,(EG106-EG107),0)</f>
        <v>6053798.3132692818</v>
      </c>
      <c r="EH108" s="44">
        <f t="shared" si="206"/>
        <v>4540348.7349520149</v>
      </c>
      <c r="EI108" s="44">
        <f t="shared" si="206"/>
        <v>3026899.156634748</v>
      </c>
      <c r="EJ108" s="44">
        <f t="shared" si="206"/>
        <v>1513449.5783174811</v>
      </c>
      <c r="EK108" s="44">
        <f t="shared" si="206"/>
        <v>2.1420419216156006E-7</v>
      </c>
      <c r="EL108" s="44">
        <f t="shared" si="206"/>
        <v>2.1420419216156006E-7</v>
      </c>
      <c r="EM108" s="44">
        <f t="shared" si="206"/>
        <v>2.1420419216156006E-7</v>
      </c>
      <c r="EN108" s="44">
        <f t="shared" si="206"/>
        <v>2.1420419216156006E-7</v>
      </c>
    </row>
    <row r="109" spans="2:144" outlineLevel="1">
      <c r="B109" s="139" t="s">
        <v>43</v>
      </c>
      <c r="C109" s="151" t="s">
        <v>487</v>
      </c>
      <c r="D109" s="44"/>
      <c r="E109" s="44"/>
      <c r="F109" s="44"/>
      <c r="G109" s="44"/>
      <c r="H109" s="44">
        <f>IF(H102&gt;D104,(SUM(G108:H108)/2),IF(H102=D104,H108,0))</f>
        <v>0</v>
      </c>
      <c r="I109" s="44">
        <f>IF(I102&gt;D104,(SUM(H108:I108)/2),IF(I102=D104,I108,0))</f>
        <v>0</v>
      </c>
      <c r="J109" s="44">
        <f>IF(J102&gt;D104,(SUM(I108:J108)/2),IF(J102=D104,J108,0))</f>
        <v>0</v>
      </c>
      <c r="K109" s="44">
        <f>IF(K102&gt;D104,(SUM(J108:K108)/2),IF(K102=D104,K108,0))</f>
        <v>0</v>
      </c>
      <c r="L109" s="44">
        <f>IF(L102&gt;D104,(SUM(K108:L108)/2),IF(L102=D104,L108,0))</f>
        <v>0</v>
      </c>
      <c r="M109" s="44">
        <f>IF(M102&gt;D104,(SUM(L108:M108)/2),IF(M102=D104,M108,0))</f>
        <v>0</v>
      </c>
      <c r="N109" s="44">
        <f>IF(N102&gt;D104,(SUM(M108:N108)/2),IF(N102=D104,N108,0))</f>
        <v>0</v>
      </c>
      <c r="O109" s="44">
        <f>IF(O102&gt;D104,(SUM(N108:O108)/2),IF(O102=D104,O108,0))</f>
        <v>0</v>
      </c>
      <c r="P109" s="44">
        <f>IF(P102&gt;D104,(SUM(O108:P108)/2),IF(P102=D104,P108,0))</f>
        <v>0</v>
      </c>
      <c r="Q109" s="44">
        <f>IF(Q102&gt;D104,(SUM(P108:Q108)/2),IF(Q102=D104,Q108,0))</f>
        <v>0</v>
      </c>
      <c r="R109" s="44">
        <f>IF(R102&gt;D104,(SUM(Q108:R108)/2),IF(R102=D104,R108,0))</f>
        <v>0</v>
      </c>
      <c r="S109" s="44">
        <f>IF(S102&gt;D104,(SUM(R108:S108)/2),IF(S102=D104,S108,0))</f>
        <v>0</v>
      </c>
      <c r="T109" s="44">
        <f>IF(T102&gt;D104,(SUM(S108:T108)/2),IF(T102=D104,T108,0))</f>
        <v>0</v>
      </c>
      <c r="U109" s="44">
        <f>IF(U102&gt;D104,(SUM(T108:U108)/2),IF(U102=D104,U108,0))</f>
        <v>0</v>
      </c>
      <c r="V109" s="44">
        <f>IF(V102&gt;D104,(SUM(U108:V108)/2),IF(V102=D104,V108,0))</f>
        <v>180100499.81975478</v>
      </c>
      <c r="W109" s="44">
        <f>IF(W102&gt;D104,(SUM(V108:W108)/2),IF(W102=D104,W108,0))</f>
        <v>179343775.03059614</v>
      </c>
      <c r="X109" s="44">
        <f>IF(X102&gt;D104,(SUM(W108:X108)/2),IF(X102=D104,X108,0))</f>
        <v>177830325.45227891</v>
      </c>
      <c r="Y109" s="44">
        <f>IF(Y102&gt;D104,(SUM(X108:Y108)/2),IF(Y102=D104,Y108,0))</f>
        <v>176316875.87396163</v>
      </c>
      <c r="Z109" s="44">
        <f>IF(Z102&gt;D104,(SUM(Y108:Z108)/2),IF(Z102=D104,Z108,0))</f>
        <v>174803426.2956444</v>
      </c>
      <c r="AA109" s="44">
        <f>IF(AA102&gt;D104,(SUM(Z108:AA108)/2),IF(AA102=D104,AA108,0))</f>
        <v>173289976.71732712</v>
      </c>
      <c r="AB109" s="44">
        <f>IF(AB102&gt;D104,(SUM(AA108:AB108)/2),IF(AB102=D104,AB108,0))</f>
        <v>171776527.13900989</v>
      </c>
      <c r="AC109" s="44">
        <f>IF(AC102&gt;D104,(SUM(AB108:AC108)/2),IF(AC102=D104,AC108,0))</f>
        <v>170263077.56069261</v>
      </c>
      <c r="AD109" s="44">
        <f>IF(AD102&gt;D104,(SUM(AC108:AD108)/2),IF(AD102=D104,AD108,0))</f>
        <v>168749627.98237538</v>
      </c>
      <c r="AE109" s="44">
        <f>IF(AE102&gt;D104,(SUM(AD108:AE108)/2),IF(AE102=D104,AE108,0))</f>
        <v>167236178.4040581</v>
      </c>
      <c r="AF109" s="44">
        <f>IF(AF102&gt;D104,(SUM(AE108:AF108)/2),IF(AF102=D104,AF108,0))</f>
        <v>165722728.82574087</v>
      </c>
      <c r="AG109" s="44">
        <f>IF(AG102&gt;D104,(SUM(AF108:AG108)/2),IF(AG102=D104,AG108,0))</f>
        <v>164209279.24742359</v>
      </c>
      <c r="AH109" s="44">
        <f>IF(AH102&gt;D104,(SUM(AG108:AH108)/2),IF(AH102=D104,AH108,0))</f>
        <v>162695829.66910636</v>
      </c>
      <c r="AI109" s="44">
        <f>IF(AI102&gt;D104,(SUM(AH108:AI108)/2),IF(AI102=D104,AI108,0))</f>
        <v>161182380.09078908</v>
      </c>
      <c r="AJ109" s="44">
        <f>IF(AJ102&gt;D104,(SUM(AI108:AJ108)/2),IF(AJ102=D104,AJ108,0))</f>
        <v>159668930.51247185</v>
      </c>
      <c r="AK109" s="44">
        <f>IF(AK102&gt;D104,(SUM(AJ108:AK108)/2),IF(AK102=D104,AK108,0))</f>
        <v>158155480.93415457</v>
      </c>
      <c r="AL109" s="44">
        <f>IF(AL102&gt;D104,(SUM(AK108:AL108)/2),IF(AL102=D104,AL108,0))</f>
        <v>156642031.35583735</v>
      </c>
      <c r="AM109" s="44">
        <f>IF(AM102&gt;D104,(SUM(AL108:AM108)/2),IF(AM102=D104,AM108,0))</f>
        <v>155128581.77752006</v>
      </c>
      <c r="AN109" s="44">
        <f>IF(AN102&gt;D104,(SUM(AM108:AN108)/2),IF(AN102=D104,AN108,0))</f>
        <v>153615132.19920284</v>
      </c>
      <c r="AO109" s="44">
        <f>IF(AO102&gt;D104,(SUM(AN108:AO108)/2),IF(AO102=D104,AO108,0))</f>
        <v>152101682.62088555</v>
      </c>
      <c r="AP109" s="44">
        <f>IF(AP102&gt;D104,(SUM(AO108:AP108)/2),IF(AP102=D104,AP108,0))</f>
        <v>150588233.04256833</v>
      </c>
      <c r="AQ109" s="44">
        <f>IF(AQ102&gt;D104,(SUM(AP108:AQ108)/2),IF(AQ102=D104,AQ108,0))</f>
        <v>149074783.46425104</v>
      </c>
      <c r="AR109" s="44">
        <f>IF(AR102&gt;D104,(SUM(AQ108:AR108)/2),IF(AR102=D104,AR108,0))</f>
        <v>147561333.88593382</v>
      </c>
      <c r="AS109" s="44">
        <f>IF(AS102&gt;D104,(SUM(AR108:AS108)/2),IF(AS102=D104,AS108,0))</f>
        <v>146047884.30761653</v>
      </c>
      <c r="AT109" s="44">
        <f>IF(AT102&gt;D104,(SUM(AS108:AT108)/2),IF(AT102=D104,AT108,0))</f>
        <v>144534434.72929931</v>
      </c>
      <c r="AU109" s="44">
        <f>IF(AU102&gt;D104,(SUM(AT108:AU108)/2),IF(AU102=D104,AU108,0))</f>
        <v>143020985.15098202</v>
      </c>
      <c r="AV109" s="44">
        <f>IF(AV102&gt;D104,(SUM(AU108:AV108)/2),IF(AV102=D104,AV108,0))</f>
        <v>141507535.5726648</v>
      </c>
      <c r="AW109" s="44">
        <f>IF(AW102&gt;D104,(SUM(AV108:AW108)/2),IF(AW102=D104,AW108,0))</f>
        <v>139994085.99434751</v>
      </c>
      <c r="AX109" s="44">
        <f>IF(AX102&gt;D104,(SUM(AW108:AX108)/2),IF(AX102=D104,AX108,0))</f>
        <v>138480636.41603029</v>
      </c>
      <c r="AY109" s="44">
        <f>IF(AY102&gt;D104,(SUM(AX108:AY108)/2),IF(AY102=D104,AY108,0))</f>
        <v>136967186.837713</v>
      </c>
      <c r="AZ109" s="44">
        <f>IF(AZ102&gt;D104,(SUM(AY108:AZ108)/2),IF(AZ102=D104,AZ108,0))</f>
        <v>135453737.25939578</v>
      </c>
      <c r="BA109" s="44">
        <f>IF(BA102&gt;D104,(SUM(AZ108:BA108)/2),IF(BA102=D104,BA108,0))</f>
        <v>133940287.68107849</v>
      </c>
      <c r="BB109" s="44">
        <f>IF(BB102&gt;D104,(SUM(BA108:BB108)/2),IF(BB102=D104,BB108,0))</f>
        <v>132426838.10276124</v>
      </c>
      <c r="BC109" s="44">
        <f>IF(BC102&gt;D104,(SUM(BB108:BC108)/2),IF(BC102=D104,BC108,0))</f>
        <v>130913388.52444395</v>
      </c>
      <c r="BD109" s="44">
        <f>IF(BD102&gt;D104,(SUM(BC108:BD108)/2),IF(BD102=D104,BD108,0))</f>
        <v>129399938.9461267</v>
      </c>
      <c r="BE109" s="44">
        <f>IF(BE102&gt;D104,(SUM(BD108:BE108)/2),IF(BE102=D104,BE108,0))</f>
        <v>127886489.36780941</v>
      </c>
      <c r="BF109" s="44">
        <f>IF(BF102&gt;D104,(SUM(BE108:BF108)/2),IF(BF102=D104,BF108,0))</f>
        <v>126373039.78949216</v>
      </c>
      <c r="BG109" s="44">
        <f>IF(BG102&gt;D104,(SUM(BF108:BG108)/2),IF(BG102=D104,BG108,0))</f>
        <v>124859590.21117488</v>
      </c>
      <c r="BH109" s="44">
        <f>IF(BH102&gt;D104,(SUM(BG108:BH108)/2),IF(BH102=D104,BH108,0))</f>
        <v>123346140.63285762</v>
      </c>
      <c r="BI109" s="44">
        <f>IF(BI102&gt;D104,(SUM(BH108:BI108)/2),IF(BI102=D104,BI108,0))</f>
        <v>121832691.05454034</v>
      </c>
      <c r="BJ109" s="44">
        <f>IF(BJ102&gt;D104,(SUM(BI108:BJ108)/2),IF(BJ102=D104,BJ108,0))</f>
        <v>120319241.47622308</v>
      </c>
      <c r="BK109" s="44">
        <f>IF(BK102&gt;D104,(SUM(BJ108:BK108)/2),IF(BK102=D104,BK108,0))</f>
        <v>118805791.8979058</v>
      </c>
      <c r="BL109" s="44">
        <f>IF(BL102&gt;D104,(SUM(BK108:BL108)/2),IF(BL102=D104,BL108,0))</f>
        <v>117292342.31958854</v>
      </c>
      <c r="BM109" s="44">
        <f>IF(BM102&gt;D104,(SUM(BL108:BM108)/2),IF(BM102=D104,BM108,0))</f>
        <v>115778892.74127126</v>
      </c>
      <c r="BN109" s="44">
        <f>IF(BN102&gt;D104,(SUM(BM108:BN108)/2),IF(BN102=D104,BN108,0))</f>
        <v>114265443.162954</v>
      </c>
      <c r="BO109" s="44">
        <f>IF(BO102&gt;D104,(SUM(BN108:BO108)/2),IF(BO102=D104,BO108,0))</f>
        <v>112751993.58463672</v>
      </c>
      <c r="BP109" s="44">
        <f>IF(BP102&gt;D104,(SUM(BO108:BP108)/2),IF(BP102=D104,BP108,0))</f>
        <v>111238544.00631946</v>
      </c>
      <c r="BQ109" s="44">
        <f>IF(BQ102&gt;D104,(SUM(BP108:BQ108)/2),IF(BQ102=D104,BQ108,0))</f>
        <v>109725094.42800218</v>
      </c>
      <c r="BR109" s="44">
        <f>IF(BR102&gt;D104,(SUM(BQ108:BR108)/2),IF(BR102=D104,BR108,0))</f>
        <v>108211644.84968492</v>
      </c>
      <c r="BS109" s="44">
        <f>IF(BS102&gt;D104,(SUM(BR108:BS108)/2),IF(BS102=D104,BS108,0))</f>
        <v>106698195.27136764</v>
      </c>
      <c r="BT109" s="44">
        <f>IF(BT102&gt;D104,(SUM(BS108:BT108)/2),IF(BT102=D104,BT108,0))</f>
        <v>105184745.69305038</v>
      </c>
      <c r="BU109" s="44">
        <f>IF(BU102&gt;D104,(SUM(BT108:BU108)/2),IF(BU102=D104,BU108,0))</f>
        <v>103671296.1147331</v>
      </c>
      <c r="BV109" s="44">
        <f>IF(BV102&gt;D104,(SUM(BU108:BV108)/2),IF(BV102=D104,BV108,0))</f>
        <v>102157846.53641585</v>
      </c>
      <c r="BW109" s="44">
        <f>IF(BW102&gt;D104,(SUM(BV108:BW108)/2),IF(BW102=D104,BW108,0))</f>
        <v>100644396.95809856</v>
      </c>
      <c r="BX109" s="44">
        <f>IF(BX102&gt;D104,(SUM(BW108:BX108)/2),IF(BX102=D104,BX108,0))</f>
        <v>99130947.379781306</v>
      </c>
      <c r="BY109" s="44">
        <f>IF(BY102&gt;D104,(SUM(BX108:BY108)/2),IF(BY102=D104,BY108,0))</f>
        <v>97617497.801464021</v>
      </c>
      <c r="BZ109" s="44">
        <f>IF(BZ102&gt;D104,(SUM(BY108:BZ108)/2),IF(BZ102=D104,BZ108,0))</f>
        <v>96104048.223146766</v>
      </c>
      <c r="CA109" s="44">
        <f>IF(CA102&gt;D104,(SUM(BZ108:CA108)/2),IF(CA102=D104,CA108,0))</f>
        <v>94590598.644829482</v>
      </c>
      <c r="CB109" s="44">
        <f>IF(CB102&gt;D104,(SUM(CA108:CB108)/2),IF(CB102=D104,CB108,0))</f>
        <v>93077149.066512227</v>
      </c>
      <c r="CC109" s="44">
        <f>IF(CC102&gt;D104,(SUM(CB108:CC108)/2),IF(CC102=D104,CC108,0))</f>
        <v>91563699.488194942</v>
      </c>
      <c r="CD109" s="44">
        <f>IF(CD102&gt;D104,(SUM(CC108:CD108)/2),IF(CD102=D104,CD108,0))</f>
        <v>90050249.909877688</v>
      </c>
      <c r="CE109" s="44">
        <f>IF(CE102&gt;D104,(SUM(CD108:CE108)/2),IF(CE102=D104,CE108,0))</f>
        <v>88536800.331560403</v>
      </c>
      <c r="CF109" s="44">
        <f>IF(CF102&gt;D104,(SUM(CE108:CF108)/2),IF(CF102=D104,CF108,0))</f>
        <v>87023350.753243148</v>
      </c>
      <c r="CG109" s="44">
        <f>IF(CG102&gt;D104,(SUM(CF108:CG108)/2),IF(CG102=D104,CG108,0))</f>
        <v>85509901.174925864</v>
      </c>
      <c r="CH109" s="44">
        <f>IF(CH102&gt;D104,(SUM(CG108:CH108)/2),IF(CH102=D104,CH108,0))</f>
        <v>83996451.596608609</v>
      </c>
      <c r="CI109" s="44">
        <f>IF(CI102&gt;D104,(SUM(CH108:CI108)/2),IF(CI102=D104,CI108,0))</f>
        <v>82483002.018291324</v>
      </c>
      <c r="CJ109" s="44">
        <f>IF(CJ102&gt;D104,(SUM(CI108:CJ108)/2),IF(CJ102=D104,CJ108,0))</f>
        <v>80969552.43997407</v>
      </c>
      <c r="CK109" s="44">
        <f>IF(CK102&gt;D104,(SUM(CJ108:CK108)/2),IF(CK102=D104,CK108,0))</f>
        <v>79456102.861656785</v>
      </c>
      <c r="CL109" s="44">
        <f>IF(CL102&gt;D104,(SUM(CK108:CL108)/2),IF(CL102=D104,CL108,0))</f>
        <v>77942653.28333953</v>
      </c>
      <c r="CM109" s="44">
        <f>IF(CM102&gt;D104,(SUM(CL108:CM108)/2),IF(CM102=D104,CM108,0))</f>
        <v>76429203.705022246</v>
      </c>
      <c r="CN109" s="44">
        <f>IF(CN102&gt;D104,(SUM(CM108:CN108)/2),IF(CN102=D104,CN108,0))</f>
        <v>74915754.126704991</v>
      </c>
      <c r="CO109" s="44">
        <f>IF(CO102&gt;D104,(SUM(CN108:CO108)/2),IF(CO102=D104,CO108,0))</f>
        <v>73402304.548387706</v>
      </c>
      <c r="CP109" s="44">
        <f>IF(CP102&gt;D104,(SUM(CO108:CP108)/2),IF(CP102=D104,CP108,0))</f>
        <v>71888854.970070451</v>
      </c>
      <c r="CQ109" s="44">
        <f>IF(CQ102&gt;D104,(SUM(CP108:CQ108)/2),IF(CQ102=D104,CQ108,0))</f>
        <v>70375405.391753167</v>
      </c>
      <c r="CR109" s="44">
        <f>IF(CR102&gt;D104,(SUM(CQ108:CR108)/2),IF(CR102=D104,CR108,0))</f>
        <v>68861955.813435912</v>
      </c>
      <c r="CS109" s="44">
        <f>IF(CS102&gt;D104,(SUM(CR108:CS108)/2),IF(CS102=D104,CS108,0))</f>
        <v>67348506.235118628</v>
      </c>
      <c r="CT109" s="44">
        <f>IF(CT102&gt;D104,(SUM(CS108:CT108)/2),IF(CT102=D104,CT108,0))</f>
        <v>65835056.656801365</v>
      </c>
      <c r="CU109" s="44">
        <f>IF(CU102&gt;D104,(SUM(CT108:CU108)/2),IF(CU102=D104,CU108,0))</f>
        <v>64321607.078484096</v>
      </c>
      <c r="CV109" s="44">
        <f>IF(CV102&gt;D104,(SUM(CU108:CV108)/2),IF(CV102=D104,CV108,0))</f>
        <v>62808157.500166826</v>
      </c>
      <c r="CW109" s="44">
        <f>IF(CW102&gt;D104,(SUM(CV108:CW108)/2),IF(CW102=D104,CW108,0))</f>
        <v>61294707.921849556</v>
      </c>
      <c r="CX109" s="44">
        <f>IF(CX102&gt;D104,(SUM(CW108:CX108)/2),IF(CX102=D104,CX108,0))</f>
        <v>59781258.343532287</v>
      </c>
      <c r="CY109" s="44">
        <f>IF(CY102&gt;D104,(SUM(CX108:CY108)/2),IF(CY102=D104,CY108,0))</f>
        <v>58267808.765215017</v>
      </c>
      <c r="CZ109" s="44">
        <f>IF(CZ102&gt;D104,(SUM(CY108:CZ108)/2),IF(CZ102=D104,CZ108,0))</f>
        <v>56754359.186897747</v>
      </c>
      <c r="DA109" s="44">
        <f>IF(DA102&gt;D104,(SUM(CZ108:DA108)/2),IF(DA102=D104,DA108,0))</f>
        <v>55240909.608580478</v>
      </c>
      <c r="DB109" s="44">
        <f>IF(DB102&gt;D104,(SUM(DA108:DB108)/2),IF(DB102=D104,DB108,0))</f>
        <v>53727460.030263208</v>
      </c>
      <c r="DC109" s="44">
        <f>IF(DC102&gt;D104,(SUM(DB108:DC108)/2),IF(DC102=D104,DC108,0))</f>
        <v>52214010.451945938</v>
      </c>
      <c r="DD109" s="44">
        <f>IF(DD102&gt;D104,(SUM(DC108:DD108)/2),IF(DD102=D104,DD108,0))</f>
        <v>50700560.873628668</v>
      </c>
      <c r="DE109" s="44">
        <f>IF(DE102&gt;D104,(SUM(DD108:DE108)/2),IF(DE102=D104,DE108,0))</f>
        <v>49187111.295311399</v>
      </c>
      <c r="DF109" s="44">
        <f>IF(DF102&gt;D104,(SUM(DE108:DF108)/2),IF(DF102=D104,DF108,0))</f>
        <v>47673661.716994129</v>
      </c>
      <c r="DG109" s="44">
        <f>IF(DG102&gt;D104,(SUM(DF108:DG108)/2),IF(DG102=D104,DG108,0))</f>
        <v>46160212.138676859</v>
      </c>
      <c r="DH109" s="44">
        <f>IF(DH102&gt;D104,(SUM(DG108:DH108)/2),IF(DH102=D104,DH108,0))</f>
        <v>44646762.56035959</v>
      </c>
      <c r="DI109" s="44">
        <f>IF(DI102&gt;D104,(SUM(DH108:DI108)/2),IF(DI102=D104,DI108,0))</f>
        <v>43133312.98204232</v>
      </c>
      <c r="DJ109" s="44">
        <f>IF(DJ102&gt;D104,(SUM(DI108:DJ108)/2),IF(DJ102=D104,DJ108,0))</f>
        <v>41619863.40372505</v>
      </c>
      <c r="DK109" s="44">
        <f>IF(DK102&gt;D104,(SUM(DJ108:DK108)/2),IF(DK102=D104,DK108,0))</f>
        <v>40106413.825407781</v>
      </c>
      <c r="DL109" s="44">
        <f>IF(DL102&gt;D104,(SUM(DK108:DL108)/2),IF(DL102=D104,DL108,0))</f>
        <v>38592964.247090511</v>
      </c>
      <c r="DM109" s="44">
        <f>IF(DM102&gt;D104,(SUM(DL108:DM108)/2),IF(DM102=D104,DM108,0))</f>
        <v>37079514.668773241</v>
      </c>
      <c r="DN109" s="44">
        <f>IF(DN102&gt;D104,(SUM(DM108:DN108)/2),IF(DN102=D104,DN108,0))</f>
        <v>35566065.090455972</v>
      </c>
      <c r="DO109" s="44">
        <f>IF(DO102&gt;D104,(SUM(DN108:DO108)/2),IF(DO102=D104,DO108,0))</f>
        <v>34052615.512138702</v>
      </c>
      <c r="DP109" s="44">
        <f>IF(DP102&gt;D104,(SUM(DO108:DP108)/2),IF(DP102=D104,DP108,0))</f>
        <v>32539165.93382144</v>
      </c>
      <c r="DQ109" s="44">
        <f>IF(DQ102&gt;D104,(SUM(DP108:DQ108)/2),IF(DQ102=D104,DQ108,0))</f>
        <v>31025716.35550417</v>
      </c>
      <c r="DR109" s="44">
        <f>IF(DR102&gt;D104,(SUM(DQ108:DR108)/2),IF(DR102=D104,DR108,0))</f>
        <v>29512266.777186908</v>
      </c>
      <c r="DS109" s="44">
        <f>IF(DS102&gt;D104,(SUM(DR108:DS108)/2),IF(DS102=D104,DS108,0))</f>
        <v>27998817.198869638</v>
      </c>
      <c r="DT109" s="44">
        <f>IF(DT102&gt;D104,(SUM(DS108:DT108)/2),IF(DT102=D104,DT108,0))</f>
        <v>26485367.620552376</v>
      </c>
      <c r="DU109" s="44">
        <f>IF(DU102&gt;D104,(SUM(DT108:DU108)/2),IF(DU102=D104,DU108,0))</f>
        <v>24971918.042235106</v>
      </c>
      <c r="DV109" s="44">
        <f>IF(DV102&gt;D104,(SUM(DU108:DV108)/2),IF(DV102=D104,DV108,0))</f>
        <v>23458468.463917844</v>
      </c>
      <c r="DW109" s="44">
        <f>IF(DW102&gt;D104,(SUM(DV108:DW108)/2),IF(DW102=D104,DW108,0))</f>
        <v>21945018.885600574</v>
      </c>
      <c r="DX109" s="44">
        <f>IF(DX102&gt;D104,(SUM(DW108:DX108)/2),IF(DX102=D104,DX108,0))</f>
        <v>20431569.307283312</v>
      </c>
      <c r="DY109" s="44">
        <f>IF(DY102&gt;D104,(SUM(DX108:DY108)/2),IF(DY102=D104,DY108,0))</f>
        <v>18918119.728966042</v>
      </c>
      <c r="DZ109" s="44">
        <f>IF(DZ102&gt;D104,(SUM(DY108:DZ108)/2),IF(DZ102=D104,DZ108,0))</f>
        <v>17404670.15064878</v>
      </c>
      <c r="EA109" s="44">
        <f>IF(EA102&gt;D104,(SUM(DZ108:EA108)/2),IF(EA102=D104,EA108,0))</f>
        <v>15891220.572331512</v>
      </c>
      <c r="EB109" s="44">
        <f>IF(EB102&gt;D104,(SUM(EA108:EB108)/2),IF(EB102=D104,EB108,0))</f>
        <v>14377770.994014246</v>
      </c>
      <c r="EC109" s="44">
        <f>IF(EC102&gt;D104,(SUM(EB108:EC108)/2),IF(EC102=D104,EC108,0))</f>
        <v>12864321.41569698</v>
      </c>
      <c r="ED109" s="44">
        <f>IF(ED102&gt;D104,(SUM(EC108:ED108)/2),IF(ED102=D104,ED108,0))</f>
        <v>11350871.837379714</v>
      </c>
      <c r="EE109" s="44">
        <f>IF(EE102&gt;D104,(SUM(ED108:EE108)/2),IF(EE102=D104,EE108,0))</f>
        <v>9837422.2590624485</v>
      </c>
      <c r="EF109" s="44">
        <f>IF(EF102&gt;D104,(SUM(EE108:EF108)/2),IF(EF102=D104,EF108,0))</f>
        <v>8323972.6807451826</v>
      </c>
      <c r="EG109" s="44">
        <f>IF(EG102&gt;D104,(SUM(EF108:EG108)/2),IF(EG102=D104,EG108,0))</f>
        <v>6810523.1024279147</v>
      </c>
      <c r="EH109" s="44">
        <f>IF(EH102&gt;D104,(SUM(EG108:EH108)/2),IF(EH102=D104,EH108,0))</f>
        <v>5297073.5241106488</v>
      </c>
      <c r="EI109" s="44">
        <f t="shared" ref="EI109:EN109" si="207">IF(EI102&gt;E104,(SUM(EH108:EI108)/2),IF(EI102=E104,EI108,0))</f>
        <v>3783623.9457933814</v>
      </c>
      <c r="EJ109" s="44">
        <f t="shared" si="207"/>
        <v>2270174.3674761145</v>
      </c>
      <c r="EK109" s="44">
        <f t="shared" si="207"/>
        <v>756724.78915884765</v>
      </c>
      <c r="EL109" s="44">
        <f t="shared" si="207"/>
        <v>2.1420419216156006E-7</v>
      </c>
      <c r="EM109" s="44">
        <f t="shared" si="207"/>
        <v>2.1420419216156006E-7</v>
      </c>
      <c r="EN109" s="44">
        <f t="shared" si="207"/>
        <v>2.1420419216156006E-7</v>
      </c>
    </row>
    <row r="110" spans="2:144" outlineLevel="1">
      <c r="C110" s="43" t="s">
        <v>176</v>
      </c>
      <c r="D110" s="44"/>
      <c r="E110" s="773">
        <f>E88</f>
        <v>10</v>
      </c>
      <c r="F110" s="44"/>
      <c r="G110" s="44"/>
      <c r="H110" s="120">
        <f>IF(H101&lt;$E104,0,IF(AND(H101&gt;=$E104,H101&lt;=($E104+$E110-1)),Вводные!$D$30,Вводные!$E$30))</f>
        <v>0</v>
      </c>
      <c r="I110" s="120">
        <f>IF(I101&lt;$E104,0,IF(AND(I101&gt;=$E104,I101&lt;=($E104+$E110-1)),Вводные!$D$30,Вводные!$E$30))</f>
        <v>0</v>
      </c>
      <c r="J110" s="120">
        <f>IF(J101&lt;$E104,0,IF(AND(J101&gt;=$E104,J101&lt;=($E104+$E110-1)),Вводные!$D$30,Вводные!$E$30))</f>
        <v>0</v>
      </c>
      <c r="K110" s="120">
        <f>IF(K101&lt;$E104,0,IF(AND(K101&gt;=$E104,K101&lt;=($E104+$E110-1)),Вводные!$D$30,Вводные!$E$30))</f>
        <v>0</v>
      </c>
      <c r="L110" s="120">
        <f>IF(L101&lt;$E104,0,IF(AND(L101&gt;=$E104,L101&lt;=($E104+$E110-1)),Вводные!$D$30,Вводные!$E$30))</f>
        <v>0</v>
      </c>
      <c r="M110" s="120">
        <f>IF(M101&lt;$E104,0,IF(AND(M101&gt;=$E104,M101&lt;=($E104+$E110-1)),Вводные!$D$30,Вводные!$E$30))</f>
        <v>0</v>
      </c>
      <c r="N110" s="120">
        <f>IF(N101&lt;$E104,0,IF(AND(N101&gt;=$E104,N101&lt;=($E104+$E110-1)),Вводные!$D$30,Вводные!$E$30))</f>
        <v>0</v>
      </c>
      <c r="O110" s="120">
        <f>IF(O101&lt;$E104,0,IF(AND(O101&gt;=$E104,O101&lt;=($E104+$E110-1)),Вводные!$D$30,Вводные!$E$30))</f>
        <v>0</v>
      </c>
      <c r="P110" s="120">
        <f>IF(P101&lt;$E104,0,IF(AND(P101&gt;=$E104,P101&lt;=($E104+$E110-1)),Вводные!$D$30,Вводные!$E$30))</f>
        <v>0</v>
      </c>
      <c r="Q110" s="120">
        <f>IF(Q101&lt;$E104,0,IF(AND(Q101&gt;=$E104,Q101&lt;=($E104+$E110-1)),Вводные!$D$30,Вводные!$E$30))</f>
        <v>0</v>
      </c>
      <c r="R110" s="120">
        <f>IF(R101&lt;$E104,0,IF(AND(R101&gt;=$E104,R101&lt;=($E104+$E110-1)),Вводные!$D$30,Вводные!$E$30))</f>
        <v>0</v>
      </c>
      <c r="S110" s="120">
        <f>IF(S101&lt;$E104,0,IF(AND(S101&gt;=$E104,S101&lt;=($E104+$E110-1)),Вводные!$D$30,Вводные!$E$30))</f>
        <v>0</v>
      </c>
      <c r="T110" s="120">
        <f>IF(T101&lt;$E104,0,IF(AND(T101&gt;=$E104,T101&lt;=($E104+$E110-1)),Вводные!$D$30,Вводные!$E$30))</f>
        <v>0</v>
      </c>
      <c r="U110" s="120">
        <f>IF(U101&lt;$E104,0,IF(AND(U101&gt;=$E104,U101&lt;=($E104+$E110-1)),Вводные!$D$30,Вводные!$E$30))</f>
        <v>0</v>
      </c>
      <c r="V110" s="120">
        <f>IF(V101&lt;$E104,0,IF(AND(V101&gt;=$E104,V101&lt;=($E104+$E110-1)),Вводные!$D$30,Вводные!$E$30))</f>
        <v>0</v>
      </c>
      <c r="W110" s="120">
        <f>IF(W101&lt;$E104,0,IF(AND(W101&gt;=$E104,W101&lt;=($E104+$E110-1)),Вводные!$D$30,Вводные!$E$30))</f>
        <v>0</v>
      </c>
      <c r="X110" s="120">
        <f>IF(X101&lt;$E104,0,IF(AND(X101&gt;=$E104,X101&lt;=($E104+$E110-1)),Вводные!$D$30,Вводные!$E$30))</f>
        <v>0</v>
      </c>
      <c r="Y110" s="120">
        <f>IF(Y101&lt;$E104,0,IF(AND(Y101&gt;=$E104,Y101&lt;=($E104+$E110-1)),Вводные!$D$30,Вводные!$E$30))</f>
        <v>0</v>
      </c>
      <c r="Z110" s="120">
        <f>IF(Z101&lt;$E104,0,IF(AND(Z101&gt;=$E104,Z101&lt;=($E104+$E110-1)),Вводные!$D$30,Вводные!$E$30))</f>
        <v>0</v>
      </c>
      <c r="AA110" s="120">
        <f>IF(AA101&lt;$E104,0,IF(AND(AA101&gt;=$E104,AA101&lt;=($E104+$E110-1)),Вводные!$D$30,Вводные!$E$30))</f>
        <v>0</v>
      </c>
      <c r="AB110" s="120">
        <f>IF(AB101&lt;$E104,0,IF(AND(AB101&gt;=$E104,AB101&lt;=($E104+$E110-1)),Вводные!$D$30,Вводные!$E$30))</f>
        <v>0</v>
      </c>
      <c r="AC110" s="120">
        <f>IF(AC101&lt;$E104,0,IF(AND(AC101&gt;=$E104,AC101&lt;=($E104+$E110-1)),Вводные!$D$30,Вводные!$E$30))</f>
        <v>0</v>
      </c>
      <c r="AD110" s="120">
        <f>IF(AD101&lt;$E104,0,IF(AND(AD101&gt;=$E104,AD101&lt;=($E104+$E110-1)),Вводные!$D$30,Вводные!$E$30))</f>
        <v>0</v>
      </c>
      <c r="AE110" s="120">
        <f>IF(AE101&lt;$E104,0,IF(AND(AE101&gt;=$E104,AE101&lt;=($E104+$E110-1)),Вводные!$D$30,Вводные!$E$30))</f>
        <v>0</v>
      </c>
      <c r="AF110" s="120">
        <f>IF(AF101&lt;$E104,0,IF(AND(AF101&gt;=$E104,AF101&lt;=($E104+$E110-1)),Вводные!$D$30,Вводные!$E$30))</f>
        <v>0</v>
      </c>
      <c r="AG110" s="120">
        <f>IF(AG101&lt;$E104,0,IF(AND(AG101&gt;=$E104,AG101&lt;=($E104+$E110-1)),Вводные!$D$30,Вводные!$E$30))</f>
        <v>0</v>
      </c>
      <c r="AH110" s="120">
        <f>IF(AH101&lt;$E104,0,IF(AND(AH101&gt;=$E104,AH101&lt;=($E104+$E110-1)),Вводные!$D$30,Вводные!$E$30))</f>
        <v>0</v>
      </c>
      <c r="AI110" s="120">
        <f>IF(AI101&lt;$E104,0,IF(AND(AI101&gt;=$E104,AI101&lt;=($E104+$E110-1)),Вводные!$D$30,Вводные!$E$30))</f>
        <v>0</v>
      </c>
      <c r="AJ110" s="120">
        <f>IF(AJ101&lt;$E104,0,IF(AND(AJ101&gt;=$E104,AJ101&lt;=($E104+$E110-1)),Вводные!$D$30,Вводные!$E$30))</f>
        <v>0</v>
      </c>
      <c r="AK110" s="120">
        <f>IF(AK101&lt;$E104,0,IF(AND(AK101&gt;=$E104,AK101&lt;=($E104+$E110-1)),Вводные!$D$30,Вводные!$E$30))</f>
        <v>0</v>
      </c>
      <c r="AL110" s="120">
        <f>IF(AL101&lt;$E104,0,IF(AND(AL101&gt;=$E104,AL101&lt;=($E104+$E110-1)),Вводные!$D$30,Вводные!$E$30))</f>
        <v>0</v>
      </c>
      <c r="AM110" s="120">
        <f>IF(AM101&lt;$E104,0,IF(AND(AM101&gt;=$E104,AM101&lt;=($E104+$E110-1)),Вводные!$D$30,Вводные!$E$30))</f>
        <v>0</v>
      </c>
      <c r="AN110" s="120">
        <f>IF(AN101&lt;$E104,0,IF(AND(AN101&gt;=$E104,AN101&lt;=($E104+$E110-1)),Вводные!$D$30,Вводные!$E$30))</f>
        <v>0</v>
      </c>
      <c r="AO110" s="120">
        <f>IF(AO101&lt;$E104,0,IF(AND(AO101&gt;=$E104,AO101&lt;=($E104+$E110-1)),Вводные!$D$30,Вводные!$E$30))</f>
        <v>0</v>
      </c>
      <c r="AP110" s="120">
        <f>IF(AP101&lt;$E104,0,IF(AND(AP101&gt;=$E104,AP101&lt;=($E104+$E110-1)),Вводные!$D$30,Вводные!$E$30))</f>
        <v>0</v>
      </c>
      <c r="AQ110" s="120">
        <f>IF(AQ101&lt;$E104,0,IF(AND(AQ101&gt;=$E104,AQ101&lt;=($E104+$E110-1)),Вводные!$D$30,Вводные!$E$30))</f>
        <v>0</v>
      </c>
      <c r="AR110" s="120">
        <f>IF(AR101&lt;$E104,0,IF(AND(AR101&gt;=$E104,AR101&lt;=($E104+$E110-1)),Вводные!$D$30,Вводные!$E$30))</f>
        <v>0</v>
      </c>
      <c r="AS110" s="120">
        <f>IF(AS101&lt;$E104,0,IF(AND(AS101&gt;=$E104,AS101&lt;=($E104+$E110-1)),Вводные!$D$30,Вводные!$E$30))</f>
        <v>0</v>
      </c>
      <c r="AT110" s="120">
        <f>IF(AT101&lt;$E104,0,IF(AND(AT101&gt;=$E104,AT101&lt;=($E104+$E110-1)),Вводные!$D$30,Вводные!$E$30))</f>
        <v>0</v>
      </c>
      <c r="AU110" s="120">
        <f>IF(AU101&lt;$E104,0,IF(AND(AU101&gt;=$E104,AU101&lt;=($E104+$E110-1)),Вводные!$D$30,Вводные!$E$30))</f>
        <v>0</v>
      </c>
      <c r="AV110" s="120">
        <f>IF(AV101&lt;$E104,0,IF(AND(AV101&gt;=$E104,AV101&lt;=($E104+$E110-1)),Вводные!$D$30,Вводные!$E$30))</f>
        <v>0</v>
      </c>
      <c r="AW110" s="120">
        <f>IF(AW101&lt;$E104,0,IF(AND(AW101&gt;=$E104,AW101&lt;=($E104+$E110-1)),Вводные!$D$30,Вводные!$E$30))</f>
        <v>0</v>
      </c>
      <c r="AX110" s="120">
        <f>IF(AX101&lt;$E104,0,IF(AND(AX101&gt;=$E104,AX101&lt;=($E104+$E110-1)),Вводные!$D$30,Вводные!$E$30))</f>
        <v>0</v>
      </c>
      <c r="AY110" s="120">
        <f>IF(AY101&lt;$E104,0,IF(AND(AY101&gt;=$E104,AY101&lt;=($E104+$E110-1)),Вводные!$D$30,Вводные!$E$30))</f>
        <v>0</v>
      </c>
      <c r="AZ110" s="120">
        <f>IF(AZ101&lt;$E104,0,IF(AND(AZ101&gt;=$E104,AZ101&lt;=($E104+$E110-1)),Вводные!$D$30,Вводные!$E$30))</f>
        <v>0</v>
      </c>
      <c r="BA110" s="120">
        <f>IF(BA101&lt;$E104,0,IF(AND(BA101&gt;=$E104,BA101&lt;=($E104+$E110-1)),Вводные!$D$30,Вводные!$E$30))</f>
        <v>0</v>
      </c>
      <c r="BB110" s="120">
        <f>IF(BB101&lt;$E104,0,IF(AND(BB101&gt;=$E104,BB101&lt;=($E104+$E110-1)),Вводные!$D$30,Вводные!$E$30))</f>
        <v>0</v>
      </c>
      <c r="BC110" s="120">
        <f>IF(BC101&lt;$E104,0,IF(AND(BC101&gt;=$E104,BC101&lt;=($E104+$E110-1)),Вводные!$D$30,Вводные!$E$30))</f>
        <v>0</v>
      </c>
      <c r="BD110" s="120">
        <f>IF(BD101&lt;$E104,0,IF(AND(BD101&gt;=$E104,BD101&lt;=($E104+$E110-1)),Вводные!$D$30,Вводные!$E$30))</f>
        <v>0</v>
      </c>
      <c r="BE110" s="120">
        <f>IF(BE101&lt;$E104,0,IF(AND(BE101&gt;=$E104,BE101&lt;=($E104+$E110-1)),Вводные!$D$30,Вводные!$E$30))</f>
        <v>0</v>
      </c>
      <c r="BF110" s="120">
        <f>IF(BF101&lt;$E104,0,IF(AND(BF101&gt;=$E104,BF101&lt;=($E104+$E110-1)),Вводные!$D$30,Вводные!$E$30))</f>
        <v>0</v>
      </c>
      <c r="BG110" s="120">
        <f>IF(BG101&lt;$E104,0,IF(AND(BG101&gt;=$E104,BG101&lt;=($E104+$E110-1)),Вводные!$D$30,Вводные!$E$30))</f>
        <v>0</v>
      </c>
      <c r="BH110" s="120">
        <f>IF(BH101&lt;$E104,0,IF(AND(BH101&gt;=$E104,BH101&lt;=($E104+$E110-1)),Вводные!$D$30,Вводные!$E$30))</f>
        <v>2.1999999999999999E-2</v>
      </c>
      <c r="BI110" s="120">
        <f>IF(BI101&lt;$E104,0,IF(AND(BI101&gt;=$E104,BI101&lt;=($E104+$E110-1)),Вводные!$D$30,Вводные!$E$30))</f>
        <v>2.1999999999999999E-2</v>
      </c>
      <c r="BJ110" s="120">
        <f>IF(BJ101&lt;$E104,0,IF(AND(BJ101&gt;=$E104,BJ101&lt;=($E104+$E110-1)),Вводные!$D$30,Вводные!$E$30))</f>
        <v>2.1999999999999999E-2</v>
      </c>
      <c r="BK110" s="120">
        <f>IF(BK101&lt;$E104,0,IF(AND(BK101&gt;=$E104,BK101&lt;=($E104+$E110-1)),Вводные!$D$30,Вводные!$E$30))</f>
        <v>2.1999999999999999E-2</v>
      </c>
      <c r="BL110" s="120">
        <f>IF(BL101&lt;$E104,0,IF(AND(BL101&gt;=$E104,BL101&lt;=($E104+$E110-1)),Вводные!$D$30,Вводные!$E$30))</f>
        <v>2.1999999999999999E-2</v>
      </c>
      <c r="BM110" s="120">
        <f>IF(BM101&lt;$E104,0,IF(AND(BM101&gt;=$E104,BM101&lt;=($E104+$E110-1)),Вводные!$D$30,Вводные!$E$30))</f>
        <v>2.1999999999999999E-2</v>
      </c>
      <c r="BN110" s="120">
        <f>IF(BN101&lt;$E104,0,IF(AND(BN101&gt;=$E104,BN101&lt;=($E104+$E110-1)),Вводные!$D$30,Вводные!$E$30))</f>
        <v>2.1999999999999999E-2</v>
      </c>
      <c r="BO110" s="120">
        <f>IF(BO101&lt;$E104,0,IF(AND(BO101&gt;=$E104,BO101&lt;=($E104+$E110-1)),Вводные!$D$30,Вводные!$E$30))</f>
        <v>2.1999999999999999E-2</v>
      </c>
      <c r="BP110" s="120">
        <f>IF(BP101&lt;$E104,0,IF(AND(BP101&gt;=$E104,BP101&lt;=($E104+$E110-1)),Вводные!$D$30,Вводные!$E$30))</f>
        <v>2.1999999999999999E-2</v>
      </c>
      <c r="BQ110" s="120">
        <f>IF(BQ101&lt;$E104,0,IF(AND(BQ101&gt;=$E104,BQ101&lt;=($E104+$E110-1)),Вводные!$D$30,Вводные!$E$30))</f>
        <v>2.1999999999999999E-2</v>
      </c>
      <c r="BR110" s="120">
        <f>IF(BR101&lt;$E104,0,IF(AND(BR101&gt;=$E104,BR101&lt;=($E104+$E110-1)),Вводные!$D$30,Вводные!$E$30))</f>
        <v>2.1999999999999999E-2</v>
      </c>
      <c r="BS110" s="120">
        <f>IF(BS101&lt;$E104,0,IF(AND(BS101&gt;=$E104,BS101&lt;=($E104+$E110-1)),Вводные!$D$30,Вводные!$E$30))</f>
        <v>2.1999999999999999E-2</v>
      </c>
      <c r="BT110" s="120">
        <f>IF(BT101&lt;$E104,0,IF(AND(BT101&gt;=$E104,BT101&lt;=($E104+$E110-1)),Вводные!$D$30,Вводные!$E$30))</f>
        <v>2.1999999999999999E-2</v>
      </c>
      <c r="BU110" s="120">
        <f>IF(BU101&lt;$E104,0,IF(AND(BU101&gt;=$E104,BU101&lt;=($E104+$E110-1)),Вводные!$D$30,Вводные!$E$30))</f>
        <v>2.1999999999999999E-2</v>
      </c>
      <c r="BV110" s="120">
        <f>IF(BV101&lt;$E104,0,IF(AND(BV101&gt;=$E104,BV101&lt;=($E104+$E110-1)),Вводные!$D$30,Вводные!$E$30))</f>
        <v>2.1999999999999999E-2</v>
      </c>
      <c r="BW110" s="120">
        <f>IF(BW101&lt;$E104,0,IF(AND(BW101&gt;=$E104,BW101&lt;=($E104+$E110-1)),Вводные!$D$30,Вводные!$E$30))</f>
        <v>2.1999999999999999E-2</v>
      </c>
      <c r="BX110" s="120">
        <f>IF(BX101&lt;$E104,0,IF(AND(BX101&gt;=$E104,BX101&lt;=($E104+$E110-1)),Вводные!$D$30,Вводные!$E$30))</f>
        <v>2.1999999999999999E-2</v>
      </c>
      <c r="BY110" s="120">
        <f>IF(BY101&lt;$E104,0,IF(AND(BY101&gt;=$E104,BY101&lt;=($E104+$E110-1)),Вводные!$D$30,Вводные!$E$30))</f>
        <v>2.1999999999999999E-2</v>
      </c>
      <c r="BZ110" s="120">
        <f>IF(BZ101&lt;$E104,0,IF(AND(BZ101&gt;=$E104,BZ101&lt;=($E104+$E110-1)),Вводные!$D$30,Вводные!$E$30))</f>
        <v>2.1999999999999999E-2</v>
      </c>
      <c r="CA110" s="120">
        <f>IF(CA101&lt;$E104,0,IF(AND(CA101&gt;=$E104,CA101&lt;=($E104+$E110-1)),Вводные!$D$30,Вводные!$E$30))</f>
        <v>2.1999999999999999E-2</v>
      </c>
      <c r="CB110" s="120">
        <f>IF(CB101&lt;$E104,0,IF(AND(CB101&gt;=$E104,CB101&lt;=($E104+$E110-1)),Вводные!$D$30,Вводные!$E$30))</f>
        <v>2.1999999999999999E-2</v>
      </c>
      <c r="CC110" s="120">
        <f>IF(CC101&lt;$E104,0,IF(AND(CC101&gt;=$E104,CC101&lt;=($E104+$E110-1)),Вводные!$D$30,Вводные!$E$30))</f>
        <v>2.1999999999999999E-2</v>
      </c>
      <c r="CD110" s="120">
        <f>IF(CD101&lt;$E104,0,IF(AND(CD101&gt;=$E104,CD101&lt;=($E104+$E110-1)),Вводные!$D$30,Вводные!$E$30))</f>
        <v>2.1999999999999999E-2</v>
      </c>
      <c r="CE110" s="120">
        <f>IF(CE101&lt;$E104,0,IF(AND(CE101&gt;=$E104,CE101&lt;=($E104+$E110-1)),Вводные!$D$30,Вводные!$E$30))</f>
        <v>2.1999999999999999E-2</v>
      </c>
      <c r="CF110" s="120">
        <f>IF(CF101&lt;$E104,0,IF(AND(CF101&gt;=$E104,CF101&lt;=($E104+$E110-1)),Вводные!$D$30,Вводные!$E$30))</f>
        <v>2.1999999999999999E-2</v>
      </c>
      <c r="CG110" s="120">
        <f>IF(CG101&lt;$E104,0,IF(AND(CG101&gt;=$E104,CG101&lt;=($E104+$E110-1)),Вводные!$D$30,Вводные!$E$30))</f>
        <v>2.1999999999999999E-2</v>
      </c>
      <c r="CH110" s="120">
        <f>IF(CH101&lt;$E104,0,IF(AND(CH101&gt;=$E104,CH101&lt;=($E104+$E110-1)),Вводные!$D$30,Вводные!$E$30))</f>
        <v>2.1999999999999999E-2</v>
      </c>
      <c r="CI110" s="120">
        <f>IF(CI101&lt;$E104,0,IF(AND(CI101&gt;=$E104,CI101&lt;=($E104+$E110-1)),Вводные!$D$30,Вводные!$E$30))</f>
        <v>2.1999999999999999E-2</v>
      </c>
      <c r="CJ110" s="120">
        <f>IF(CJ101&lt;$E104,0,IF(AND(CJ101&gt;=$E104,CJ101&lt;=($E104+$E110-1)),Вводные!$D$30,Вводные!$E$30))</f>
        <v>2.1999999999999999E-2</v>
      </c>
      <c r="CK110" s="120">
        <f>IF(CK101&lt;$E104,0,IF(AND(CK101&gt;=$E104,CK101&lt;=($E104+$E110-1)),Вводные!$D$30,Вводные!$E$30))</f>
        <v>2.1999999999999999E-2</v>
      </c>
      <c r="CL110" s="120">
        <f>IF(CL101&lt;$E104,0,IF(AND(CL101&gt;=$E104,CL101&lt;=($E104+$E110-1)),Вводные!$D$30,Вводные!$E$30))</f>
        <v>2.1999999999999999E-2</v>
      </c>
      <c r="CM110" s="120">
        <f>IF(CM101&lt;$E104,0,IF(AND(CM101&gt;=$E104,CM101&lt;=($E104+$E110-1)),Вводные!$D$30,Вводные!$E$30))</f>
        <v>2.1999999999999999E-2</v>
      </c>
      <c r="CN110" s="120">
        <f>IF(CN101&lt;$E104,0,IF(AND(CN101&gt;=$E104,CN101&lt;=($E104+$E110-1)),Вводные!$D$30,Вводные!$E$30))</f>
        <v>2.1999999999999999E-2</v>
      </c>
      <c r="CO110" s="120">
        <f>IF(CO101&lt;$E104,0,IF(AND(CO101&gt;=$E104,CO101&lt;=($E104+$E110-1)),Вводные!$D$30,Вводные!$E$30))</f>
        <v>2.1999999999999999E-2</v>
      </c>
      <c r="CP110" s="120">
        <f>IF(CP101&lt;$E104,0,IF(AND(CP101&gt;=$E104,CP101&lt;=($E104+$E110-1)),Вводные!$D$30,Вводные!$E$30))</f>
        <v>2.1999999999999999E-2</v>
      </c>
      <c r="CQ110" s="120">
        <f>IF(CQ101&lt;$E104,0,IF(AND(CQ101&gt;=$E104,CQ101&lt;=($E104+$E110-1)),Вводные!$D$30,Вводные!$E$30))</f>
        <v>2.1999999999999999E-2</v>
      </c>
      <c r="CR110" s="120">
        <f>IF(CR101&lt;$E104,0,IF(AND(CR101&gt;=$E104,CR101&lt;=($E104+$E110-1)),Вводные!$D$30,Вводные!$E$30))</f>
        <v>2.1999999999999999E-2</v>
      </c>
      <c r="CS110" s="120">
        <f>IF(CS101&lt;$E104,0,IF(AND(CS101&gt;=$E104,CS101&lt;=($E104+$E110-1)),Вводные!$D$30,Вводные!$E$30))</f>
        <v>2.1999999999999999E-2</v>
      </c>
      <c r="CT110" s="120">
        <f>IF(CT101&lt;$E104,0,IF(AND(CT101&gt;=$E104,CT101&lt;=($E104+$E110-1)),Вводные!$D$30,Вводные!$E$30))</f>
        <v>2.1999999999999999E-2</v>
      </c>
      <c r="CU110" s="120">
        <f>IF(CU101&lt;$E104,0,IF(AND(CU101&gt;=$E104,CU101&lt;=($E104+$E110-1)),Вводные!$D$30,Вводные!$E$30))</f>
        <v>2.1999999999999999E-2</v>
      </c>
      <c r="CV110" s="120">
        <f>IF(CV101&lt;$E104,0,IF(AND(CV101&gt;=$E104,CV101&lt;=($E104+$E110-1)),Вводные!$D$30,Вводные!$E$30))</f>
        <v>2.1999999999999999E-2</v>
      </c>
      <c r="CW110" s="120">
        <f>IF(CW101&lt;$E104,0,IF(AND(CW101&gt;=$E104,CW101&lt;=($E104+$E110-1)),Вводные!$D$30,Вводные!$E$30))</f>
        <v>2.1999999999999999E-2</v>
      </c>
      <c r="CX110" s="120">
        <f>IF(CX101&lt;$E104,0,IF(AND(CX101&gt;=$E104,CX101&lt;=($E104+$E110-1)),Вводные!$D$30,Вводные!$E$30))</f>
        <v>2.1999999999999999E-2</v>
      </c>
      <c r="CY110" s="120">
        <f>IF(CY101&lt;$E104,0,IF(AND(CY101&gt;=$E104,CY101&lt;=($E104+$E110-1)),Вводные!$D$30,Вводные!$E$30))</f>
        <v>2.1999999999999999E-2</v>
      </c>
      <c r="CZ110" s="120">
        <f>IF(CZ101&lt;$E104,0,IF(AND(CZ101&gt;=$E104,CZ101&lt;=($E104+$E110-1)),Вводные!$D$30,Вводные!$E$30))</f>
        <v>2.1999999999999999E-2</v>
      </c>
      <c r="DA110" s="120">
        <f>IF(DA101&lt;$E104,0,IF(AND(DA101&gt;=$E104,DA101&lt;=($E104+$E110-1)),Вводные!$D$30,Вводные!$E$30))</f>
        <v>2.1999999999999999E-2</v>
      </c>
      <c r="DB110" s="120">
        <f>IF(DB101&lt;$E104,0,IF(AND(DB101&gt;=$E104,DB101&lt;=($E104+$E110-1)),Вводные!$D$30,Вводные!$E$30))</f>
        <v>2.1999999999999999E-2</v>
      </c>
      <c r="DC110" s="120">
        <f>IF(DC101&lt;$E104,0,IF(AND(DC101&gt;=$E104,DC101&lt;=($E104+$E110-1)),Вводные!$D$30,Вводные!$E$30))</f>
        <v>2.1999999999999999E-2</v>
      </c>
      <c r="DD110" s="120">
        <f>IF(DD101&lt;$E104,0,IF(AND(DD101&gt;=$E104,DD101&lt;=($E104+$E110-1)),Вводные!$D$30,Вводные!$E$30))</f>
        <v>2.1999999999999999E-2</v>
      </c>
      <c r="DE110" s="120">
        <f>IF(DE101&lt;$E104,0,IF(AND(DE101&gt;=$E104,DE101&lt;=($E104+$E110-1)),Вводные!$D$30,Вводные!$E$30))</f>
        <v>2.1999999999999999E-2</v>
      </c>
      <c r="DF110" s="120">
        <f>IF(DF101&lt;$E104,0,IF(AND(DF101&gt;=$E104,DF101&lt;=($E104+$E110-1)),Вводные!$D$30,Вводные!$E$30))</f>
        <v>2.1999999999999999E-2</v>
      </c>
      <c r="DG110" s="120">
        <f>IF(DG101&lt;$E104,0,IF(AND(DG101&gt;=$E104,DG101&lt;=($E104+$E110-1)),Вводные!$D$30,Вводные!$E$30))</f>
        <v>2.1999999999999999E-2</v>
      </c>
      <c r="DH110" s="120">
        <f>IF(DH101&lt;$E104,0,IF(AND(DH101&gt;=$E104,DH101&lt;=($E104+$E110-1)),Вводные!$D$30,Вводные!$E$30))</f>
        <v>2.1999999999999999E-2</v>
      </c>
      <c r="DI110" s="120">
        <f>IF(DI101&lt;$E104,0,IF(AND(DI101&gt;=$E104,DI101&lt;=($E104+$E110-1)),Вводные!$D$30,Вводные!$E$30))</f>
        <v>2.1999999999999999E-2</v>
      </c>
      <c r="DJ110" s="120">
        <f>IF(DJ101&lt;$E104,0,IF(AND(DJ101&gt;=$E104,DJ101&lt;=($E104+$E110-1)),Вводные!$D$30,Вводные!$E$30))</f>
        <v>2.1999999999999999E-2</v>
      </c>
      <c r="DK110" s="120">
        <f>IF(DK101&lt;$E104,0,IF(AND(DK101&gt;=$E104,DK101&lt;=($E104+$E110-1)),Вводные!$D$30,Вводные!$E$30))</f>
        <v>2.1999999999999999E-2</v>
      </c>
      <c r="DL110" s="120">
        <f>IF(DL101&lt;$E104,0,IF(AND(DL101&gt;=$E104,DL101&lt;=($E104+$E110-1)),Вводные!$D$30,Вводные!$E$30))</f>
        <v>2.1999999999999999E-2</v>
      </c>
      <c r="DM110" s="120">
        <f>IF(DM101&lt;$E104,0,IF(AND(DM101&gt;=$E104,DM101&lt;=($E104+$E110-1)),Вводные!$D$30,Вводные!$E$30))</f>
        <v>2.1999999999999999E-2</v>
      </c>
      <c r="DN110" s="120">
        <f>IF(DN101&lt;$E104,0,IF(AND(DN101&gt;=$E104,DN101&lt;=($E104+$E110-1)),Вводные!$D$30,Вводные!$E$30))</f>
        <v>2.1999999999999999E-2</v>
      </c>
      <c r="DO110" s="120">
        <f>IF(DO101&lt;$E104,0,IF(AND(DO101&gt;=$E104,DO101&lt;=($E104+$E110-1)),Вводные!$D$30,Вводные!$E$30))</f>
        <v>2.1999999999999999E-2</v>
      </c>
      <c r="DP110" s="120">
        <f>IF(DP101&lt;$E104,0,IF(AND(DP101&gt;=$E104,DP101&lt;=($E104+$E110-1)),Вводные!$D$30,Вводные!$E$30))</f>
        <v>2.1999999999999999E-2</v>
      </c>
      <c r="DQ110" s="120">
        <f>IF(DQ101&lt;$E104,0,IF(AND(DQ101&gt;=$E104,DQ101&lt;=($E104+$E110-1)),Вводные!$D$30,Вводные!$E$30))</f>
        <v>2.1999999999999999E-2</v>
      </c>
      <c r="DR110" s="120">
        <f>IF(DR101&lt;$E104,0,IF(AND(DR101&gt;=$E104,DR101&lt;=($E104+$E110-1)),Вводные!$D$30,Вводные!$E$30))</f>
        <v>2.1999999999999999E-2</v>
      </c>
      <c r="DS110" s="120">
        <f>IF(DS101&lt;$E104,0,IF(AND(DS101&gt;=$E104,DS101&lt;=($E104+$E110-1)),Вводные!$D$30,Вводные!$E$30))</f>
        <v>2.1999999999999999E-2</v>
      </c>
      <c r="DT110" s="120">
        <f>IF(DT101&lt;$E104,0,IF(AND(DT101&gt;=$E104,DT101&lt;=($E104+$E110-1)),Вводные!$D$30,Вводные!$E$30))</f>
        <v>2.1999999999999999E-2</v>
      </c>
      <c r="DU110" s="120">
        <f>IF(DU101&lt;$E104,0,IF(AND(DU101&gt;=$E104,DU101&lt;=($E104+$E110-1)),Вводные!$D$30,Вводные!$E$30))</f>
        <v>2.1999999999999999E-2</v>
      </c>
      <c r="DV110" s="120">
        <f>IF(DV101&lt;$E104,0,IF(AND(DV101&gt;=$E104,DV101&lt;=($E104+$E110-1)),Вводные!$D$30,Вводные!$E$30))</f>
        <v>2.1999999999999999E-2</v>
      </c>
      <c r="DW110" s="120">
        <f>IF(DW101&lt;$E104,0,IF(AND(DW101&gt;=$E104,DW101&lt;=($E104+$E110-1)),Вводные!$D$30,Вводные!$E$30))</f>
        <v>2.1999999999999999E-2</v>
      </c>
      <c r="DX110" s="120">
        <f>IF(DX101&lt;$E104,0,IF(AND(DX101&gt;=$E104,DX101&lt;=($E104+$E110-1)),Вводные!$D$30,Вводные!$E$30))</f>
        <v>2.1999999999999999E-2</v>
      </c>
      <c r="DY110" s="120">
        <f>IF(DY101&lt;$E104,0,IF(AND(DY101&gt;=$E104,DY101&lt;=($E104+$E110-1)),Вводные!$D$30,Вводные!$E$30))</f>
        <v>2.1999999999999999E-2</v>
      </c>
      <c r="DZ110" s="120">
        <f>IF(DZ101&lt;$E104,0,IF(AND(DZ101&gt;=$E104,DZ101&lt;=($E104+$E110-1)),Вводные!$D$30,Вводные!$E$30))</f>
        <v>2.1999999999999999E-2</v>
      </c>
      <c r="EA110" s="120">
        <f>IF(EA101&lt;$E104,0,IF(AND(EA101&gt;=$E104,EA101&lt;=($E104+$E110-1)),Вводные!$D$30,Вводные!$E$30))</f>
        <v>2.1999999999999999E-2</v>
      </c>
      <c r="EB110" s="120">
        <f>IF(EB101&lt;$E104,0,IF(AND(EB101&gt;=$E104,EB101&lt;=($E104+$E110-1)),Вводные!$D$30,Вводные!$E$30))</f>
        <v>2.1999999999999999E-2</v>
      </c>
      <c r="EC110" s="120">
        <f>IF(EC101&lt;$E104,0,IF(AND(EC101&gt;=$E104,EC101&lt;=($E104+$E110-1)),Вводные!$D$30,Вводные!$E$30))</f>
        <v>2.1999999999999999E-2</v>
      </c>
      <c r="ED110" s="120">
        <f>IF(ED101&lt;$E104,0,IF(AND(ED101&gt;=$E104,ED101&lt;=($E104+$E110-1)),Вводные!$D$30,Вводные!$E$30))</f>
        <v>2.1999999999999999E-2</v>
      </c>
      <c r="EE110" s="120">
        <f>IF(EE101&lt;$E104,0,IF(AND(EE101&gt;=$E104,EE101&lt;=($E104+$E110-1)),Вводные!$D$30,Вводные!$E$30))</f>
        <v>2.1999999999999999E-2</v>
      </c>
      <c r="EF110" s="120">
        <f>IF(EF101&lt;$E104,0,IF(AND(EF101&gt;=$E104,EF101&lt;=($E104+$E110-1)),Вводные!$D$30,Вводные!$E$30))</f>
        <v>2.1999999999999999E-2</v>
      </c>
      <c r="EG110" s="120">
        <f>IF(EG101&lt;$E104,0,IF(AND(EG101&gt;=$E104,EG101&lt;=($E104+$E110-1)),Вводные!$D$30,Вводные!$E$30))</f>
        <v>2.1999999999999999E-2</v>
      </c>
      <c r="EH110" s="120">
        <f>IF(EH101&lt;$E104,0,IF(AND(EH101&gt;=$E104,EH101&lt;=($E104+$E110-1)),Вводные!$D$30,Вводные!$E$30))</f>
        <v>2.1999999999999999E-2</v>
      </c>
      <c r="EI110" s="120">
        <f>IF(EI101&lt;$E104,0,IF(AND(EI101&gt;=$E104,EI101&lt;=($E104+$E110-1)),Вводные!$D$30,Вводные!$E$30))</f>
        <v>2.1999999999999999E-2</v>
      </c>
      <c r="EJ110" s="120">
        <f>IF(EJ101&lt;$E104,0,IF(AND(EJ101&gt;=$E104,EJ101&lt;=($E104+$E110-1)),Вводные!$D$30,Вводные!$E$30))</f>
        <v>2.1999999999999999E-2</v>
      </c>
      <c r="EK110" s="120">
        <f>IF(EK101&lt;$E104,0,IF(AND(EK101&gt;=$E104,EK101&lt;=($E104+$E110-1)),Вводные!$D$30,Вводные!$E$30))</f>
        <v>2.1999999999999999E-2</v>
      </c>
      <c r="EL110" s="120">
        <f>IF(EL101&lt;$E104,0,IF(AND(EL101&gt;=$E104,EL101&lt;=($E104+$E110-1)),Вводные!$D$30,Вводные!$E$30))</f>
        <v>2.1999999999999999E-2</v>
      </c>
      <c r="EM110" s="120">
        <f>IF(EM101&lt;$E104,0,IF(AND(EM101&gt;=$E104,EM101&lt;=($E104+$E110-1)),Вводные!$D$30,Вводные!$E$30))</f>
        <v>2.1999999999999999E-2</v>
      </c>
      <c r="EN110" s="120">
        <f>IF(EN101&lt;$E104,0,IF(AND(EN101&gt;=$E104,EN101&lt;=($E104+$E110-1)),Вводные!$D$30,Вводные!$E$30))</f>
        <v>2.1999999999999999E-2</v>
      </c>
    </row>
    <row r="111" spans="2:144" outlineLevel="1">
      <c r="C111" s="151" t="s">
        <v>22</v>
      </c>
      <c r="D111" s="44"/>
      <c r="E111" s="469"/>
      <c r="F111" s="44"/>
      <c r="G111" s="44"/>
      <c r="H111" s="44">
        <f t="shared" ref="H111:AM111" si="208">H110*H109/4</f>
        <v>0</v>
      </c>
      <c r="I111" s="44">
        <f t="shared" si="208"/>
        <v>0</v>
      </c>
      <c r="J111" s="44">
        <f t="shared" si="208"/>
        <v>0</v>
      </c>
      <c r="K111" s="44">
        <f t="shared" si="208"/>
        <v>0</v>
      </c>
      <c r="L111" s="44">
        <f t="shared" si="208"/>
        <v>0</v>
      </c>
      <c r="M111" s="44">
        <f t="shared" si="208"/>
        <v>0</v>
      </c>
      <c r="N111" s="44">
        <f t="shared" si="208"/>
        <v>0</v>
      </c>
      <c r="O111" s="44">
        <f t="shared" si="208"/>
        <v>0</v>
      </c>
      <c r="P111" s="44">
        <f t="shared" si="208"/>
        <v>0</v>
      </c>
      <c r="Q111" s="44">
        <f t="shared" si="208"/>
        <v>0</v>
      </c>
      <c r="R111" s="44">
        <f t="shared" si="208"/>
        <v>0</v>
      </c>
      <c r="S111" s="44">
        <f t="shared" si="208"/>
        <v>0</v>
      </c>
      <c r="T111" s="44">
        <f t="shared" si="208"/>
        <v>0</v>
      </c>
      <c r="U111" s="44">
        <f t="shared" si="208"/>
        <v>0</v>
      </c>
      <c r="V111" s="44">
        <f t="shared" si="208"/>
        <v>0</v>
      </c>
      <c r="W111" s="44">
        <f t="shared" si="208"/>
        <v>0</v>
      </c>
      <c r="X111" s="44">
        <f t="shared" si="208"/>
        <v>0</v>
      </c>
      <c r="Y111" s="44">
        <f t="shared" si="208"/>
        <v>0</v>
      </c>
      <c r="Z111" s="44">
        <f t="shared" si="208"/>
        <v>0</v>
      </c>
      <c r="AA111" s="44">
        <f t="shared" si="208"/>
        <v>0</v>
      </c>
      <c r="AB111" s="44">
        <f t="shared" si="208"/>
        <v>0</v>
      </c>
      <c r="AC111" s="44">
        <f t="shared" si="208"/>
        <v>0</v>
      </c>
      <c r="AD111" s="44">
        <f t="shared" si="208"/>
        <v>0</v>
      </c>
      <c r="AE111" s="44">
        <f t="shared" si="208"/>
        <v>0</v>
      </c>
      <c r="AF111" s="44">
        <f t="shared" si="208"/>
        <v>0</v>
      </c>
      <c r="AG111" s="44">
        <f t="shared" si="208"/>
        <v>0</v>
      </c>
      <c r="AH111" s="44">
        <f t="shared" si="208"/>
        <v>0</v>
      </c>
      <c r="AI111" s="44">
        <f t="shared" si="208"/>
        <v>0</v>
      </c>
      <c r="AJ111" s="44">
        <f t="shared" si="208"/>
        <v>0</v>
      </c>
      <c r="AK111" s="44">
        <f t="shared" si="208"/>
        <v>0</v>
      </c>
      <c r="AL111" s="44">
        <f t="shared" si="208"/>
        <v>0</v>
      </c>
      <c r="AM111" s="44">
        <f t="shared" si="208"/>
        <v>0</v>
      </c>
      <c r="AN111" s="44">
        <f t="shared" ref="AN111:BS111" si="209">AN110*AN109/4</f>
        <v>0</v>
      </c>
      <c r="AO111" s="44">
        <f t="shared" si="209"/>
        <v>0</v>
      </c>
      <c r="AP111" s="44">
        <f t="shared" si="209"/>
        <v>0</v>
      </c>
      <c r="AQ111" s="44">
        <f t="shared" si="209"/>
        <v>0</v>
      </c>
      <c r="AR111" s="44">
        <f t="shared" si="209"/>
        <v>0</v>
      </c>
      <c r="AS111" s="44">
        <f t="shared" si="209"/>
        <v>0</v>
      </c>
      <c r="AT111" s="44">
        <f t="shared" si="209"/>
        <v>0</v>
      </c>
      <c r="AU111" s="44">
        <f t="shared" si="209"/>
        <v>0</v>
      </c>
      <c r="AV111" s="44">
        <f t="shared" si="209"/>
        <v>0</v>
      </c>
      <c r="AW111" s="44">
        <f t="shared" si="209"/>
        <v>0</v>
      </c>
      <c r="AX111" s="44">
        <f t="shared" si="209"/>
        <v>0</v>
      </c>
      <c r="AY111" s="44">
        <f t="shared" si="209"/>
        <v>0</v>
      </c>
      <c r="AZ111" s="44">
        <f t="shared" si="209"/>
        <v>0</v>
      </c>
      <c r="BA111" s="44">
        <f t="shared" si="209"/>
        <v>0</v>
      </c>
      <c r="BB111" s="44">
        <f t="shared" si="209"/>
        <v>0</v>
      </c>
      <c r="BC111" s="44">
        <f t="shared" si="209"/>
        <v>0</v>
      </c>
      <c r="BD111" s="44">
        <f t="shared" si="209"/>
        <v>0</v>
      </c>
      <c r="BE111" s="44">
        <f t="shared" si="209"/>
        <v>0</v>
      </c>
      <c r="BF111" s="44">
        <f t="shared" si="209"/>
        <v>0</v>
      </c>
      <c r="BG111" s="44">
        <f t="shared" si="209"/>
        <v>0</v>
      </c>
      <c r="BH111" s="44">
        <f t="shared" si="209"/>
        <v>678403.77348071686</v>
      </c>
      <c r="BI111" s="44">
        <f t="shared" si="209"/>
        <v>670079.8007999718</v>
      </c>
      <c r="BJ111" s="44">
        <f t="shared" si="209"/>
        <v>661755.82811922696</v>
      </c>
      <c r="BK111" s="44">
        <f t="shared" si="209"/>
        <v>653431.8554384819</v>
      </c>
      <c r="BL111" s="44">
        <f t="shared" si="209"/>
        <v>645107.88275773695</v>
      </c>
      <c r="BM111" s="44">
        <f t="shared" si="209"/>
        <v>636783.91007699189</v>
      </c>
      <c r="BN111" s="44">
        <f t="shared" si="209"/>
        <v>628459.93739624694</v>
      </c>
      <c r="BO111" s="44">
        <f t="shared" si="209"/>
        <v>620135.96471550188</v>
      </c>
      <c r="BP111" s="44">
        <f t="shared" si="209"/>
        <v>611811.99203475704</v>
      </c>
      <c r="BQ111" s="44">
        <f t="shared" si="209"/>
        <v>603488.01935401198</v>
      </c>
      <c r="BR111" s="44">
        <f t="shared" si="209"/>
        <v>595164.04667326703</v>
      </c>
      <c r="BS111" s="44">
        <f t="shared" si="209"/>
        <v>586840.07399252197</v>
      </c>
      <c r="BT111" s="44">
        <f t="shared" ref="BT111:CY111" si="210">BT110*BT109/4</f>
        <v>578516.10131177714</v>
      </c>
      <c r="BU111" s="44">
        <f t="shared" si="210"/>
        <v>570192.12863103207</v>
      </c>
      <c r="BV111" s="44">
        <f t="shared" si="210"/>
        <v>561868.15595028712</v>
      </c>
      <c r="BW111" s="44">
        <f t="shared" si="210"/>
        <v>553544.18326954206</v>
      </c>
      <c r="BX111" s="44">
        <f t="shared" si="210"/>
        <v>545220.21058879711</v>
      </c>
      <c r="BY111" s="44">
        <f t="shared" si="210"/>
        <v>536896.23790805205</v>
      </c>
      <c r="BZ111" s="44">
        <f t="shared" si="210"/>
        <v>528572.26522730722</v>
      </c>
      <c r="CA111" s="44">
        <f t="shared" si="210"/>
        <v>520248.29254656209</v>
      </c>
      <c r="CB111" s="44">
        <f t="shared" si="210"/>
        <v>511924.3198658172</v>
      </c>
      <c r="CC111" s="44">
        <f t="shared" si="210"/>
        <v>503600.34718507214</v>
      </c>
      <c r="CD111" s="44">
        <f t="shared" si="210"/>
        <v>495276.37450432725</v>
      </c>
      <c r="CE111" s="44">
        <f t="shared" si="210"/>
        <v>486952.40182358219</v>
      </c>
      <c r="CF111" s="44">
        <f t="shared" si="210"/>
        <v>478628.4291428373</v>
      </c>
      <c r="CG111" s="44">
        <f t="shared" si="210"/>
        <v>470304.45646209223</v>
      </c>
      <c r="CH111" s="44">
        <f t="shared" si="210"/>
        <v>461980.48378134734</v>
      </c>
      <c r="CI111" s="44">
        <f t="shared" si="210"/>
        <v>453656.51110060228</v>
      </c>
      <c r="CJ111" s="44">
        <f t="shared" si="210"/>
        <v>445332.53841985733</v>
      </c>
      <c r="CK111" s="44">
        <f t="shared" si="210"/>
        <v>437008.56573911227</v>
      </c>
      <c r="CL111" s="44">
        <f t="shared" si="210"/>
        <v>428684.59305836738</v>
      </c>
      <c r="CM111" s="44">
        <f t="shared" si="210"/>
        <v>420360.62037762231</v>
      </c>
      <c r="CN111" s="44">
        <f t="shared" si="210"/>
        <v>412036.64769687742</v>
      </c>
      <c r="CO111" s="44">
        <f t="shared" si="210"/>
        <v>403712.67501613236</v>
      </c>
      <c r="CP111" s="44">
        <f t="shared" si="210"/>
        <v>395388.70233538747</v>
      </c>
      <c r="CQ111" s="44">
        <f t="shared" si="210"/>
        <v>387064.7296546424</v>
      </c>
      <c r="CR111" s="44">
        <f t="shared" si="210"/>
        <v>378740.75697389751</v>
      </c>
      <c r="CS111" s="44">
        <f t="shared" si="210"/>
        <v>370416.78429315245</v>
      </c>
      <c r="CT111" s="44">
        <f t="shared" si="210"/>
        <v>362092.8116124075</v>
      </c>
      <c r="CU111" s="44">
        <f t="shared" si="210"/>
        <v>353768.8389316625</v>
      </c>
      <c r="CV111" s="44">
        <f t="shared" si="210"/>
        <v>345444.86625091755</v>
      </c>
      <c r="CW111" s="44">
        <f t="shared" si="210"/>
        <v>337120.89357017254</v>
      </c>
      <c r="CX111" s="44">
        <f t="shared" si="210"/>
        <v>328796.92088942754</v>
      </c>
      <c r="CY111" s="44">
        <f t="shared" si="210"/>
        <v>320472.94820868259</v>
      </c>
      <c r="CZ111" s="44">
        <f t="shared" ref="CZ111:EE111" si="211">CZ110*CZ109/4</f>
        <v>312148.97552793758</v>
      </c>
      <c r="DA111" s="44">
        <f t="shared" si="211"/>
        <v>303825.00284719263</v>
      </c>
      <c r="DB111" s="44">
        <f t="shared" si="211"/>
        <v>295501.03016644763</v>
      </c>
      <c r="DC111" s="44">
        <f t="shared" si="211"/>
        <v>287177.05748570262</v>
      </c>
      <c r="DD111" s="44">
        <f t="shared" si="211"/>
        <v>278853.08480495767</v>
      </c>
      <c r="DE111" s="44">
        <f t="shared" si="211"/>
        <v>270529.11212421267</v>
      </c>
      <c r="DF111" s="44">
        <f t="shared" si="211"/>
        <v>262205.13944346772</v>
      </c>
      <c r="DG111" s="44">
        <f t="shared" si="211"/>
        <v>253881.16676272271</v>
      </c>
      <c r="DH111" s="44">
        <f t="shared" si="211"/>
        <v>245557.19408197774</v>
      </c>
      <c r="DI111" s="44">
        <f t="shared" si="211"/>
        <v>237233.22140123276</v>
      </c>
      <c r="DJ111" s="44">
        <f t="shared" si="211"/>
        <v>228909.24872048775</v>
      </c>
      <c r="DK111" s="44">
        <f t="shared" si="211"/>
        <v>220585.27603974278</v>
      </c>
      <c r="DL111" s="44">
        <f t="shared" si="211"/>
        <v>212261.3033589978</v>
      </c>
      <c r="DM111" s="44">
        <f t="shared" si="211"/>
        <v>203937.33067825282</v>
      </c>
      <c r="DN111" s="44">
        <f t="shared" si="211"/>
        <v>195613.35799750785</v>
      </c>
      <c r="DO111" s="44">
        <f t="shared" si="211"/>
        <v>187289.38531676284</v>
      </c>
      <c r="DP111" s="44">
        <f t="shared" si="211"/>
        <v>178965.41263601792</v>
      </c>
      <c r="DQ111" s="44">
        <f t="shared" si="211"/>
        <v>170641.43995527292</v>
      </c>
      <c r="DR111" s="44">
        <f t="shared" si="211"/>
        <v>162317.467274528</v>
      </c>
      <c r="DS111" s="44">
        <f t="shared" si="211"/>
        <v>153993.49459378299</v>
      </c>
      <c r="DT111" s="44">
        <f t="shared" si="211"/>
        <v>145669.52191303807</v>
      </c>
      <c r="DU111" s="44">
        <f t="shared" si="211"/>
        <v>137345.54923229307</v>
      </c>
      <c r="DV111" s="44">
        <f t="shared" si="211"/>
        <v>129021.57655154813</v>
      </c>
      <c r="DW111" s="44">
        <f t="shared" si="211"/>
        <v>120697.60387080316</v>
      </c>
      <c r="DX111" s="44">
        <f t="shared" si="211"/>
        <v>112373.63119005821</v>
      </c>
      <c r="DY111" s="44">
        <f t="shared" si="211"/>
        <v>104049.65850931323</v>
      </c>
      <c r="DZ111" s="44">
        <f t="shared" si="211"/>
        <v>95725.685828568283</v>
      </c>
      <c r="EA111" s="44">
        <f t="shared" si="211"/>
        <v>87401.713147823306</v>
      </c>
      <c r="EB111" s="44">
        <f t="shared" si="211"/>
        <v>79077.740467078343</v>
      </c>
      <c r="EC111" s="44">
        <f t="shared" si="211"/>
        <v>70753.767786333381</v>
      </c>
      <c r="ED111" s="44">
        <f t="shared" si="211"/>
        <v>62429.795105588426</v>
      </c>
      <c r="EE111" s="44">
        <f t="shared" si="211"/>
        <v>54105.822424843464</v>
      </c>
      <c r="EF111" s="44">
        <f t="shared" ref="EF111:EN111" si="212">EF110*EF109/4</f>
        <v>45781.849744098501</v>
      </c>
      <c r="EG111" s="44">
        <f t="shared" si="212"/>
        <v>37457.877063353531</v>
      </c>
      <c r="EH111" s="44">
        <f t="shared" si="212"/>
        <v>29133.904382608565</v>
      </c>
      <c r="EI111" s="44">
        <f t="shared" si="212"/>
        <v>20809.931701863596</v>
      </c>
      <c r="EJ111" s="44">
        <f t="shared" si="212"/>
        <v>12485.95902111863</v>
      </c>
      <c r="EK111" s="44">
        <f t="shared" si="212"/>
        <v>4161.9863403736617</v>
      </c>
      <c r="EL111" s="44">
        <f t="shared" si="212"/>
        <v>1.1781230568885802E-9</v>
      </c>
      <c r="EM111" s="44">
        <f t="shared" si="212"/>
        <v>1.1781230568885802E-9</v>
      </c>
      <c r="EN111" s="44">
        <f t="shared" si="212"/>
        <v>1.1781230568885802E-9</v>
      </c>
    </row>
    <row r="112" spans="2:144" ht="15.75">
      <c r="B112" s="40"/>
      <c r="C112" s="22"/>
      <c r="E112" s="40"/>
      <c r="F112" s="40"/>
      <c r="G112" s="40"/>
      <c r="H112" s="463">
        <f t="shared" ref="H112:BD112" si="213">YEAR(H114)</f>
        <v>2022</v>
      </c>
      <c r="I112" s="463">
        <f t="shared" si="213"/>
        <v>2022</v>
      </c>
      <c r="J112" s="463">
        <f t="shared" si="213"/>
        <v>2022</v>
      </c>
      <c r="K112" s="463">
        <f t="shared" si="213"/>
        <v>2022</v>
      </c>
      <c r="L112" s="463">
        <f t="shared" si="213"/>
        <v>2023</v>
      </c>
      <c r="M112" s="463">
        <f t="shared" si="213"/>
        <v>2023</v>
      </c>
      <c r="N112" s="463">
        <f t="shared" si="213"/>
        <v>2023</v>
      </c>
      <c r="O112" s="463">
        <f t="shared" si="213"/>
        <v>2023</v>
      </c>
      <c r="P112" s="463">
        <f t="shared" si="213"/>
        <v>2024</v>
      </c>
      <c r="Q112" s="463">
        <f t="shared" si="213"/>
        <v>2024</v>
      </c>
      <c r="R112" s="463">
        <f t="shared" si="213"/>
        <v>2024</v>
      </c>
      <c r="S112" s="463">
        <f t="shared" si="213"/>
        <v>2024</v>
      </c>
      <c r="T112" s="463">
        <f t="shared" si="213"/>
        <v>2025</v>
      </c>
      <c r="U112" s="463">
        <f t="shared" si="213"/>
        <v>2025</v>
      </c>
      <c r="V112" s="463">
        <f t="shared" si="213"/>
        <v>2025</v>
      </c>
      <c r="W112" s="463">
        <f t="shared" si="213"/>
        <v>2025</v>
      </c>
      <c r="X112" s="463">
        <f t="shared" si="213"/>
        <v>2026</v>
      </c>
      <c r="Y112" s="463">
        <f t="shared" si="213"/>
        <v>2026</v>
      </c>
      <c r="Z112" s="463">
        <f t="shared" si="213"/>
        <v>2026</v>
      </c>
      <c r="AA112" s="463">
        <f t="shared" si="213"/>
        <v>2026</v>
      </c>
      <c r="AB112" s="463">
        <f t="shared" si="213"/>
        <v>2027</v>
      </c>
      <c r="AC112" s="463">
        <f t="shared" si="213"/>
        <v>2027</v>
      </c>
      <c r="AD112" s="463">
        <f t="shared" si="213"/>
        <v>2027</v>
      </c>
      <c r="AE112" s="463">
        <f t="shared" si="213"/>
        <v>2027</v>
      </c>
      <c r="AF112" s="463">
        <f t="shared" si="213"/>
        <v>2028</v>
      </c>
      <c r="AG112" s="463">
        <f t="shared" si="213"/>
        <v>2028</v>
      </c>
      <c r="AH112" s="463">
        <f t="shared" si="213"/>
        <v>2028</v>
      </c>
      <c r="AI112" s="463">
        <f t="shared" si="213"/>
        <v>2028</v>
      </c>
      <c r="AJ112" s="463">
        <f t="shared" si="213"/>
        <v>2029</v>
      </c>
      <c r="AK112" s="463">
        <f t="shared" si="213"/>
        <v>2029</v>
      </c>
      <c r="AL112" s="463">
        <f t="shared" si="213"/>
        <v>2029</v>
      </c>
      <c r="AM112" s="463">
        <f t="shared" si="213"/>
        <v>2029</v>
      </c>
      <c r="AN112" s="463">
        <f t="shared" si="213"/>
        <v>2030</v>
      </c>
      <c r="AO112" s="463">
        <f t="shared" si="213"/>
        <v>2030</v>
      </c>
      <c r="AP112" s="463">
        <f t="shared" si="213"/>
        <v>2030</v>
      </c>
      <c r="AQ112" s="463">
        <f t="shared" si="213"/>
        <v>2030</v>
      </c>
      <c r="AR112" s="463">
        <f t="shared" si="213"/>
        <v>2031</v>
      </c>
      <c r="AS112" s="463">
        <f t="shared" si="213"/>
        <v>2031</v>
      </c>
      <c r="AT112" s="463">
        <f t="shared" si="213"/>
        <v>2031</v>
      </c>
      <c r="AU112" s="463">
        <f t="shared" si="213"/>
        <v>2031</v>
      </c>
      <c r="AV112" s="463">
        <f t="shared" si="213"/>
        <v>2032</v>
      </c>
      <c r="AW112" s="463">
        <f t="shared" si="213"/>
        <v>2032</v>
      </c>
      <c r="AX112" s="463">
        <f t="shared" si="213"/>
        <v>2032</v>
      </c>
      <c r="AY112" s="463">
        <f t="shared" si="213"/>
        <v>2032</v>
      </c>
      <c r="AZ112" s="463">
        <f t="shared" si="213"/>
        <v>2033</v>
      </c>
      <c r="BA112" s="463">
        <f t="shared" si="213"/>
        <v>2033</v>
      </c>
      <c r="BB112" s="463">
        <f t="shared" si="213"/>
        <v>2033</v>
      </c>
      <c r="BC112" s="463">
        <f t="shared" si="213"/>
        <v>2033</v>
      </c>
      <c r="BD112" s="463">
        <f t="shared" si="213"/>
        <v>2034</v>
      </c>
      <c r="BE112" s="463">
        <f>YEAR(BE114)</f>
        <v>2034</v>
      </c>
      <c r="BF112" s="463">
        <f>YEAR(BF114)</f>
        <v>2034</v>
      </c>
      <c r="BG112" s="463">
        <f t="shared" ref="BG112:DR112" si="214">YEAR(BG114)</f>
        <v>2034</v>
      </c>
      <c r="BH112" s="463">
        <f t="shared" si="214"/>
        <v>2035</v>
      </c>
      <c r="BI112" s="463">
        <f t="shared" si="214"/>
        <v>2035</v>
      </c>
      <c r="BJ112" s="463">
        <f t="shared" si="214"/>
        <v>2035</v>
      </c>
      <c r="BK112" s="463">
        <f t="shared" si="214"/>
        <v>2035</v>
      </c>
      <c r="BL112" s="463">
        <f t="shared" si="214"/>
        <v>2036</v>
      </c>
      <c r="BM112" s="463">
        <f t="shared" si="214"/>
        <v>2036</v>
      </c>
      <c r="BN112" s="463">
        <f t="shared" si="214"/>
        <v>2036</v>
      </c>
      <c r="BO112" s="463">
        <f t="shared" si="214"/>
        <v>2036</v>
      </c>
      <c r="BP112" s="463">
        <f t="shared" si="214"/>
        <v>2037</v>
      </c>
      <c r="BQ112" s="463">
        <f t="shared" si="214"/>
        <v>2037</v>
      </c>
      <c r="BR112" s="463">
        <f t="shared" si="214"/>
        <v>2037</v>
      </c>
      <c r="BS112" s="463">
        <f t="shared" si="214"/>
        <v>2037</v>
      </c>
      <c r="BT112" s="463">
        <f t="shared" si="214"/>
        <v>2038</v>
      </c>
      <c r="BU112" s="463">
        <f t="shared" si="214"/>
        <v>2038</v>
      </c>
      <c r="BV112" s="463">
        <f t="shared" si="214"/>
        <v>2038</v>
      </c>
      <c r="BW112" s="463">
        <f t="shared" si="214"/>
        <v>2038</v>
      </c>
      <c r="BX112" s="463">
        <f t="shared" si="214"/>
        <v>2039</v>
      </c>
      <c r="BY112" s="463">
        <f t="shared" si="214"/>
        <v>2039</v>
      </c>
      <c r="BZ112" s="463">
        <f t="shared" si="214"/>
        <v>2039</v>
      </c>
      <c r="CA112" s="463">
        <f t="shared" si="214"/>
        <v>2039</v>
      </c>
      <c r="CB112" s="463">
        <f t="shared" si="214"/>
        <v>2040</v>
      </c>
      <c r="CC112" s="463">
        <f t="shared" si="214"/>
        <v>2040</v>
      </c>
      <c r="CD112" s="463">
        <f t="shared" si="214"/>
        <v>2040</v>
      </c>
      <c r="CE112" s="463">
        <f t="shared" si="214"/>
        <v>2040</v>
      </c>
      <c r="CF112" s="463">
        <f t="shared" si="214"/>
        <v>2041</v>
      </c>
      <c r="CG112" s="463">
        <f t="shared" si="214"/>
        <v>2041</v>
      </c>
      <c r="CH112" s="463">
        <f t="shared" si="214"/>
        <v>2041</v>
      </c>
      <c r="CI112" s="463">
        <f t="shared" si="214"/>
        <v>2041</v>
      </c>
      <c r="CJ112" s="463">
        <f t="shared" si="214"/>
        <v>2042</v>
      </c>
      <c r="CK112" s="463">
        <f t="shared" si="214"/>
        <v>2042</v>
      </c>
      <c r="CL112" s="463">
        <f t="shared" si="214"/>
        <v>2042</v>
      </c>
      <c r="CM112" s="463">
        <f t="shared" si="214"/>
        <v>2042</v>
      </c>
      <c r="CN112" s="463">
        <f t="shared" si="214"/>
        <v>2043</v>
      </c>
      <c r="CO112" s="463">
        <f t="shared" si="214"/>
        <v>2043</v>
      </c>
      <c r="CP112" s="463">
        <f t="shared" si="214"/>
        <v>2043</v>
      </c>
      <c r="CQ112" s="463">
        <f t="shared" si="214"/>
        <v>2043</v>
      </c>
      <c r="CR112" s="463">
        <f t="shared" si="214"/>
        <v>2044</v>
      </c>
      <c r="CS112" s="463">
        <f t="shared" si="214"/>
        <v>2044</v>
      </c>
      <c r="CT112" s="463">
        <f t="shared" si="214"/>
        <v>2044</v>
      </c>
      <c r="CU112" s="463">
        <f t="shared" si="214"/>
        <v>2044</v>
      </c>
      <c r="CV112" s="463">
        <f t="shared" si="214"/>
        <v>2045</v>
      </c>
      <c r="CW112" s="463">
        <f t="shared" si="214"/>
        <v>2045</v>
      </c>
      <c r="CX112" s="463">
        <f t="shared" si="214"/>
        <v>2045</v>
      </c>
      <c r="CY112" s="463">
        <f t="shared" si="214"/>
        <v>2045</v>
      </c>
      <c r="CZ112" s="463">
        <f t="shared" si="214"/>
        <v>2046</v>
      </c>
      <c r="DA112" s="463">
        <f t="shared" si="214"/>
        <v>2046</v>
      </c>
      <c r="DB112" s="463">
        <f t="shared" si="214"/>
        <v>2046</v>
      </c>
      <c r="DC112" s="463">
        <f t="shared" si="214"/>
        <v>2046</v>
      </c>
      <c r="DD112" s="463">
        <f t="shared" si="214"/>
        <v>2047</v>
      </c>
      <c r="DE112" s="463">
        <f t="shared" si="214"/>
        <v>2047</v>
      </c>
      <c r="DF112" s="463">
        <f t="shared" si="214"/>
        <v>2047</v>
      </c>
      <c r="DG112" s="463">
        <f t="shared" si="214"/>
        <v>2047</v>
      </c>
      <c r="DH112" s="463">
        <f t="shared" si="214"/>
        <v>2048</v>
      </c>
      <c r="DI112" s="463">
        <f t="shared" si="214"/>
        <v>2048</v>
      </c>
      <c r="DJ112" s="463">
        <f t="shared" si="214"/>
        <v>2048</v>
      </c>
      <c r="DK112" s="463">
        <f t="shared" si="214"/>
        <v>2048</v>
      </c>
      <c r="DL112" s="463">
        <f t="shared" si="214"/>
        <v>2049</v>
      </c>
      <c r="DM112" s="463">
        <f t="shared" si="214"/>
        <v>2049</v>
      </c>
      <c r="DN112" s="463">
        <f t="shared" si="214"/>
        <v>2049</v>
      </c>
      <c r="DO112" s="463">
        <f t="shared" si="214"/>
        <v>2049</v>
      </c>
      <c r="DP112" s="463">
        <f t="shared" si="214"/>
        <v>2050</v>
      </c>
      <c r="DQ112" s="463">
        <f t="shared" si="214"/>
        <v>2050</v>
      </c>
      <c r="DR112" s="463">
        <f t="shared" si="214"/>
        <v>2050</v>
      </c>
      <c r="DS112" s="463">
        <f t="shared" ref="DS112:EN112" si="215">YEAR(DS114)</f>
        <v>2050</v>
      </c>
      <c r="DT112" s="463">
        <f t="shared" si="215"/>
        <v>2051</v>
      </c>
      <c r="DU112" s="463">
        <f t="shared" si="215"/>
        <v>2051</v>
      </c>
      <c r="DV112" s="463">
        <f t="shared" si="215"/>
        <v>2051</v>
      </c>
      <c r="DW112" s="463">
        <f t="shared" si="215"/>
        <v>2051</v>
      </c>
      <c r="DX112" s="463">
        <f t="shared" si="215"/>
        <v>2052</v>
      </c>
      <c r="DY112" s="463">
        <f t="shared" si="215"/>
        <v>2052</v>
      </c>
      <c r="DZ112" s="463">
        <f t="shared" si="215"/>
        <v>2052</v>
      </c>
      <c r="EA112" s="463">
        <f t="shared" si="215"/>
        <v>2052</v>
      </c>
      <c r="EB112" s="463">
        <f t="shared" si="215"/>
        <v>2053</v>
      </c>
      <c r="EC112" s="463">
        <f t="shared" si="215"/>
        <v>2053</v>
      </c>
      <c r="ED112" s="463">
        <f t="shared" si="215"/>
        <v>2053</v>
      </c>
      <c r="EE112" s="463">
        <f t="shared" si="215"/>
        <v>2053</v>
      </c>
      <c r="EF112" s="463">
        <f t="shared" si="215"/>
        <v>2054</v>
      </c>
      <c r="EG112" s="463">
        <f t="shared" si="215"/>
        <v>2054</v>
      </c>
      <c r="EH112" s="463">
        <f t="shared" si="215"/>
        <v>2054</v>
      </c>
      <c r="EI112" s="463">
        <f t="shared" si="215"/>
        <v>2054</v>
      </c>
      <c r="EJ112" s="463">
        <f t="shared" si="215"/>
        <v>2055</v>
      </c>
      <c r="EK112" s="463">
        <f t="shared" si="215"/>
        <v>2055</v>
      </c>
      <c r="EL112" s="463">
        <f t="shared" si="215"/>
        <v>2055</v>
      </c>
      <c r="EM112" s="463">
        <f t="shared" si="215"/>
        <v>2055</v>
      </c>
      <c r="EN112" s="463">
        <f t="shared" si="215"/>
        <v>2056</v>
      </c>
    </row>
    <row r="113" spans="2:144" ht="15.75">
      <c r="B113" s="40"/>
      <c r="C113" s="22"/>
      <c r="E113" s="40"/>
      <c r="F113" s="40"/>
      <c r="G113" s="40"/>
      <c r="H113" s="464">
        <f t="shared" ref="H113:AM113" si="216">H80</f>
        <v>44593</v>
      </c>
      <c r="I113" s="464">
        <f t="shared" si="216"/>
        <v>44652</v>
      </c>
      <c r="J113" s="464">
        <f t="shared" si="216"/>
        <v>44743</v>
      </c>
      <c r="K113" s="464">
        <f t="shared" si="216"/>
        <v>44835</v>
      </c>
      <c r="L113" s="464">
        <f t="shared" si="216"/>
        <v>44927</v>
      </c>
      <c r="M113" s="464">
        <f t="shared" si="216"/>
        <v>45017</v>
      </c>
      <c r="N113" s="464">
        <f t="shared" si="216"/>
        <v>45108</v>
      </c>
      <c r="O113" s="464">
        <f t="shared" si="216"/>
        <v>45200</v>
      </c>
      <c r="P113" s="464">
        <f t="shared" si="216"/>
        <v>45292</v>
      </c>
      <c r="Q113" s="464">
        <f t="shared" si="216"/>
        <v>45383</v>
      </c>
      <c r="R113" s="464">
        <f t="shared" si="216"/>
        <v>45474</v>
      </c>
      <c r="S113" s="464">
        <f t="shared" si="216"/>
        <v>45566</v>
      </c>
      <c r="T113" s="464">
        <f t="shared" si="216"/>
        <v>45658</v>
      </c>
      <c r="U113" s="464">
        <f t="shared" si="216"/>
        <v>45748</v>
      </c>
      <c r="V113" s="464">
        <f t="shared" si="216"/>
        <v>45839</v>
      </c>
      <c r="W113" s="464">
        <f t="shared" si="216"/>
        <v>45931</v>
      </c>
      <c r="X113" s="464">
        <f t="shared" si="216"/>
        <v>46023</v>
      </c>
      <c r="Y113" s="464">
        <f t="shared" si="216"/>
        <v>46113</v>
      </c>
      <c r="Z113" s="464">
        <f t="shared" si="216"/>
        <v>46204</v>
      </c>
      <c r="AA113" s="464">
        <f t="shared" si="216"/>
        <v>46296</v>
      </c>
      <c r="AB113" s="464">
        <f t="shared" si="216"/>
        <v>46388</v>
      </c>
      <c r="AC113" s="464">
        <f t="shared" si="216"/>
        <v>46478</v>
      </c>
      <c r="AD113" s="464">
        <f t="shared" si="216"/>
        <v>46569</v>
      </c>
      <c r="AE113" s="464">
        <f t="shared" si="216"/>
        <v>46661</v>
      </c>
      <c r="AF113" s="464">
        <f t="shared" si="216"/>
        <v>46753</v>
      </c>
      <c r="AG113" s="464">
        <f t="shared" si="216"/>
        <v>46844</v>
      </c>
      <c r="AH113" s="464">
        <f t="shared" si="216"/>
        <v>46935</v>
      </c>
      <c r="AI113" s="464">
        <f t="shared" si="216"/>
        <v>47027</v>
      </c>
      <c r="AJ113" s="464">
        <f t="shared" si="216"/>
        <v>47119</v>
      </c>
      <c r="AK113" s="464">
        <f t="shared" si="216"/>
        <v>47209</v>
      </c>
      <c r="AL113" s="464">
        <f t="shared" si="216"/>
        <v>47300</v>
      </c>
      <c r="AM113" s="464">
        <f t="shared" si="216"/>
        <v>47392</v>
      </c>
      <c r="AN113" s="464">
        <f t="shared" ref="AN113:BS113" si="217">AN80</f>
        <v>47484</v>
      </c>
      <c r="AO113" s="464">
        <f t="shared" si="217"/>
        <v>47574</v>
      </c>
      <c r="AP113" s="464">
        <f t="shared" si="217"/>
        <v>47665</v>
      </c>
      <c r="AQ113" s="464">
        <f t="shared" si="217"/>
        <v>47757</v>
      </c>
      <c r="AR113" s="464">
        <f t="shared" si="217"/>
        <v>47849</v>
      </c>
      <c r="AS113" s="464">
        <f t="shared" si="217"/>
        <v>47939</v>
      </c>
      <c r="AT113" s="464">
        <f t="shared" si="217"/>
        <v>48030</v>
      </c>
      <c r="AU113" s="464">
        <f t="shared" si="217"/>
        <v>48122</v>
      </c>
      <c r="AV113" s="464">
        <f t="shared" si="217"/>
        <v>48214</v>
      </c>
      <c r="AW113" s="464">
        <f t="shared" si="217"/>
        <v>48305</v>
      </c>
      <c r="AX113" s="464">
        <f t="shared" si="217"/>
        <v>48396</v>
      </c>
      <c r="AY113" s="464">
        <f t="shared" si="217"/>
        <v>48488</v>
      </c>
      <c r="AZ113" s="464">
        <f t="shared" si="217"/>
        <v>48580</v>
      </c>
      <c r="BA113" s="464">
        <f t="shared" si="217"/>
        <v>48670</v>
      </c>
      <c r="BB113" s="464">
        <f t="shared" si="217"/>
        <v>48761</v>
      </c>
      <c r="BC113" s="464">
        <f t="shared" si="217"/>
        <v>48853</v>
      </c>
      <c r="BD113" s="464">
        <f t="shared" si="217"/>
        <v>48945</v>
      </c>
      <c r="BE113" s="464">
        <f t="shared" si="217"/>
        <v>49035</v>
      </c>
      <c r="BF113" s="464">
        <f t="shared" si="217"/>
        <v>49126</v>
      </c>
      <c r="BG113" s="464">
        <f t="shared" si="217"/>
        <v>49218</v>
      </c>
      <c r="BH113" s="464">
        <f t="shared" si="217"/>
        <v>49310</v>
      </c>
      <c r="BI113" s="464">
        <f t="shared" si="217"/>
        <v>49400</v>
      </c>
      <c r="BJ113" s="464">
        <f t="shared" si="217"/>
        <v>49491</v>
      </c>
      <c r="BK113" s="464">
        <f t="shared" si="217"/>
        <v>49583</v>
      </c>
      <c r="BL113" s="464">
        <f t="shared" si="217"/>
        <v>49675</v>
      </c>
      <c r="BM113" s="464">
        <f t="shared" si="217"/>
        <v>49766</v>
      </c>
      <c r="BN113" s="464">
        <f t="shared" si="217"/>
        <v>49857</v>
      </c>
      <c r="BO113" s="464">
        <f t="shared" si="217"/>
        <v>49949</v>
      </c>
      <c r="BP113" s="464">
        <f t="shared" si="217"/>
        <v>50041</v>
      </c>
      <c r="BQ113" s="464">
        <f t="shared" si="217"/>
        <v>50131</v>
      </c>
      <c r="BR113" s="464">
        <f t="shared" si="217"/>
        <v>50222</v>
      </c>
      <c r="BS113" s="464">
        <f t="shared" si="217"/>
        <v>50314</v>
      </c>
      <c r="BT113" s="464">
        <f t="shared" ref="BT113:CY113" si="218">BT80</f>
        <v>50406</v>
      </c>
      <c r="BU113" s="464">
        <f t="shared" si="218"/>
        <v>50496</v>
      </c>
      <c r="BV113" s="464">
        <f t="shared" si="218"/>
        <v>50587</v>
      </c>
      <c r="BW113" s="464">
        <f t="shared" si="218"/>
        <v>50679</v>
      </c>
      <c r="BX113" s="464">
        <f t="shared" si="218"/>
        <v>50771</v>
      </c>
      <c r="BY113" s="464">
        <f t="shared" si="218"/>
        <v>50861</v>
      </c>
      <c r="BZ113" s="464">
        <f t="shared" si="218"/>
        <v>50952</v>
      </c>
      <c r="CA113" s="464">
        <f t="shared" si="218"/>
        <v>51044</v>
      </c>
      <c r="CB113" s="464">
        <f t="shared" si="218"/>
        <v>51136</v>
      </c>
      <c r="CC113" s="464">
        <f t="shared" si="218"/>
        <v>51227</v>
      </c>
      <c r="CD113" s="464">
        <f t="shared" si="218"/>
        <v>51318</v>
      </c>
      <c r="CE113" s="464">
        <f t="shared" si="218"/>
        <v>51410</v>
      </c>
      <c r="CF113" s="464">
        <f t="shared" si="218"/>
        <v>51502</v>
      </c>
      <c r="CG113" s="464">
        <f t="shared" si="218"/>
        <v>51592</v>
      </c>
      <c r="CH113" s="464">
        <f t="shared" si="218"/>
        <v>51683</v>
      </c>
      <c r="CI113" s="464">
        <f t="shared" si="218"/>
        <v>51775</v>
      </c>
      <c r="CJ113" s="464">
        <f t="shared" si="218"/>
        <v>51867</v>
      </c>
      <c r="CK113" s="464">
        <f t="shared" si="218"/>
        <v>51957</v>
      </c>
      <c r="CL113" s="464">
        <f t="shared" si="218"/>
        <v>52048</v>
      </c>
      <c r="CM113" s="464">
        <f t="shared" si="218"/>
        <v>52140</v>
      </c>
      <c r="CN113" s="464">
        <f t="shared" si="218"/>
        <v>52232</v>
      </c>
      <c r="CO113" s="464">
        <f t="shared" si="218"/>
        <v>52322</v>
      </c>
      <c r="CP113" s="464">
        <f t="shared" si="218"/>
        <v>52413</v>
      </c>
      <c r="CQ113" s="464">
        <f t="shared" si="218"/>
        <v>52505</v>
      </c>
      <c r="CR113" s="464">
        <f t="shared" si="218"/>
        <v>52597</v>
      </c>
      <c r="CS113" s="464">
        <f t="shared" si="218"/>
        <v>52688</v>
      </c>
      <c r="CT113" s="464">
        <f t="shared" si="218"/>
        <v>52779</v>
      </c>
      <c r="CU113" s="464">
        <f t="shared" si="218"/>
        <v>52871</v>
      </c>
      <c r="CV113" s="464">
        <f t="shared" si="218"/>
        <v>52963</v>
      </c>
      <c r="CW113" s="464">
        <f t="shared" si="218"/>
        <v>53053</v>
      </c>
      <c r="CX113" s="464">
        <f t="shared" si="218"/>
        <v>53144</v>
      </c>
      <c r="CY113" s="464">
        <f t="shared" si="218"/>
        <v>53236</v>
      </c>
      <c r="CZ113" s="464">
        <f t="shared" ref="CZ113:EE113" si="219">CZ80</f>
        <v>53328</v>
      </c>
      <c r="DA113" s="464">
        <f t="shared" si="219"/>
        <v>53418</v>
      </c>
      <c r="DB113" s="464">
        <f t="shared" si="219"/>
        <v>53509</v>
      </c>
      <c r="DC113" s="464">
        <f t="shared" si="219"/>
        <v>53601</v>
      </c>
      <c r="DD113" s="464">
        <f t="shared" si="219"/>
        <v>53693</v>
      </c>
      <c r="DE113" s="464">
        <f t="shared" si="219"/>
        <v>53783</v>
      </c>
      <c r="DF113" s="464">
        <f t="shared" si="219"/>
        <v>53874</v>
      </c>
      <c r="DG113" s="464">
        <f t="shared" si="219"/>
        <v>53966</v>
      </c>
      <c r="DH113" s="464">
        <f t="shared" si="219"/>
        <v>54058</v>
      </c>
      <c r="DI113" s="464">
        <f t="shared" si="219"/>
        <v>54149</v>
      </c>
      <c r="DJ113" s="464">
        <f t="shared" si="219"/>
        <v>54240</v>
      </c>
      <c r="DK113" s="464">
        <f t="shared" si="219"/>
        <v>54332</v>
      </c>
      <c r="DL113" s="464">
        <f t="shared" si="219"/>
        <v>54424</v>
      </c>
      <c r="DM113" s="464">
        <f t="shared" si="219"/>
        <v>54514</v>
      </c>
      <c r="DN113" s="464">
        <f t="shared" si="219"/>
        <v>54605</v>
      </c>
      <c r="DO113" s="464">
        <f t="shared" si="219"/>
        <v>54697</v>
      </c>
      <c r="DP113" s="464">
        <f t="shared" si="219"/>
        <v>54789</v>
      </c>
      <c r="DQ113" s="464">
        <f t="shared" si="219"/>
        <v>54879</v>
      </c>
      <c r="DR113" s="464">
        <f t="shared" si="219"/>
        <v>54970</v>
      </c>
      <c r="DS113" s="464">
        <f t="shared" si="219"/>
        <v>55062</v>
      </c>
      <c r="DT113" s="464">
        <f t="shared" si="219"/>
        <v>55154</v>
      </c>
      <c r="DU113" s="464">
        <f t="shared" si="219"/>
        <v>55244</v>
      </c>
      <c r="DV113" s="464">
        <f t="shared" si="219"/>
        <v>55335</v>
      </c>
      <c r="DW113" s="464">
        <f t="shared" si="219"/>
        <v>55427</v>
      </c>
      <c r="DX113" s="464">
        <f t="shared" si="219"/>
        <v>55519</v>
      </c>
      <c r="DY113" s="464">
        <f t="shared" si="219"/>
        <v>55610</v>
      </c>
      <c r="DZ113" s="464">
        <f t="shared" si="219"/>
        <v>55701</v>
      </c>
      <c r="EA113" s="464">
        <f t="shared" si="219"/>
        <v>55793</v>
      </c>
      <c r="EB113" s="464">
        <f t="shared" si="219"/>
        <v>55885</v>
      </c>
      <c r="EC113" s="464">
        <f t="shared" si="219"/>
        <v>55975</v>
      </c>
      <c r="ED113" s="464">
        <f t="shared" si="219"/>
        <v>56066</v>
      </c>
      <c r="EE113" s="464">
        <f t="shared" si="219"/>
        <v>56158</v>
      </c>
      <c r="EF113" s="464">
        <f t="shared" ref="EF113:EN113" si="220">EF80</f>
        <v>56250</v>
      </c>
      <c r="EG113" s="464">
        <f t="shared" si="220"/>
        <v>56340</v>
      </c>
      <c r="EH113" s="464">
        <f t="shared" si="220"/>
        <v>56431</v>
      </c>
      <c r="EI113" s="464">
        <f t="shared" si="220"/>
        <v>56523</v>
      </c>
      <c r="EJ113" s="464">
        <f t="shared" si="220"/>
        <v>56615</v>
      </c>
      <c r="EK113" s="464">
        <f t="shared" si="220"/>
        <v>56705</v>
      </c>
      <c r="EL113" s="464">
        <f t="shared" si="220"/>
        <v>56796</v>
      </c>
      <c r="EM113" s="464">
        <f t="shared" si="220"/>
        <v>56888</v>
      </c>
      <c r="EN113" s="464">
        <f t="shared" si="220"/>
        <v>56980</v>
      </c>
    </row>
    <row r="114" spans="2:144" ht="15.75">
      <c r="C114" s="22"/>
      <c r="E114" s="42"/>
      <c r="F114" s="42"/>
      <c r="G114" s="42"/>
      <c r="H114" s="464">
        <f t="shared" ref="H114:AM114" si="221">H81</f>
        <v>44651</v>
      </c>
      <c r="I114" s="464">
        <f t="shared" si="221"/>
        <v>44742</v>
      </c>
      <c r="J114" s="464">
        <f t="shared" si="221"/>
        <v>44834</v>
      </c>
      <c r="K114" s="464">
        <f t="shared" si="221"/>
        <v>44926</v>
      </c>
      <c r="L114" s="464">
        <f t="shared" si="221"/>
        <v>45016</v>
      </c>
      <c r="M114" s="464">
        <f t="shared" si="221"/>
        <v>45107</v>
      </c>
      <c r="N114" s="464">
        <f t="shared" si="221"/>
        <v>45199</v>
      </c>
      <c r="O114" s="464">
        <f t="shared" si="221"/>
        <v>45291</v>
      </c>
      <c r="P114" s="464">
        <f t="shared" si="221"/>
        <v>45382</v>
      </c>
      <c r="Q114" s="464">
        <f t="shared" si="221"/>
        <v>45473</v>
      </c>
      <c r="R114" s="464">
        <f t="shared" si="221"/>
        <v>45565</v>
      </c>
      <c r="S114" s="464">
        <f t="shared" si="221"/>
        <v>45657</v>
      </c>
      <c r="T114" s="464">
        <f t="shared" si="221"/>
        <v>45747</v>
      </c>
      <c r="U114" s="464">
        <f t="shared" si="221"/>
        <v>45838</v>
      </c>
      <c r="V114" s="464">
        <f t="shared" si="221"/>
        <v>45930</v>
      </c>
      <c r="W114" s="464">
        <f t="shared" si="221"/>
        <v>46022</v>
      </c>
      <c r="X114" s="464">
        <f t="shared" si="221"/>
        <v>46112</v>
      </c>
      <c r="Y114" s="464">
        <f t="shared" si="221"/>
        <v>46203</v>
      </c>
      <c r="Z114" s="464">
        <f t="shared" si="221"/>
        <v>46295</v>
      </c>
      <c r="AA114" s="464">
        <f t="shared" si="221"/>
        <v>46387</v>
      </c>
      <c r="AB114" s="464">
        <f t="shared" si="221"/>
        <v>46477</v>
      </c>
      <c r="AC114" s="464">
        <f t="shared" si="221"/>
        <v>46568</v>
      </c>
      <c r="AD114" s="464">
        <f t="shared" si="221"/>
        <v>46660</v>
      </c>
      <c r="AE114" s="464">
        <f t="shared" si="221"/>
        <v>46752</v>
      </c>
      <c r="AF114" s="464">
        <f t="shared" si="221"/>
        <v>46843</v>
      </c>
      <c r="AG114" s="464">
        <f t="shared" si="221"/>
        <v>46934</v>
      </c>
      <c r="AH114" s="464">
        <f t="shared" si="221"/>
        <v>47026</v>
      </c>
      <c r="AI114" s="464">
        <f t="shared" si="221"/>
        <v>47118</v>
      </c>
      <c r="AJ114" s="464">
        <f t="shared" si="221"/>
        <v>47208</v>
      </c>
      <c r="AK114" s="464">
        <f t="shared" si="221"/>
        <v>47299</v>
      </c>
      <c r="AL114" s="464">
        <f t="shared" si="221"/>
        <v>47391</v>
      </c>
      <c r="AM114" s="464">
        <f t="shared" si="221"/>
        <v>47483</v>
      </c>
      <c r="AN114" s="464">
        <f t="shared" ref="AN114:BS114" si="222">AN81</f>
        <v>47573</v>
      </c>
      <c r="AO114" s="464">
        <f t="shared" si="222"/>
        <v>47664</v>
      </c>
      <c r="AP114" s="464">
        <f t="shared" si="222"/>
        <v>47756</v>
      </c>
      <c r="AQ114" s="464">
        <f t="shared" si="222"/>
        <v>47848</v>
      </c>
      <c r="AR114" s="464">
        <f t="shared" si="222"/>
        <v>47938</v>
      </c>
      <c r="AS114" s="464">
        <f t="shared" si="222"/>
        <v>48029</v>
      </c>
      <c r="AT114" s="464">
        <f t="shared" si="222"/>
        <v>48121</v>
      </c>
      <c r="AU114" s="464">
        <f t="shared" si="222"/>
        <v>48213</v>
      </c>
      <c r="AV114" s="464">
        <f t="shared" si="222"/>
        <v>48304</v>
      </c>
      <c r="AW114" s="464">
        <f t="shared" si="222"/>
        <v>48395</v>
      </c>
      <c r="AX114" s="464">
        <f t="shared" si="222"/>
        <v>48487</v>
      </c>
      <c r="AY114" s="464">
        <f t="shared" si="222"/>
        <v>48579</v>
      </c>
      <c r="AZ114" s="464">
        <f t="shared" si="222"/>
        <v>48669</v>
      </c>
      <c r="BA114" s="464">
        <f t="shared" si="222"/>
        <v>48760</v>
      </c>
      <c r="BB114" s="464">
        <f t="shared" si="222"/>
        <v>48852</v>
      </c>
      <c r="BC114" s="464">
        <f t="shared" si="222"/>
        <v>48944</v>
      </c>
      <c r="BD114" s="464">
        <f t="shared" si="222"/>
        <v>49034</v>
      </c>
      <c r="BE114" s="464">
        <f t="shared" si="222"/>
        <v>49125</v>
      </c>
      <c r="BF114" s="464">
        <f t="shared" si="222"/>
        <v>49217</v>
      </c>
      <c r="BG114" s="464">
        <f t="shared" si="222"/>
        <v>49309</v>
      </c>
      <c r="BH114" s="464">
        <f t="shared" si="222"/>
        <v>49399</v>
      </c>
      <c r="BI114" s="464">
        <f t="shared" si="222"/>
        <v>49490</v>
      </c>
      <c r="BJ114" s="464">
        <f t="shared" si="222"/>
        <v>49582</v>
      </c>
      <c r="BK114" s="464">
        <f t="shared" si="222"/>
        <v>49674</v>
      </c>
      <c r="BL114" s="464">
        <f t="shared" si="222"/>
        <v>49765</v>
      </c>
      <c r="BM114" s="464">
        <f t="shared" si="222"/>
        <v>49856</v>
      </c>
      <c r="BN114" s="464">
        <f t="shared" si="222"/>
        <v>49948</v>
      </c>
      <c r="BO114" s="464">
        <f t="shared" si="222"/>
        <v>50040</v>
      </c>
      <c r="BP114" s="464">
        <f t="shared" si="222"/>
        <v>50130</v>
      </c>
      <c r="BQ114" s="464">
        <f t="shared" si="222"/>
        <v>50221</v>
      </c>
      <c r="BR114" s="464">
        <f t="shared" si="222"/>
        <v>50313</v>
      </c>
      <c r="BS114" s="464">
        <f t="shared" si="222"/>
        <v>50405</v>
      </c>
      <c r="BT114" s="464">
        <f t="shared" ref="BT114:CY114" si="223">BT81</f>
        <v>50495</v>
      </c>
      <c r="BU114" s="464">
        <f t="shared" si="223"/>
        <v>50586</v>
      </c>
      <c r="BV114" s="464">
        <f t="shared" si="223"/>
        <v>50678</v>
      </c>
      <c r="BW114" s="464">
        <f t="shared" si="223"/>
        <v>50770</v>
      </c>
      <c r="BX114" s="464">
        <f t="shared" si="223"/>
        <v>50860</v>
      </c>
      <c r="BY114" s="464">
        <f t="shared" si="223"/>
        <v>50951</v>
      </c>
      <c r="BZ114" s="464">
        <f t="shared" si="223"/>
        <v>51043</v>
      </c>
      <c r="CA114" s="464">
        <f t="shared" si="223"/>
        <v>51135</v>
      </c>
      <c r="CB114" s="464">
        <f t="shared" si="223"/>
        <v>51226</v>
      </c>
      <c r="CC114" s="464">
        <f t="shared" si="223"/>
        <v>51317</v>
      </c>
      <c r="CD114" s="464">
        <f t="shared" si="223"/>
        <v>51409</v>
      </c>
      <c r="CE114" s="464">
        <f t="shared" si="223"/>
        <v>51501</v>
      </c>
      <c r="CF114" s="464">
        <f t="shared" si="223"/>
        <v>51591</v>
      </c>
      <c r="CG114" s="464">
        <f t="shared" si="223"/>
        <v>51682</v>
      </c>
      <c r="CH114" s="464">
        <f t="shared" si="223"/>
        <v>51774</v>
      </c>
      <c r="CI114" s="464">
        <f t="shared" si="223"/>
        <v>51866</v>
      </c>
      <c r="CJ114" s="464">
        <f t="shared" si="223"/>
        <v>51956</v>
      </c>
      <c r="CK114" s="464">
        <f t="shared" si="223"/>
        <v>52047</v>
      </c>
      <c r="CL114" s="464">
        <f t="shared" si="223"/>
        <v>52139</v>
      </c>
      <c r="CM114" s="464">
        <f t="shared" si="223"/>
        <v>52231</v>
      </c>
      <c r="CN114" s="464">
        <f t="shared" si="223"/>
        <v>52321</v>
      </c>
      <c r="CO114" s="464">
        <f t="shared" si="223"/>
        <v>52412</v>
      </c>
      <c r="CP114" s="464">
        <f t="shared" si="223"/>
        <v>52504</v>
      </c>
      <c r="CQ114" s="464">
        <f t="shared" si="223"/>
        <v>52596</v>
      </c>
      <c r="CR114" s="464">
        <f t="shared" si="223"/>
        <v>52687</v>
      </c>
      <c r="CS114" s="464">
        <f t="shared" si="223"/>
        <v>52778</v>
      </c>
      <c r="CT114" s="464">
        <f t="shared" si="223"/>
        <v>52870</v>
      </c>
      <c r="CU114" s="464">
        <f t="shared" si="223"/>
        <v>52962</v>
      </c>
      <c r="CV114" s="464">
        <f t="shared" si="223"/>
        <v>53052</v>
      </c>
      <c r="CW114" s="464">
        <f t="shared" si="223"/>
        <v>53143</v>
      </c>
      <c r="CX114" s="464">
        <f t="shared" si="223"/>
        <v>53235</v>
      </c>
      <c r="CY114" s="464">
        <f t="shared" si="223"/>
        <v>53327</v>
      </c>
      <c r="CZ114" s="464">
        <f t="shared" ref="CZ114:EE114" si="224">CZ81</f>
        <v>53417</v>
      </c>
      <c r="DA114" s="464">
        <f t="shared" si="224"/>
        <v>53508</v>
      </c>
      <c r="DB114" s="464">
        <f t="shared" si="224"/>
        <v>53600</v>
      </c>
      <c r="DC114" s="464">
        <f t="shared" si="224"/>
        <v>53692</v>
      </c>
      <c r="DD114" s="464">
        <f t="shared" si="224"/>
        <v>53782</v>
      </c>
      <c r="DE114" s="464">
        <f t="shared" si="224"/>
        <v>53873</v>
      </c>
      <c r="DF114" s="464">
        <f t="shared" si="224"/>
        <v>53965</v>
      </c>
      <c r="DG114" s="464">
        <f t="shared" si="224"/>
        <v>54057</v>
      </c>
      <c r="DH114" s="464">
        <f t="shared" si="224"/>
        <v>54148</v>
      </c>
      <c r="DI114" s="464">
        <f t="shared" si="224"/>
        <v>54239</v>
      </c>
      <c r="DJ114" s="464">
        <f t="shared" si="224"/>
        <v>54331</v>
      </c>
      <c r="DK114" s="464">
        <f t="shared" si="224"/>
        <v>54423</v>
      </c>
      <c r="DL114" s="464">
        <f t="shared" si="224"/>
        <v>54513</v>
      </c>
      <c r="DM114" s="464">
        <f t="shared" si="224"/>
        <v>54604</v>
      </c>
      <c r="DN114" s="464">
        <f t="shared" si="224"/>
        <v>54696</v>
      </c>
      <c r="DO114" s="464">
        <f t="shared" si="224"/>
        <v>54788</v>
      </c>
      <c r="DP114" s="464">
        <f t="shared" si="224"/>
        <v>54878</v>
      </c>
      <c r="DQ114" s="464">
        <f t="shared" si="224"/>
        <v>54969</v>
      </c>
      <c r="DR114" s="464">
        <f t="shared" si="224"/>
        <v>55061</v>
      </c>
      <c r="DS114" s="464">
        <f t="shared" si="224"/>
        <v>55153</v>
      </c>
      <c r="DT114" s="464">
        <f t="shared" si="224"/>
        <v>55243</v>
      </c>
      <c r="DU114" s="464">
        <f t="shared" si="224"/>
        <v>55334</v>
      </c>
      <c r="DV114" s="464">
        <f t="shared" si="224"/>
        <v>55426</v>
      </c>
      <c r="DW114" s="464">
        <f t="shared" si="224"/>
        <v>55518</v>
      </c>
      <c r="DX114" s="464">
        <f t="shared" si="224"/>
        <v>55609</v>
      </c>
      <c r="DY114" s="464">
        <f t="shared" si="224"/>
        <v>55700</v>
      </c>
      <c r="DZ114" s="464">
        <f t="shared" si="224"/>
        <v>55792</v>
      </c>
      <c r="EA114" s="464">
        <f t="shared" si="224"/>
        <v>55884</v>
      </c>
      <c r="EB114" s="464">
        <f t="shared" si="224"/>
        <v>55974</v>
      </c>
      <c r="EC114" s="464">
        <f t="shared" si="224"/>
        <v>56065</v>
      </c>
      <c r="ED114" s="464">
        <f t="shared" si="224"/>
        <v>56157</v>
      </c>
      <c r="EE114" s="464">
        <f t="shared" si="224"/>
        <v>56249</v>
      </c>
      <c r="EF114" s="464">
        <f t="shared" ref="EF114:EN114" si="225">EF81</f>
        <v>56339</v>
      </c>
      <c r="EG114" s="464">
        <f t="shared" si="225"/>
        <v>56430</v>
      </c>
      <c r="EH114" s="464">
        <f t="shared" si="225"/>
        <v>56522</v>
      </c>
      <c r="EI114" s="464">
        <f t="shared" si="225"/>
        <v>56614</v>
      </c>
      <c r="EJ114" s="464">
        <f t="shared" si="225"/>
        <v>56704</v>
      </c>
      <c r="EK114" s="464">
        <f t="shared" si="225"/>
        <v>56795</v>
      </c>
      <c r="EL114" s="464">
        <f t="shared" si="225"/>
        <v>56887</v>
      </c>
      <c r="EM114" s="464">
        <f t="shared" si="225"/>
        <v>56979</v>
      </c>
      <c r="EN114" s="464">
        <f t="shared" si="225"/>
        <v>57070</v>
      </c>
    </row>
    <row r="115" spans="2:144">
      <c r="B115" s="776" t="str">
        <f>C12</f>
        <v>SPA-комплекс</v>
      </c>
      <c r="C115" s="465"/>
      <c r="D115" s="430">
        <f>SUMIF($C$4:$C$18,B115,$I$4:$I$18)</f>
        <v>45839</v>
      </c>
      <c r="E115" s="772">
        <f>YEAR(D115)</f>
        <v>2025</v>
      </c>
      <c r="F115" s="466"/>
      <c r="G115" s="466"/>
      <c r="H115" s="466"/>
      <c r="I115" s="466"/>
      <c r="J115" s="466"/>
      <c r="K115" s="466"/>
      <c r="L115" s="466"/>
      <c r="M115" s="466"/>
      <c r="N115" s="466"/>
      <c r="O115" s="466"/>
      <c r="P115" s="466"/>
      <c r="Q115" s="466"/>
      <c r="R115" s="466"/>
      <c r="S115" s="466"/>
      <c r="T115" s="466"/>
      <c r="U115" s="466"/>
      <c r="V115" s="466"/>
      <c r="W115" s="466"/>
      <c r="X115" s="466"/>
      <c r="Y115" s="466"/>
      <c r="Z115" s="466"/>
      <c r="AA115" s="466"/>
      <c r="AB115" s="466"/>
      <c r="AC115" s="466"/>
      <c r="AD115" s="466"/>
      <c r="AE115" s="466"/>
      <c r="AF115" s="466"/>
      <c r="AG115" s="466"/>
      <c r="AH115" s="466"/>
      <c r="AI115" s="466"/>
      <c r="AJ115" s="466"/>
      <c r="AK115" s="466"/>
      <c r="AL115" s="466"/>
      <c r="AM115" s="466"/>
      <c r="AN115" s="466"/>
      <c r="AO115" s="466"/>
      <c r="AP115" s="466"/>
      <c r="AQ115" s="466"/>
      <c r="AR115" s="466"/>
      <c r="AS115" s="466"/>
      <c r="AT115" s="466"/>
      <c r="AU115" s="466"/>
      <c r="AV115" s="466"/>
      <c r="AW115" s="466"/>
      <c r="AX115" s="466"/>
      <c r="AY115" s="466"/>
      <c r="AZ115" s="466"/>
      <c r="BA115" s="466"/>
      <c r="BB115" s="466"/>
      <c r="BC115" s="466"/>
      <c r="BD115" s="466"/>
      <c r="BE115" s="466"/>
      <c r="BF115" s="466"/>
      <c r="BG115" s="466"/>
      <c r="BH115" s="466"/>
      <c r="BI115" s="466"/>
      <c r="BJ115" s="466"/>
      <c r="BK115" s="466"/>
      <c r="BL115" s="466"/>
      <c r="BM115" s="466"/>
      <c r="BN115" s="466"/>
      <c r="BO115" s="466"/>
      <c r="BP115" s="466"/>
      <c r="BQ115" s="466"/>
      <c r="BR115" s="466"/>
      <c r="BS115" s="466"/>
      <c r="BT115" s="466"/>
      <c r="BU115" s="466"/>
      <c r="BV115" s="466"/>
      <c r="BW115" s="466"/>
      <c r="BX115" s="466"/>
      <c r="BY115" s="466"/>
      <c r="BZ115" s="466"/>
      <c r="CA115" s="466"/>
      <c r="CB115" s="466"/>
      <c r="CC115" s="466"/>
      <c r="CD115" s="466"/>
      <c r="CE115" s="466"/>
      <c r="CF115" s="466"/>
      <c r="CG115" s="466"/>
      <c r="CH115" s="466"/>
      <c r="CI115" s="466"/>
      <c r="CJ115" s="466"/>
      <c r="CK115" s="466"/>
      <c r="CL115" s="466"/>
      <c r="CM115" s="466"/>
      <c r="CN115" s="466"/>
      <c r="CO115" s="466"/>
      <c r="CP115" s="466"/>
      <c r="CQ115" s="466"/>
      <c r="CR115" s="466"/>
      <c r="CS115" s="466"/>
      <c r="CT115" s="466"/>
      <c r="CU115" s="466"/>
      <c r="CV115" s="466"/>
      <c r="CW115" s="466"/>
      <c r="CX115" s="466"/>
      <c r="CY115" s="466"/>
      <c r="CZ115" s="466"/>
      <c r="DA115" s="466"/>
      <c r="DB115" s="466"/>
      <c r="DC115" s="466"/>
      <c r="DD115" s="466"/>
      <c r="DE115" s="466"/>
      <c r="DF115" s="466"/>
      <c r="DG115" s="466"/>
      <c r="DH115" s="466"/>
      <c r="DI115" s="466"/>
      <c r="DJ115" s="466"/>
      <c r="DK115" s="466"/>
      <c r="DL115" s="466"/>
      <c r="DM115" s="466"/>
      <c r="DN115" s="466"/>
      <c r="DO115" s="466"/>
      <c r="DP115" s="466"/>
      <c r="DQ115" s="466"/>
      <c r="DR115" s="466"/>
      <c r="DS115" s="466"/>
      <c r="DT115" s="466"/>
      <c r="DU115" s="466"/>
      <c r="DV115" s="466"/>
      <c r="DW115" s="466"/>
      <c r="DX115" s="466"/>
      <c r="DY115" s="466"/>
      <c r="DZ115" s="466"/>
      <c r="EA115" s="466"/>
      <c r="EB115" s="466"/>
      <c r="EC115" s="466"/>
      <c r="ED115" s="466"/>
      <c r="EE115" s="466"/>
      <c r="EF115" s="466"/>
      <c r="EG115" s="466"/>
      <c r="EH115" s="466"/>
      <c r="EI115" s="466"/>
      <c r="EJ115" s="466"/>
      <c r="EK115" s="466"/>
      <c r="EL115" s="466"/>
      <c r="EM115" s="466"/>
      <c r="EN115" s="466"/>
    </row>
    <row r="116" spans="2:144" outlineLevel="1">
      <c r="C116" s="151" t="s">
        <v>72</v>
      </c>
      <c r="D116" s="771">
        <f>SUMIF($C$4:$C$18,B115,$H$4:$H$18)</f>
        <v>314029820.32236725</v>
      </c>
      <c r="E116" s="44"/>
      <c r="F116" s="44"/>
      <c r="G116" s="44"/>
      <c r="H116" s="44">
        <f>IF(H113=D115,D116,0)</f>
        <v>0</v>
      </c>
      <c r="I116" s="44">
        <f>IF(I113=D115,D116,0)</f>
        <v>0</v>
      </c>
      <c r="J116" s="44">
        <f>IF(J113=D115,D116,0)</f>
        <v>0</v>
      </c>
      <c r="K116" s="44">
        <f>IF(K113=D115,D116,0)</f>
        <v>0</v>
      </c>
      <c r="L116" s="44">
        <f>IF(L113=D115,D116,0)</f>
        <v>0</v>
      </c>
      <c r="M116" s="44">
        <f>IF(M113=D115,D116,0)</f>
        <v>0</v>
      </c>
      <c r="N116" s="44">
        <f>IF(N113=D115,D116,0)</f>
        <v>0</v>
      </c>
      <c r="O116" s="44">
        <f>IF(O113=D115,D116,0)</f>
        <v>0</v>
      </c>
      <c r="P116" s="44">
        <f>IF(P113=D115,D116,0)</f>
        <v>0</v>
      </c>
      <c r="Q116" s="44">
        <f>IF(Q113=D115,D116,0)</f>
        <v>0</v>
      </c>
      <c r="R116" s="44">
        <f>IF(R113=D115,D116,0)</f>
        <v>0</v>
      </c>
      <c r="S116" s="44">
        <f>IF(S113=D115,D116,0)</f>
        <v>0</v>
      </c>
      <c r="T116" s="44">
        <f>IF(T113=D115,D116,0)</f>
        <v>0</v>
      </c>
      <c r="U116" s="44">
        <f>IF(U113=D115,D116,0)</f>
        <v>0</v>
      </c>
      <c r="V116" s="44">
        <f>IF(V113=D115,D116,0)</f>
        <v>314029820.32236725</v>
      </c>
      <c r="W116" s="44">
        <f>IF(W113=D115,D116,0)</f>
        <v>0</v>
      </c>
      <c r="X116" s="44">
        <f>IF(X113=D115,D116,0)</f>
        <v>0</v>
      </c>
      <c r="Y116" s="44">
        <f>IF(Y113=D115,D116,0)</f>
        <v>0</v>
      </c>
      <c r="Z116" s="44">
        <f>IF(Z113=D115,D116,0)</f>
        <v>0</v>
      </c>
      <c r="AA116" s="44">
        <f>IF(AA113=D115,D116,0)</f>
        <v>0</v>
      </c>
      <c r="AB116" s="44">
        <f>IF(AB113=D115,D116,0)</f>
        <v>0</v>
      </c>
      <c r="AC116" s="44">
        <f>IF(AC113=D115,D116,0)</f>
        <v>0</v>
      </c>
      <c r="AD116" s="44">
        <f>IF(AD113=D115,D116,0)</f>
        <v>0</v>
      </c>
      <c r="AE116" s="44">
        <f>IF(AE113=D115,D116,0)</f>
        <v>0</v>
      </c>
      <c r="AF116" s="44">
        <f>IF(AF113=D115,D116,0)</f>
        <v>0</v>
      </c>
      <c r="AG116" s="44">
        <f>IF(AG113=D115,D116,0)</f>
        <v>0</v>
      </c>
      <c r="AH116" s="44">
        <f>IF(AH113=D115,D116,0)</f>
        <v>0</v>
      </c>
      <c r="AI116" s="44">
        <f>IF(AI113=D115,D116,0)</f>
        <v>0</v>
      </c>
      <c r="AJ116" s="44">
        <f>IF(AJ113=D115,D116,0)</f>
        <v>0</v>
      </c>
      <c r="AK116" s="44">
        <f>IF(AK113=D115,D116,0)</f>
        <v>0</v>
      </c>
      <c r="AL116" s="44">
        <f>IF(AL113=D115,D116,0)</f>
        <v>0</v>
      </c>
      <c r="AM116" s="44">
        <f>IF(AM113=D115,D116,0)</f>
        <v>0</v>
      </c>
      <c r="AN116" s="44">
        <f>IF(AN113=D115,D116,0)</f>
        <v>0</v>
      </c>
      <c r="AO116" s="44">
        <f>IF(AO113=D115,D116,0)</f>
        <v>0</v>
      </c>
      <c r="AP116" s="44">
        <f>IF(AP113=D115,D116,0)</f>
        <v>0</v>
      </c>
      <c r="AQ116" s="44">
        <f>IF(AQ113=D115,D116,0)</f>
        <v>0</v>
      </c>
      <c r="AR116" s="44">
        <f>IF(AR113=D115,D116,0)</f>
        <v>0</v>
      </c>
      <c r="AS116" s="44">
        <f>IF(AS113=D115,D116,0)</f>
        <v>0</v>
      </c>
      <c r="AT116" s="44">
        <f>IF(AT113=D115,D116,0)</f>
        <v>0</v>
      </c>
      <c r="AU116" s="44">
        <f>IF(AU113=D115,D116,0)</f>
        <v>0</v>
      </c>
      <c r="AV116" s="44">
        <f>IF(AV113=D115,D116,0)</f>
        <v>0</v>
      </c>
      <c r="AW116" s="44">
        <f>IF(AW113=D115,D116,0)</f>
        <v>0</v>
      </c>
      <c r="AX116" s="44">
        <f>IF(AX113=D115,D116,0)</f>
        <v>0</v>
      </c>
      <c r="AY116" s="44">
        <f>IF(AY113=D115,D116,0)</f>
        <v>0</v>
      </c>
      <c r="AZ116" s="44">
        <f>IF(AZ113=D115,D116,0)</f>
        <v>0</v>
      </c>
      <c r="BA116" s="44">
        <f>IF(BA113=D115,D116,0)</f>
        <v>0</v>
      </c>
      <c r="BB116" s="44">
        <f>IF(BB113=D115,D116,0)</f>
        <v>0</v>
      </c>
      <c r="BC116" s="44">
        <f>IF(BC113=D115,D116,0)</f>
        <v>0</v>
      </c>
      <c r="BD116" s="44">
        <f>IF(BD113=D115,D116,0)</f>
        <v>0</v>
      </c>
      <c r="BE116" s="44">
        <f>IF(BE113=D115,D116,0)</f>
        <v>0</v>
      </c>
      <c r="BF116" s="44">
        <f>IF(BF113=D115,D116,0)</f>
        <v>0</v>
      </c>
      <c r="BG116" s="44">
        <f>IF(BG113=D115,D116,0)</f>
        <v>0</v>
      </c>
      <c r="BH116" s="44">
        <f>IF(BH113=D115,D116,0)</f>
        <v>0</v>
      </c>
      <c r="BI116" s="44">
        <f>IF(BI113=D115,D116,0)</f>
        <v>0</v>
      </c>
      <c r="BJ116" s="44">
        <f>IF(BJ113=D115,D116,0)</f>
        <v>0</v>
      </c>
      <c r="BK116" s="44">
        <f>IF(BK113=D115,D116,0)</f>
        <v>0</v>
      </c>
      <c r="BL116" s="44">
        <f>IF(BL113=D115,D116,0)</f>
        <v>0</v>
      </c>
      <c r="BM116" s="44">
        <f>IF(BM113=D115,D116,0)</f>
        <v>0</v>
      </c>
      <c r="BN116" s="44">
        <f>IF(BN113=D115,D116,0)</f>
        <v>0</v>
      </c>
      <c r="BO116" s="44">
        <f>IF(BO113=D115,D116,0)</f>
        <v>0</v>
      </c>
      <c r="BP116" s="44">
        <f>IF(BP113=D115,D116,0)</f>
        <v>0</v>
      </c>
      <c r="BQ116" s="44">
        <f>IF(BQ113=D115,D116,0)</f>
        <v>0</v>
      </c>
      <c r="BR116" s="44">
        <f>IF(BR113=D115,D116,0)</f>
        <v>0</v>
      </c>
      <c r="BS116" s="44">
        <f>IF(BS113=D115,D116,0)</f>
        <v>0</v>
      </c>
      <c r="BT116" s="44">
        <f>IF(BT113=D115,D116,0)</f>
        <v>0</v>
      </c>
      <c r="BU116" s="44">
        <f>IF(BU113=D115,D116,0)</f>
        <v>0</v>
      </c>
      <c r="BV116" s="44">
        <f>IF(BV113=D115,D116,0)</f>
        <v>0</v>
      </c>
      <c r="BW116" s="44">
        <f>IF(BW113=D115,D116,0)</f>
        <v>0</v>
      </c>
      <c r="BX116" s="44">
        <f>IF(BX113=D115,D116,0)</f>
        <v>0</v>
      </c>
      <c r="BY116" s="44">
        <f>IF(BY113=D115,D116,0)</f>
        <v>0</v>
      </c>
      <c r="BZ116" s="44">
        <f>IF(BZ113=D115,D116,0)</f>
        <v>0</v>
      </c>
      <c r="CA116" s="44">
        <f>IF(CA113=D115,D116,0)</f>
        <v>0</v>
      </c>
      <c r="CB116" s="44">
        <f>IF(CB113=D115,D116,0)</f>
        <v>0</v>
      </c>
      <c r="CC116" s="44">
        <f>IF(CC113=D115,D116,0)</f>
        <v>0</v>
      </c>
      <c r="CD116" s="44">
        <f>IF(CD113=D115,D116,0)</f>
        <v>0</v>
      </c>
      <c r="CE116" s="44">
        <f>IF(CE113=D115,D116,0)</f>
        <v>0</v>
      </c>
      <c r="CF116" s="44">
        <f>IF(CF113=D115,D116,0)</f>
        <v>0</v>
      </c>
      <c r="CG116" s="44">
        <f>IF(CG113=D115,D116,0)</f>
        <v>0</v>
      </c>
      <c r="CH116" s="44">
        <f>IF(CH113=D115,D116,0)</f>
        <v>0</v>
      </c>
      <c r="CI116" s="44">
        <f>IF(CI113=D115,D116,0)</f>
        <v>0</v>
      </c>
      <c r="CJ116" s="44">
        <f>IF(CJ113=D115,D116,0)</f>
        <v>0</v>
      </c>
      <c r="CK116" s="44">
        <f>IF(CK113=D115,D116,0)</f>
        <v>0</v>
      </c>
      <c r="CL116" s="44">
        <f>IF(CL113=D115,D116,0)</f>
        <v>0</v>
      </c>
      <c r="CM116" s="44">
        <f>IF(CM113=D115,D116,0)</f>
        <v>0</v>
      </c>
      <c r="CN116" s="44">
        <f>IF(CN113=D115,D116,0)</f>
        <v>0</v>
      </c>
      <c r="CO116" s="44">
        <f>IF(CO113=D115,D116,0)</f>
        <v>0</v>
      </c>
      <c r="CP116" s="44">
        <f>IF(CP113=D115,D116,0)</f>
        <v>0</v>
      </c>
      <c r="CQ116" s="44">
        <f>IF(CQ113=D115,D116,0)</f>
        <v>0</v>
      </c>
      <c r="CR116" s="44">
        <f>IF(CR113=D115,D116,0)</f>
        <v>0</v>
      </c>
      <c r="CS116" s="44">
        <f>IF(CS113=D115,D116,0)</f>
        <v>0</v>
      </c>
      <c r="CT116" s="44">
        <f>IF(CT113=D115,D116,0)</f>
        <v>0</v>
      </c>
      <c r="CU116" s="44">
        <f>IF(CU113=D115,D116,0)</f>
        <v>0</v>
      </c>
      <c r="CV116" s="44">
        <f>IF(CV113=D115,D116,0)</f>
        <v>0</v>
      </c>
      <c r="CW116" s="44">
        <f>IF(CW113=D115,D116,0)</f>
        <v>0</v>
      </c>
      <c r="CX116" s="44">
        <f>IF(CX113=D115,D116,0)</f>
        <v>0</v>
      </c>
      <c r="CY116" s="44">
        <f>IF(CY113=D115,D116,0)</f>
        <v>0</v>
      </c>
      <c r="CZ116" s="44">
        <f>IF(CZ113=D115,D116,0)</f>
        <v>0</v>
      </c>
      <c r="DA116" s="44">
        <f>IF(DA113=D115,D116,0)</f>
        <v>0</v>
      </c>
      <c r="DB116" s="44">
        <f>IF(DB113=D115,D116,0)</f>
        <v>0</v>
      </c>
      <c r="DC116" s="44">
        <f>IF(DC113=D115,D116,0)</f>
        <v>0</v>
      </c>
      <c r="DD116" s="44">
        <f>IF(DD113=D115,D116,0)</f>
        <v>0</v>
      </c>
      <c r="DE116" s="44">
        <f>IF(DE113=D115,D116,0)</f>
        <v>0</v>
      </c>
      <c r="DF116" s="44">
        <f>IF(DF113=D115,D116,0)</f>
        <v>0</v>
      </c>
      <c r="DG116" s="44">
        <f>IF(DG113=D115,D116,0)</f>
        <v>0</v>
      </c>
      <c r="DH116" s="44">
        <f>IF(DH113=D115,D116,0)</f>
        <v>0</v>
      </c>
      <c r="DI116" s="44">
        <f>IF(DI113=D115,D116,0)</f>
        <v>0</v>
      </c>
      <c r="DJ116" s="44">
        <f>IF(DJ113=D115,D116,0)</f>
        <v>0</v>
      </c>
      <c r="DK116" s="44">
        <f>IF(DK113=D115,D116,0)</f>
        <v>0</v>
      </c>
      <c r="DL116" s="44">
        <f>IF(DL113=D115,D116,0)</f>
        <v>0</v>
      </c>
      <c r="DM116" s="44">
        <f>IF(DM113=D115,D116,0)</f>
        <v>0</v>
      </c>
      <c r="DN116" s="44">
        <f>IF(DN113=D115,D116,0)</f>
        <v>0</v>
      </c>
      <c r="DO116" s="44">
        <f>IF(DO113=D115,D116,0)</f>
        <v>0</v>
      </c>
      <c r="DP116" s="44">
        <f>IF(DP113=D115,D116,0)</f>
        <v>0</v>
      </c>
      <c r="DQ116" s="44">
        <f>IF(DQ113=D115,D116,0)</f>
        <v>0</v>
      </c>
      <c r="DR116" s="44">
        <f>IF(DR113=D115,D116,0)</f>
        <v>0</v>
      </c>
      <c r="DS116" s="44">
        <f>IF(DS113=D115,D116,0)</f>
        <v>0</v>
      </c>
      <c r="DT116" s="44">
        <f>IF(DT113=D115,D116,0)</f>
        <v>0</v>
      </c>
      <c r="DU116" s="44">
        <f>IF(DU113=D115,D116,0)</f>
        <v>0</v>
      </c>
      <c r="DV116" s="44">
        <f>IF(DV113=D115,D116,0)</f>
        <v>0</v>
      </c>
      <c r="DW116" s="44">
        <f>IF(DW113=D115,D116,0)</f>
        <v>0</v>
      </c>
      <c r="DX116" s="44">
        <f>IF(DX113=D115,D116,0)</f>
        <v>0</v>
      </c>
      <c r="DY116" s="44">
        <f>IF(DY113=D115,D116,0)</f>
        <v>0</v>
      </c>
      <c r="DZ116" s="44">
        <f>IF(DZ113=D115,D116,0)</f>
        <v>0</v>
      </c>
      <c r="EA116" s="44">
        <f>IF(EA113=D115,D116,0)</f>
        <v>0</v>
      </c>
      <c r="EB116" s="44">
        <f>IF(EB113=D115,D116,0)</f>
        <v>0</v>
      </c>
      <c r="EC116" s="44">
        <f>IF(EC113=D115,D116,0)</f>
        <v>0</v>
      </c>
      <c r="ED116" s="44">
        <f>IF(ED113=D115,D116,0)</f>
        <v>0</v>
      </c>
      <c r="EE116" s="44">
        <f>IF(EE113=D115,D116,0)</f>
        <v>0</v>
      </c>
      <c r="EF116" s="44">
        <f>IF(EF113=D115,D116,0)</f>
        <v>0</v>
      </c>
      <c r="EG116" s="44">
        <f>IF(EG113=D115,D116,0)</f>
        <v>0</v>
      </c>
      <c r="EH116" s="44">
        <f>IF(EH113=D115,D116,0)</f>
        <v>0</v>
      </c>
      <c r="EI116" s="44">
        <f t="shared" ref="EI116:EN116" si="226">IF(EI113=E115,E116,0)</f>
        <v>0</v>
      </c>
      <c r="EJ116" s="44">
        <f t="shared" si="226"/>
        <v>0</v>
      </c>
      <c r="EK116" s="44">
        <f t="shared" si="226"/>
        <v>0</v>
      </c>
      <c r="EL116" s="44">
        <f t="shared" si="226"/>
        <v>0</v>
      </c>
      <c r="EM116" s="44">
        <f t="shared" si="226"/>
        <v>0</v>
      </c>
      <c r="EN116" s="44">
        <f t="shared" si="226"/>
        <v>0</v>
      </c>
    </row>
    <row r="117" spans="2:144" outlineLevel="1">
      <c r="C117" s="151" t="s">
        <v>73</v>
      </c>
      <c r="D117" s="45"/>
      <c r="E117" s="44"/>
      <c r="F117" s="44"/>
      <c r="G117" s="44"/>
      <c r="H117" s="44">
        <f>(IF(H113=D115,H116,G119))</f>
        <v>0</v>
      </c>
      <c r="I117" s="44">
        <f>(IF(I113=D115,I116,H119))</f>
        <v>0</v>
      </c>
      <c r="J117" s="44">
        <f>(IF(J113=D115,J116,I119))</f>
        <v>0</v>
      </c>
      <c r="K117" s="44">
        <f>(IF(K113=D115,K116,J119))</f>
        <v>0</v>
      </c>
      <c r="L117" s="44">
        <f>(IF(L113=D115,L116,K119))</f>
        <v>0</v>
      </c>
      <c r="M117" s="44">
        <f>(IF(M113=D115,M116,L119))</f>
        <v>0</v>
      </c>
      <c r="N117" s="44">
        <f>(IF(N113=D115,N116,M119))</f>
        <v>0</v>
      </c>
      <c r="O117" s="44">
        <f>(IF(O113=D115,O116,N119))</f>
        <v>0</v>
      </c>
      <c r="P117" s="44">
        <f>(IF(P113=D115,P116,O119))</f>
        <v>0</v>
      </c>
      <c r="Q117" s="44">
        <f>(IF(Q113=D115,Q116,P119))</f>
        <v>0</v>
      </c>
      <c r="R117" s="44">
        <f>(IF(R113=D115,R116,Q119))</f>
        <v>0</v>
      </c>
      <c r="S117" s="44">
        <f>(IF(S113=D115,S116,R119))</f>
        <v>0</v>
      </c>
      <c r="T117" s="44">
        <f>(IF(T113=D115,T116,S119))</f>
        <v>0</v>
      </c>
      <c r="U117" s="44">
        <f>(IF(U113=D115,U116,T119))</f>
        <v>0</v>
      </c>
      <c r="V117" s="44">
        <f>(IF(V113=D115,V116,U119))</f>
        <v>314029820.32236725</v>
      </c>
      <c r="W117" s="44">
        <f>(IF(W113=D115,W116,V119))</f>
        <v>311412905.15301418</v>
      </c>
      <c r="X117" s="44">
        <f>(IF(X113=D115,X116,W119))</f>
        <v>308795989.98366112</v>
      </c>
      <c r="Y117" s="44">
        <f>(IF(Y113=D115,Y116,X119))</f>
        <v>306179074.81430805</v>
      </c>
      <c r="Z117" s="44">
        <f>(IF(Z113=D115,Z116,Y119))</f>
        <v>303562159.64495498</v>
      </c>
      <c r="AA117" s="44">
        <f>(IF(AA113=D115,AA116,Z119))</f>
        <v>300945244.47560191</v>
      </c>
      <c r="AB117" s="44">
        <f>(IF(AB113=D115,AB116,AA119))</f>
        <v>298328329.30624884</v>
      </c>
      <c r="AC117" s="44">
        <f>(IF(AC113=D115,AC116,AB119))</f>
        <v>295711414.13689578</v>
      </c>
      <c r="AD117" s="44">
        <f>(IF(AD113=D115,AD116,AC119))</f>
        <v>293094498.96754271</v>
      </c>
      <c r="AE117" s="44">
        <f>(IF(AE113=D115,AE116,AD119))</f>
        <v>290477583.79818964</v>
      </c>
      <c r="AF117" s="44">
        <f>(IF(AF113=D115,AF116,AE119))</f>
        <v>287860668.62883657</v>
      </c>
      <c r="AG117" s="44">
        <f>(IF(AG113=D115,AG116,AF119))</f>
        <v>285243753.4594835</v>
      </c>
      <c r="AH117" s="44">
        <f>(IF(AH113=D115,AH116,AG119))</f>
        <v>282626838.29013044</v>
      </c>
      <c r="AI117" s="44">
        <f>(IF(AI113=D115,AI116,AH119))</f>
        <v>280009923.12077737</v>
      </c>
      <c r="AJ117" s="44">
        <f>(IF(AJ113=D115,AJ116,AI119))</f>
        <v>277393007.9514243</v>
      </c>
      <c r="AK117" s="44">
        <f>(IF(AK113=D115,AK116,AJ119))</f>
        <v>274776092.78207123</v>
      </c>
      <c r="AL117" s="44">
        <f>(IF(AL113=D115,AL116,AK119))</f>
        <v>272159177.61271816</v>
      </c>
      <c r="AM117" s="44">
        <f>(IF(AM113=D115,AM116,AL119))</f>
        <v>269542262.4433651</v>
      </c>
      <c r="AN117" s="44">
        <f>(IF(AN113=D115,AN116,AM119))</f>
        <v>266925347.27401203</v>
      </c>
      <c r="AO117" s="44">
        <f>(IF(AO113=D115,AO116,AN119))</f>
        <v>264308432.10465896</v>
      </c>
      <c r="AP117" s="44">
        <f>(IF(AP113=D115,AP116,AO119))</f>
        <v>261691516.93530589</v>
      </c>
      <c r="AQ117" s="44">
        <f>(IF(AQ113=D115,AQ116,AP119))</f>
        <v>259074601.76595283</v>
      </c>
      <c r="AR117" s="44">
        <f>(IF(AR113=D115,AR116,AQ119))</f>
        <v>256457686.59659976</v>
      </c>
      <c r="AS117" s="44">
        <f>(IF(AS113=D115,AS116,AR119))</f>
        <v>253840771.42724669</v>
      </c>
      <c r="AT117" s="44">
        <f>(IF(AT113=D115,AT116,AS119))</f>
        <v>251223856.25789362</v>
      </c>
      <c r="AU117" s="44">
        <f>(IF(AU113=D115,AU116,AT119))</f>
        <v>248606941.08854055</v>
      </c>
      <c r="AV117" s="44">
        <f>(IF(AV113=D115,AV116,AU119))</f>
        <v>245990025.91918749</v>
      </c>
      <c r="AW117" s="44">
        <f>(IF(AW113=D115,AW116,AV119))</f>
        <v>243373110.74983442</v>
      </c>
      <c r="AX117" s="44">
        <f>(IF(AX113=D115,AX116,AW119))</f>
        <v>240756195.58048135</v>
      </c>
      <c r="AY117" s="44">
        <f>(IF(AY113=D115,AY116,AX119))</f>
        <v>238139280.41112828</v>
      </c>
      <c r="AZ117" s="44">
        <f>(IF(AZ113=D115,AZ116,AY119))</f>
        <v>235522365.24177521</v>
      </c>
      <c r="BA117" s="44">
        <f>(IF(BA113=D115,BA116,AZ119))</f>
        <v>232905450.07242215</v>
      </c>
      <c r="BB117" s="44">
        <f>(IF(BB113=D115,BB116,BA119))</f>
        <v>230288534.90306908</v>
      </c>
      <c r="BC117" s="44">
        <f>(IF(BC113=D115,BC116,BB119))</f>
        <v>227671619.73371601</v>
      </c>
      <c r="BD117" s="44">
        <f>(IF(BD113=D115,BD116,BC119))</f>
        <v>225054704.56436294</v>
      </c>
      <c r="BE117" s="44">
        <f>(IF(BE113=D115,BE116,BD119))</f>
        <v>222437789.39500988</v>
      </c>
      <c r="BF117" s="44">
        <f>(IF(BF113=D115,BF116,BE119))</f>
        <v>219820874.22565681</v>
      </c>
      <c r="BG117" s="44">
        <f>(IF(BG113=D115,BG116,BF119))</f>
        <v>217203959.05630374</v>
      </c>
      <c r="BH117" s="44">
        <f>(IF(BH113=D115,BH116,BG119))</f>
        <v>214587043.88695067</v>
      </c>
      <c r="BI117" s="44">
        <f>(IF(BI113=D115,BI116,BH119))</f>
        <v>211970128.7175976</v>
      </c>
      <c r="BJ117" s="44">
        <f>(IF(BJ113=D115,BJ116,BI119))</f>
        <v>209353213.54824454</v>
      </c>
      <c r="BK117" s="44">
        <f>(IF(BK113=D115,BK116,BJ119))</f>
        <v>206736298.37889147</v>
      </c>
      <c r="BL117" s="44">
        <f>(IF(BL113=D115,BL116,BK119))</f>
        <v>204119383.2095384</v>
      </c>
      <c r="BM117" s="44">
        <f>(IF(BM113=D115,BM116,BL119))</f>
        <v>201502468.04018533</v>
      </c>
      <c r="BN117" s="44">
        <f>(IF(BN113=D115,BN116,BM119))</f>
        <v>198885552.87083226</v>
      </c>
      <c r="BO117" s="44">
        <f>(IF(BO113=D115,BO116,BN119))</f>
        <v>196268637.7014792</v>
      </c>
      <c r="BP117" s="44">
        <f>(IF(BP113=D115,BP116,BO119))</f>
        <v>193651722.53212613</v>
      </c>
      <c r="BQ117" s="44">
        <f>(IF(BQ113=D115,BQ116,BP119))</f>
        <v>191034807.36277306</v>
      </c>
      <c r="BR117" s="44">
        <f>(IF(BR113=D115,BR116,BQ119))</f>
        <v>188417892.19341999</v>
      </c>
      <c r="BS117" s="44">
        <f>(IF(BS113=D115,BS116,BR119))</f>
        <v>185800977.02406693</v>
      </c>
      <c r="BT117" s="44">
        <f>(IF(BT113=D115,BT116,BS119))</f>
        <v>183184061.85471386</v>
      </c>
      <c r="BU117" s="44">
        <f>(IF(BU113=D115,BU116,BT119))</f>
        <v>180567146.68536079</v>
      </c>
      <c r="BV117" s="44">
        <f>(IF(BV113=D115,BV116,BU119))</f>
        <v>177950231.51600772</v>
      </c>
      <c r="BW117" s="44">
        <f>(IF(BW113=D115,BW116,BV119))</f>
        <v>175333316.34665465</v>
      </c>
      <c r="BX117" s="44">
        <f>(IF(BX113=D115,BX116,BW119))</f>
        <v>172716401.17730159</v>
      </c>
      <c r="BY117" s="44">
        <f>(IF(BY113=D115,BY116,BX119))</f>
        <v>170099486.00794852</v>
      </c>
      <c r="BZ117" s="44">
        <f>(IF(BZ113=D115,BZ116,BY119))</f>
        <v>167482570.83859545</v>
      </c>
      <c r="CA117" s="44">
        <f>(IF(CA113=D115,CA116,BZ119))</f>
        <v>164865655.66924238</v>
      </c>
      <c r="CB117" s="44">
        <f>(IF(CB113=D115,CB116,CA119))</f>
        <v>162248740.49988931</v>
      </c>
      <c r="CC117" s="44">
        <f>(IF(CC113=D115,CC116,CB119))</f>
        <v>159631825.33053625</v>
      </c>
      <c r="CD117" s="44">
        <f>(IF(CD113=D115,CD116,CC119))</f>
        <v>157014910.16118318</v>
      </c>
      <c r="CE117" s="44">
        <f>(IF(CE113=D115,CE116,CD119))</f>
        <v>154397994.99183011</v>
      </c>
      <c r="CF117" s="44">
        <f>(IF(CF113=D115,CF116,CE119))</f>
        <v>151781079.82247704</v>
      </c>
      <c r="CG117" s="44">
        <f>(IF(CG113=D115,CG116,CF119))</f>
        <v>149164164.65312397</v>
      </c>
      <c r="CH117" s="44">
        <f>(IF(CH113=D115,CH116,CG119))</f>
        <v>146547249.48377091</v>
      </c>
      <c r="CI117" s="44">
        <f>(IF(CI113=D115,CI116,CH119))</f>
        <v>143930334.31441784</v>
      </c>
      <c r="CJ117" s="44">
        <f>(IF(CJ113=D115,CJ116,CI119))</f>
        <v>141313419.14506477</v>
      </c>
      <c r="CK117" s="44">
        <f>(IF(CK113=D115,CK116,CJ119))</f>
        <v>138696503.9757117</v>
      </c>
      <c r="CL117" s="44">
        <f>(IF(CL113=D115,CL116,CK119))</f>
        <v>136079588.80635864</v>
      </c>
      <c r="CM117" s="44">
        <f>(IF(CM113=D115,CM116,CL119))</f>
        <v>133462673.63700557</v>
      </c>
      <c r="CN117" s="44">
        <f>(IF(CN113=D115,CN116,CM119))</f>
        <v>130845758.4676525</v>
      </c>
      <c r="CO117" s="44">
        <f>(IF(CO113=D115,CO116,CN119))</f>
        <v>128228843.29829943</v>
      </c>
      <c r="CP117" s="44">
        <f>(IF(CP113=D115,CP116,CO119))</f>
        <v>125611928.12894636</v>
      </c>
      <c r="CQ117" s="44">
        <f>(IF(CQ113=D115,CQ116,CP119))</f>
        <v>122995012.9595933</v>
      </c>
      <c r="CR117" s="44">
        <f>(IF(CR113=D115,CR116,CQ119))</f>
        <v>120378097.79024023</v>
      </c>
      <c r="CS117" s="44">
        <f>(IF(CS113=D115,CS116,CR119))</f>
        <v>117761182.62088716</v>
      </c>
      <c r="CT117" s="44">
        <f>(IF(CT113=D115,CT116,CS119))</f>
        <v>115144267.45153409</v>
      </c>
      <c r="CU117" s="44">
        <f>(IF(CU113=D115,CU116,CT119))</f>
        <v>112527352.28218102</v>
      </c>
      <c r="CV117" s="44">
        <f>(IF(CV113=D115,CV116,CU119))</f>
        <v>109910437.11282796</v>
      </c>
      <c r="CW117" s="44">
        <f>(IF(CW113=D115,CW116,CV119))</f>
        <v>107293521.94347489</v>
      </c>
      <c r="CX117" s="44">
        <f>(IF(CX113=D115,CX116,CW119))</f>
        <v>104676606.77412182</v>
      </c>
      <c r="CY117" s="44">
        <f>(IF(CY113=D115,CY116,CX119))</f>
        <v>102059691.60476875</v>
      </c>
      <c r="CZ117" s="44">
        <f>(IF(CZ113=D115,CZ116,CY119))</f>
        <v>99442776.435415685</v>
      </c>
      <c r="DA117" s="44">
        <f>(IF(DA113=D115,DA116,CZ119))</f>
        <v>96825861.266062617</v>
      </c>
      <c r="DB117" s="44">
        <f>(IF(DB113=D115,DB116,DA119))</f>
        <v>94208946.096709549</v>
      </c>
      <c r="DC117" s="44">
        <f>(IF(DC113=D115,DC116,DB119))</f>
        <v>91592030.927356482</v>
      </c>
      <c r="DD117" s="44">
        <f>(IF(DD113=D115,DD116,DC119))</f>
        <v>88975115.758003414</v>
      </c>
      <c r="DE117" s="44">
        <f>(IF(DE113=D115,DE116,DD119))</f>
        <v>86358200.588650346</v>
      </c>
      <c r="DF117" s="44">
        <f>(IF(DF113=D115,DF116,DE119))</f>
        <v>83741285.419297278</v>
      </c>
      <c r="DG117" s="44">
        <f>(IF(DG113=D115,DG116,DF119))</f>
        <v>81124370.24994421</v>
      </c>
      <c r="DH117" s="44">
        <f>(IF(DH113=D115,DH116,DG119))</f>
        <v>78507455.080591142</v>
      </c>
      <c r="DI117" s="44">
        <f>(IF(DI113=D115,DI116,DH119))</f>
        <v>75890539.911238074</v>
      </c>
      <c r="DJ117" s="44">
        <f>(IF(DJ113=D115,DJ116,DI119))</f>
        <v>73273624.741885006</v>
      </c>
      <c r="DK117" s="44">
        <f>(IF(DK113=D115,DK116,DJ119))</f>
        <v>70656709.572531939</v>
      </c>
      <c r="DL117" s="44">
        <f>(IF(DL113=D115,DL116,DK119))</f>
        <v>68039794.403178871</v>
      </c>
      <c r="DM117" s="44">
        <f>(IF(DM113=D115,DM116,DL119))</f>
        <v>65422879.23382581</v>
      </c>
      <c r="DN117" s="44">
        <f>(IF(DN113=D115,DN116,DM119))</f>
        <v>62805964.06447275</v>
      </c>
      <c r="DO117" s="44">
        <f>(IF(DO113=D115,DO116,DN119))</f>
        <v>60189048.895119689</v>
      </c>
      <c r="DP117" s="44">
        <f>(IF(DP113=D115,DP116,DO119))</f>
        <v>57572133.725766629</v>
      </c>
      <c r="DQ117" s="44">
        <f>(IF(DQ113=D115,DQ116,DP119))</f>
        <v>54955218.556413569</v>
      </c>
      <c r="DR117" s="44">
        <f>(IF(DR113=D115,DR116,DQ119))</f>
        <v>52338303.387060508</v>
      </c>
      <c r="DS117" s="44">
        <f>(IF(DS113=D115,DS116,DR119))</f>
        <v>49721388.217707448</v>
      </c>
      <c r="DT117" s="44">
        <f>(IF(DT113=D115,DT116,DS119))</f>
        <v>47104473.048354387</v>
      </c>
      <c r="DU117" s="44">
        <f>(IF(DU113=D115,DU116,DT119))</f>
        <v>44487557.879001327</v>
      </c>
      <c r="DV117" s="44">
        <f>(IF(DV113=D115,DV116,DU119))</f>
        <v>41870642.709648266</v>
      </c>
      <c r="DW117" s="44">
        <f>(IF(DW113=D115,DW116,DV119))</f>
        <v>39253727.540295206</v>
      </c>
      <c r="DX117" s="44">
        <f>(IF(DX113=D115,DX116,DW119))</f>
        <v>36636812.370942146</v>
      </c>
      <c r="DY117" s="44">
        <f>(IF(DY113=D115,DY116,DX119))</f>
        <v>34019897.201589085</v>
      </c>
      <c r="DZ117" s="44">
        <f>(IF(DZ113=D115,DZ116,DY119))</f>
        <v>31402982.032236025</v>
      </c>
      <c r="EA117" s="44">
        <f>(IF(EA113=D115,EA116,DZ119))</f>
        <v>28786066.862882964</v>
      </c>
      <c r="EB117" s="44">
        <f>(IF(EB113=D115,EB116,EA119))</f>
        <v>26169151.693529904</v>
      </c>
      <c r="EC117" s="44">
        <f>(IF(EC113=D115,EC116,EB119))</f>
        <v>23552236.524176843</v>
      </c>
      <c r="ED117" s="44">
        <f>(IF(ED113=D115,ED116,EC119))</f>
        <v>20935321.354823783</v>
      </c>
      <c r="EE117" s="44">
        <f>(IF(EE113=D115,EE116,ED119))</f>
        <v>18318406.185470723</v>
      </c>
      <c r="EF117" s="44">
        <f>(IF(EF113=D115,EF116,EE119))</f>
        <v>15701491.016117662</v>
      </c>
      <c r="EG117" s="44">
        <f>(IF(EG113=D115,EG116,EF119))</f>
        <v>13084575.846764602</v>
      </c>
      <c r="EH117" s="44">
        <f>(IF(EH113=D115,EH116,EG119))</f>
        <v>10467660.677411541</v>
      </c>
      <c r="EI117" s="44">
        <f t="shared" ref="EI117:EN117" si="227">(IF(EI113=E115,EI116,EH119))</f>
        <v>7850745.5080584809</v>
      </c>
      <c r="EJ117" s="44">
        <f t="shared" si="227"/>
        <v>5233830.3387054205</v>
      </c>
      <c r="EK117" s="44">
        <f t="shared" si="227"/>
        <v>2616915.1693523601</v>
      </c>
      <c r="EL117" s="44">
        <f t="shared" si="227"/>
        <v>0</v>
      </c>
      <c r="EM117" s="44">
        <f t="shared" si="227"/>
        <v>0</v>
      </c>
      <c r="EN117" s="44">
        <f t="shared" si="227"/>
        <v>0</v>
      </c>
    </row>
    <row r="118" spans="2:144" outlineLevel="1">
      <c r="B118" s="459">
        <f>SUM(H118:XX118)</f>
        <v>314029820.32236791</v>
      </c>
      <c r="C118" s="151" t="s">
        <v>24</v>
      </c>
      <c r="D118" s="467">
        <f>SUMIF($C$4:$C$18,B115,$J$4:$J$18)</f>
        <v>30</v>
      </c>
      <c r="E118" s="468">
        <f>1/D118</f>
        <v>3.3333333333333333E-2</v>
      </c>
      <c r="F118" s="44">
        <f>D116*E118</f>
        <v>10467660.677412242</v>
      </c>
      <c r="G118" s="44"/>
      <c r="H118" s="44">
        <f>IF(H117&gt;1,$F118/4,0)</f>
        <v>0</v>
      </c>
      <c r="I118" s="44">
        <f t="shared" ref="I118:BT118" si="228">IF(I117&gt;1,$F118/4,0)</f>
        <v>0</v>
      </c>
      <c r="J118" s="44">
        <f t="shared" si="228"/>
        <v>0</v>
      </c>
      <c r="K118" s="44">
        <f t="shared" si="228"/>
        <v>0</v>
      </c>
      <c r="L118" s="44">
        <f t="shared" si="228"/>
        <v>0</v>
      </c>
      <c r="M118" s="44">
        <f t="shared" si="228"/>
        <v>0</v>
      </c>
      <c r="N118" s="44">
        <f t="shared" si="228"/>
        <v>0</v>
      </c>
      <c r="O118" s="44">
        <f t="shared" si="228"/>
        <v>0</v>
      </c>
      <c r="P118" s="44">
        <f t="shared" si="228"/>
        <v>0</v>
      </c>
      <c r="Q118" s="44">
        <f t="shared" si="228"/>
        <v>0</v>
      </c>
      <c r="R118" s="44">
        <f t="shared" si="228"/>
        <v>0</v>
      </c>
      <c r="S118" s="44">
        <f t="shared" si="228"/>
        <v>0</v>
      </c>
      <c r="T118" s="44">
        <f t="shared" si="228"/>
        <v>0</v>
      </c>
      <c r="U118" s="44">
        <f t="shared" si="228"/>
        <v>0</v>
      </c>
      <c r="V118" s="44">
        <f t="shared" si="228"/>
        <v>2616915.1693530604</v>
      </c>
      <c r="W118" s="44">
        <f t="shared" si="228"/>
        <v>2616915.1693530604</v>
      </c>
      <c r="X118" s="44">
        <f t="shared" si="228"/>
        <v>2616915.1693530604</v>
      </c>
      <c r="Y118" s="44">
        <f t="shared" si="228"/>
        <v>2616915.1693530604</v>
      </c>
      <c r="Z118" s="44">
        <f t="shared" si="228"/>
        <v>2616915.1693530604</v>
      </c>
      <c r="AA118" s="44">
        <f t="shared" si="228"/>
        <v>2616915.1693530604</v>
      </c>
      <c r="AB118" s="44">
        <f t="shared" si="228"/>
        <v>2616915.1693530604</v>
      </c>
      <c r="AC118" s="44">
        <f t="shared" si="228"/>
        <v>2616915.1693530604</v>
      </c>
      <c r="AD118" s="44">
        <f t="shared" si="228"/>
        <v>2616915.1693530604</v>
      </c>
      <c r="AE118" s="44">
        <f t="shared" si="228"/>
        <v>2616915.1693530604</v>
      </c>
      <c r="AF118" s="44">
        <f t="shared" si="228"/>
        <v>2616915.1693530604</v>
      </c>
      <c r="AG118" s="44">
        <f t="shared" si="228"/>
        <v>2616915.1693530604</v>
      </c>
      <c r="AH118" s="44">
        <f t="shared" si="228"/>
        <v>2616915.1693530604</v>
      </c>
      <c r="AI118" s="44">
        <f t="shared" si="228"/>
        <v>2616915.1693530604</v>
      </c>
      <c r="AJ118" s="44">
        <f t="shared" si="228"/>
        <v>2616915.1693530604</v>
      </c>
      <c r="AK118" s="44">
        <f t="shared" si="228"/>
        <v>2616915.1693530604</v>
      </c>
      <c r="AL118" s="44">
        <f t="shared" si="228"/>
        <v>2616915.1693530604</v>
      </c>
      <c r="AM118" s="44">
        <f t="shared" si="228"/>
        <v>2616915.1693530604</v>
      </c>
      <c r="AN118" s="44">
        <f t="shared" si="228"/>
        <v>2616915.1693530604</v>
      </c>
      <c r="AO118" s="44">
        <f t="shared" si="228"/>
        <v>2616915.1693530604</v>
      </c>
      <c r="AP118" s="44">
        <f t="shared" si="228"/>
        <v>2616915.1693530604</v>
      </c>
      <c r="AQ118" s="44">
        <f t="shared" si="228"/>
        <v>2616915.1693530604</v>
      </c>
      <c r="AR118" s="44">
        <f t="shared" si="228"/>
        <v>2616915.1693530604</v>
      </c>
      <c r="AS118" s="44">
        <f t="shared" si="228"/>
        <v>2616915.1693530604</v>
      </c>
      <c r="AT118" s="44">
        <f t="shared" si="228"/>
        <v>2616915.1693530604</v>
      </c>
      <c r="AU118" s="44">
        <f t="shared" si="228"/>
        <v>2616915.1693530604</v>
      </c>
      <c r="AV118" s="44">
        <f t="shared" si="228"/>
        <v>2616915.1693530604</v>
      </c>
      <c r="AW118" s="44">
        <f t="shared" si="228"/>
        <v>2616915.1693530604</v>
      </c>
      <c r="AX118" s="44">
        <f t="shared" si="228"/>
        <v>2616915.1693530604</v>
      </c>
      <c r="AY118" s="44">
        <f t="shared" si="228"/>
        <v>2616915.1693530604</v>
      </c>
      <c r="AZ118" s="44">
        <f t="shared" si="228"/>
        <v>2616915.1693530604</v>
      </c>
      <c r="BA118" s="44">
        <f t="shared" si="228"/>
        <v>2616915.1693530604</v>
      </c>
      <c r="BB118" s="44">
        <f t="shared" si="228"/>
        <v>2616915.1693530604</v>
      </c>
      <c r="BC118" s="44">
        <f t="shared" si="228"/>
        <v>2616915.1693530604</v>
      </c>
      <c r="BD118" s="44">
        <f t="shared" si="228"/>
        <v>2616915.1693530604</v>
      </c>
      <c r="BE118" s="44">
        <f t="shared" si="228"/>
        <v>2616915.1693530604</v>
      </c>
      <c r="BF118" s="44">
        <f t="shared" si="228"/>
        <v>2616915.1693530604</v>
      </c>
      <c r="BG118" s="44">
        <f t="shared" si="228"/>
        <v>2616915.1693530604</v>
      </c>
      <c r="BH118" s="44">
        <f t="shared" si="228"/>
        <v>2616915.1693530604</v>
      </c>
      <c r="BI118" s="44">
        <f t="shared" si="228"/>
        <v>2616915.1693530604</v>
      </c>
      <c r="BJ118" s="44">
        <f t="shared" si="228"/>
        <v>2616915.1693530604</v>
      </c>
      <c r="BK118" s="44">
        <f t="shared" si="228"/>
        <v>2616915.1693530604</v>
      </c>
      <c r="BL118" s="44">
        <f t="shared" si="228"/>
        <v>2616915.1693530604</v>
      </c>
      <c r="BM118" s="44">
        <f t="shared" si="228"/>
        <v>2616915.1693530604</v>
      </c>
      <c r="BN118" s="44">
        <f t="shared" si="228"/>
        <v>2616915.1693530604</v>
      </c>
      <c r="BO118" s="44">
        <f t="shared" si="228"/>
        <v>2616915.1693530604</v>
      </c>
      <c r="BP118" s="44">
        <f t="shared" si="228"/>
        <v>2616915.1693530604</v>
      </c>
      <c r="BQ118" s="44">
        <f t="shared" si="228"/>
        <v>2616915.1693530604</v>
      </c>
      <c r="BR118" s="44">
        <f t="shared" si="228"/>
        <v>2616915.1693530604</v>
      </c>
      <c r="BS118" s="44">
        <f t="shared" si="228"/>
        <v>2616915.1693530604</v>
      </c>
      <c r="BT118" s="44">
        <f t="shared" si="228"/>
        <v>2616915.1693530604</v>
      </c>
      <c r="BU118" s="44">
        <f t="shared" ref="BU118:EF118" si="229">IF(BU117&gt;1,$F118/4,0)</f>
        <v>2616915.1693530604</v>
      </c>
      <c r="BV118" s="44">
        <f t="shared" si="229"/>
        <v>2616915.1693530604</v>
      </c>
      <c r="BW118" s="44">
        <f t="shared" si="229"/>
        <v>2616915.1693530604</v>
      </c>
      <c r="BX118" s="44">
        <f t="shared" si="229"/>
        <v>2616915.1693530604</v>
      </c>
      <c r="BY118" s="44">
        <f t="shared" si="229"/>
        <v>2616915.1693530604</v>
      </c>
      <c r="BZ118" s="44">
        <f t="shared" si="229"/>
        <v>2616915.1693530604</v>
      </c>
      <c r="CA118" s="44">
        <f t="shared" si="229"/>
        <v>2616915.1693530604</v>
      </c>
      <c r="CB118" s="44">
        <f t="shared" si="229"/>
        <v>2616915.1693530604</v>
      </c>
      <c r="CC118" s="44">
        <f t="shared" si="229"/>
        <v>2616915.1693530604</v>
      </c>
      <c r="CD118" s="44">
        <f t="shared" si="229"/>
        <v>2616915.1693530604</v>
      </c>
      <c r="CE118" s="44">
        <f t="shared" si="229"/>
        <v>2616915.1693530604</v>
      </c>
      <c r="CF118" s="44">
        <f t="shared" si="229"/>
        <v>2616915.1693530604</v>
      </c>
      <c r="CG118" s="44">
        <f t="shared" si="229"/>
        <v>2616915.1693530604</v>
      </c>
      <c r="CH118" s="44">
        <f t="shared" si="229"/>
        <v>2616915.1693530604</v>
      </c>
      <c r="CI118" s="44">
        <f t="shared" si="229"/>
        <v>2616915.1693530604</v>
      </c>
      <c r="CJ118" s="44">
        <f t="shared" si="229"/>
        <v>2616915.1693530604</v>
      </c>
      <c r="CK118" s="44">
        <f t="shared" si="229"/>
        <v>2616915.1693530604</v>
      </c>
      <c r="CL118" s="44">
        <f t="shared" si="229"/>
        <v>2616915.1693530604</v>
      </c>
      <c r="CM118" s="44">
        <f t="shared" si="229"/>
        <v>2616915.1693530604</v>
      </c>
      <c r="CN118" s="44">
        <f t="shared" si="229"/>
        <v>2616915.1693530604</v>
      </c>
      <c r="CO118" s="44">
        <f t="shared" si="229"/>
        <v>2616915.1693530604</v>
      </c>
      <c r="CP118" s="44">
        <f t="shared" si="229"/>
        <v>2616915.1693530604</v>
      </c>
      <c r="CQ118" s="44">
        <f t="shared" si="229"/>
        <v>2616915.1693530604</v>
      </c>
      <c r="CR118" s="44">
        <f t="shared" si="229"/>
        <v>2616915.1693530604</v>
      </c>
      <c r="CS118" s="44">
        <f t="shared" si="229"/>
        <v>2616915.1693530604</v>
      </c>
      <c r="CT118" s="44">
        <f t="shared" si="229"/>
        <v>2616915.1693530604</v>
      </c>
      <c r="CU118" s="44">
        <f t="shared" si="229"/>
        <v>2616915.1693530604</v>
      </c>
      <c r="CV118" s="44">
        <f t="shared" si="229"/>
        <v>2616915.1693530604</v>
      </c>
      <c r="CW118" s="44">
        <f t="shared" si="229"/>
        <v>2616915.1693530604</v>
      </c>
      <c r="CX118" s="44">
        <f t="shared" si="229"/>
        <v>2616915.1693530604</v>
      </c>
      <c r="CY118" s="44">
        <f t="shared" si="229"/>
        <v>2616915.1693530604</v>
      </c>
      <c r="CZ118" s="44">
        <f t="shared" si="229"/>
        <v>2616915.1693530604</v>
      </c>
      <c r="DA118" s="44">
        <f t="shared" si="229"/>
        <v>2616915.1693530604</v>
      </c>
      <c r="DB118" s="44">
        <f t="shared" si="229"/>
        <v>2616915.1693530604</v>
      </c>
      <c r="DC118" s="44">
        <f t="shared" si="229"/>
        <v>2616915.1693530604</v>
      </c>
      <c r="DD118" s="44">
        <f t="shared" si="229"/>
        <v>2616915.1693530604</v>
      </c>
      <c r="DE118" s="44">
        <f t="shared" si="229"/>
        <v>2616915.1693530604</v>
      </c>
      <c r="DF118" s="44">
        <f t="shared" si="229"/>
        <v>2616915.1693530604</v>
      </c>
      <c r="DG118" s="44">
        <f t="shared" si="229"/>
        <v>2616915.1693530604</v>
      </c>
      <c r="DH118" s="44">
        <f t="shared" si="229"/>
        <v>2616915.1693530604</v>
      </c>
      <c r="DI118" s="44">
        <f t="shared" si="229"/>
        <v>2616915.1693530604</v>
      </c>
      <c r="DJ118" s="44">
        <f t="shared" si="229"/>
        <v>2616915.1693530604</v>
      </c>
      <c r="DK118" s="44">
        <f t="shared" si="229"/>
        <v>2616915.1693530604</v>
      </c>
      <c r="DL118" s="44">
        <f t="shared" si="229"/>
        <v>2616915.1693530604</v>
      </c>
      <c r="DM118" s="44">
        <f t="shared" si="229"/>
        <v>2616915.1693530604</v>
      </c>
      <c r="DN118" s="44">
        <f t="shared" si="229"/>
        <v>2616915.1693530604</v>
      </c>
      <c r="DO118" s="44">
        <f t="shared" si="229"/>
        <v>2616915.1693530604</v>
      </c>
      <c r="DP118" s="44">
        <f t="shared" si="229"/>
        <v>2616915.1693530604</v>
      </c>
      <c r="DQ118" s="44">
        <f t="shared" si="229"/>
        <v>2616915.1693530604</v>
      </c>
      <c r="DR118" s="44">
        <f t="shared" si="229"/>
        <v>2616915.1693530604</v>
      </c>
      <c r="DS118" s="44">
        <f t="shared" si="229"/>
        <v>2616915.1693530604</v>
      </c>
      <c r="DT118" s="44">
        <f t="shared" si="229"/>
        <v>2616915.1693530604</v>
      </c>
      <c r="DU118" s="44">
        <f t="shared" si="229"/>
        <v>2616915.1693530604</v>
      </c>
      <c r="DV118" s="44">
        <f t="shared" si="229"/>
        <v>2616915.1693530604</v>
      </c>
      <c r="DW118" s="44">
        <f t="shared" si="229"/>
        <v>2616915.1693530604</v>
      </c>
      <c r="DX118" s="44">
        <f t="shared" si="229"/>
        <v>2616915.1693530604</v>
      </c>
      <c r="DY118" s="44">
        <f t="shared" si="229"/>
        <v>2616915.1693530604</v>
      </c>
      <c r="DZ118" s="44">
        <f t="shared" si="229"/>
        <v>2616915.1693530604</v>
      </c>
      <c r="EA118" s="44">
        <f t="shared" si="229"/>
        <v>2616915.1693530604</v>
      </c>
      <c r="EB118" s="44">
        <f t="shared" si="229"/>
        <v>2616915.1693530604</v>
      </c>
      <c r="EC118" s="44">
        <f t="shared" si="229"/>
        <v>2616915.1693530604</v>
      </c>
      <c r="ED118" s="44">
        <f t="shared" si="229"/>
        <v>2616915.1693530604</v>
      </c>
      <c r="EE118" s="44">
        <f t="shared" si="229"/>
        <v>2616915.1693530604</v>
      </c>
      <c r="EF118" s="44">
        <f t="shared" si="229"/>
        <v>2616915.1693530604</v>
      </c>
      <c r="EG118" s="44">
        <f t="shared" ref="EG118:EN118" si="230">IF(EG117&gt;1,$F118/4,0)</f>
        <v>2616915.1693530604</v>
      </c>
      <c r="EH118" s="44">
        <f t="shared" si="230"/>
        <v>2616915.1693530604</v>
      </c>
      <c r="EI118" s="44">
        <f t="shared" si="230"/>
        <v>2616915.1693530604</v>
      </c>
      <c r="EJ118" s="44">
        <f t="shared" si="230"/>
        <v>2616915.1693530604</v>
      </c>
      <c r="EK118" s="44">
        <f t="shared" si="230"/>
        <v>2616915.1693530604</v>
      </c>
      <c r="EL118" s="44">
        <f t="shared" si="230"/>
        <v>0</v>
      </c>
      <c r="EM118" s="44">
        <f t="shared" si="230"/>
        <v>0</v>
      </c>
      <c r="EN118" s="44">
        <f t="shared" si="230"/>
        <v>0</v>
      </c>
    </row>
    <row r="119" spans="2:144" outlineLevel="1">
      <c r="B119" s="459">
        <f>D116-B118</f>
        <v>-6.5565109252929688E-7</v>
      </c>
      <c r="C119" s="151" t="s">
        <v>74</v>
      </c>
      <c r="D119" s="44"/>
      <c r="E119" s="44"/>
      <c r="F119" s="44"/>
      <c r="G119" s="44"/>
      <c r="H119" s="44">
        <f>IF((H117-H118)&gt;0,(H117-H118),0)</f>
        <v>0</v>
      </c>
      <c r="I119" s="44">
        <f t="shared" ref="I119:BT119" si="231">IF((I117-I118)&gt;0,(I117-I118),0)</f>
        <v>0</v>
      </c>
      <c r="J119" s="44">
        <f t="shared" si="231"/>
        <v>0</v>
      </c>
      <c r="K119" s="44">
        <f t="shared" si="231"/>
        <v>0</v>
      </c>
      <c r="L119" s="44">
        <f t="shared" si="231"/>
        <v>0</v>
      </c>
      <c r="M119" s="44">
        <f t="shared" si="231"/>
        <v>0</v>
      </c>
      <c r="N119" s="44">
        <f t="shared" si="231"/>
        <v>0</v>
      </c>
      <c r="O119" s="44">
        <f t="shared" si="231"/>
        <v>0</v>
      </c>
      <c r="P119" s="44">
        <f t="shared" si="231"/>
        <v>0</v>
      </c>
      <c r="Q119" s="44">
        <f t="shared" si="231"/>
        <v>0</v>
      </c>
      <c r="R119" s="44">
        <f t="shared" si="231"/>
        <v>0</v>
      </c>
      <c r="S119" s="44">
        <f t="shared" si="231"/>
        <v>0</v>
      </c>
      <c r="T119" s="44">
        <f t="shared" si="231"/>
        <v>0</v>
      </c>
      <c r="U119" s="44">
        <f t="shared" si="231"/>
        <v>0</v>
      </c>
      <c r="V119" s="44">
        <f t="shared" si="231"/>
        <v>311412905.15301418</v>
      </c>
      <c r="W119" s="44">
        <f t="shared" si="231"/>
        <v>308795989.98366112</v>
      </c>
      <c r="X119" s="44">
        <f t="shared" si="231"/>
        <v>306179074.81430805</v>
      </c>
      <c r="Y119" s="44">
        <f t="shared" si="231"/>
        <v>303562159.64495498</v>
      </c>
      <c r="Z119" s="44">
        <f t="shared" si="231"/>
        <v>300945244.47560191</v>
      </c>
      <c r="AA119" s="44">
        <f t="shared" si="231"/>
        <v>298328329.30624884</v>
      </c>
      <c r="AB119" s="44">
        <f t="shared" si="231"/>
        <v>295711414.13689578</v>
      </c>
      <c r="AC119" s="44">
        <f t="shared" si="231"/>
        <v>293094498.96754271</v>
      </c>
      <c r="AD119" s="44">
        <f t="shared" si="231"/>
        <v>290477583.79818964</v>
      </c>
      <c r="AE119" s="44">
        <f t="shared" si="231"/>
        <v>287860668.62883657</v>
      </c>
      <c r="AF119" s="44">
        <f t="shared" si="231"/>
        <v>285243753.4594835</v>
      </c>
      <c r="AG119" s="44">
        <f t="shared" si="231"/>
        <v>282626838.29013044</v>
      </c>
      <c r="AH119" s="44">
        <f t="shared" si="231"/>
        <v>280009923.12077737</v>
      </c>
      <c r="AI119" s="44">
        <f t="shared" si="231"/>
        <v>277393007.9514243</v>
      </c>
      <c r="AJ119" s="44">
        <f t="shared" si="231"/>
        <v>274776092.78207123</v>
      </c>
      <c r="AK119" s="44">
        <f t="shared" si="231"/>
        <v>272159177.61271816</v>
      </c>
      <c r="AL119" s="44">
        <f t="shared" si="231"/>
        <v>269542262.4433651</v>
      </c>
      <c r="AM119" s="44">
        <f t="shared" si="231"/>
        <v>266925347.27401203</v>
      </c>
      <c r="AN119" s="44">
        <f t="shared" si="231"/>
        <v>264308432.10465896</v>
      </c>
      <c r="AO119" s="44">
        <f t="shared" si="231"/>
        <v>261691516.93530589</v>
      </c>
      <c r="AP119" s="44">
        <f t="shared" si="231"/>
        <v>259074601.76595283</v>
      </c>
      <c r="AQ119" s="44">
        <f t="shared" si="231"/>
        <v>256457686.59659976</v>
      </c>
      <c r="AR119" s="44">
        <f t="shared" si="231"/>
        <v>253840771.42724669</v>
      </c>
      <c r="AS119" s="44">
        <f t="shared" si="231"/>
        <v>251223856.25789362</v>
      </c>
      <c r="AT119" s="44">
        <f t="shared" si="231"/>
        <v>248606941.08854055</v>
      </c>
      <c r="AU119" s="44">
        <f t="shared" si="231"/>
        <v>245990025.91918749</v>
      </c>
      <c r="AV119" s="44">
        <f t="shared" si="231"/>
        <v>243373110.74983442</v>
      </c>
      <c r="AW119" s="44">
        <f t="shared" si="231"/>
        <v>240756195.58048135</v>
      </c>
      <c r="AX119" s="44">
        <f t="shared" si="231"/>
        <v>238139280.41112828</v>
      </c>
      <c r="AY119" s="44">
        <f t="shared" si="231"/>
        <v>235522365.24177521</v>
      </c>
      <c r="AZ119" s="44">
        <f t="shared" si="231"/>
        <v>232905450.07242215</v>
      </c>
      <c r="BA119" s="44">
        <f t="shared" si="231"/>
        <v>230288534.90306908</v>
      </c>
      <c r="BB119" s="44">
        <f t="shared" si="231"/>
        <v>227671619.73371601</v>
      </c>
      <c r="BC119" s="44">
        <f t="shared" si="231"/>
        <v>225054704.56436294</v>
      </c>
      <c r="BD119" s="44">
        <f t="shared" si="231"/>
        <v>222437789.39500988</v>
      </c>
      <c r="BE119" s="44">
        <f t="shared" si="231"/>
        <v>219820874.22565681</v>
      </c>
      <c r="BF119" s="44">
        <f t="shared" si="231"/>
        <v>217203959.05630374</v>
      </c>
      <c r="BG119" s="44">
        <f t="shared" si="231"/>
        <v>214587043.88695067</v>
      </c>
      <c r="BH119" s="44">
        <f t="shared" si="231"/>
        <v>211970128.7175976</v>
      </c>
      <c r="BI119" s="44">
        <f t="shared" si="231"/>
        <v>209353213.54824454</v>
      </c>
      <c r="BJ119" s="44">
        <f t="shared" si="231"/>
        <v>206736298.37889147</v>
      </c>
      <c r="BK119" s="44">
        <f t="shared" si="231"/>
        <v>204119383.2095384</v>
      </c>
      <c r="BL119" s="44">
        <f t="shared" si="231"/>
        <v>201502468.04018533</v>
      </c>
      <c r="BM119" s="44">
        <f t="shared" si="231"/>
        <v>198885552.87083226</v>
      </c>
      <c r="BN119" s="44">
        <f t="shared" si="231"/>
        <v>196268637.7014792</v>
      </c>
      <c r="BO119" s="44">
        <f t="shared" si="231"/>
        <v>193651722.53212613</v>
      </c>
      <c r="BP119" s="44">
        <f t="shared" si="231"/>
        <v>191034807.36277306</v>
      </c>
      <c r="BQ119" s="44">
        <f t="shared" si="231"/>
        <v>188417892.19341999</v>
      </c>
      <c r="BR119" s="44">
        <f t="shared" si="231"/>
        <v>185800977.02406693</v>
      </c>
      <c r="BS119" s="44">
        <f t="shared" si="231"/>
        <v>183184061.85471386</v>
      </c>
      <c r="BT119" s="44">
        <f t="shared" si="231"/>
        <v>180567146.68536079</v>
      </c>
      <c r="BU119" s="44">
        <f t="shared" ref="BU119:EF119" si="232">IF((BU117-BU118)&gt;0,(BU117-BU118),0)</f>
        <v>177950231.51600772</v>
      </c>
      <c r="BV119" s="44">
        <f t="shared" si="232"/>
        <v>175333316.34665465</v>
      </c>
      <c r="BW119" s="44">
        <f t="shared" si="232"/>
        <v>172716401.17730159</v>
      </c>
      <c r="BX119" s="44">
        <f t="shared" si="232"/>
        <v>170099486.00794852</v>
      </c>
      <c r="BY119" s="44">
        <f t="shared" si="232"/>
        <v>167482570.83859545</v>
      </c>
      <c r="BZ119" s="44">
        <f t="shared" si="232"/>
        <v>164865655.66924238</v>
      </c>
      <c r="CA119" s="44">
        <f t="shared" si="232"/>
        <v>162248740.49988931</v>
      </c>
      <c r="CB119" s="44">
        <f t="shared" si="232"/>
        <v>159631825.33053625</v>
      </c>
      <c r="CC119" s="44">
        <f t="shared" si="232"/>
        <v>157014910.16118318</v>
      </c>
      <c r="CD119" s="44">
        <f t="shared" si="232"/>
        <v>154397994.99183011</v>
      </c>
      <c r="CE119" s="44">
        <f t="shared" si="232"/>
        <v>151781079.82247704</v>
      </c>
      <c r="CF119" s="44">
        <f t="shared" si="232"/>
        <v>149164164.65312397</v>
      </c>
      <c r="CG119" s="44">
        <f t="shared" si="232"/>
        <v>146547249.48377091</v>
      </c>
      <c r="CH119" s="44">
        <f t="shared" si="232"/>
        <v>143930334.31441784</v>
      </c>
      <c r="CI119" s="44">
        <f t="shared" si="232"/>
        <v>141313419.14506477</v>
      </c>
      <c r="CJ119" s="44">
        <f t="shared" si="232"/>
        <v>138696503.9757117</v>
      </c>
      <c r="CK119" s="44">
        <f t="shared" si="232"/>
        <v>136079588.80635864</v>
      </c>
      <c r="CL119" s="44">
        <f t="shared" si="232"/>
        <v>133462673.63700557</v>
      </c>
      <c r="CM119" s="44">
        <f t="shared" si="232"/>
        <v>130845758.4676525</v>
      </c>
      <c r="CN119" s="44">
        <f t="shared" si="232"/>
        <v>128228843.29829943</v>
      </c>
      <c r="CO119" s="44">
        <f t="shared" si="232"/>
        <v>125611928.12894636</v>
      </c>
      <c r="CP119" s="44">
        <f t="shared" si="232"/>
        <v>122995012.9595933</v>
      </c>
      <c r="CQ119" s="44">
        <f t="shared" si="232"/>
        <v>120378097.79024023</v>
      </c>
      <c r="CR119" s="44">
        <f t="shared" si="232"/>
        <v>117761182.62088716</v>
      </c>
      <c r="CS119" s="44">
        <f t="shared" si="232"/>
        <v>115144267.45153409</v>
      </c>
      <c r="CT119" s="44">
        <f t="shared" si="232"/>
        <v>112527352.28218102</v>
      </c>
      <c r="CU119" s="44">
        <f t="shared" si="232"/>
        <v>109910437.11282796</v>
      </c>
      <c r="CV119" s="44">
        <f t="shared" si="232"/>
        <v>107293521.94347489</v>
      </c>
      <c r="CW119" s="44">
        <f t="shared" si="232"/>
        <v>104676606.77412182</v>
      </c>
      <c r="CX119" s="44">
        <f t="shared" si="232"/>
        <v>102059691.60476875</v>
      </c>
      <c r="CY119" s="44">
        <f t="shared" si="232"/>
        <v>99442776.435415685</v>
      </c>
      <c r="CZ119" s="44">
        <f t="shared" si="232"/>
        <v>96825861.266062617</v>
      </c>
      <c r="DA119" s="44">
        <f t="shared" si="232"/>
        <v>94208946.096709549</v>
      </c>
      <c r="DB119" s="44">
        <f t="shared" si="232"/>
        <v>91592030.927356482</v>
      </c>
      <c r="DC119" s="44">
        <f t="shared" si="232"/>
        <v>88975115.758003414</v>
      </c>
      <c r="DD119" s="44">
        <f t="shared" si="232"/>
        <v>86358200.588650346</v>
      </c>
      <c r="DE119" s="44">
        <f t="shared" si="232"/>
        <v>83741285.419297278</v>
      </c>
      <c r="DF119" s="44">
        <f t="shared" si="232"/>
        <v>81124370.24994421</v>
      </c>
      <c r="DG119" s="44">
        <f t="shared" si="232"/>
        <v>78507455.080591142</v>
      </c>
      <c r="DH119" s="44">
        <f t="shared" si="232"/>
        <v>75890539.911238074</v>
      </c>
      <c r="DI119" s="44">
        <f t="shared" si="232"/>
        <v>73273624.741885006</v>
      </c>
      <c r="DJ119" s="44">
        <f t="shared" si="232"/>
        <v>70656709.572531939</v>
      </c>
      <c r="DK119" s="44">
        <f t="shared" si="232"/>
        <v>68039794.403178871</v>
      </c>
      <c r="DL119" s="44">
        <f t="shared" si="232"/>
        <v>65422879.23382581</v>
      </c>
      <c r="DM119" s="44">
        <f t="shared" si="232"/>
        <v>62805964.06447275</v>
      </c>
      <c r="DN119" s="44">
        <f t="shared" si="232"/>
        <v>60189048.895119689</v>
      </c>
      <c r="DO119" s="44">
        <f t="shared" si="232"/>
        <v>57572133.725766629</v>
      </c>
      <c r="DP119" s="44">
        <f t="shared" si="232"/>
        <v>54955218.556413569</v>
      </c>
      <c r="DQ119" s="44">
        <f t="shared" si="232"/>
        <v>52338303.387060508</v>
      </c>
      <c r="DR119" s="44">
        <f t="shared" si="232"/>
        <v>49721388.217707448</v>
      </c>
      <c r="DS119" s="44">
        <f t="shared" si="232"/>
        <v>47104473.048354387</v>
      </c>
      <c r="DT119" s="44">
        <f t="shared" si="232"/>
        <v>44487557.879001327</v>
      </c>
      <c r="DU119" s="44">
        <f t="shared" si="232"/>
        <v>41870642.709648266</v>
      </c>
      <c r="DV119" s="44">
        <f t="shared" si="232"/>
        <v>39253727.540295206</v>
      </c>
      <c r="DW119" s="44">
        <f t="shared" si="232"/>
        <v>36636812.370942146</v>
      </c>
      <c r="DX119" s="44">
        <f t="shared" si="232"/>
        <v>34019897.201589085</v>
      </c>
      <c r="DY119" s="44">
        <f t="shared" si="232"/>
        <v>31402982.032236025</v>
      </c>
      <c r="DZ119" s="44">
        <f t="shared" si="232"/>
        <v>28786066.862882964</v>
      </c>
      <c r="EA119" s="44">
        <f t="shared" si="232"/>
        <v>26169151.693529904</v>
      </c>
      <c r="EB119" s="44">
        <f t="shared" si="232"/>
        <v>23552236.524176843</v>
      </c>
      <c r="EC119" s="44">
        <f t="shared" si="232"/>
        <v>20935321.354823783</v>
      </c>
      <c r="ED119" s="44">
        <f t="shared" si="232"/>
        <v>18318406.185470723</v>
      </c>
      <c r="EE119" s="44">
        <f t="shared" si="232"/>
        <v>15701491.016117662</v>
      </c>
      <c r="EF119" s="44">
        <f t="shared" si="232"/>
        <v>13084575.846764602</v>
      </c>
      <c r="EG119" s="44">
        <f t="shared" ref="EG119:EN119" si="233">IF((EG117-EG118)&gt;0,(EG117-EG118),0)</f>
        <v>10467660.677411541</v>
      </c>
      <c r="EH119" s="44">
        <f t="shared" si="233"/>
        <v>7850745.5080584809</v>
      </c>
      <c r="EI119" s="44">
        <f t="shared" si="233"/>
        <v>5233830.3387054205</v>
      </c>
      <c r="EJ119" s="44">
        <f t="shared" si="233"/>
        <v>2616915.1693523601</v>
      </c>
      <c r="EK119" s="44">
        <f t="shared" si="233"/>
        <v>0</v>
      </c>
      <c r="EL119" s="44">
        <f t="shared" si="233"/>
        <v>0</v>
      </c>
      <c r="EM119" s="44">
        <f t="shared" si="233"/>
        <v>0</v>
      </c>
      <c r="EN119" s="44">
        <f t="shared" si="233"/>
        <v>0</v>
      </c>
    </row>
    <row r="120" spans="2:144" outlineLevel="1">
      <c r="B120" s="139" t="s">
        <v>43</v>
      </c>
      <c r="C120" s="151" t="s">
        <v>487</v>
      </c>
      <c r="D120" s="44"/>
      <c r="E120" s="44"/>
      <c r="F120" s="44"/>
      <c r="G120" s="44"/>
      <c r="H120" s="44">
        <f>IF(H113&gt;D115,(SUM(G119:H119)/2),IF(H113=D115,H119,0))</f>
        <v>0</v>
      </c>
      <c r="I120" s="44">
        <f>IF(I113&gt;D115,(SUM(H119:I119)/2),IF(I113=D115,I119,0))</f>
        <v>0</v>
      </c>
      <c r="J120" s="44">
        <f>IF(J113&gt;D115,(SUM(I119:J119)/2),IF(J113=D115,J119,0))</f>
        <v>0</v>
      </c>
      <c r="K120" s="44">
        <f>IF(K113&gt;D115,(SUM(J119:K119)/2),IF(K113=D115,K119,0))</f>
        <v>0</v>
      </c>
      <c r="L120" s="44">
        <f>IF(L113&gt;D115,(SUM(K119:L119)/2),IF(L113=D115,L119,0))</f>
        <v>0</v>
      </c>
      <c r="M120" s="44">
        <f>IF(M113&gt;D115,(SUM(L119:M119)/2),IF(M113=D115,M119,0))</f>
        <v>0</v>
      </c>
      <c r="N120" s="44">
        <f>IF(N113&gt;D115,(SUM(M119:N119)/2),IF(N113=D115,N119,0))</f>
        <v>0</v>
      </c>
      <c r="O120" s="44">
        <f>IF(O113&gt;D115,(SUM(N119:O119)/2),IF(O113=D115,O119,0))</f>
        <v>0</v>
      </c>
      <c r="P120" s="44">
        <f>IF(P113&gt;D115,(SUM(O119:P119)/2),IF(P113=D115,P119,0))</f>
        <v>0</v>
      </c>
      <c r="Q120" s="44">
        <f>IF(Q113&gt;D115,(SUM(P119:Q119)/2),IF(Q113=D115,Q119,0))</f>
        <v>0</v>
      </c>
      <c r="R120" s="44">
        <f>IF(R113&gt;D115,(SUM(Q119:R119)/2),IF(R113=D115,R119,0))</f>
        <v>0</v>
      </c>
      <c r="S120" s="44">
        <f>IF(S113&gt;D115,(SUM(R119:S119)/2),IF(S113=D115,S119,0))</f>
        <v>0</v>
      </c>
      <c r="T120" s="44">
        <f>IF(T113&gt;D115,(SUM(S119:T119)/2),IF(T113=D115,T119,0))</f>
        <v>0</v>
      </c>
      <c r="U120" s="44">
        <f>IF(U113&gt;D115,(SUM(T119:U119)/2),IF(U113=D115,U119,0))</f>
        <v>0</v>
      </c>
      <c r="V120" s="44">
        <f>IF(V113&gt;D115,(SUM(U119:V119)/2),IF(V113=D115,V119,0))</f>
        <v>311412905.15301418</v>
      </c>
      <c r="W120" s="44">
        <f>IF(W113&gt;D115,(SUM(V119:W119)/2),IF(W113=D115,W119,0))</f>
        <v>310104447.56833768</v>
      </c>
      <c r="X120" s="44">
        <f>IF(X113&gt;D115,(SUM(W119:X119)/2),IF(X113=D115,X119,0))</f>
        <v>307487532.39898455</v>
      </c>
      <c r="Y120" s="44">
        <f>IF(Y113&gt;D115,(SUM(X119:Y119)/2),IF(Y113=D115,Y119,0))</f>
        <v>304870617.22963154</v>
      </c>
      <c r="Z120" s="44">
        <f>IF(Z113&gt;D115,(SUM(Y119:Z119)/2),IF(Z113=D115,Z119,0))</f>
        <v>302253702.06027842</v>
      </c>
      <c r="AA120" s="44">
        <f>IF(AA113&gt;D115,(SUM(Z119:AA119)/2),IF(AA113=D115,AA119,0))</f>
        <v>299636786.89092541</v>
      </c>
      <c r="AB120" s="44">
        <f>IF(AB113&gt;D115,(SUM(AA119:AB119)/2),IF(AB113=D115,AB119,0))</f>
        <v>297019871.72157228</v>
      </c>
      <c r="AC120" s="44">
        <f>IF(AC113&gt;D115,(SUM(AB119:AC119)/2),IF(AC113=D115,AC119,0))</f>
        <v>294402956.55221927</v>
      </c>
      <c r="AD120" s="44">
        <f>IF(AD113&gt;D115,(SUM(AC119:AD119)/2),IF(AD113=D115,AD119,0))</f>
        <v>291786041.38286614</v>
      </c>
      <c r="AE120" s="44">
        <f>IF(AE113&gt;D115,(SUM(AD119:AE119)/2),IF(AE113=D115,AE119,0))</f>
        <v>289169126.21351314</v>
      </c>
      <c r="AF120" s="44">
        <f>IF(AF113&gt;D115,(SUM(AE119:AF119)/2),IF(AF113=D115,AF119,0))</f>
        <v>286552211.04416001</v>
      </c>
      <c r="AG120" s="44">
        <f>IF(AG113&gt;D115,(SUM(AF119:AG119)/2),IF(AG113=D115,AG119,0))</f>
        <v>283935295.874807</v>
      </c>
      <c r="AH120" s="44">
        <f>IF(AH113&gt;D115,(SUM(AG119:AH119)/2),IF(AH113=D115,AH119,0))</f>
        <v>281318380.70545387</v>
      </c>
      <c r="AI120" s="44">
        <f>IF(AI113&gt;D115,(SUM(AH119:AI119)/2),IF(AI113=D115,AI119,0))</f>
        <v>278701465.53610086</v>
      </c>
      <c r="AJ120" s="44">
        <f>IF(AJ113&gt;D115,(SUM(AI119:AJ119)/2),IF(AJ113=D115,AJ119,0))</f>
        <v>276084550.36674774</v>
      </c>
      <c r="AK120" s="44">
        <f>IF(AK113&gt;D115,(SUM(AJ119:AK119)/2),IF(AK113=D115,AK119,0))</f>
        <v>273467635.19739473</v>
      </c>
      <c r="AL120" s="44">
        <f>IF(AL113&gt;D115,(SUM(AK119:AL119)/2),IF(AL113=D115,AL119,0))</f>
        <v>270850720.0280416</v>
      </c>
      <c r="AM120" s="44">
        <f>IF(AM113&gt;D115,(SUM(AL119:AM119)/2),IF(AM113=D115,AM119,0))</f>
        <v>268233804.85868856</v>
      </c>
      <c r="AN120" s="44">
        <f>IF(AN113&gt;D115,(SUM(AM119:AN119)/2),IF(AN113=D115,AN119,0))</f>
        <v>265616889.6893355</v>
      </c>
      <c r="AO120" s="44">
        <f>IF(AO113&gt;D115,(SUM(AN119:AO119)/2),IF(AO113=D115,AO119,0))</f>
        <v>262999974.51998243</v>
      </c>
      <c r="AP120" s="44">
        <f>IF(AP113&gt;D115,(SUM(AO119:AP119)/2),IF(AP113=D115,AP119,0))</f>
        <v>260383059.35062936</v>
      </c>
      <c r="AQ120" s="44">
        <f>IF(AQ113&gt;D115,(SUM(AP119:AQ119)/2),IF(AQ113=D115,AQ119,0))</f>
        <v>257766144.18127629</v>
      </c>
      <c r="AR120" s="44">
        <f>IF(AR113&gt;D115,(SUM(AQ119:AR119)/2),IF(AR113=D115,AR119,0))</f>
        <v>255149229.01192322</v>
      </c>
      <c r="AS120" s="44">
        <f>IF(AS113&gt;D115,(SUM(AR119:AS119)/2),IF(AS113=D115,AS119,0))</f>
        <v>252532313.84257016</v>
      </c>
      <c r="AT120" s="44">
        <f>IF(AT113&gt;D115,(SUM(AS119:AT119)/2),IF(AT113=D115,AT119,0))</f>
        <v>249915398.67321709</v>
      </c>
      <c r="AU120" s="44">
        <f>IF(AU113&gt;D115,(SUM(AT119:AU119)/2),IF(AU113=D115,AU119,0))</f>
        <v>247298483.50386402</v>
      </c>
      <c r="AV120" s="44">
        <f>IF(AV113&gt;D115,(SUM(AU119:AV119)/2),IF(AV113=D115,AV119,0))</f>
        <v>244681568.33451095</v>
      </c>
      <c r="AW120" s="44">
        <f>IF(AW113&gt;D115,(SUM(AV119:AW119)/2),IF(AW113=D115,AW119,0))</f>
        <v>242064653.16515788</v>
      </c>
      <c r="AX120" s="44">
        <f>IF(AX113&gt;D115,(SUM(AW119:AX119)/2),IF(AX113=D115,AX119,0))</f>
        <v>239447737.99580482</v>
      </c>
      <c r="AY120" s="44">
        <f>IF(AY113&gt;D115,(SUM(AX119:AY119)/2),IF(AY113=D115,AY119,0))</f>
        <v>236830822.82645175</v>
      </c>
      <c r="AZ120" s="44">
        <f>IF(AZ113&gt;D115,(SUM(AY119:AZ119)/2),IF(AZ113=D115,AZ119,0))</f>
        <v>234213907.65709868</v>
      </c>
      <c r="BA120" s="44">
        <f>IF(BA113&gt;D115,(SUM(AZ119:BA119)/2),IF(BA113=D115,BA119,0))</f>
        <v>231596992.48774561</v>
      </c>
      <c r="BB120" s="44">
        <f>IF(BB113&gt;D115,(SUM(BA119:BB119)/2),IF(BB113=D115,BB119,0))</f>
        <v>228980077.31839254</v>
      </c>
      <c r="BC120" s="44">
        <f>IF(BC113&gt;D115,(SUM(BB119:BC119)/2),IF(BC113=D115,BC119,0))</f>
        <v>226363162.14903948</v>
      </c>
      <c r="BD120" s="44">
        <f>IF(BD113&gt;D115,(SUM(BC119:BD119)/2),IF(BD113=D115,BD119,0))</f>
        <v>223746246.97968641</v>
      </c>
      <c r="BE120" s="44">
        <f>IF(BE113&gt;D115,(SUM(BD119:BE119)/2),IF(BE113=D115,BE119,0))</f>
        <v>221129331.81033334</v>
      </c>
      <c r="BF120" s="44">
        <f>IF(BF113&gt;D115,(SUM(BE119:BF119)/2),IF(BF113=D115,BF119,0))</f>
        <v>218512416.64098027</v>
      </c>
      <c r="BG120" s="44">
        <f>IF(BG113&gt;D115,(SUM(BF119:BG119)/2),IF(BG113=D115,BG119,0))</f>
        <v>215895501.47162721</v>
      </c>
      <c r="BH120" s="44">
        <f>IF(BH113&gt;D115,(SUM(BG119:BH119)/2),IF(BH113=D115,BH119,0))</f>
        <v>213278586.30227414</v>
      </c>
      <c r="BI120" s="44">
        <f>IF(BI113&gt;D115,(SUM(BH119:BI119)/2),IF(BI113=D115,BI119,0))</f>
        <v>210661671.13292107</v>
      </c>
      <c r="BJ120" s="44">
        <f>IF(BJ113&gt;D115,(SUM(BI119:BJ119)/2),IF(BJ113=D115,BJ119,0))</f>
        <v>208044755.963568</v>
      </c>
      <c r="BK120" s="44">
        <f>IF(BK113&gt;D115,(SUM(BJ119:BK119)/2),IF(BK113=D115,BK119,0))</f>
        <v>205427840.79421493</v>
      </c>
      <c r="BL120" s="44">
        <f>IF(BL113&gt;D115,(SUM(BK119:BL119)/2),IF(BL113=D115,BL119,0))</f>
        <v>202810925.62486187</v>
      </c>
      <c r="BM120" s="44">
        <f>IF(BM113&gt;D115,(SUM(BL119:BM119)/2),IF(BM113=D115,BM119,0))</f>
        <v>200194010.4555088</v>
      </c>
      <c r="BN120" s="44">
        <f>IF(BN113&gt;D115,(SUM(BM119:BN119)/2),IF(BN113=D115,BN119,0))</f>
        <v>197577095.28615573</v>
      </c>
      <c r="BO120" s="44">
        <f>IF(BO113&gt;D115,(SUM(BN119:BO119)/2),IF(BO113=D115,BO119,0))</f>
        <v>194960180.11680266</v>
      </c>
      <c r="BP120" s="44">
        <f>IF(BP113&gt;D115,(SUM(BO119:BP119)/2),IF(BP113=D115,BP119,0))</f>
        <v>192343264.94744959</v>
      </c>
      <c r="BQ120" s="44">
        <f>IF(BQ113&gt;D115,(SUM(BP119:BQ119)/2),IF(BQ113=D115,BQ119,0))</f>
        <v>189726349.77809653</v>
      </c>
      <c r="BR120" s="44">
        <f>IF(BR113&gt;D115,(SUM(BQ119:BR119)/2),IF(BR113=D115,BR119,0))</f>
        <v>187109434.60874346</v>
      </c>
      <c r="BS120" s="44">
        <f>IF(BS113&gt;D115,(SUM(BR119:BS119)/2),IF(BS113=D115,BS119,0))</f>
        <v>184492519.43939039</v>
      </c>
      <c r="BT120" s="44">
        <f>IF(BT113&gt;D115,(SUM(BS119:BT119)/2),IF(BT113=D115,BT119,0))</f>
        <v>181875604.27003732</v>
      </c>
      <c r="BU120" s="44">
        <f>IF(BU113&gt;D115,(SUM(BT119:BU119)/2),IF(BU113=D115,BU119,0))</f>
        <v>179258689.10068426</v>
      </c>
      <c r="BV120" s="44">
        <f>IF(BV113&gt;D115,(SUM(BU119:BV119)/2),IF(BV113=D115,BV119,0))</f>
        <v>176641773.93133119</v>
      </c>
      <c r="BW120" s="44">
        <f>IF(BW113&gt;D115,(SUM(BV119:BW119)/2),IF(BW113=D115,BW119,0))</f>
        <v>174024858.76197812</v>
      </c>
      <c r="BX120" s="44">
        <f>IF(BX113&gt;D115,(SUM(BW119:BX119)/2),IF(BX113=D115,BX119,0))</f>
        <v>171407943.59262505</v>
      </c>
      <c r="BY120" s="44">
        <f>IF(BY113&gt;D115,(SUM(BX119:BY119)/2),IF(BY113=D115,BY119,0))</f>
        <v>168791028.42327198</v>
      </c>
      <c r="BZ120" s="44">
        <f>IF(BZ113&gt;D115,(SUM(BY119:BZ119)/2),IF(BZ113=D115,BZ119,0))</f>
        <v>166174113.25391892</v>
      </c>
      <c r="CA120" s="44">
        <f>IF(CA113&gt;D115,(SUM(BZ119:CA119)/2),IF(CA113=D115,CA119,0))</f>
        <v>163557198.08456585</v>
      </c>
      <c r="CB120" s="44">
        <f>IF(CB113&gt;D115,(SUM(CA119:CB119)/2),IF(CB113=D115,CB119,0))</f>
        <v>160940282.91521278</v>
      </c>
      <c r="CC120" s="44">
        <f>IF(CC113&gt;D115,(SUM(CB119:CC119)/2),IF(CC113=D115,CC119,0))</f>
        <v>158323367.74585971</v>
      </c>
      <c r="CD120" s="44">
        <f>IF(CD113&gt;D115,(SUM(CC119:CD119)/2),IF(CD113=D115,CD119,0))</f>
        <v>155706452.57650664</v>
      </c>
      <c r="CE120" s="44">
        <f>IF(CE113&gt;D115,(SUM(CD119:CE119)/2),IF(CE113=D115,CE119,0))</f>
        <v>153089537.40715358</v>
      </c>
      <c r="CF120" s="44">
        <f>IF(CF113&gt;D115,(SUM(CE119:CF119)/2),IF(CF113=D115,CF119,0))</f>
        <v>150472622.23780051</v>
      </c>
      <c r="CG120" s="44">
        <f>IF(CG113&gt;D115,(SUM(CF119:CG119)/2),IF(CG113=D115,CG119,0))</f>
        <v>147855707.06844744</v>
      </c>
      <c r="CH120" s="44">
        <f>IF(CH113&gt;D115,(SUM(CG119:CH119)/2),IF(CH113=D115,CH119,0))</f>
        <v>145238791.89909437</v>
      </c>
      <c r="CI120" s="44">
        <f>IF(CI113&gt;D115,(SUM(CH119:CI119)/2),IF(CI113=D115,CI119,0))</f>
        <v>142621876.72974131</v>
      </c>
      <c r="CJ120" s="44">
        <f>IF(CJ113&gt;D115,(SUM(CI119:CJ119)/2),IF(CJ113=D115,CJ119,0))</f>
        <v>140004961.56038824</v>
      </c>
      <c r="CK120" s="44">
        <f>IF(CK113&gt;D115,(SUM(CJ119:CK119)/2),IF(CK113=D115,CK119,0))</f>
        <v>137388046.39103517</v>
      </c>
      <c r="CL120" s="44">
        <f>IF(CL113&gt;D115,(SUM(CK119:CL119)/2),IF(CL113=D115,CL119,0))</f>
        <v>134771131.2216821</v>
      </c>
      <c r="CM120" s="44">
        <f>IF(CM113&gt;D115,(SUM(CL119:CM119)/2),IF(CM113=D115,CM119,0))</f>
        <v>132154216.05232903</v>
      </c>
      <c r="CN120" s="44">
        <f>IF(CN113&gt;D115,(SUM(CM119:CN119)/2),IF(CN113=D115,CN119,0))</f>
        <v>129537300.88297597</v>
      </c>
      <c r="CO120" s="44">
        <f>IF(CO113&gt;D115,(SUM(CN119:CO119)/2),IF(CO113=D115,CO119,0))</f>
        <v>126920385.7136229</v>
      </c>
      <c r="CP120" s="44">
        <f>IF(CP113&gt;D115,(SUM(CO119:CP119)/2),IF(CP113=D115,CP119,0))</f>
        <v>124303470.54426983</v>
      </c>
      <c r="CQ120" s="44">
        <f>IF(CQ113&gt;D115,(SUM(CP119:CQ119)/2),IF(CQ113=D115,CQ119,0))</f>
        <v>121686555.37491676</v>
      </c>
      <c r="CR120" s="44">
        <f>IF(CR113&gt;D115,(SUM(CQ119:CR119)/2),IF(CR113=D115,CR119,0))</f>
        <v>119069640.20556369</v>
      </c>
      <c r="CS120" s="44">
        <f>IF(CS113&gt;D115,(SUM(CR119:CS119)/2),IF(CS113=D115,CS119,0))</f>
        <v>116452725.03621063</v>
      </c>
      <c r="CT120" s="44">
        <f>IF(CT113&gt;D115,(SUM(CS119:CT119)/2),IF(CT113=D115,CT119,0))</f>
        <v>113835809.86685756</v>
      </c>
      <c r="CU120" s="44">
        <f>IF(CU113&gt;D115,(SUM(CT119:CU119)/2),IF(CU113=D115,CU119,0))</f>
        <v>111218894.69750449</v>
      </c>
      <c r="CV120" s="44">
        <f>IF(CV113&gt;D115,(SUM(CU119:CV119)/2),IF(CV113=D115,CV119,0))</f>
        <v>108601979.52815142</v>
      </c>
      <c r="CW120" s="44">
        <f>IF(CW113&gt;D115,(SUM(CV119:CW119)/2),IF(CW113=D115,CW119,0))</f>
        <v>105985064.35879835</v>
      </c>
      <c r="CX120" s="44">
        <f>IF(CX113&gt;D115,(SUM(CW119:CX119)/2),IF(CX113=D115,CX119,0))</f>
        <v>103368149.18944529</v>
      </c>
      <c r="CY120" s="44">
        <f>IF(CY113&gt;D115,(SUM(CX119:CY119)/2),IF(CY113=D115,CY119,0))</f>
        <v>100751234.02009222</v>
      </c>
      <c r="CZ120" s="44">
        <f>IF(CZ113&gt;D115,(SUM(CY119:CZ119)/2),IF(CZ113=D115,CZ119,0))</f>
        <v>98134318.850739151</v>
      </c>
      <c r="DA120" s="44">
        <f>IF(DA113&gt;D115,(SUM(CZ119:DA119)/2),IF(DA113=D115,DA119,0))</f>
        <v>95517403.681386083</v>
      </c>
      <c r="DB120" s="44">
        <f>IF(DB113&gt;D115,(SUM(DA119:DB119)/2),IF(DB113=D115,DB119,0))</f>
        <v>92900488.512033015</v>
      </c>
      <c r="DC120" s="44">
        <f>IF(DC113&gt;D115,(SUM(DB119:DC119)/2),IF(DC113=D115,DC119,0))</f>
        <v>90283573.342679948</v>
      </c>
      <c r="DD120" s="44">
        <f>IF(DD113&gt;D115,(SUM(DC119:DD119)/2),IF(DD113=D115,DD119,0))</f>
        <v>87666658.17332688</v>
      </c>
      <c r="DE120" s="44">
        <f>IF(DE113&gt;D115,(SUM(DD119:DE119)/2),IF(DE113=D115,DE119,0))</f>
        <v>85049743.003973812</v>
      </c>
      <c r="DF120" s="44">
        <f>IF(DF113&gt;D115,(SUM(DE119:DF119)/2),IF(DF113=D115,DF119,0))</f>
        <v>82432827.834620744</v>
      </c>
      <c r="DG120" s="44">
        <f>IF(DG113&gt;D115,(SUM(DF119:DG119)/2),IF(DG113=D115,DG119,0))</f>
        <v>79815912.665267676</v>
      </c>
      <c r="DH120" s="44">
        <f>IF(DH113&gt;D115,(SUM(DG119:DH119)/2),IF(DH113=D115,DH119,0))</f>
        <v>77198997.495914608</v>
      </c>
      <c r="DI120" s="44">
        <f>IF(DI113&gt;D115,(SUM(DH119:DI119)/2),IF(DI113=D115,DI119,0))</f>
        <v>74582082.32656154</v>
      </c>
      <c r="DJ120" s="44">
        <f>IF(DJ113&gt;D115,(SUM(DI119:DJ119)/2),IF(DJ113=D115,DJ119,0))</f>
        <v>71965167.157208472</v>
      </c>
      <c r="DK120" s="44">
        <f>IF(DK113&gt;D115,(SUM(DJ119:DK119)/2),IF(DK113=D115,DK119,0))</f>
        <v>69348251.987855405</v>
      </c>
      <c r="DL120" s="44">
        <f>IF(DL113&gt;D115,(SUM(DK119:DL119)/2),IF(DL113=D115,DL119,0))</f>
        <v>66731336.818502337</v>
      </c>
      <c r="DM120" s="44">
        <f>IF(DM113&gt;D115,(SUM(DL119:DM119)/2),IF(DM113=D115,DM119,0))</f>
        <v>64114421.649149284</v>
      </c>
      <c r="DN120" s="44">
        <f>IF(DN113&gt;D115,(SUM(DM119:DN119)/2),IF(DN113=D115,DN119,0))</f>
        <v>61497506.479796216</v>
      </c>
      <c r="DO120" s="44">
        <f>IF(DO113&gt;D115,(SUM(DN119:DO119)/2),IF(DO113=D115,DO119,0))</f>
        <v>58880591.310443163</v>
      </c>
      <c r="DP120" s="44">
        <f>IF(DP113&gt;D115,(SUM(DO119:DP119)/2),IF(DP113=D115,DP119,0))</f>
        <v>56263676.141090095</v>
      </c>
      <c r="DQ120" s="44">
        <f>IF(DQ113&gt;D115,(SUM(DP119:DQ119)/2),IF(DQ113=D115,DQ119,0))</f>
        <v>53646760.971737042</v>
      </c>
      <c r="DR120" s="44">
        <f>IF(DR113&gt;D115,(SUM(DQ119:DR119)/2),IF(DR113=D115,DR119,0))</f>
        <v>51029845.802383974</v>
      </c>
      <c r="DS120" s="44">
        <f>IF(DS113&gt;D115,(SUM(DR119:DS119)/2),IF(DS113=D115,DS119,0))</f>
        <v>48412930.633030921</v>
      </c>
      <c r="DT120" s="44">
        <f>IF(DT113&gt;D115,(SUM(DS119:DT119)/2),IF(DT113=D115,DT119,0))</f>
        <v>45796015.463677853</v>
      </c>
      <c r="DU120" s="44">
        <f>IF(DU113&gt;D115,(SUM(DT119:DU119)/2),IF(DU113=D115,DU119,0))</f>
        <v>43179100.2943248</v>
      </c>
      <c r="DV120" s="44">
        <f>IF(DV113&gt;D115,(SUM(DU119:DV119)/2),IF(DV113=D115,DV119,0))</f>
        <v>40562185.124971732</v>
      </c>
      <c r="DW120" s="44">
        <f>IF(DW113&gt;D115,(SUM(DV119:DW119)/2),IF(DW113=D115,DW119,0))</f>
        <v>37945269.95561868</v>
      </c>
      <c r="DX120" s="44">
        <f>IF(DX113&gt;D115,(SUM(DW119:DX119)/2),IF(DX113=D115,DX119,0))</f>
        <v>35328354.786265612</v>
      </c>
      <c r="DY120" s="44">
        <f>IF(DY113&gt;D115,(SUM(DX119:DY119)/2),IF(DY113=D115,DY119,0))</f>
        <v>32711439.616912555</v>
      </c>
      <c r="DZ120" s="44">
        <f>IF(DZ113&gt;D115,(SUM(DY119:DZ119)/2),IF(DZ113=D115,DZ119,0))</f>
        <v>30094524.447559495</v>
      </c>
      <c r="EA120" s="44">
        <f>IF(EA113&gt;D115,(SUM(DZ119:EA119)/2),IF(EA113=D115,EA119,0))</f>
        <v>27477609.278206434</v>
      </c>
      <c r="EB120" s="44">
        <f>IF(EB113&gt;D115,(SUM(EA119:EB119)/2),IF(EB113=D115,EB119,0))</f>
        <v>24860694.108853374</v>
      </c>
      <c r="EC120" s="44">
        <f>IF(EC113&gt;D115,(SUM(EB119:EC119)/2),IF(EC113=D115,EC119,0))</f>
        <v>22243778.939500313</v>
      </c>
      <c r="ED120" s="44">
        <f>IF(ED113&gt;D115,(SUM(EC119:ED119)/2),IF(ED113=D115,ED119,0))</f>
        <v>19626863.770147253</v>
      </c>
      <c r="EE120" s="44">
        <f>IF(EE113&gt;D115,(SUM(ED119:EE119)/2),IF(EE113=D115,EE119,0))</f>
        <v>17009948.600794192</v>
      </c>
      <c r="EF120" s="44">
        <f>IF(EF113&gt;D115,(SUM(EE119:EF119)/2),IF(EF113=D115,EF119,0))</f>
        <v>14393033.431441132</v>
      </c>
      <c r="EG120" s="44">
        <f>IF(EG113&gt;D115,(SUM(EF119:EG119)/2),IF(EG113=D115,EG119,0))</f>
        <v>11776118.262088072</v>
      </c>
      <c r="EH120" s="44">
        <f>IF(EH113&gt;D115,(SUM(EG119:EH119)/2),IF(EH113=D115,EH119,0))</f>
        <v>9159203.0927350111</v>
      </c>
      <c r="EI120" s="44">
        <f t="shared" ref="EI120:EN120" si="234">IF(EI113&gt;E115,(SUM(EH119:EI119)/2),IF(EI113=E115,EI119,0))</f>
        <v>6542287.9233819507</v>
      </c>
      <c r="EJ120" s="44">
        <f t="shared" si="234"/>
        <v>3925372.7540288903</v>
      </c>
      <c r="EK120" s="44">
        <f t="shared" si="234"/>
        <v>1308457.58467618</v>
      </c>
      <c r="EL120" s="44">
        <f t="shared" si="234"/>
        <v>0</v>
      </c>
      <c r="EM120" s="44">
        <f t="shared" si="234"/>
        <v>0</v>
      </c>
      <c r="EN120" s="44">
        <f t="shared" si="234"/>
        <v>0</v>
      </c>
    </row>
    <row r="121" spans="2:144" outlineLevel="1">
      <c r="C121" s="43" t="s">
        <v>176</v>
      </c>
      <c r="D121" s="44"/>
      <c r="E121" s="773">
        <f>E110</f>
        <v>10</v>
      </c>
      <c r="F121" s="44"/>
      <c r="G121" s="44"/>
      <c r="H121" s="120">
        <f>IF(H112&lt;$E115,0,IF(AND(H112&gt;=$E115,H112&lt;=($E115+$E121-1)),Вводные!$D$30,Вводные!$E$30))</f>
        <v>0</v>
      </c>
      <c r="I121" s="120">
        <f>IF(I112&lt;$E115,0,IF(AND(I112&gt;=$E115,I112&lt;=($E115+$E121-1)),Вводные!$D$30,Вводные!$E$30))</f>
        <v>0</v>
      </c>
      <c r="J121" s="120">
        <f>IF(J112&lt;$E115,0,IF(AND(J112&gt;=$E115,J112&lt;=($E115+$E121-1)),Вводные!$D$30,Вводные!$E$30))</f>
        <v>0</v>
      </c>
      <c r="K121" s="120">
        <f>IF(K112&lt;$E115,0,IF(AND(K112&gt;=$E115,K112&lt;=($E115+$E121-1)),Вводные!$D$30,Вводные!$E$30))</f>
        <v>0</v>
      </c>
      <c r="L121" s="120">
        <f>IF(L112&lt;$E115,0,IF(AND(L112&gt;=$E115,L112&lt;=($E115+$E121-1)),Вводные!$D$30,Вводные!$E$30))</f>
        <v>0</v>
      </c>
      <c r="M121" s="120">
        <f>IF(M112&lt;$E115,0,IF(AND(M112&gt;=$E115,M112&lt;=($E115+$E121-1)),Вводные!$D$30,Вводные!$E$30))</f>
        <v>0</v>
      </c>
      <c r="N121" s="120">
        <f>IF(N112&lt;$E115,0,IF(AND(N112&gt;=$E115,N112&lt;=($E115+$E121-1)),Вводные!$D$30,Вводные!$E$30))</f>
        <v>0</v>
      </c>
      <c r="O121" s="120">
        <f>IF(O112&lt;$E115,0,IF(AND(O112&gt;=$E115,O112&lt;=($E115+$E121-1)),Вводные!$D$30,Вводные!$E$30))</f>
        <v>0</v>
      </c>
      <c r="P121" s="120">
        <f>IF(P112&lt;$E115,0,IF(AND(P112&gt;=$E115,P112&lt;=($E115+$E121-1)),Вводные!$D$30,Вводные!$E$30))</f>
        <v>0</v>
      </c>
      <c r="Q121" s="120">
        <f>IF(Q112&lt;$E115,0,IF(AND(Q112&gt;=$E115,Q112&lt;=($E115+$E121-1)),Вводные!$D$30,Вводные!$E$30))</f>
        <v>0</v>
      </c>
      <c r="R121" s="120">
        <f>IF(R112&lt;$E115,0,IF(AND(R112&gt;=$E115,R112&lt;=($E115+$E121-1)),Вводные!$D$30,Вводные!$E$30))</f>
        <v>0</v>
      </c>
      <c r="S121" s="120">
        <f>IF(S112&lt;$E115,0,IF(AND(S112&gt;=$E115,S112&lt;=($E115+$E121-1)),Вводные!$D$30,Вводные!$E$30))</f>
        <v>0</v>
      </c>
      <c r="T121" s="120">
        <f>IF(T112&lt;$E115,0,IF(AND(T112&gt;=$E115,T112&lt;=($E115+$E121-1)),Вводные!$D$30,Вводные!$E$30))</f>
        <v>0</v>
      </c>
      <c r="U121" s="120">
        <f>IF(U112&lt;$E115,0,IF(AND(U112&gt;=$E115,U112&lt;=($E115+$E121-1)),Вводные!$D$30,Вводные!$E$30))</f>
        <v>0</v>
      </c>
      <c r="V121" s="120">
        <f>IF(V112&lt;$E115,0,IF(AND(V112&gt;=$E115,V112&lt;=($E115+$E121-1)),Вводные!$D$30,Вводные!$E$30))</f>
        <v>0</v>
      </c>
      <c r="W121" s="120">
        <f>IF(W112&lt;$E115,0,IF(AND(W112&gt;=$E115,W112&lt;=($E115+$E121-1)),Вводные!$D$30,Вводные!$E$30))</f>
        <v>0</v>
      </c>
      <c r="X121" s="120">
        <f>IF(X112&lt;$E115,0,IF(AND(X112&gt;=$E115,X112&lt;=($E115+$E121-1)),Вводные!$D$30,Вводные!$E$30))</f>
        <v>0</v>
      </c>
      <c r="Y121" s="120">
        <f>IF(Y112&lt;$E115,0,IF(AND(Y112&gt;=$E115,Y112&lt;=($E115+$E121-1)),Вводные!$D$30,Вводные!$E$30))</f>
        <v>0</v>
      </c>
      <c r="Z121" s="120">
        <f>IF(Z112&lt;$E115,0,IF(AND(Z112&gt;=$E115,Z112&lt;=($E115+$E121-1)),Вводные!$D$30,Вводные!$E$30))</f>
        <v>0</v>
      </c>
      <c r="AA121" s="120">
        <f>IF(AA112&lt;$E115,0,IF(AND(AA112&gt;=$E115,AA112&lt;=($E115+$E121-1)),Вводные!$D$30,Вводные!$E$30))</f>
        <v>0</v>
      </c>
      <c r="AB121" s="120">
        <f>IF(AB112&lt;$E115,0,IF(AND(AB112&gt;=$E115,AB112&lt;=($E115+$E121-1)),Вводные!$D$30,Вводные!$E$30))</f>
        <v>0</v>
      </c>
      <c r="AC121" s="120">
        <f>IF(AC112&lt;$E115,0,IF(AND(AC112&gt;=$E115,AC112&lt;=($E115+$E121-1)),Вводные!$D$30,Вводные!$E$30))</f>
        <v>0</v>
      </c>
      <c r="AD121" s="120">
        <f>IF(AD112&lt;$E115,0,IF(AND(AD112&gt;=$E115,AD112&lt;=($E115+$E121-1)),Вводные!$D$30,Вводные!$E$30))</f>
        <v>0</v>
      </c>
      <c r="AE121" s="120">
        <f>IF(AE112&lt;$E115,0,IF(AND(AE112&gt;=$E115,AE112&lt;=($E115+$E121-1)),Вводные!$D$30,Вводные!$E$30))</f>
        <v>0</v>
      </c>
      <c r="AF121" s="120">
        <f>IF(AF112&lt;$E115,0,IF(AND(AF112&gt;=$E115,AF112&lt;=($E115+$E121-1)),Вводные!$D$30,Вводные!$E$30))</f>
        <v>0</v>
      </c>
      <c r="AG121" s="120">
        <f>IF(AG112&lt;$E115,0,IF(AND(AG112&gt;=$E115,AG112&lt;=($E115+$E121-1)),Вводные!$D$30,Вводные!$E$30))</f>
        <v>0</v>
      </c>
      <c r="AH121" s="120">
        <f>IF(AH112&lt;$E115,0,IF(AND(AH112&gt;=$E115,AH112&lt;=($E115+$E121-1)),Вводные!$D$30,Вводные!$E$30))</f>
        <v>0</v>
      </c>
      <c r="AI121" s="120">
        <f>IF(AI112&lt;$E115,0,IF(AND(AI112&gt;=$E115,AI112&lt;=($E115+$E121-1)),Вводные!$D$30,Вводные!$E$30))</f>
        <v>0</v>
      </c>
      <c r="AJ121" s="120">
        <f>IF(AJ112&lt;$E115,0,IF(AND(AJ112&gt;=$E115,AJ112&lt;=($E115+$E121-1)),Вводные!$D$30,Вводные!$E$30))</f>
        <v>0</v>
      </c>
      <c r="AK121" s="120">
        <f>IF(AK112&lt;$E115,0,IF(AND(AK112&gt;=$E115,AK112&lt;=($E115+$E121-1)),Вводные!$D$30,Вводные!$E$30))</f>
        <v>0</v>
      </c>
      <c r="AL121" s="120">
        <f>IF(AL112&lt;$E115,0,IF(AND(AL112&gt;=$E115,AL112&lt;=($E115+$E121-1)),Вводные!$D$30,Вводные!$E$30))</f>
        <v>0</v>
      </c>
      <c r="AM121" s="120">
        <f>IF(AM112&lt;$E115,0,IF(AND(AM112&gt;=$E115,AM112&lt;=($E115+$E121-1)),Вводные!$D$30,Вводные!$E$30))</f>
        <v>0</v>
      </c>
      <c r="AN121" s="120">
        <f>IF(AN112&lt;$E115,0,IF(AND(AN112&gt;=$E115,AN112&lt;=($E115+$E121-1)),Вводные!$D$30,Вводные!$E$30))</f>
        <v>0</v>
      </c>
      <c r="AO121" s="120">
        <f>IF(AO112&lt;$E115,0,IF(AND(AO112&gt;=$E115,AO112&lt;=($E115+$E121-1)),Вводные!$D$30,Вводные!$E$30))</f>
        <v>0</v>
      </c>
      <c r="AP121" s="120">
        <f>IF(AP112&lt;$E115,0,IF(AND(AP112&gt;=$E115,AP112&lt;=($E115+$E121-1)),Вводные!$D$30,Вводные!$E$30))</f>
        <v>0</v>
      </c>
      <c r="AQ121" s="120">
        <f>IF(AQ112&lt;$E115,0,IF(AND(AQ112&gt;=$E115,AQ112&lt;=($E115+$E121-1)),Вводные!$D$30,Вводные!$E$30))</f>
        <v>0</v>
      </c>
      <c r="AR121" s="120">
        <f>IF(AR112&lt;$E115,0,IF(AND(AR112&gt;=$E115,AR112&lt;=($E115+$E121-1)),Вводные!$D$30,Вводные!$E$30))</f>
        <v>0</v>
      </c>
      <c r="AS121" s="120">
        <f>IF(AS112&lt;$E115,0,IF(AND(AS112&gt;=$E115,AS112&lt;=($E115+$E121-1)),Вводные!$D$30,Вводные!$E$30))</f>
        <v>0</v>
      </c>
      <c r="AT121" s="120">
        <f>IF(AT112&lt;$E115,0,IF(AND(AT112&gt;=$E115,AT112&lt;=($E115+$E121-1)),Вводные!$D$30,Вводные!$E$30))</f>
        <v>0</v>
      </c>
      <c r="AU121" s="120">
        <f>IF(AU112&lt;$E115,0,IF(AND(AU112&gt;=$E115,AU112&lt;=($E115+$E121-1)),Вводные!$D$30,Вводные!$E$30))</f>
        <v>0</v>
      </c>
      <c r="AV121" s="120">
        <f>IF(AV112&lt;$E115,0,IF(AND(AV112&gt;=$E115,AV112&lt;=($E115+$E121-1)),Вводные!$D$30,Вводные!$E$30))</f>
        <v>0</v>
      </c>
      <c r="AW121" s="120">
        <f>IF(AW112&lt;$E115,0,IF(AND(AW112&gt;=$E115,AW112&lt;=($E115+$E121-1)),Вводные!$D$30,Вводные!$E$30))</f>
        <v>0</v>
      </c>
      <c r="AX121" s="120">
        <f>IF(AX112&lt;$E115,0,IF(AND(AX112&gt;=$E115,AX112&lt;=($E115+$E121-1)),Вводные!$D$30,Вводные!$E$30))</f>
        <v>0</v>
      </c>
      <c r="AY121" s="120">
        <f>IF(AY112&lt;$E115,0,IF(AND(AY112&gt;=$E115,AY112&lt;=($E115+$E121-1)),Вводные!$D$30,Вводные!$E$30))</f>
        <v>0</v>
      </c>
      <c r="AZ121" s="120">
        <f>IF(AZ112&lt;$E115,0,IF(AND(AZ112&gt;=$E115,AZ112&lt;=($E115+$E121-1)),Вводные!$D$30,Вводные!$E$30))</f>
        <v>0</v>
      </c>
      <c r="BA121" s="120">
        <f>IF(BA112&lt;$E115,0,IF(AND(BA112&gt;=$E115,BA112&lt;=($E115+$E121-1)),Вводные!$D$30,Вводные!$E$30))</f>
        <v>0</v>
      </c>
      <c r="BB121" s="120">
        <f>IF(BB112&lt;$E115,0,IF(AND(BB112&gt;=$E115,BB112&lt;=($E115+$E121-1)),Вводные!$D$30,Вводные!$E$30))</f>
        <v>0</v>
      </c>
      <c r="BC121" s="120">
        <f>IF(BC112&lt;$E115,0,IF(AND(BC112&gt;=$E115,BC112&lt;=($E115+$E121-1)),Вводные!$D$30,Вводные!$E$30))</f>
        <v>0</v>
      </c>
      <c r="BD121" s="120">
        <f>IF(BD112&lt;$E115,0,IF(AND(BD112&gt;=$E115,BD112&lt;=($E115+$E121-1)),Вводные!$D$30,Вводные!$E$30))</f>
        <v>0</v>
      </c>
      <c r="BE121" s="120">
        <f>IF(BE112&lt;$E115,0,IF(AND(BE112&gt;=$E115,BE112&lt;=($E115+$E121-1)),Вводные!$D$30,Вводные!$E$30))</f>
        <v>0</v>
      </c>
      <c r="BF121" s="120">
        <f>IF(BF112&lt;$E115,0,IF(AND(BF112&gt;=$E115,BF112&lt;=($E115+$E121-1)),Вводные!$D$30,Вводные!$E$30))</f>
        <v>0</v>
      </c>
      <c r="BG121" s="120">
        <f>IF(BG112&lt;$E115,0,IF(AND(BG112&gt;=$E115,BG112&lt;=($E115+$E121-1)),Вводные!$D$30,Вводные!$E$30))</f>
        <v>0</v>
      </c>
      <c r="BH121" s="120">
        <f>IF(BH112&lt;$E115,0,IF(AND(BH112&gt;=$E115,BH112&lt;=($E115+$E121-1)),Вводные!$D$30,Вводные!$E$30))</f>
        <v>2.1999999999999999E-2</v>
      </c>
      <c r="BI121" s="120">
        <f>IF(BI112&lt;$E115,0,IF(AND(BI112&gt;=$E115,BI112&lt;=($E115+$E121-1)),Вводные!$D$30,Вводные!$E$30))</f>
        <v>2.1999999999999999E-2</v>
      </c>
      <c r="BJ121" s="120">
        <f>IF(BJ112&lt;$E115,0,IF(AND(BJ112&gt;=$E115,BJ112&lt;=($E115+$E121-1)),Вводные!$D$30,Вводные!$E$30))</f>
        <v>2.1999999999999999E-2</v>
      </c>
      <c r="BK121" s="120">
        <f>IF(BK112&lt;$E115,0,IF(AND(BK112&gt;=$E115,BK112&lt;=($E115+$E121-1)),Вводные!$D$30,Вводные!$E$30))</f>
        <v>2.1999999999999999E-2</v>
      </c>
      <c r="BL121" s="120">
        <f>IF(BL112&lt;$E115,0,IF(AND(BL112&gt;=$E115,BL112&lt;=($E115+$E121-1)),Вводные!$D$30,Вводные!$E$30))</f>
        <v>2.1999999999999999E-2</v>
      </c>
      <c r="BM121" s="120">
        <f>IF(BM112&lt;$E115,0,IF(AND(BM112&gt;=$E115,BM112&lt;=($E115+$E121-1)),Вводные!$D$30,Вводные!$E$30))</f>
        <v>2.1999999999999999E-2</v>
      </c>
      <c r="BN121" s="120">
        <f>IF(BN112&lt;$E115,0,IF(AND(BN112&gt;=$E115,BN112&lt;=($E115+$E121-1)),Вводные!$D$30,Вводные!$E$30))</f>
        <v>2.1999999999999999E-2</v>
      </c>
      <c r="BO121" s="120">
        <f>IF(BO112&lt;$E115,0,IF(AND(BO112&gt;=$E115,BO112&lt;=($E115+$E121-1)),Вводные!$D$30,Вводные!$E$30))</f>
        <v>2.1999999999999999E-2</v>
      </c>
      <c r="BP121" s="120">
        <f>IF(BP112&lt;$E115,0,IF(AND(BP112&gt;=$E115,BP112&lt;=($E115+$E121-1)),Вводные!$D$30,Вводные!$E$30))</f>
        <v>2.1999999999999999E-2</v>
      </c>
      <c r="BQ121" s="120">
        <f>IF(BQ112&lt;$E115,0,IF(AND(BQ112&gt;=$E115,BQ112&lt;=($E115+$E121-1)),Вводные!$D$30,Вводные!$E$30))</f>
        <v>2.1999999999999999E-2</v>
      </c>
      <c r="BR121" s="120">
        <f>IF(BR112&lt;$E115,0,IF(AND(BR112&gt;=$E115,BR112&lt;=($E115+$E121-1)),Вводные!$D$30,Вводные!$E$30))</f>
        <v>2.1999999999999999E-2</v>
      </c>
      <c r="BS121" s="120">
        <f>IF(BS112&lt;$E115,0,IF(AND(BS112&gt;=$E115,BS112&lt;=($E115+$E121-1)),Вводные!$D$30,Вводные!$E$30))</f>
        <v>2.1999999999999999E-2</v>
      </c>
      <c r="BT121" s="120">
        <f>IF(BT112&lt;$E115,0,IF(AND(BT112&gt;=$E115,BT112&lt;=($E115+$E121-1)),Вводные!$D$30,Вводные!$E$30))</f>
        <v>2.1999999999999999E-2</v>
      </c>
      <c r="BU121" s="120">
        <f>IF(BU112&lt;$E115,0,IF(AND(BU112&gt;=$E115,BU112&lt;=($E115+$E121-1)),Вводные!$D$30,Вводные!$E$30))</f>
        <v>2.1999999999999999E-2</v>
      </c>
      <c r="BV121" s="120">
        <f>IF(BV112&lt;$E115,0,IF(AND(BV112&gt;=$E115,BV112&lt;=($E115+$E121-1)),Вводные!$D$30,Вводные!$E$30))</f>
        <v>2.1999999999999999E-2</v>
      </c>
      <c r="BW121" s="120">
        <f>IF(BW112&lt;$E115,0,IF(AND(BW112&gt;=$E115,BW112&lt;=($E115+$E121-1)),Вводные!$D$30,Вводные!$E$30))</f>
        <v>2.1999999999999999E-2</v>
      </c>
      <c r="BX121" s="120">
        <f>IF(BX112&lt;$E115,0,IF(AND(BX112&gt;=$E115,BX112&lt;=($E115+$E121-1)),Вводные!$D$30,Вводные!$E$30))</f>
        <v>2.1999999999999999E-2</v>
      </c>
      <c r="BY121" s="120">
        <f>IF(BY112&lt;$E115,0,IF(AND(BY112&gt;=$E115,BY112&lt;=($E115+$E121-1)),Вводные!$D$30,Вводные!$E$30))</f>
        <v>2.1999999999999999E-2</v>
      </c>
      <c r="BZ121" s="120">
        <f>IF(BZ112&lt;$E115,0,IF(AND(BZ112&gt;=$E115,BZ112&lt;=($E115+$E121-1)),Вводные!$D$30,Вводные!$E$30))</f>
        <v>2.1999999999999999E-2</v>
      </c>
      <c r="CA121" s="120">
        <f>IF(CA112&lt;$E115,0,IF(AND(CA112&gt;=$E115,CA112&lt;=($E115+$E121-1)),Вводные!$D$30,Вводные!$E$30))</f>
        <v>2.1999999999999999E-2</v>
      </c>
      <c r="CB121" s="120">
        <f>IF(CB112&lt;$E115,0,IF(AND(CB112&gt;=$E115,CB112&lt;=($E115+$E121-1)),Вводные!$D$30,Вводные!$E$30))</f>
        <v>2.1999999999999999E-2</v>
      </c>
      <c r="CC121" s="120">
        <f>IF(CC112&lt;$E115,0,IF(AND(CC112&gt;=$E115,CC112&lt;=($E115+$E121-1)),Вводные!$D$30,Вводные!$E$30))</f>
        <v>2.1999999999999999E-2</v>
      </c>
      <c r="CD121" s="120">
        <f>IF(CD112&lt;$E115,0,IF(AND(CD112&gt;=$E115,CD112&lt;=($E115+$E121-1)),Вводные!$D$30,Вводные!$E$30))</f>
        <v>2.1999999999999999E-2</v>
      </c>
      <c r="CE121" s="120">
        <f>IF(CE112&lt;$E115,0,IF(AND(CE112&gt;=$E115,CE112&lt;=($E115+$E121-1)),Вводные!$D$30,Вводные!$E$30))</f>
        <v>2.1999999999999999E-2</v>
      </c>
      <c r="CF121" s="120">
        <f>IF(CF112&lt;$E115,0,IF(AND(CF112&gt;=$E115,CF112&lt;=($E115+$E121-1)),Вводные!$D$30,Вводные!$E$30))</f>
        <v>2.1999999999999999E-2</v>
      </c>
      <c r="CG121" s="120">
        <f>IF(CG112&lt;$E115,0,IF(AND(CG112&gt;=$E115,CG112&lt;=($E115+$E121-1)),Вводные!$D$30,Вводные!$E$30))</f>
        <v>2.1999999999999999E-2</v>
      </c>
      <c r="CH121" s="120">
        <f>IF(CH112&lt;$E115,0,IF(AND(CH112&gt;=$E115,CH112&lt;=($E115+$E121-1)),Вводные!$D$30,Вводные!$E$30))</f>
        <v>2.1999999999999999E-2</v>
      </c>
      <c r="CI121" s="120">
        <f>IF(CI112&lt;$E115,0,IF(AND(CI112&gt;=$E115,CI112&lt;=($E115+$E121-1)),Вводные!$D$30,Вводные!$E$30))</f>
        <v>2.1999999999999999E-2</v>
      </c>
      <c r="CJ121" s="120">
        <f>IF(CJ112&lt;$E115,0,IF(AND(CJ112&gt;=$E115,CJ112&lt;=($E115+$E121-1)),Вводные!$D$30,Вводные!$E$30))</f>
        <v>2.1999999999999999E-2</v>
      </c>
      <c r="CK121" s="120">
        <f>IF(CK112&lt;$E115,0,IF(AND(CK112&gt;=$E115,CK112&lt;=($E115+$E121-1)),Вводные!$D$30,Вводные!$E$30))</f>
        <v>2.1999999999999999E-2</v>
      </c>
      <c r="CL121" s="120">
        <f>IF(CL112&lt;$E115,0,IF(AND(CL112&gt;=$E115,CL112&lt;=($E115+$E121-1)),Вводные!$D$30,Вводные!$E$30))</f>
        <v>2.1999999999999999E-2</v>
      </c>
      <c r="CM121" s="120">
        <f>IF(CM112&lt;$E115,0,IF(AND(CM112&gt;=$E115,CM112&lt;=($E115+$E121-1)),Вводные!$D$30,Вводные!$E$30))</f>
        <v>2.1999999999999999E-2</v>
      </c>
      <c r="CN121" s="120">
        <f>IF(CN112&lt;$E115,0,IF(AND(CN112&gt;=$E115,CN112&lt;=($E115+$E121-1)),Вводные!$D$30,Вводные!$E$30))</f>
        <v>2.1999999999999999E-2</v>
      </c>
      <c r="CO121" s="120">
        <f>IF(CO112&lt;$E115,0,IF(AND(CO112&gt;=$E115,CO112&lt;=($E115+$E121-1)),Вводные!$D$30,Вводные!$E$30))</f>
        <v>2.1999999999999999E-2</v>
      </c>
      <c r="CP121" s="120">
        <f>IF(CP112&lt;$E115,0,IF(AND(CP112&gt;=$E115,CP112&lt;=($E115+$E121-1)),Вводные!$D$30,Вводные!$E$30))</f>
        <v>2.1999999999999999E-2</v>
      </c>
      <c r="CQ121" s="120">
        <f>IF(CQ112&lt;$E115,0,IF(AND(CQ112&gt;=$E115,CQ112&lt;=($E115+$E121-1)),Вводные!$D$30,Вводные!$E$30))</f>
        <v>2.1999999999999999E-2</v>
      </c>
      <c r="CR121" s="120">
        <f>IF(CR112&lt;$E115,0,IF(AND(CR112&gt;=$E115,CR112&lt;=($E115+$E121-1)),Вводные!$D$30,Вводные!$E$30))</f>
        <v>2.1999999999999999E-2</v>
      </c>
      <c r="CS121" s="120">
        <f>IF(CS112&lt;$E115,0,IF(AND(CS112&gt;=$E115,CS112&lt;=($E115+$E121-1)),Вводные!$D$30,Вводные!$E$30))</f>
        <v>2.1999999999999999E-2</v>
      </c>
      <c r="CT121" s="120">
        <f>IF(CT112&lt;$E115,0,IF(AND(CT112&gt;=$E115,CT112&lt;=($E115+$E121-1)),Вводные!$D$30,Вводные!$E$30))</f>
        <v>2.1999999999999999E-2</v>
      </c>
      <c r="CU121" s="120">
        <f>IF(CU112&lt;$E115,0,IF(AND(CU112&gt;=$E115,CU112&lt;=($E115+$E121-1)),Вводные!$D$30,Вводные!$E$30))</f>
        <v>2.1999999999999999E-2</v>
      </c>
      <c r="CV121" s="120">
        <f>IF(CV112&lt;$E115,0,IF(AND(CV112&gt;=$E115,CV112&lt;=($E115+$E121-1)),Вводные!$D$30,Вводные!$E$30))</f>
        <v>2.1999999999999999E-2</v>
      </c>
      <c r="CW121" s="120">
        <f>IF(CW112&lt;$E115,0,IF(AND(CW112&gt;=$E115,CW112&lt;=($E115+$E121-1)),Вводные!$D$30,Вводные!$E$30))</f>
        <v>2.1999999999999999E-2</v>
      </c>
      <c r="CX121" s="120">
        <f>IF(CX112&lt;$E115,0,IF(AND(CX112&gt;=$E115,CX112&lt;=($E115+$E121-1)),Вводные!$D$30,Вводные!$E$30))</f>
        <v>2.1999999999999999E-2</v>
      </c>
      <c r="CY121" s="120">
        <f>IF(CY112&lt;$E115,0,IF(AND(CY112&gt;=$E115,CY112&lt;=($E115+$E121-1)),Вводные!$D$30,Вводные!$E$30))</f>
        <v>2.1999999999999999E-2</v>
      </c>
      <c r="CZ121" s="120">
        <f>IF(CZ112&lt;$E115,0,IF(AND(CZ112&gt;=$E115,CZ112&lt;=($E115+$E121-1)),Вводные!$D$30,Вводные!$E$30))</f>
        <v>2.1999999999999999E-2</v>
      </c>
      <c r="DA121" s="120">
        <f>IF(DA112&lt;$E115,0,IF(AND(DA112&gt;=$E115,DA112&lt;=($E115+$E121-1)),Вводные!$D$30,Вводные!$E$30))</f>
        <v>2.1999999999999999E-2</v>
      </c>
      <c r="DB121" s="120">
        <f>IF(DB112&lt;$E115,0,IF(AND(DB112&gt;=$E115,DB112&lt;=($E115+$E121-1)),Вводные!$D$30,Вводные!$E$30))</f>
        <v>2.1999999999999999E-2</v>
      </c>
      <c r="DC121" s="120">
        <f>IF(DC112&lt;$E115,0,IF(AND(DC112&gt;=$E115,DC112&lt;=($E115+$E121-1)),Вводные!$D$30,Вводные!$E$30))</f>
        <v>2.1999999999999999E-2</v>
      </c>
      <c r="DD121" s="120">
        <f>IF(DD112&lt;$E115,0,IF(AND(DD112&gt;=$E115,DD112&lt;=($E115+$E121-1)),Вводные!$D$30,Вводные!$E$30))</f>
        <v>2.1999999999999999E-2</v>
      </c>
      <c r="DE121" s="120">
        <f>IF(DE112&lt;$E115,0,IF(AND(DE112&gt;=$E115,DE112&lt;=($E115+$E121-1)),Вводные!$D$30,Вводные!$E$30))</f>
        <v>2.1999999999999999E-2</v>
      </c>
      <c r="DF121" s="120">
        <f>IF(DF112&lt;$E115,0,IF(AND(DF112&gt;=$E115,DF112&lt;=($E115+$E121-1)),Вводные!$D$30,Вводные!$E$30))</f>
        <v>2.1999999999999999E-2</v>
      </c>
      <c r="DG121" s="120">
        <f>IF(DG112&lt;$E115,0,IF(AND(DG112&gt;=$E115,DG112&lt;=($E115+$E121-1)),Вводные!$D$30,Вводные!$E$30))</f>
        <v>2.1999999999999999E-2</v>
      </c>
      <c r="DH121" s="120">
        <f>IF(DH112&lt;$E115,0,IF(AND(DH112&gt;=$E115,DH112&lt;=($E115+$E121-1)),Вводные!$D$30,Вводные!$E$30))</f>
        <v>2.1999999999999999E-2</v>
      </c>
      <c r="DI121" s="120">
        <f>IF(DI112&lt;$E115,0,IF(AND(DI112&gt;=$E115,DI112&lt;=($E115+$E121-1)),Вводные!$D$30,Вводные!$E$30))</f>
        <v>2.1999999999999999E-2</v>
      </c>
      <c r="DJ121" s="120">
        <f>IF(DJ112&lt;$E115,0,IF(AND(DJ112&gt;=$E115,DJ112&lt;=($E115+$E121-1)),Вводные!$D$30,Вводные!$E$30))</f>
        <v>2.1999999999999999E-2</v>
      </c>
      <c r="DK121" s="120">
        <f>IF(DK112&lt;$E115,0,IF(AND(DK112&gt;=$E115,DK112&lt;=($E115+$E121-1)),Вводные!$D$30,Вводные!$E$30))</f>
        <v>2.1999999999999999E-2</v>
      </c>
      <c r="DL121" s="120">
        <f>IF(DL112&lt;$E115,0,IF(AND(DL112&gt;=$E115,DL112&lt;=($E115+$E121-1)),Вводные!$D$30,Вводные!$E$30))</f>
        <v>2.1999999999999999E-2</v>
      </c>
      <c r="DM121" s="120">
        <f>IF(DM112&lt;$E115,0,IF(AND(DM112&gt;=$E115,DM112&lt;=($E115+$E121-1)),Вводные!$D$30,Вводные!$E$30))</f>
        <v>2.1999999999999999E-2</v>
      </c>
      <c r="DN121" s="120">
        <f>IF(DN112&lt;$E115,0,IF(AND(DN112&gt;=$E115,DN112&lt;=($E115+$E121-1)),Вводные!$D$30,Вводные!$E$30))</f>
        <v>2.1999999999999999E-2</v>
      </c>
      <c r="DO121" s="120">
        <f>IF(DO112&lt;$E115,0,IF(AND(DO112&gt;=$E115,DO112&lt;=($E115+$E121-1)),Вводные!$D$30,Вводные!$E$30))</f>
        <v>2.1999999999999999E-2</v>
      </c>
      <c r="DP121" s="120">
        <f>IF(DP112&lt;$E115,0,IF(AND(DP112&gt;=$E115,DP112&lt;=($E115+$E121-1)),Вводные!$D$30,Вводные!$E$30))</f>
        <v>2.1999999999999999E-2</v>
      </c>
      <c r="DQ121" s="120">
        <f>IF(DQ112&lt;$E115,0,IF(AND(DQ112&gt;=$E115,DQ112&lt;=($E115+$E121-1)),Вводные!$D$30,Вводные!$E$30))</f>
        <v>2.1999999999999999E-2</v>
      </c>
      <c r="DR121" s="120">
        <f>IF(DR112&lt;$E115,0,IF(AND(DR112&gt;=$E115,DR112&lt;=($E115+$E121-1)),Вводные!$D$30,Вводные!$E$30))</f>
        <v>2.1999999999999999E-2</v>
      </c>
      <c r="DS121" s="120">
        <f>IF(DS112&lt;$E115,0,IF(AND(DS112&gt;=$E115,DS112&lt;=($E115+$E121-1)),Вводные!$D$30,Вводные!$E$30))</f>
        <v>2.1999999999999999E-2</v>
      </c>
      <c r="DT121" s="120">
        <f>IF(DT112&lt;$E115,0,IF(AND(DT112&gt;=$E115,DT112&lt;=($E115+$E121-1)),Вводные!$D$30,Вводные!$E$30))</f>
        <v>2.1999999999999999E-2</v>
      </c>
      <c r="DU121" s="120">
        <f>IF(DU112&lt;$E115,0,IF(AND(DU112&gt;=$E115,DU112&lt;=($E115+$E121-1)),Вводные!$D$30,Вводные!$E$30))</f>
        <v>2.1999999999999999E-2</v>
      </c>
      <c r="DV121" s="120">
        <f>IF(DV112&lt;$E115,0,IF(AND(DV112&gt;=$E115,DV112&lt;=($E115+$E121-1)),Вводные!$D$30,Вводные!$E$30))</f>
        <v>2.1999999999999999E-2</v>
      </c>
      <c r="DW121" s="120">
        <f>IF(DW112&lt;$E115,0,IF(AND(DW112&gt;=$E115,DW112&lt;=($E115+$E121-1)),Вводные!$D$30,Вводные!$E$30))</f>
        <v>2.1999999999999999E-2</v>
      </c>
      <c r="DX121" s="120">
        <f>IF(DX112&lt;$E115,0,IF(AND(DX112&gt;=$E115,DX112&lt;=($E115+$E121-1)),Вводные!$D$30,Вводные!$E$30))</f>
        <v>2.1999999999999999E-2</v>
      </c>
      <c r="DY121" s="120">
        <f>IF(DY112&lt;$E115,0,IF(AND(DY112&gt;=$E115,DY112&lt;=($E115+$E121-1)),Вводные!$D$30,Вводные!$E$30))</f>
        <v>2.1999999999999999E-2</v>
      </c>
      <c r="DZ121" s="120">
        <f>IF(DZ112&lt;$E115,0,IF(AND(DZ112&gt;=$E115,DZ112&lt;=($E115+$E121-1)),Вводные!$D$30,Вводные!$E$30))</f>
        <v>2.1999999999999999E-2</v>
      </c>
      <c r="EA121" s="120">
        <f>IF(EA112&lt;$E115,0,IF(AND(EA112&gt;=$E115,EA112&lt;=($E115+$E121-1)),Вводные!$D$30,Вводные!$E$30))</f>
        <v>2.1999999999999999E-2</v>
      </c>
      <c r="EB121" s="120">
        <f>IF(EB112&lt;$E115,0,IF(AND(EB112&gt;=$E115,EB112&lt;=($E115+$E121-1)),Вводные!$D$30,Вводные!$E$30))</f>
        <v>2.1999999999999999E-2</v>
      </c>
      <c r="EC121" s="120">
        <f>IF(EC112&lt;$E115,0,IF(AND(EC112&gt;=$E115,EC112&lt;=($E115+$E121-1)),Вводные!$D$30,Вводные!$E$30))</f>
        <v>2.1999999999999999E-2</v>
      </c>
      <c r="ED121" s="120">
        <f>IF(ED112&lt;$E115,0,IF(AND(ED112&gt;=$E115,ED112&lt;=($E115+$E121-1)),Вводные!$D$30,Вводные!$E$30))</f>
        <v>2.1999999999999999E-2</v>
      </c>
      <c r="EE121" s="120">
        <f>IF(EE112&lt;$E115,0,IF(AND(EE112&gt;=$E115,EE112&lt;=($E115+$E121-1)),Вводные!$D$30,Вводные!$E$30))</f>
        <v>2.1999999999999999E-2</v>
      </c>
      <c r="EF121" s="120">
        <f>IF(EF112&lt;$E115,0,IF(AND(EF112&gt;=$E115,EF112&lt;=($E115+$E121-1)),Вводные!$D$30,Вводные!$E$30))</f>
        <v>2.1999999999999999E-2</v>
      </c>
      <c r="EG121" s="120">
        <f>IF(EG112&lt;$E115,0,IF(AND(EG112&gt;=$E115,EG112&lt;=($E115+$E121-1)),Вводные!$D$30,Вводные!$E$30))</f>
        <v>2.1999999999999999E-2</v>
      </c>
      <c r="EH121" s="120">
        <f>IF(EH112&lt;$E115,0,IF(AND(EH112&gt;=$E115,EH112&lt;=($E115+$E121-1)),Вводные!$D$30,Вводные!$E$30))</f>
        <v>2.1999999999999999E-2</v>
      </c>
      <c r="EI121" s="120">
        <f>IF(EI112&lt;$E115,0,IF(AND(EI112&gt;=$E115,EI112&lt;=($E115+$E121-1)),Вводные!$D$30,Вводные!$E$30))</f>
        <v>2.1999999999999999E-2</v>
      </c>
      <c r="EJ121" s="120">
        <f>IF(EJ112&lt;$E115,0,IF(AND(EJ112&gt;=$E115,EJ112&lt;=($E115+$E121-1)),Вводные!$D$30,Вводные!$E$30))</f>
        <v>2.1999999999999999E-2</v>
      </c>
      <c r="EK121" s="120">
        <f>IF(EK112&lt;$E115,0,IF(AND(EK112&gt;=$E115,EK112&lt;=($E115+$E121-1)),Вводные!$D$30,Вводные!$E$30))</f>
        <v>2.1999999999999999E-2</v>
      </c>
      <c r="EL121" s="120">
        <f>IF(EL112&lt;$E115,0,IF(AND(EL112&gt;=$E115,EL112&lt;=($E115+$E121-1)),Вводные!$D$30,Вводные!$E$30))</f>
        <v>2.1999999999999999E-2</v>
      </c>
      <c r="EM121" s="120">
        <f>IF(EM112&lt;$E115,0,IF(AND(EM112&gt;=$E115,EM112&lt;=($E115+$E121-1)),Вводные!$D$30,Вводные!$E$30))</f>
        <v>2.1999999999999999E-2</v>
      </c>
      <c r="EN121" s="120">
        <f>IF(EN112&lt;$E115,0,IF(AND(EN112&gt;=$E115,EN112&lt;=($E115+$E121-1)),Вводные!$D$30,Вводные!$E$30))</f>
        <v>2.1999999999999999E-2</v>
      </c>
    </row>
    <row r="122" spans="2:144" outlineLevel="1">
      <c r="C122" s="151" t="s">
        <v>22</v>
      </c>
      <c r="D122" s="44"/>
      <c r="E122" s="469"/>
      <c r="F122" s="44"/>
      <c r="G122" s="44"/>
      <c r="H122" s="44">
        <f t="shared" ref="H122:AM122" si="235">H121*H120/4</f>
        <v>0</v>
      </c>
      <c r="I122" s="44">
        <f t="shared" si="235"/>
        <v>0</v>
      </c>
      <c r="J122" s="44">
        <f t="shared" si="235"/>
        <v>0</v>
      </c>
      <c r="K122" s="44">
        <f t="shared" si="235"/>
        <v>0</v>
      </c>
      <c r="L122" s="44">
        <f t="shared" si="235"/>
        <v>0</v>
      </c>
      <c r="M122" s="44">
        <f t="shared" si="235"/>
        <v>0</v>
      </c>
      <c r="N122" s="44">
        <f t="shared" si="235"/>
        <v>0</v>
      </c>
      <c r="O122" s="44">
        <f t="shared" si="235"/>
        <v>0</v>
      </c>
      <c r="P122" s="44">
        <f t="shared" si="235"/>
        <v>0</v>
      </c>
      <c r="Q122" s="44">
        <f t="shared" si="235"/>
        <v>0</v>
      </c>
      <c r="R122" s="44">
        <f t="shared" si="235"/>
        <v>0</v>
      </c>
      <c r="S122" s="44">
        <f t="shared" si="235"/>
        <v>0</v>
      </c>
      <c r="T122" s="44">
        <f t="shared" si="235"/>
        <v>0</v>
      </c>
      <c r="U122" s="44">
        <f t="shared" si="235"/>
        <v>0</v>
      </c>
      <c r="V122" s="44">
        <f t="shared" si="235"/>
        <v>0</v>
      </c>
      <c r="W122" s="44">
        <f t="shared" si="235"/>
        <v>0</v>
      </c>
      <c r="X122" s="44">
        <f t="shared" si="235"/>
        <v>0</v>
      </c>
      <c r="Y122" s="44">
        <f t="shared" si="235"/>
        <v>0</v>
      </c>
      <c r="Z122" s="44">
        <f t="shared" si="235"/>
        <v>0</v>
      </c>
      <c r="AA122" s="44">
        <f t="shared" si="235"/>
        <v>0</v>
      </c>
      <c r="AB122" s="44">
        <f t="shared" si="235"/>
        <v>0</v>
      </c>
      <c r="AC122" s="44">
        <f t="shared" si="235"/>
        <v>0</v>
      </c>
      <c r="AD122" s="44">
        <f t="shared" si="235"/>
        <v>0</v>
      </c>
      <c r="AE122" s="44">
        <f t="shared" si="235"/>
        <v>0</v>
      </c>
      <c r="AF122" s="44">
        <f t="shared" si="235"/>
        <v>0</v>
      </c>
      <c r="AG122" s="44">
        <f t="shared" si="235"/>
        <v>0</v>
      </c>
      <c r="AH122" s="44">
        <f t="shared" si="235"/>
        <v>0</v>
      </c>
      <c r="AI122" s="44">
        <f t="shared" si="235"/>
        <v>0</v>
      </c>
      <c r="AJ122" s="44">
        <f t="shared" si="235"/>
        <v>0</v>
      </c>
      <c r="AK122" s="44">
        <f t="shared" si="235"/>
        <v>0</v>
      </c>
      <c r="AL122" s="44">
        <f t="shared" si="235"/>
        <v>0</v>
      </c>
      <c r="AM122" s="44">
        <f t="shared" si="235"/>
        <v>0</v>
      </c>
      <c r="AN122" s="44">
        <f t="shared" ref="AN122:BS122" si="236">AN121*AN120/4</f>
        <v>0</v>
      </c>
      <c r="AO122" s="44">
        <f t="shared" si="236"/>
        <v>0</v>
      </c>
      <c r="AP122" s="44">
        <f t="shared" si="236"/>
        <v>0</v>
      </c>
      <c r="AQ122" s="44">
        <f t="shared" si="236"/>
        <v>0</v>
      </c>
      <c r="AR122" s="44">
        <f t="shared" si="236"/>
        <v>0</v>
      </c>
      <c r="AS122" s="44">
        <f t="shared" si="236"/>
        <v>0</v>
      </c>
      <c r="AT122" s="44">
        <f t="shared" si="236"/>
        <v>0</v>
      </c>
      <c r="AU122" s="44">
        <f t="shared" si="236"/>
        <v>0</v>
      </c>
      <c r="AV122" s="44">
        <f t="shared" si="236"/>
        <v>0</v>
      </c>
      <c r="AW122" s="44">
        <f t="shared" si="236"/>
        <v>0</v>
      </c>
      <c r="AX122" s="44">
        <f t="shared" si="236"/>
        <v>0</v>
      </c>
      <c r="AY122" s="44">
        <f t="shared" si="236"/>
        <v>0</v>
      </c>
      <c r="AZ122" s="44">
        <f t="shared" si="236"/>
        <v>0</v>
      </c>
      <c r="BA122" s="44">
        <f t="shared" si="236"/>
        <v>0</v>
      </c>
      <c r="BB122" s="44">
        <f t="shared" si="236"/>
        <v>0</v>
      </c>
      <c r="BC122" s="44">
        <f t="shared" si="236"/>
        <v>0</v>
      </c>
      <c r="BD122" s="44">
        <f t="shared" si="236"/>
        <v>0</v>
      </c>
      <c r="BE122" s="44">
        <f t="shared" si="236"/>
        <v>0</v>
      </c>
      <c r="BF122" s="44">
        <f t="shared" si="236"/>
        <v>0</v>
      </c>
      <c r="BG122" s="44">
        <f t="shared" si="236"/>
        <v>0</v>
      </c>
      <c r="BH122" s="44">
        <f t="shared" si="236"/>
        <v>1173032.2246625077</v>
      </c>
      <c r="BI122" s="44">
        <f t="shared" si="236"/>
        <v>1158639.1912310659</v>
      </c>
      <c r="BJ122" s="44">
        <f t="shared" si="236"/>
        <v>1144246.1577996239</v>
      </c>
      <c r="BK122" s="44">
        <f t="shared" si="236"/>
        <v>1129853.1243681822</v>
      </c>
      <c r="BL122" s="44">
        <f t="shared" si="236"/>
        <v>1115460.0909367402</v>
      </c>
      <c r="BM122" s="44">
        <f t="shared" si="236"/>
        <v>1101067.0575052984</v>
      </c>
      <c r="BN122" s="44">
        <f t="shared" si="236"/>
        <v>1086674.0240738564</v>
      </c>
      <c r="BO122" s="44">
        <f t="shared" si="236"/>
        <v>1072280.9906424147</v>
      </c>
      <c r="BP122" s="44">
        <f t="shared" si="236"/>
        <v>1057887.9572109727</v>
      </c>
      <c r="BQ122" s="44">
        <f t="shared" si="236"/>
        <v>1043494.9237795308</v>
      </c>
      <c r="BR122" s="44">
        <f t="shared" si="236"/>
        <v>1029101.8903480889</v>
      </c>
      <c r="BS122" s="44">
        <f t="shared" si="236"/>
        <v>1014708.8569166471</v>
      </c>
      <c r="BT122" s="44">
        <f t="shared" ref="BT122:CY122" si="237">BT121*BT120/4</f>
        <v>1000315.8234852052</v>
      </c>
      <c r="BU122" s="44">
        <f t="shared" si="237"/>
        <v>985922.79005376331</v>
      </c>
      <c r="BV122" s="44">
        <f t="shared" si="237"/>
        <v>971529.75662232144</v>
      </c>
      <c r="BW122" s="44">
        <f t="shared" si="237"/>
        <v>957136.72319087957</v>
      </c>
      <c r="BX122" s="44">
        <f t="shared" si="237"/>
        <v>942743.68975943769</v>
      </c>
      <c r="BY122" s="44">
        <f t="shared" si="237"/>
        <v>928350.65632799582</v>
      </c>
      <c r="BZ122" s="44">
        <f t="shared" si="237"/>
        <v>913957.62289655395</v>
      </c>
      <c r="CA122" s="44">
        <f t="shared" si="237"/>
        <v>899564.58946511208</v>
      </c>
      <c r="CB122" s="44">
        <f t="shared" si="237"/>
        <v>885171.5560336702</v>
      </c>
      <c r="CC122" s="44">
        <f t="shared" si="237"/>
        <v>870778.52260222833</v>
      </c>
      <c r="CD122" s="44">
        <f t="shared" si="237"/>
        <v>856385.48917078646</v>
      </c>
      <c r="CE122" s="44">
        <f t="shared" si="237"/>
        <v>841992.45573934459</v>
      </c>
      <c r="CF122" s="44">
        <f t="shared" si="237"/>
        <v>827599.42230790271</v>
      </c>
      <c r="CG122" s="44">
        <f t="shared" si="237"/>
        <v>813206.38887646084</v>
      </c>
      <c r="CH122" s="44">
        <f t="shared" si="237"/>
        <v>798813.35544501897</v>
      </c>
      <c r="CI122" s="44">
        <f t="shared" si="237"/>
        <v>784420.3220135771</v>
      </c>
      <c r="CJ122" s="44">
        <f t="shared" si="237"/>
        <v>770027.28858213522</v>
      </c>
      <c r="CK122" s="44">
        <f t="shared" si="237"/>
        <v>755634.25515069335</v>
      </c>
      <c r="CL122" s="44">
        <f t="shared" si="237"/>
        <v>741241.22171925148</v>
      </c>
      <c r="CM122" s="44">
        <f t="shared" si="237"/>
        <v>726848.18828780961</v>
      </c>
      <c r="CN122" s="44">
        <f t="shared" si="237"/>
        <v>712455.15485636774</v>
      </c>
      <c r="CO122" s="44">
        <f t="shared" si="237"/>
        <v>698062.12142492586</v>
      </c>
      <c r="CP122" s="44">
        <f t="shared" si="237"/>
        <v>683669.08799348399</v>
      </c>
      <c r="CQ122" s="44">
        <f t="shared" si="237"/>
        <v>669276.05456204212</v>
      </c>
      <c r="CR122" s="44">
        <f t="shared" si="237"/>
        <v>654883.02113060025</v>
      </c>
      <c r="CS122" s="44">
        <f t="shared" si="237"/>
        <v>640489.98769915837</v>
      </c>
      <c r="CT122" s="44">
        <f t="shared" si="237"/>
        <v>626096.9542677165</v>
      </c>
      <c r="CU122" s="44">
        <f t="shared" si="237"/>
        <v>611703.92083627463</v>
      </c>
      <c r="CV122" s="44">
        <f t="shared" si="237"/>
        <v>597310.88740483276</v>
      </c>
      <c r="CW122" s="44">
        <f t="shared" si="237"/>
        <v>582917.85397339088</v>
      </c>
      <c r="CX122" s="44">
        <f t="shared" si="237"/>
        <v>568524.82054194901</v>
      </c>
      <c r="CY122" s="44">
        <f t="shared" si="237"/>
        <v>554131.78711050714</v>
      </c>
      <c r="CZ122" s="44">
        <f t="shared" ref="CZ122:EE122" si="238">CZ121*CZ120/4</f>
        <v>539738.75367906527</v>
      </c>
      <c r="DA122" s="44">
        <f t="shared" si="238"/>
        <v>525345.72024762339</v>
      </c>
      <c r="DB122" s="44">
        <f t="shared" si="238"/>
        <v>510952.68681618158</v>
      </c>
      <c r="DC122" s="44">
        <f t="shared" si="238"/>
        <v>496559.65338473971</v>
      </c>
      <c r="DD122" s="44">
        <f t="shared" si="238"/>
        <v>482166.61995329784</v>
      </c>
      <c r="DE122" s="44">
        <f t="shared" si="238"/>
        <v>467773.58652185596</v>
      </c>
      <c r="DF122" s="44">
        <f t="shared" si="238"/>
        <v>453380.55309041409</v>
      </c>
      <c r="DG122" s="44">
        <f t="shared" si="238"/>
        <v>438987.51965897222</v>
      </c>
      <c r="DH122" s="44">
        <f t="shared" si="238"/>
        <v>424594.48622753035</v>
      </c>
      <c r="DI122" s="44">
        <f t="shared" si="238"/>
        <v>410201.45279608847</v>
      </c>
      <c r="DJ122" s="44">
        <f t="shared" si="238"/>
        <v>395808.4193646466</v>
      </c>
      <c r="DK122" s="44">
        <f t="shared" si="238"/>
        <v>381415.38593320473</v>
      </c>
      <c r="DL122" s="44">
        <f t="shared" si="238"/>
        <v>367022.35250176286</v>
      </c>
      <c r="DM122" s="44">
        <f t="shared" si="238"/>
        <v>352629.31907032104</v>
      </c>
      <c r="DN122" s="44">
        <f t="shared" si="238"/>
        <v>338236.28563887917</v>
      </c>
      <c r="DO122" s="44">
        <f t="shared" si="238"/>
        <v>323843.25220743736</v>
      </c>
      <c r="DP122" s="44">
        <f t="shared" si="238"/>
        <v>309450.21877599548</v>
      </c>
      <c r="DQ122" s="44">
        <f t="shared" si="238"/>
        <v>295057.18534455373</v>
      </c>
      <c r="DR122" s="44">
        <f t="shared" si="238"/>
        <v>280664.15191311185</v>
      </c>
      <c r="DS122" s="44">
        <f t="shared" si="238"/>
        <v>266271.11848167004</v>
      </c>
      <c r="DT122" s="44">
        <f t="shared" si="238"/>
        <v>251878.08505022817</v>
      </c>
      <c r="DU122" s="44">
        <f t="shared" si="238"/>
        <v>237485.05161878638</v>
      </c>
      <c r="DV122" s="44">
        <f t="shared" si="238"/>
        <v>223092.01818734451</v>
      </c>
      <c r="DW122" s="44">
        <f t="shared" si="238"/>
        <v>208698.98475590273</v>
      </c>
      <c r="DX122" s="44">
        <f t="shared" si="238"/>
        <v>194305.95132446085</v>
      </c>
      <c r="DY122" s="44">
        <f t="shared" si="238"/>
        <v>179912.91789301904</v>
      </c>
      <c r="DZ122" s="44">
        <f t="shared" si="238"/>
        <v>165519.8844615772</v>
      </c>
      <c r="EA122" s="44">
        <f t="shared" si="238"/>
        <v>151126.85103013538</v>
      </c>
      <c r="EB122" s="44">
        <f t="shared" si="238"/>
        <v>136733.81759869354</v>
      </c>
      <c r="EC122" s="44">
        <f t="shared" si="238"/>
        <v>122340.78416725171</v>
      </c>
      <c r="ED122" s="44">
        <f t="shared" si="238"/>
        <v>107947.75073580988</v>
      </c>
      <c r="EE122" s="44">
        <f t="shared" si="238"/>
        <v>93554.717304368052</v>
      </c>
      <c r="EF122" s="44">
        <f t="shared" ref="EF122:EN122" si="239">EF121*EF120/4</f>
        <v>79161.683872926224</v>
      </c>
      <c r="EG122" s="44">
        <f t="shared" si="239"/>
        <v>64768.650441484388</v>
      </c>
      <c r="EH122" s="44">
        <f t="shared" si="239"/>
        <v>50375.617010042559</v>
      </c>
      <c r="EI122" s="44">
        <f t="shared" si="239"/>
        <v>35982.58357860073</v>
      </c>
      <c r="EJ122" s="44">
        <f t="shared" si="239"/>
        <v>21589.550147158894</v>
      </c>
      <c r="EK122" s="44">
        <f t="shared" si="239"/>
        <v>7196.5167157189899</v>
      </c>
      <c r="EL122" s="44">
        <f t="shared" si="239"/>
        <v>0</v>
      </c>
      <c r="EM122" s="44">
        <f t="shared" si="239"/>
        <v>0</v>
      </c>
      <c r="EN122" s="44">
        <f t="shared" si="239"/>
        <v>0</v>
      </c>
    </row>
    <row r="123" spans="2:144" ht="15.75">
      <c r="B123" s="40"/>
      <c r="C123" s="22"/>
      <c r="E123" s="40"/>
      <c r="F123" s="40"/>
      <c r="G123" s="40"/>
      <c r="H123" s="463">
        <f t="shared" ref="H123:BD123" si="240">YEAR(H125)</f>
        <v>2022</v>
      </c>
      <c r="I123" s="463">
        <f t="shared" si="240"/>
        <v>2022</v>
      </c>
      <c r="J123" s="463">
        <f t="shared" si="240"/>
        <v>2022</v>
      </c>
      <c r="K123" s="463">
        <f t="shared" si="240"/>
        <v>2022</v>
      </c>
      <c r="L123" s="463">
        <f t="shared" si="240"/>
        <v>2023</v>
      </c>
      <c r="M123" s="463">
        <f t="shared" si="240"/>
        <v>2023</v>
      </c>
      <c r="N123" s="463">
        <f t="shared" si="240"/>
        <v>2023</v>
      </c>
      <c r="O123" s="463">
        <f t="shared" si="240"/>
        <v>2023</v>
      </c>
      <c r="P123" s="463">
        <f t="shared" si="240"/>
        <v>2024</v>
      </c>
      <c r="Q123" s="463">
        <f t="shared" si="240"/>
        <v>2024</v>
      </c>
      <c r="R123" s="463">
        <f t="shared" si="240"/>
        <v>2024</v>
      </c>
      <c r="S123" s="463">
        <f t="shared" si="240"/>
        <v>2024</v>
      </c>
      <c r="T123" s="463">
        <f t="shared" si="240"/>
        <v>2025</v>
      </c>
      <c r="U123" s="463">
        <f t="shared" si="240"/>
        <v>2025</v>
      </c>
      <c r="V123" s="463">
        <f t="shared" si="240"/>
        <v>2025</v>
      </c>
      <c r="W123" s="463">
        <f t="shared" si="240"/>
        <v>2025</v>
      </c>
      <c r="X123" s="463">
        <f t="shared" si="240"/>
        <v>2026</v>
      </c>
      <c r="Y123" s="463">
        <f t="shared" si="240"/>
        <v>2026</v>
      </c>
      <c r="Z123" s="463">
        <f t="shared" si="240"/>
        <v>2026</v>
      </c>
      <c r="AA123" s="463">
        <f t="shared" si="240"/>
        <v>2026</v>
      </c>
      <c r="AB123" s="463">
        <f t="shared" si="240"/>
        <v>2027</v>
      </c>
      <c r="AC123" s="463">
        <f t="shared" si="240"/>
        <v>2027</v>
      </c>
      <c r="AD123" s="463">
        <f t="shared" si="240"/>
        <v>2027</v>
      </c>
      <c r="AE123" s="463">
        <f t="shared" si="240"/>
        <v>2027</v>
      </c>
      <c r="AF123" s="463">
        <f t="shared" si="240"/>
        <v>2028</v>
      </c>
      <c r="AG123" s="463">
        <f t="shared" si="240"/>
        <v>2028</v>
      </c>
      <c r="AH123" s="463">
        <f t="shared" si="240"/>
        <v>2028</v>
      </c>
      <c r="AI123" s="463">
        <f t="shared" si="240"/>
        <v>2028</v>
      </c>
      <c r="AJ123" s="463">
        <f t="shared" si="240"/>
        <v>2029</v>
      </c>
      <c r="AK123" s="463">
        <f t="shared" si="240"/>
        <v>2029</v>
      </c>
      <c r="AL123" s="463">
        <f t="shared" si="240"/>
        <v>2029</v>
      </c>
      <c r="AM123" s="463">
        <f t="shared" si="240"/>
        <v>2029</v>
      </c>
      <c r="AN123" s="463">
        <f t="shared" si="240"/>
        <v>2030</v>
      </c>
      <c r="AO123" s="463">
        <f t="shared" si="240"/>
        <v>2030</v>
      </c>
      <c r="AP123" s="463">
        <f t="shared" si="240"/>
        <v>2030</v>
      </c>
      <c r="AQ123" s="463">
        <f t="shared" si="240"/>
        <v>2030</v>
      </c>
      <c r="AR123" s="463">
        <f t="shared" si="240"/>
        <v>2031</v>
      </c>
      <c r="AS123" s="463">
        <f t="shared" si="240"/>
        <v>2031</v>
      </c>
      <c r="AT123" s="463">
        <f t="shared" si="240"/>
        <v>2031</v>
      </c>
      <c r="AU123" s="463">
        <f t="shared" si="240"/>
        <v>2031</v>
      </c>
      <c r="AV123" s="463">
        <f t="shared" si="240"/>
        <v>2032</v>
      </c>
      <c r="AW123" s="463">
        <f t="shared" si="240"/>
        <v>2032</v>
      </c>
      <c r="AX123" s="463">
        <f t="shared" si="240"/>
        <v>2032</v>
      </c>
      <c r="AY123" s="463">
        <f t="shared" si="240"/>
        <v>2032</v>
      </c>
      <c r="AZ123" s="463">
        <f t="shared" si="240"/>
        <v>2033</v>
      </c>
      <c r="BA123" s="463">
        <f t="shared" si="240"/>
        <v>2033</v>
      </c>
      <c r="BB123" s="463">
        <f t="shared" si="240"/>
        <v>2033</v>
      </c>
      <c r="BC123" s="463">
        <f t="shared" si="240"/>
        <v>2033</v>
      </c>
      <c r="BD123" s="463">
        <f t="shared" si="240"/>
        <v>2034</v>
      </c>
      <c r="BE123" s="463">
        <f>YEAR(BE125)</f>
        <v>2034</v>
      </c>
      <c r="BF123" s="463">
        <f>YEAR(BF125)</f>
        <v>2034</v>
      </c>
      <c r="BG123" s="463">
        <f t="shared" ref="BG123:DR123" si="241">YEAR(BG125)</f>
        <v>2034</v>
      </c>
      <c r="BH123" s="463">
        <f t="shared" si="241"/>
        <v>2035</v>
      </c>
      <c r="BI123" s="463">
        <f t="shared" si="241"/>
        <v>2035</v>
      </c>
      <c r="BJ123" s="463">
        <f t="shared" si="241"/>
        <v>2035</v>
      </c>
      <c r="BK123" s="463">
        <f t="shared" si="241"/>
        <v>2035</v>
      </c>
      <c r="BL123" s="463">
        <f t="shared" si="241"/>
        <v>2036</v>
      </c>
      <c r="BM123" s="463">
        <f t="shared" si="241"/>
        <v>2036</v>
      </c>
      <c r="BN123" s="463">
        <f t="shared" si="241"/>
        <v>2036</v>
      </c>
      <c r="BO123" s="463">
        <f t="shared" si="241"/>
        <v>2036</v>
      </c>
      <c r="BP123" s="463">
        <f t="shared" si="241"/>
        <v>2037</v>
      </c>
      <c r="BQ123" s="463">
        <f t="shared" si="241"/>
        <v>2037</v>
      </c>
      <c r="BR123" s="463">
        <f t="shared" si="241"/>
        <v>2037</v>
      </c>
      <c r="BS123" s="463">
        <f t="shared" si="241"/>
        <v>2037</v>
      </c>
      <c r="BT123" s="463">
        <f t="shared" si="241"/>
        <v>2038</v>
      </c>
      <c r="BU123" s="463">
        <f t="shared" si="241"/>
        <v>2038</v>
      </c>
      <c r="BV123" s="463">
        <f t="shared" si="241"/>
        <v>2038</v>
      </c>
      <c r="BW123" s="463">
        <f t="shared" si="241"/>
        <v>2038</v>
      </c>
      <c r="BX123" s="463">
        <f t="shared" si="241"/>
        <v>2039</v>
      </c>
      <c r="BY123" s="463">
        <f t="shared" si="241"/>
        <v>2039</v>
      </c>
      <c r="BZ123" s="463">
        <f t="shared" si="241"/>
        <v>2039</v>
      </c>
      <c r="CA123" s="463">
        <f t="shared" si="241"/>
        <v>2039</v>
      </c>
      <c r="CB123" s="463">
        <f t="shared" si="241"/>
        <v>2040</v>
      </c>
      <c r="CC123" s="463">
        <f t="shared" si="241"/>
        <v>2040</v>
      </c>
      <c r="CD123" s="463">
        <f t="shared" si="241"/>
        <v>2040</v>
      </c>
      <c r="CE123" s="463">
        <f t="shared" si="241"/>
        <v>2040</v>
      </c>
      <c r="CF123" s="463">
        <f t="shared" si="241"/>
        <v>2041</v>
      </c>
      <c r="CG123" s="463">
        <f t="shared" si="241"/>
        <v>2041</v>
      </c>
      <c r="CH123" s="463">
        <f t="shared" si="241"/>
        <v>2041</v>
      </c>
      <c r="CI123" s="463">
        <f t="shared" si="241"/>
        <v>2041</v>
      </c>
      <c r="CJ123" s="463">
        <f t="shared" si="241"/>
        <v>2042</v>
      </c>
      <c r="CK123" s="463">
        <f t="shared" si="241"/>
        <v>2042</v>
      </c>
      <c r="CL123" s="463">
        <f t="shared" si="241"/>
        <v>2042</v>
      </c>
      <c r="CM123" s="463">
        <f t="shared" si="241"/>
        <v>2042</v>
      </c>
      <c r="CN123" s="463">
        <f t="shared" si="241"/>
        <v>2043</v>
      </c>
      <c r="CO123" s="463">
        <f t="shared" si="241"/>
        <v>2043</v>
      </c>
      <c r="CP123" s="463">
        <f t="shared" si="241"/>
        <v>2043</v>
      </c>
      <c r="CQ123" s="463">
        <f t="shared" si="241"/>
        <v>2043</v>
      </c>
      <c r="CR123" s="463">
        <f t="shared" si="241"/>
        <v>2044</v>
      </c>
      <c r="CS123" s="463">
        <f t="shared" si="241"/>
        <v>2044</v>
      </c>
      <c r="CT123" s="463">
        <f t="shared" si="241"/>
        <v>2044</v>
      </c>
      <c r="CU123" s="463">
        <f t="shared" si="241"/>
        <v>2044</v>
      </c>
      <c r="CV123" s="463">
        <f t="shared" si="241"/>
        <v>2045</v>
      </c>
      <c r="CW123" s="463">
        <f t="shared" si="241"/>
        <v>2045</v>
      </c>
      <c r="CX123" s="463">
        <f t="shared" si="241"/>
        <v>2045</v>
      </c>
      <c r="CY123" s="463">
        <f t="shared" si="241"/>
        <v>2045</v>
      </c>
      <c r="CZ123" s="463">
        <f t="shared" si="241"/>
        <v>2046</v>
      </c>
      <c r="DA123" s="463">
        <f t="shared" si="241"/>
        <v>2046</v>
      </c>
      <c r="DB123" s="463">
        <f t="shared" si="241"/>
        <v>2046</v>
      </c>
      <c r="DC123" s="463">
        <f t="shared" si="241"/>
        <v>2046</v>
      </c>
      <c r="DD123" s="463">
        <f t="shared" si="241"/>
        <v>2047</v>
      </c>
      <c r="DE123" s="463">
        <f t="shared" si="241"/>
        <v>2047</v>
      </c>
      <c r="DF123" s="463">
        <f t="shared" si="241"/>
        <v>2047</v>
      </c>
      <c r="DG123" s="463">
        <f t="shared" si="241"/>
        <v>2047</v>
      </c>
      <c r="DH123" s="463">
        <f t="shared" si="241"/>
        <v>2048</v>
      </c>
      <c r="DI123" s="463">
        <f t="shared" si="241"/>
        <v>2048</v>
      </c>
      <c r="DJ123" s="463">
        <f t="shared" si="241"/>
        <v>2048</v>
      </c>
      <c r="DK123" s="463">
        <f t="shared" si="241"/>
        <v>2048</v>
      </c>
      <c r="DL123" s="463">
        <f t="shared" si="241"/>
        <v>2049</v>
      </c>
      <c r="DM123" s="463">
        <f t="shared" si="241"/>
        <v>2049</v>
      </c>
      <c r="DN123" s="463">
        <f t="shared" si="241"/>
        <v>2049</v>
      </c>
      <c r="DO123" s="463">
        <f t="shared" si="241"/>
        <v>2049</v>
      </c>
      <c r="DP123" s="463">
        <f t="shared" si="241"/>
        <v>2050</v>
      </c>
      <c r="DQ123" s="463">
        <f t="shared" si="241"/>
        <v>2050</v>
      </c>
      <c r="DR123" s="463">
        <f t="shared" si="241"/>
        <v>2050</v>
      </c>
      <c r="DS123" s="463">
        <f t="shared" ref="DS123:EN123" si="242">YEAR(DS125)</f>
        <v>2050</v>
      </c>
      <c r="DT123" s="463">
        <f t="shared" si="242"/>
        <v>2051</v>
      </c>
      <c r="DU123" s="463">
        <f t="shared" si="242"/>
        <v>2051</v>
      </c>
      <c r="DV123" s="463">
        <f t="shared" si="242"/>
        <v>2051</v>
      </c>
      <c r="DW123" s="463">
        <f t="shared" si="242"/>
        <v>2051</v>
      </c>
      <c r="DX123" s="463">
        <f t="shared" si="242"/>
        <v>2052</v>
      </c>
      <c r="DY123" s="463">
        <f t="shared" si="242"/>
        <v>2052</v>
      </c>
      <c r="DZ123" s="463">
        <f t="shared" si="242"/>
        <v>2052</v>
      </c>
      <c r="EA123" s="463">
        <f t="shared" si="242"/>
        <v>2052</v>
      </c>
      <c r="EB123" s="463">
        <f t="shared" si="242"/>
        <v>2053</v>
      </c>
      <c r="EC123" s="463">
        <f t="shared" si="242"/>
        <v>2053</v>
      </c>
      <c r="ED123" s="463">
        <f t="shared" si="242"/>
        <v>2053</v>
      </c>
      <c r="EE123" s="463">
        <f t="shared" si="242"/>
        <v>2053</v>
      </c>
      <c r="EF123" s="463">
        <f t="shared" si="242"/>
        <v>2054</v>
      </c>
      <c r="EG123" s="463">
        <f t="shared" si="242"/>
        <v>2054</v>
      </c>
      <c r="EH123" s="463">
        <f t="shared" si="242"/>
        <v>2054</v>
      </c>
      <c r="EI123" s="463">
        <f t="shared" si="242"/>
        <v>2054</v>
      </c>
      <c r="EJ123" s="463">
        <f t="shared" si="242"/>
        <v>2055</v>
      </c>
      <c r="EK123" s="463">
        <f t="shared" si="242"/>
        <v>2055</v>
      </c>
      <c r="EL123" s="463">
        <f t="shared" si="242"/>
        <v>2055</v>
      </c>
      <c r="EM123" s="463">
        <f t="shared" si="242"/>
        <v>2055</v>
      </c>
      <c r="EN123" s="463">
        <f t="shared" si="242"/>
        <v>2056</v>
      </c>
    </row>
    <row r="124" spans="2:144" ht="15.75">
      <c r="B124" s="40"/>
      <c r="C124" s="22"/>
      <c r="E124" s="40"/>
      <c r="F124" s="40"/>
      <c r="G124" s="40"/>
      <c r="H124" s="464">
        <f t="shared" ref="H124:AM124" si="243">H102</f>
        <v>44593</v>
      </c>
      <c r="I124" s="464">
        <f t="shared" si="243"/>
        <v>44652</v>
      </c>
      <c r="J124" s="464">
        <f t="shared" si="243"/>
        <v>44743</v>
      </c>
      <c r="K124" s="464">
        <f t="shared" si="243"/>
        <v>44835</v>
      </c>
      <c r="L124" s="464">
        <f t="shared" si="243"/>
        <v>44927</v>
      </c>
      <c r="M124" s="464">
        <f t="shared" si="243"/>
        <v>45017</v>
      </c>
      <c r="N124" s="464">
        <f t="shared" si="243"/>
        <v>45108</v>
      </c>
      <c r="O124" s="464">
        <f t="shared" si="243"/>
        <v>45200</v>
      </c>
      <c r="P124" s="464">
        <f t="shared" si="243"/>
        <v>45292</v>
      </c>
      <c r="Q124" s="464">
        <f t="shared" si="243"/>
        <v>45383</v>
      </c>
      <c r="R124" s="464">
        <f t="shared" si="243"/>
        <v>45474</v>
      </c>
      <c r="S124" s="464">
        <f t="shared" si="243"/>
        <v>45566</v>
      </c>
      <c r="T124" s="464">
        <f t="shared" si="243"/>
        <v>45658</v>
      </c>
      <c r="U124" s="464">
        <f t="shared" si="243"/>
        <v>45748</v>
      </c>
      <c r="V124" s="464">
        <f t="shared" si="243"/>
        <v>45839</v>
      </c>
      <c r="W124" s="464">
        <f t="shared" si="243"/>
        <v>45931</v>
      </c>
      <c r="X124" s="464">
        <f t="shared" si="243"/>
        <v>46023</v>
      </c>
      <c r="Y124" s="464">
        <f t="shared" si="243"/>
        <v>46113</v>
      </c>
      <c r="Z124" s="464">
        <f t="shared" si="243"/>
        <v>46204</v>
      </c>
      <c r="AA124" s="464">
        <f t="shared" si="243"/>
        <v>46296</v>
      </c>
      <c r="AB124" s="464">
        <f t="shared" si="243"/>
        <v>46388</v>
      </c>
      <c r="AC124" s="464">
        <f t="shared" si="243"/>
        <v>46478</v>
      </c>
      <c r="AD124" s="464">
        <f t="shared" si="243"/>
        <v>46569</v>
      </c>
      <c r="AE124" s="464">
        <f t="shared" si="243"/>
        <v>46661</v>
      </c>
      <c r="AF124" s="464">
        <f t="shared" si="243"/>
        <v>46753</v>
      </c>
      <c r="AG124" s="464">
        <f t="shared" si="243"/>
        <v>46844</v>
      </c>
      <c r="AH124" s="464">
        <f t="shared" si="243"/>
        <v>46935</v>
      </c>
      <c r="AI124" s="464">
        <f t="shared" si="243"/>
        <v>47027</v>
      </c>
      <c r="AJ124" s="464">
        <f t="shared" si="243"/>
        <v>47119</v>
      </c>
      <c r="AK124" s="464">
        <f t="shared" si="243"/>
        <v>47209</v>
      </c>
      <c r="AL124" s="464">
        <f t="shared" si="243"/>
        <v>47300</v>
      </c>
      <c r="AM124" s="464">
        <f t="shared" si="243"/>
        <v>47392</v>
      </c>
      <c r="AN124" s="464">
        <f t="shared" ref="AN124:BS124" si="244">AN102</f>
        <v>47484</v>
      </c>
      <c r="AO124" s="464">
        <f t="shared" si="244"/>
        <v>47574</v>
      </c>
      <c r="AP124" s="464">
        <f t="shared" si="244"/>
        <v>47665</v>
      </c>
      <c r="AQ124" s="464">
        <f t="shared" si="244"/>
        <v>47757</v>
      </c>
      <c r="AR124" s="464">
        <f t="shared" si="244"/>
        <v>47849</v>
      </c>
      <c r="AS124" s="464">
        <f t="shared" si="244"/>
        <v>47939</v>
      </c>
      <c r="AT124" s="464">
        <f t="shared" si="244"/>
        <v>48030</v>
      </c>
      <c r="AU124" s="464">
        <f t="shared" si="244"/>
        <v>48122</v>
      </c>
      <c r="AV124" s="464">
        <f t="shared" si="244"/>
        <v>48214</v>
      </c>
      <c r="AW124" s="464">
        <f t="shared" si="244"/>
        <v>48305</v>
      </c>
      <c r="AX124" s="464">
        <f t="shared" si="244"/>
        <v>48396</v>
      </c>
      <c r="AY124" s="464">
        <f t="shared" si="244"/>
        <v>48488</v>
      </c>
      <c r="AZ124" s="464">
        <f t="shared" si="244"/>
        <v>48580</v>
      </c>
      <c r="BA124" s="464">
        <f t="shared" si="244"/>
        <v>48670</v>
      </c>
      <c r="BB124" s="464">
        <f t="shared" si="244"/>
        <v>48761</v>
      </c>
      <c r="BC124" s="464">
        <f t="shared" si="244"/>
        <v>48853</v>
      </c>
      <c r="BD124" s="464">
        <f t="shared" si="244"/>
        <v>48945</v>
      </c>
      <c r="BE124" s="464">
        <f t="shared" si="244"/>
        <v>49035</v>
      </c>
      <c r="BF124" s="464">
        <f t="shared" si="244"/>
        <v>49126</v>
      </c>
      <c r="BG124" s="464">
        <f t="shared" si="244"/>
        <v>49218</v>
      </c>
      <c r="BH124" s="464">
        <f t="shared" si="244"/>
        <v>49310</v>
      </c>
      <c r="BI124" s="464">
        <f t="shared" si="244"/>
        <v>49400</v>
      </c>
      <c r="BJ124" s="464">
        <f t="shared" si="244"/>
        <v>49491</v>
      </c>
      <c r="BK124" s="464">
        <f t="shared" si="244"/>
        <v>49583</v>
      </c>
      <c r="BL124" s="464">
        <f t="shared" si="244"/>
        <v>49675</v>
      </c>
      <c r="BM124" s="464">
        <f t="shared" si="244"/>
        <v>49766</v>
      </c>
      <c r="BN124" s="464">
        <f t="shared" si="244"/>
        <v>49857</v>
      </c>
      <c r="BO124" s="464">
        <f t="shared" si="244"/>
        <v>49949</v>
      </c>
      <c r="BP124" s="464">
        <f t="shared" si="244"/>
        <v>50041</v>
      </c>
      <c r="BQ124" s="464">
        <f t="shared" si="244"/>
        <v>50131</v>
      </c>
      <c r="BR124" s="464">
        <f t="shared" si="244"/>
        <v>50222</v>
      </c>
      <c r="BS124" s="464">
        <f t="shared" si="244"/>
        <v>50314</v>
      </c>
      <c r="BT124" s="464">
        <f t="shared" ref="BT124:CY124" si="245">BT102</f>
        <v>50406</v>
      </c>
      <c r="BU124" s="464">
        <f t="shared" si="245"/>
        <v>50496</v>
      </c>
      <c r="BV124" s="464">
        <f t="shared" si="245"/>
        <v>50587</v>
      </c>
      <c r="BW124" s="464">
        <f t="shared" si="245"/>
        <v>50679</v>
      </c>
      <c r="BX124" s="464">
        <f t="shared" si="245"/>
        <v>50771</v>
      </c>
      <c r="BY124" s="464">
        <f t="shared" si="245"/>
        <v>50861</v>
      </c>
      <c r="BZ124" s="464">
        <f t="shared" si="245"/>
        <v>50952</v>
      </c>
      <c r="CA124" s="464">
        <f t="shared" si="245"/>
        <v>51044</v>
      </c>
      <c r="CB124" s="464">
        <f t="shared" si="245"/>
        <v>51136</v>
      </c>
      <c r="CC124" s="464">
        <f t="shared" si="245"/>
        <v>51227</v>
      </c>
      <c r="CD124" s="464">
        <f t="shared" si="245"/>
        <v>51318</v>
      </c>
      <c r="CE124" s="464">
        <f t="shared" si="245"/>
        <v>51410</v>
      </c>
      <c r="CF124" s="464">
        <f t="shared" si="245"/>
        <v>51502</v>
      </c>
      <c r="CG124" s="464">
        <f t="shared" si="245"/>
        <v>51592</v>
      </c>
      <c r="CH124" s="464">
        <f t="shared" si="245"/>
        <v>51683</v>
      </c>
      <c r="CI124" s="464">
        <f t="shared" si="245"/>
        <v>51775</v>
      </c>
      <c r="CJ124" s="464">
        <f t="shared" si="245"/>
        <v>51867</v>
      </c>
      <c r="CK124" s="464">
        <f t="shared" si="245"/>
        <v>51957</v>
      </c>
      <c r="CL124" s="464">
        <f t="shared" si="245"/>
        <v>52048</v>
      </c>
      <c r="CM124" s="464">
        <f t="shared" si="245"/>
        <v>52140</v>
      </c>
      <c r="CN124" s="464">
        <f t="shared" si="245"/>
        <v>52232</v>
      </c>
      <c r="CO124" s="464">
        <f t="shared" si="245"/>
        <v>52322</v>
      </c>
      <c r="CP124" s="464">
        <f t="shared" si="245"/>
        <v>52413</v>
      </c>
      <c r="CQ124" s="464">
        <f t="shared" si="245"/>
        <v>52505</v>
      </c>
      <c r="CR124" s="464">
        <f t="shared" si="245"/>
        <v>52597</v>
      </c>
      <c r="CS124" s="464">
        <f t="shared" si="245"/>
        <v>52688</v>
      </c>
      <c r="CT124" s="464">
        <f t="shared" si="245"/>
        <v>52779</v>
      </c>
      <c r="CU124" s="464">
        <f t="shared" si="245"/>
        <v>52871</v>
      </c>
      <c r="CV124" s="464">
        <f t="shared" si="245"/>
        <v>52963</v>
      </c>
      <c r="CW124" s="464">
        <f t="shared" si="245"/>
        <v>53053</v>
      </c>
      <c r="CX124" s="464">
        <f t="shared" si="245"/>
        <v>53144</v>
      </c>
      <c r="CY124" s="464">
        <f t="shared" si="245"/>
        <v>53236</v>
      </c>
      <c r="CZ124" s="464">
        <f t="shared" ref="CZ124:EE124" si="246">CZ102</f>
        <v>53328</v>
      </c>
      <c r="DA124" s="464">
        <f t="shared" si="246"/>
        <v>53418</v>
      </c>
      <c r="DB124" s="464">
        <f t="shared" si="246"/>
        <v>53509</v>
      </c>
      <c r="DC124" s="464">
        <f t="shared" si="246"/>
        <v>53601</v>
      </c>
      <c r="DD124" s="464">
        <f t="shared" si="246"/>
        <v>53693</v>
      </c>
      <c r="DE124" s="464">
        <f t="shared" si="246"/>
        <v>53783</v>
      </c>
      <c r="DF124" s="464">
        <f t="shared" si="246"/>
        <v>53874</v>
      </c>
      <c r="DG124" s="464">
        <f t="shared" si="246"/>
        <v>53966</v>
      </c>
      <c r="DH124" s="464">
        <f t="shared" si="246"/>
        <v>54058</v>
      </c>
      <c r="DI124" s="464">
        <f t="shared" si="246"/>
        <v>54149</v>
      </c>
      <c r="DJ124" s="464">
        <f t="shared" si="246"/>
        <v>54240</v>
      </c>
      <c r="DK124" s="464">
        <f t="shared" si="246"/>
        <v>54332</v>
      </c>
      <c r="DL124" s="464">
        <f t="shared" si="246"/>
        <v>54424</v>
      </c>
      <c r="DM124" s="464">
        <f t="shared" si="246"/>
        <v>54514</v>
      </c>
      <c r="DN124" s="464">
        <f t="shared" si="246"/>
        <v>54605</v>
      </c>
      <c r="DO124" s="464">
        <f t="shared" si="246"/>
        <v>54697</v>
      </c>
      <c r="DP124" s="464">
        <f t="shared" si="246"/>
        <v>54789</v>
      </c>
      <c r="DQ124" s="464">
        <f t="shared" si="246"/>
        <v>54879</v>
      </c>
      <c r="DR124" s="464">
        <f t="shared" si="246"/>
        <v>54970</v>
      </c>
      <c r="DS124" s="464">
        <f t="shared" si="246"/>
        <v>55062</v>
      </c>
      <c r="DT124" s="464">
        <f t="shared" si="246"/>
        <v>55154</v>
      </c>
      <c r="DU124" s="464">
        <f t="shared" si="246"/>
        <v>55244</v>
      </c>
      <c r="DV124" s="464">
        <f t="shared" si="246"/>
        <v>55335</v>
      </c>
      <c r="DW124" s="464">
        <f t="shared" si="246"/>
        <v>55427</v>
      </c>
      <c r="DX124" s="464">
        <f t="shared" si="246"/>
        <v>55519</v>
      </c>
      <c r="DY124" s="464">
        <f t="shared" si="246"/>
        <v>55610</v>
      </c>
      <c r="DZ124" s="464">
        <f t="shared" si="246"/>
        <v>55701</v>
      </c>
      <c r="EA124" s="464">
        <f t="shared" si="246"/>
        <v>55793</v>
      </c>
      <c r="EB124" s="464">
        <f t="shared" si="246"/>
        <v>55885</v>
      </c>
      <c r="EC124" s="464">
        <f t="shared" si="246"/>
        <v>55975</v>
      </c>
      <c r="ED124" s="464">
        <f t="shared" si="246"/>
        <v>56066</v>
      </c>
      <c r="EE124" s="464">
        <f t="shared" si="246"/>
        <v>56158</v>
      </c>
      <c r="EF124" s="464">
        <f t="shared" ref="EF124:EN124" si="247">EF102</f>
        <v>56250</v>
      </c>
      <c r="EG124" s="464">
        <f t="shared" si="247"/>
        <v>56340</v>
      </c>
      <c r="EH124" s="464">
        <f t="shared" si="247"/>
        <v>56431</v>
      </c>
      <c r="EI124" s="464">
        <f t="shared" si="247"/>
        <v>56523</v>
      </c>
      <c r="EJ124" s="464">
        <f t="shared" si="247"/>
        <v>56615</v>
      </c>
      <c r="EK124" s="464">
        <f t="shared" si="247"/>
        <v>56705</v>
      </c>
      <c r="EL124" s="464">
        <f t="shared" si="247"/>
        <v>56796</v>
      </c>
      <c r="EM124" s="464">
        <f t="shared" si="247"/>
        <v>56888</v>
      </c>
      <c r="EN124" s="464">
        <f t="shared" si="247"/>
        <v>56980</v>
      </c>
    </row>
    <row r="125" spans="2:144" ht="15.75">
      <c r="C125" s="22"/>
      <c r="E125" s="42"/>
      <c r="F125" s="42"/>
      <c r="G125" s="42"/>
      <c r="H125" s="464">
        <f t="shared" ref="H125:AM125" si="248">H103</f>
        <v>44651</v>
      </c>
      <c r="I125" s="464">
        <f t="shared" si="248"/>
        <v>44742</v>
      </c>
      <c r="J125" s="464">
        <f t="shared" si="248"/>
        <v>44834</v>
      </c>
      <c r="K125" s="464">
        <f t="shared" si="248"/>
        <v>44926</v>
      </c>
      <c r="L125" s="464">
        <f t="shared" si="248"/>
        <v>45016</v>
      </c>
      <c r="M125" s="464">
        <f t="shared" si="248"/>
        <v>45107</v>
      </c>
      <c r="N125" s="464">
        <f t="shared" si="248"/>
        <v>45199</v>
      </c>
      <c r="O125" s="464">
        <f t="shared" si="248"/>
        <v>45291</v>
      </c>
      <c r="P125" s="464">
        <f t="shared" si="248"/>
        <v>45382</v>
      </c>
      <c r="Q125" s="464">
        <f t="shared" si="248"/>
        <v>45473</v>
      </c>
      <c r="R125" s="464">
        <f t="shared" si="248"/>
        <v>45565</v>
      </c>
      <c r="S125" s="464">
        <f t="shared" si="248"/>
        <v>45657</v>
      </c>
      <c r="T125" s="464">
        <f t="shared" si="248"/>
        <v>45747</v>
      </c>
      <c r="U125" s="464">
        <f t="shared" si="248"/>
        <v>45838</v>
      </c>
      <c r="V125" s="464">
        <f t="shared" si="248"/>
        <v>45930</v>
      </c>
      <c r="W125" s="464">
        <f t="shared" si="248"/>
        <v>46022</v>
      </c>
      <c r="X125" s="464">
        <f t="shared" si="248"/>
        <v>46112</v>
      </c>
      <c r="Y125" s="464">
        <f t="shared" si="248"/>
        <v>46203</v>
      </c>
      <c r="Z125" s="464">
        <f t="shared" si="248"/>
        <v>46295</v>
      </c>
      <c r="AA125" s="464">
        <f t="shared" si="248"/>
        <v>46387</v>
      </c>
      <c r="AB125" s="464">
        <f t="shared" si="248"/>
        <v>46477</v>
      </c>
      <c r="AC125" s="464">
        <f t="shared" si="248"/>
        <v>46568</v>
      </c>
      <c r="AD125" s="464">
        <f t="shared" si="248"/>
        <v>46660</v>
      </c>
      <c r="AE125" s="464">
        <f t="shared" si="248"/>
        <v>46752</v>
      </c>
      <c r="AF125" s="464">
        <f t="shared" si="248"/>
        <v>46843</v>
      </c>
      <c r="AG125" s="464">
        <f t="shared" si="248"/>
        <v>46934</v>
      </c>
      <c r="AH125" s="464">
        <f t="shared" si="248"/>
        <v>47026</v>
      </c>
      <c r="AI125" s="464">
        <f t="shared" si="248"/>
        <v>47118</v>
      </c>
      <c r="AJ125" s="464">
        <f t="shared" si="248"/>
        <v>47208</v>
      </c>
      <c r="AK125" s="464">
        <f t="shared" si="248"/>
        <v>47299</v>
      </c>
      <c r="AL125" s="464">
        <f t="shared" si="248"/>
        <v>47391</v>
      </c>
      <c r="AM125" s="464">
        <f t="shared" si="248"/>
        <v>47483</v>
      </c>
      <c r="AN125" s="464">
        <f t="shared" ref="AN125:BS125" si="249">AN103</f>
        <v>47573</v>
      </c>
      <c r="AO125" s="464">
        <f t="shared" si="249"/>
        <v>47664</v>
      </c>
      <c r="AP125" s="464">
        <f t="shared" si="249"/>
        <v>47756</v>
      </c>
      <c r="AQ125" s="464">
        <f t="shared" si="249"/>
        <v>47848</v>
      </c>
      <c r="AR125" s="464">
        <f t="shared" si="249"/>
        <v>47938</v>
      </c>
      <c r="AS125" s="464">
        <f t="shared" si="249"/>
        <v>48029</v>
      </c>
      <c r="AT125" s="464">
        <f t="shared" si="249"/>
        <v>48121</v>
      </c>
      <c r="AU125" s="464">
        <f t="shared" si="249"/>
        <v>48213</v>
      </c>
      <c r="AV125" s="464">
        <f t="shared" si="249"/>
        <v>48304</v>
      </c>
      <c r="AW125" s="464">
        <f t="shared" si="249"/>
        <v>48395</v>
      </c>
      <c r="AX125" s="464">
        <f t="shared" si="249"/>
        <v>48487</v>
      </c>
      <c r="AY125" s="464">
        <f t="shared" si="249"/>
        <v>48579</v>
      </c>
      <c r="AZ125" s="464">
        <f t="shared" si="249"/>
        <v>48669</v>
      </c>
      <c r="BA125" s="464">
        <f t="shared" si="249"/>
        <v>48760</v>
      </c>
      <c r="BB125" s="464">
        <f t="shared" si="249"/>
        <v>48852</v>
      </c>
      <c r="BC125" s="464">
        <f t="shared" si="249"/>
        <v>48944</v>
      </c>
      <c r="BD125" s="464">
        <f t="shared" si="249"/>
        <v>49034</v>
      </c>
      <c r="BE125" s="464">
        <f t="shared" si="249"/>
        <v>49125</v>
      </c>
      <c r="BF125" s="464">
        <f t="shared" si="249"/>
        <v>49217</v>
      </c>
      <c r="BG125" s="464">
        <f t="shared" si="249"/>
        <v>49309</v>
      </c>
      <c r="BH125" s="464">
        <f t="shared" si="249"/>
        <v>49399</v>
      </c>
      <c r="BI125" s="464">
        <f t="shared" si="249"/>
        <v>49490</v>
      </c>
      <c r="BJ125" s="464">
        <f t="shared" si="249"/>
        <v>49582</v>
      </c>
      <c r="BK125" s="464">
        <f t="shared" si="249"/>
        <v>49674</v>
      </c>
      <c r="BL125" s="464">
        <f t="shared" si="249"/>
        <v>49765</v>
      </c>
      <c r="BM125" s="464">
        <f t="shared" si="249"/>
        <v>49856</v>
      </c>
      <c r="BN125" s="464">
        <f t="shared" si="249"/>
        <v>49948</v>
      </c>
      <c r="BO125" s="464">
        <f t="shared" si="249"/>
        <v>50040</v>
      </c>
      <c r="BP125" s="464">
        <f t="shared" si="249"/>
        <v>50130</v>
      </c>
      <c r="BQ125" s="464">
        <f t="shared" si="249"/>
        <v>50221</v>
      </c>
      <c r="BR125" s="464">
        <f t="shared" si="249"/>
        <v>50313</v>
      </c>
      <c r="BS125" s="464">
        <f t="shared" si="249"/>
        <v>50405</v>
      </c>
      <c r="BT125" s="464">
        <f t="shared" ref="BT125:CY125" si="250">BT103</f>
        <v>50495</v>
      </c>
      <c r="BU125" s="464">
        <f t="shared" si="250"/>
        <v>50586</v>
      </c>
      <c r="BV125" s="464">
        <f t="shared" si="250"/>
        <v>50678</v>
      </c>
      <c r="BW125" s="464">
        <f t="shared" si="250"/>
        <v>50770</v>
      </c>
      <c r="BX125" s="464">
        <f t="shared" si="250"/>
        <v>50860</v>
      </c>
      <c r="BY125" s="464">
        <f t="shared" si="250"/>
        <v>50951</v>
      </c>
      <c r="BZ125" s="464">
        <f t="shared" si="250"/>
        <v>51043</v>
      </c>
      <c r="CA125" s="464">
        <f t="shared" si="250"/>
        <v>51135</v>
      </c>
      <c r="CB125" s="464">
        <f t="shared" si="250"/>
        <v>51226</v>
      </c>
      <c r="CC125" s="464">
        <f t="shared" si="250"/>
        <v>51317</v>
      </c>
      <c r="CD125" s="464">
        <f t="shared" si="250"/>
        <v>51409</v>
      </c>
      <c r="CE125" s="464">
        <f t="shared" si="250"/>
        <v>51501</v>
      </c>
      <c r="CF125" s="464">
        <f t="shared" si="250"/>
        <v>51591</v>
      </c>
      <c r="CG125" s="464">
        <f t="shared" si="250"/>
        <v>51682</v>
      </c>
      <c r="CH125" s="464">
        <f t="shared" si="250"/>
        <v>51774</v>
      </c>
      <c r="CI125" s="464">
        <f t="shared" si="250"/>
        <v>51866</v>
      </c>
      <c r="CJ125" s="464">
        <f t="shared" si="250"/>
        <v>51956</v>
      </c>
      <c r="CK125" s="464">
        <f t="shared" si="250"/>
        <v>52047</v>
      </c>
      <c r="CL125" s="464">
        <f t="shared" si="250"/>
        <v>52139</v>
      </c>
      <c r="CM125" s="464">
        <f t="shared" si="250"/>
        <v>52231</v>
      </c>
      <c r="CN125" s="464">
        <f t="shared" si="250"/>
        <v>52321</v>
      </c>
      <c r="CO125" s="464">
        <f t="shared" si="250"/>
        <v>52412</v>
      </c>
      <c r="CP125" s="464">
        <f t="shared" si="250"/>
        <v>52504</v>
      </c>
      <c r="CQ125" s="464">
        <f t="shared" si="250"/>
        <v>52596</v>
      </c>
      <c r="CR125" s="464">
        <f t="shared" si="250"/>
        <v>52687</v>
      </c>
      <c r="CS125" s="464">
        <f t="shared" si="250"/>
        <v>52778</v>
      </c>
      <c r="CT125" s="464">
        <f t="shared" si="250"/>
        <v>52870</v>
      </c>
      <c r="CU125" s="464">
        <f t="shared" si="250"/>
        <v>52962</v>
      </c>
      <c r="CV125" s="464">
        <f t="shared" si="250"/>
        <v>53052</v>
      </c>
      <c r="CW125" s="464">
        <f t="shared" si="250"/>
        <v>53143</v>
      </c>
      <c r="CX125" s="464">
        <f t="shared" si="250"/>
        <v>53235</v>
      </c>
      <c r="CY125" s="464">
        <f t="shared" si="250"/>
        <v>53327</v>
      </c>
      <c r="CZ125" s="464">
        <f t="shared" ref="CZ125:EE125" si="251">CZ103</f>
        <v>53417</v>
      </c>
      <c r="DA125" s="464">
        <f t="shared" si="251"/>
        <v>53508</v>
      </c>
      <c r="DB125" s="464">
        <f t="shared" si="251"/>
        <v>53600</v>
      </c>
      <c r="DC125" s="464">
        <f t="shared" si="251"/>
        <v>53692</v>
      </c>
      <c r="DD125" s="464">
        <f t="shared" si="251"/>
        <v>53782</v>
      </c>
      <c r="DE125" s="464">
        <f t="shared" si="251"/>
        <v>53873</v>
      </c>
      <c r="DF125" s="464">
        <f t="shared" si="251"/>
        <v>53965</v>
      </c>
      <c r="DG125" s="464">
        <f t="shared" si="251"/>
        <v>54057</v>
      </c>
      <c r="DH125" s="464">
        <f t="shared" si="251"/>
        <v>54148</v>
      </c>
      <c r="DI125" s="464">
        <f t="shared" si="251"/>
        <v>54239</v>
      </c>
      <c r="DJ125" s="464">
        <f t="shared" si="251"/>
        <v>54331</v>
      </c>
      <c r="DK125" s="464">
        <f t="shared" si="251"/>
        <v>54423</v>
      </c>
      <c r="DL125" s="464">
        <f t="shared" si="251"/>
        <v>54513</v>
      </c>
      <c r="DM125" s="464">
        <f t="shared" si="251"/>
        <v>54604</v>
      </c>
      <c r="DN125" s="464">
        <f t="shared" si="251"/>
        <v>54696</v>
      </c>
      <c r="DO125" s="464">
        <f t="shared" si="251"/>
        <v>54788</v>
      </c>
      <c r="DP125" s="464">
        <f t="shared" si="251"/>
        <v>54878</v>
      </c>
      <c r="DQ125" s="464">
        <f t="shared" si="251"/>
        <v>54969</v>
      </c>
      <c r="DR125" s="464">
        <f t="shared" si="251"/>
        <v>55061</v>
      </c>
      <c r="DS125" s="464">
        <f t="shared" si="251"/>
        <v>55153</v>
      </c>
      <c r="DT125" s="464">
        <f t="shared" si="251"/>
        <v>55243</v>
      </c>
      <c r="DU125" s="464">
        <f t="shared" si="251"/>
        <v>55334</v>
      </c>
      <c r="DV125" s="464">
        <f t="shared" si="251"/>
        <v>55426</v>
      </c>
      <c r="DW125" s="464">
        <f t="shared" si="251"/>
        <v>55518</v>
      </c>
      <c r="DX125" s="464">
        <f t="shared" si="251"/>
        <v>55609</v>
      </c>
      <c r="DY125" s="464">
        <f t="shared" si="251"/>
        <v>55700</v>
      </c>
      <c r="DZ125" s="464">
        <f t="shared" si="251"/>
        <v>55792</v>
      </c>
      <c r="EA125" s="464">
        <f t="shared" si="251"/>
        <v>55884</v>
      </c>
      <c r="EB125" s="464">
        <f t="shared" si="251"/>
        <v>55974</v>
      </c>
      <c r="EC125" s="464">
        <f t="shared" si="251"/>
        <v>56065</v>
      </c>
      <c r="ED125" s="464">
        <f t="shared" si="251"/>
        <v>56157</v>
      </c>
      <c r="EE125" s="464">
        <f t="shared" si="251"/>
        <v>56249</v>
      </c>
      <c r="EF125" s="464">
        <f t="shared" ref="EF125:EN125" si="252">EF103</f>
        <v>56339</v>
      </c>
      <c r="EG125" s="464">
        <f t="shared" si="252"/>
        <v>56430</v>
      </c>
      <c r="EH125" s="464">
        <f t="shared" si="252"/>
        <v>56522</v>
      </c>
      <c r="EI125" s="464">
        <f t="shared" si="252"/>
        <v>56614</v>
      </c>
      <c r="EJ125" s="464">
        <f t="shared" si="252"/>
        <v>56704</v>
      </c>
      <c r="EK125" s="464">
        <f t="shared" si="252"/>
        <v>56795</v>
      </c>
      <c r="EL125" s="464">
        <f t="shared" si="252"/>
        <v>56887</v>
      </c>
      <c r="EM125" s="464">
        <f t="shared" si="252"/>
        <v>56979</v>
      </c>
      <c r="EN125" s="464">
        <f t="shared" si="252"/>
        <v>57070</v>
      </c>
    </row>
    <row r="126" spans="2:144">
      <c r="B126" s="776" t="str">
        <f>C13</f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C126" s="465"/>
      <c r="D126" s="430">
        <f>SUMIF($C$4:$C$18,B126,$I$4:$I$18)</f>
        <v>45839</v>
      </c>
      <c r="E126" s="772">
        <f>YEAR(D126)</f>
        <v>2025</v>
      </c>
      <c r="F126" s="466"/>
      <c r="G126" s="466"/>
      <c r="H126" s="466"/>
      <c r="I126" s="466"/>
      <c r="J126" s="466"/>
      <c r="K126" s="466"/>
      <c r="L126" s="466"/>
      <c r="M126" s="466"/>
      <c r="N126" s="466"/>
      <c r="O126" s="466"/>
      <c r="P126" s="466"/>
      <c r="Q126" s="466"/>
      <c r="R126" s="466"/>
      <c r="S126" s="466"/>
      <c r="T126" s="466"/>
      <c r="U126" s="466"/>
      <c r="V126" s="466"/>
      <c r="W126" s="466"/>
      <c r="X126" s="466"/>
      <c r="Y126" s="466"/>
      <c r="Z126" s="466"/>
      <c r="AA126" s="466"/>
      <c r="AB126" s="466"/>
      <c r="AC126" s="466"/>
      <c r="AD126" s="466"/>
      <c r="AE126" s="466"/>
      <c r="AF126" s="466"/>
      <c r="AG126" s="466"/>
      <c r="AH126" s="466"/>
      <c r="AI126" s="466"/>
      <c r="AJ126" s="466"/>
      <c r="AK126" s="466"/>
      <c r="AL126" s="466"/>
      <c r="AM126" s="466"/>
      <c r="AN126" s="466"/>
      <c r="AO126" s="466"/>
      <c r="AP126" s="466"/>
      <c r="AQ126" s="466"/>
      <c r="AR126" s="466"/>
      <c r="AS126" s="466"/>
      <c r="AT126" s="466"/>
      <c r="AU126" s="466"/>
      <c r="AV126" s="466"/>
      <c r="AW126" s="466"/>
      <c r="AX126" s="466"/>
      <c r="AY126" s="466"/>
      <c r="AZ126" s="466"/>
      <c r="BA126" s="466"/>
      <c r="BB126" s="466"/>
      <c r="BC126" s="466"/>
      <c r="BD126" s="466"/>
      <c r="BE126" s="466"/>
      <c r="BF126" s="466"/>
      <c r="BG126" s="466"/>
      <c r="BH126" s="466"/>
      <c r="BI126" s="466"/>
      <c r="BJ126" s="466"/>
      <c r="BK126" s="466"/>
      <c r="BL126" s="466"/>
      <c r="BM126" s="466"/>
      <c r="BN126" s="466"/>
      <c r="BO126" s="466"/>
      <c r="BP126" s="466"/>
      <c r="BQ126" s="466"/>
      <c r="BR126" s="466"/>
      <c r="BS126" s="466"/>
      <c r="BT126" s="466"/>
      <c r="BU126" s="466"/>
      <c r="BV126" s="466"/>
      <c r="BW126" s="466"/>
      <c r="BX126" s="466"/>
      <c r="BY126" s="466"/>
      <c r="BZ126" s="466"/>
      <c r="CA126" s="466"/>
      <c r="CB126" s="466"/>
      <c r="CC126" s="466"/>
      <c r="CD126" s="466"/>
      <c r="CE126" s="466"/>
      <c r="CF126" s="466"/>
      <c r="CG126" s="466"/>
      <c r="CH126" s="466"/>
      <c r="CI126" s="466"/>
      <c r="CJ126" s="466"/>
      <c r="CK126" s="466"/>
      <c r="CL126" s="466"/>
      <c r="CM126" s="466"/>
      <c r="CN126" s="466"/>
      <c r="CO126" s="466"/>
      <c r="CP126" s="466"/>
      <c r="CQ126" s="466"/>
      <c r="CR126" s="466"/>
      <c r="CS126" s="466"/>
      <c r="CT126" s="466"/>
      <c r="CU126" s="466"/>
      <c r="CV126" s="466"/>
      <c r="CW126" s="466"/>
      <c r="CX126" s="466"/>
      <c r="CY126" s="466"/>
      <c r="CZ126" s="466"/>
      <c r="DA126" s="466"/>
      <c r="DB126" s="466"/>
      <c r="DC126" s="466"/>
      <c r="DD126" s="466"/>
      <c r="DE126" s="466"/>
      <c r="DF126" s="466"/>
      <c r="DG126" s="466"/>
      <c r="DH126" s="466"/>
      <c r="DI126" s="466"/>
      <c r="DJ126" s="466"/>
      <c r="DK126" s="466"/>
      <c r="DL126" s="466"/>
      <c r="DM126" s="466"/>
      <c r="DN126" s="466"/>
      <c r="DO126" s="466"/>
      <c r="DP126" s="466"/>
      <c r="DQ126" s="466"/>
      <c r="DR126" s="466"/>
      <c r="DS126" s="466"/>
      <c r="DT126" s="466"/>
      <c r="DU126" s="466"/>
      <c r="DV126" s="466"/>
      <c r="DW126" s="466"/>
      <c r="DX126" s="466"/>
      <c r="DY126" s="466"/>
      <c r="DZ126" s="466"/>
      <c r="EA126" s="466"/>
      <c r="EB126" s="466"/>
      <c r="EC126" s="466"/>
      <c r="ED126" s="466"/>
      <c r="EE126" s="466"/>
      <c r="EF126" s="466"/>
      <c r="EG126" s="466"/>
      <c r="EH126" s="466"/>
      <c r="EI126" s="466"/>
      <c r="EJ126" s="466"/>
      <c r="EK126" s="466"/>
      <c r="EL126" s="466"/>
      <c r="EM126" s="466"/>
      <c r="EN126" s="466"/>
    </row>
    <row r="127" spans="2:144" outlineLevel="1">
      <c r="C127" s="151" t="s">
        <v>72</v>
      </c>
      <c r="D127" s="771">
        <f>SUMIF($C$4:$C$18,B126,$H$4:$H$18)</f>
        <v>19282532.826812025</v>
      </c>
      <c r="E127" s="44"/>
      <c r="F127" s="44"/>
      <c r="G127" s="44"/>
      <c r="H127" s="44">
        <f>IF(H124=D126,D127,0)</f>
        <v>0</v>
      </c>
      <c r="I127" s="44">
        <f>IF(I124=D126,D127,0)</f>
        <v>0</v>
      </c>
      <c r="J127" s="44">
        <f>IF(J124=D126,D127,0)</f>
        <v>0</v>
      </c>
      <c r="K127" s="44">
        <f>IF(K124=D126,D127,0)</f>
        <v>0</v>
      </c>
      <c r="L127" s="44">
        <f>IF(L124=D126,D127,0)</f>
        <v>0</v>
      </c>
      <c r="M127" s="44">
        <f>IF(M124=D126,D127,0)</f>
        <v>0</v>
      </c>
      <c r="N127" s="44">
        <f>IF(N124=D126,D127,0)</f>
        <v>0</v>
      </c>
      <c r="O127" s="44">
        <f>IF(O124=D126,D127,0)</f>
        <v>0</v>
      </c>
      <c r="P127" s="44">
        <f>IF(P124=D126,D127,0)</f>
        <v>0</v>
      </c>
      <c r="Q127" s="44">
        <f>IF(Q124=D126,D127,0)</f>
        <v>0</v>
      </c>
      <c r="R127" s="44">
        <f>IF(R124=D126,D127,0)</f>
        <v>0</v>
      </c>
      <c r="S127" s="44">
        <f>IF(S124=D126,D127,0)</f>
        <v>0</v>
      </c>
      <c r="T127" s="44">
        <f>IF(T124=D126,D127,0)</f>
        <v>0</v>
      </c>
      <c r="U127" s="44">
        <f>IF(U124=D126,D127,0)</f>
        <v>0</v>
      </c>
      <c r="V127" s="44">
        <f>IF(V124=D126,D127,0)</f>
        <v>19282532.826812025</v>
      </c>
      <c r="W127" s="44">
        <f>IF(W124=D126,D127,0)</f>
        <v>0</v>
      </c>
      <c r="X127" s="44">
        <f>IF(X124=D126,D127,0)</f>
        <v>0</v>
      </c>
      <c r="Y127" s="44">
        <f>IF(Y124=D126,D127,0)</f>
        <v>0</v>
      </c>
      <c r="Z127" s="44">
        <f>IF(Z124=D126,D127,0)</f>
        <v>0</v>
      </c>
      <c r="AA127" s="44">
        <f>IF(AA124=D126,D127,0)</f>
        <v>0</v>
      </c>
      <c r="AB127" s="44">
        <f>IF(AB124=D126,D127,0)</f>
        <v>0</v>
      </c>
      <c r="AC127" s="44">
        <f>IF(AC124=D126,D127,0)</f>
        <v>0</v>
      </c>
      <c r="AD127" s="44">
        <f>IF(AD124=D126,D127,0)</f>
        <v>0</v>
      </c>
      <c r="AE127" s="44">
        <f>IF(AE124=D126,D127,0)</f>
        <v>0</v>
      </c>
      <c r="AF127" s="44">
        <f>IF(AF124=D126,D127,0)</f>
        <v>0</v>
      </c>
      <c r="AG127" s="44">
        <f>IF(AG124=D126,D127,0)</f>
        <v>0</v>
      </c>
      <c r="AH127" s="44">
        <f>IF(AH124=D126,D127,0)</f>
        <v>0</v>
      </c>
      <c r="AI127" s="44">
        <f>IF(AI124=D126,D127,0)</f>
        <v>0</v>
      </c>
      <c r="AJ127" s="44">
        <f>IF(AJ124=D126,D127,0)</f>
        <v>0</v>
      </c>
      <c r="AK127" s="44">
        <f>IF(AK124=D126,D127,0)</f>
        <v>0</v>
      </c>
      <c r="AL127" s="44">
        <f>IF(AL124=D126,D127,0)</f>
        <v>0</v>
      </c>
      <c r="AM127" s="44">
        <f>IF(AM124=D126,D127,0)</f>
        <v>0</v>
      </c>
      <c r="AN127" s="44">
        <f>IF(AN124=D126,D127,0)</f>
        <v>0</v>
      </c>
      <c r="AO127" s="44">
        <f>IF(AO124=D126,D127,0)</f>
        <v>0</v>
      </c>
      <c r="AP127" s="44">
        <f>IF(AP124=D126,D127,0)</f>
        <v>0</v>
      </c>
      <c r="AQ127" s="44">
        <f>IF(AQ124=D126,D127,0)</f>
        <v>0</v>
      </c>
      <c r="AR127" s="44">
        <f>IF(AR124=D126,D127,0)</f>
        <v>0</v>
      </c>
      <c r="AS127" s="44">
        <f>IF(AS124=D126,D127,0)</f>
        <v>0</v>
      </c>
      <c r="AT127" s="44">
        <f>IF(AT124=D126,D127,0)</f>
        <v>0</v>
      </c>
      <c r="AU127" s="44">
        <f>IF(AU124=D126,D127,0)</f>
        <v>0</v>
      </c>
      <c r="AV127" s="44">
        <f>IF(AV124=D126,D127,0)</f>
        <v>0</v>
      </c>
      <c r="AW127" s="44">
        <f>IF(AW124=D126,D127,0)</f>
        <v>0</v>
      </c>
      <c r="AX127" s="44">
        <f>IF(AX124=D126,D127,0)</f>
        <v>0</v>
      </c>
      <c r="AY127" s="44">
        <f>IF(AY124=D126,D127,0)</f>
        <v>0</v>
      </c>
      <c r="AZ127" s="44">
        <f>IF(AZ124=D126,D127,0)</f>
        <v>0</v>
      </c>
      <c r="BA127" s="44">
        <f>IF(BA124=D126,D127,0)</f>
        <v>0</v>
      </c>
      <c r="BB127" s="44">
        <f>IF(BB124=D126,D127,0)</f>
        <v>0</v>
      </c>
      <c r="BC127" s="44">
        <f>IF(BC124=D126,D127,0)</f>
        <v>0</v>
      </c>
      <c r="BD127" s="44">
        <f>IF(BD124=D126,D127,0)</f>
        <v>0</v>
      </c>
      <c r="BE127" s="44">
        <f>IF(BE124=D126,D127,0)</f>
        <v>0</v>
      </c>
      <c r="BF127" s="44">
        <f>IF(BF124=D126,D127,0)</f>
        <v>0</v>
      </c>
      <c r="BG127" s="44">
        <f>IF(BG124=D126,D127,0)</f>
        <v>0</v>
      </c>
      <c r="BH127" s="44">
        <f>IF(BH124=D126,D127,0)</f>
        <v>0</v>
      </c>
      <c r="BI127" s="44">
        <f>IF(BI124=D126,D127,0)</f>
        <v>0</v>
      </c>
      <c r="BJ127" s="44">
        <f>IF(BJ124=D126,D127,0)</f>
        <v>0</v>
      </c>
      <c r="BK127" s="44">
        <f>IF(BK124=D126,D127,0)</f>
        <v>0</v>
      </c>
      <c r="BL127" s="44">
        <f>IF(BL124=D126,D127,0)</f>
        <v>0</v>
      </c>
      <c r="BM127" s="44">
        <f>IF(BM124=D126,D127,0)</f>
        <v>0</v>
      </c>
      <c r="BN127" s="44">
        <f>IF(BN124=D126,D127,0)</f>
        <v>0</v>
      </c>
      <c r="BO127" s="44">
        <f>IF(BO124=D126,D127,0)</f>
        <v>0</v>
      </c>
      <c r="BP127" s="44">
        <f>IF(BP124=D126,D127,0)</f>
        <v>0</v>
      </c>
      <c r="BQ127" s="44">
        <f>IF(BQ124=D126,D127,0)</f>
        <v>0</v>
      </c>
      <c r="BR127" s="44">
        <f>IF(BR124=D126,D127,0)</f>
        <v>0</v>
      </c>
      <c r="BS127" s="44">
        <f>IF(BS124=D126,D127,0)</f>
        <v>0</v>
      </c>
      <c r="BT127" s="44">
        <f>IF(BT124=D126,D127,0)</f>
        <v>0</v>
      </c>
      <c r="BU127" s="44">
        <f>IF(BU124=D126,D127,0)</f>
        <v>0</v>
      </c>
      <c r="BV127" s="44">
        <f>IF(BV124=D126,D127,0)</f>
        <v>0</v>
      </c>
      <c r="BW127" s="44">
        <f>IF(BW124=D126,D127,0)</f>
        <v>0</v>
      </c>
      <c r="BX127" s="44">
        <f>IF(BX124=D126,D127,0)</f>
        <v>0</v>
      </c>
      <c r="BY127" s="44">
        <f>IF(BY124=D126,D127,0)</f>
        <v>0</v>
      </c>
      <c r="BZ127" s="44">
        <f>IF(BZ124=D126,D127,0)</f>
        <v>0</v>
      </c>
      <c r="CA127" s="44">
        <f>IF(CA124=D126,D127,0)</f>
        <v>0</v>
      </c>
      <c r="CB127" s="44">
        <f>IF(CB124=D126,D127,0)</f>
        <v>0</v>
      </c>
      <c r="CC127" s="44">
        <f>IF(CC124=D126,D127,0)</f>
        <v>0</v>
      </c>
      <c r="CD127" s="44">
        <f>IF(CD124=D126,D127,0)</f>
        <v>0</v>
      </c>
      <c r="CE127" s="44">
        <f>IF(CE124=D126,D127,0)</f>
        <v>0</v>
      </c>
      <c r="CF127" s="44">
        <f>IF(CF124=D126,D127,0)</f>
        <v>0</v>
      </c>
      <c r="CG127" s="44">
        <f>IF(CG124=D126,D127,0)</f>
        <v>0</v>
      </c>
      <c r="CH127" s="44">
        <f>IF(CH124=D126,D127,0)</f>
        <v>0</v>
      </c>
      <c r="CI127" s="44">
        <f>IF(CI124=D126,D127,0)</f>
        <v>0</v>
      </c>
      <c r="CJ127" s="44">
        <f>IF(CJ124=D126,D127,0)</f>
        <v>0</v>
      </c>
      <c r="CK127" s="44">
        <f>IF(CK124=D126,D127,0)</f>
        <v>0</v>
      </c>
      <c r="CL127" s="44">
        <f>IF(CL124=D126,D127,0)</f>
        <v>0</v>
      </c>
      <c r="CM127" s="44">
        <f>IF(CM124=D126,D127,0)</f>
        <v>0</v>
      </c>
      <c r="CN127" s="44">
        <f>IF(CN124=D126,D127,0)</f>
        <v>0</v>
      </c>
      <c r="CO127" s="44">
        <f>IF(CO124=D126,D127,0)</f>
        <v>0</v>
      </c>
      <c r="CP127" s="44">
        <f>IF(CP124=D126,D127,0)</f>
        <v>0</v>
      </c>
      <c r="CQ127" s="44">
        <f>IF(CQ124=D126,D127,0)</f>
        <v>0</v>
      </c>
      <c r="CR127" s="44">
        <f>IF(CR124=D126,D127,0)</f>
        <v>0</v>
      </c>
      <c r="CS127" s="44">
        <f>IF(CS124=D126,D127,0)</f>
        <v>0</v>
      </c>
      <c r="CT127" s="44">
        <f>IF(CT124=D126,D127,0)</f>
        <v>0</v>
      </c>
      <c r="CU127" s="44">
        <f>IF(CU124=D126,D127,0)</f>
        <v>0</v>
      </c>
      <c r="CV127" s="44">
        <f>IF(CV124=D126,D127,0)</f>
        <v>0</v>
      </c>
      <c r="CW127" s="44">
        <f>IF(CW124=D126,D127,0)</f>
        <v>0</v>
      </c>
      <c r="CX127" s="44">
        <f>IF(CX124=D126,D127,0)</f>
        <v>0</v>
      </c>
      <c r="CY127" s="44">
        <f>IF(CY124=D126,D127,0)</f>
        <v>0</v>
      </c>
      <c r="CZ127" s="44">
        <f>IF(CZ124=D126,D127,0)</f>
        <v>0</v>
      </c>
      <c r="DA127" s="44">
        <f>IF(DA124=D126,D127,0)</f>
        <v>0</v>
      </c>
      <c r="DB127" s="44">
        <f>IF(DB124=D126,D127,0)</f>
        <v>0</v>
      </c>
      <c r="DC127" s="44">
        <f>IF(DC124=D126,D127,0)</f>
        <v>0</v>
      </c>
      <c r="DD127" s="44">
        <f>IF(DD124=D126,D127,0)</f>
        <v>0</v>
      </c>
      <c r="DE127" s="44">
        <f>IF(DE124=D126,D127,0)</f>
        <v>0</v>
      </c>
      <c r="DF127" s="44">
        <f>IF(DF124=D126,D127,0)</f>
        <v>0</v>
      </c>
      <c r="DG127" s="44">
        <f>IF(DG124=D126,D127,0)</f>
        <v>0</v>
      </c>
      <c r="DH127" s="44">
        <f>IF(DH124=D126,D127,0)</f>
        <v>0</v>
      </c>
      <c r="DI127" s="44">
        <f>IF(DI124=D126,D127,0)</f>
        <v>0</v>
      </c>
      <c r="DJ127" s="44">
        <f>IF(DJ124=D126,D127,0)</f>
        <v>0</v>
      </c>
      <c r="DK127" s="44">
        <f>IF(DK124=D126,D127,0)</f>
        <v>0</v>
      </c>
      <c r="DL127" s="44">
        <f>IF(DL124=D126,D127,0)</f>
        <v>0</v>
      </c>
      <c r="DM127" s="44">
        <f>IF(DM124=D126,D127,0)</f>
        <v>0</v>
      </c>
      <c r="DN127" s="44">
        <f>IF(DN124=D126,D127,0)</f>
        <v>0</v>
      </c>
      <c r="DO127" s="44">
        <f>IF(DO124=D126,D127,0)</f>
        <v>0</v>
      </c>
      <c r="DP127" s="44">
        <f>IF(DP124=D126,D127,0)</f>
        <v>0</v>
      </c>
      <c r="DQ127" s="44">
        <f>IF(DQ124=D126,D127,0)</f>
        <v>0</v>
      </c>
      <c r="DR127" s="44">
        <f>IF(DR124=D126,D127,0)</f>
        <v>0</v>
      </c>
      <c r="DS127" s="44">
        <f>IF(DS124=D126,D127,0)</f>
        <v>0</v>
      </c>
      <c r="DT127" s="44">
        <f>IF(DT124=D126,D127,0)</f>
        <v>0</v>
      </c>
      <c r="DU127" s="44">
        <f>IF(DU124=D126,D127,0)</f>
        <v>0</v>
      </c>
      <c r="DV127" s="44">
        <f>IF(DV124=D126,D127,0)</f>
        <v>0</v>
      </c>
      <c r="DW127" s="44">
        <f>IF(DW124=D126,D127,0)</f>
        <v>0</v>
      </c>
      <c r="DX127" s="44">
        <f>IF(DX124=D126,D127,0)</f>
        <v>0</v>
      </c>
      <c r="DY127" s="44">
        <f>IF(DY124=D126,D127,0)</f>
        <v>0</v>
      </c>
      <c r="DZ127" s="44">
        <f>IF(DZ124=D126,D127,0)</f>
        <v>0</v>
      </c>
      <c r="EA127" s="44">
        <f>IF(EA124=D126,D127,0)</f>
        <v>0</v>
      </c>
      <c r="EB127" s="44">
        <f>IF(EB124=D126,D127,0)</f>
        <v>0</v>
      </c>
      <c r="EC127" s="44">
        <f>IF(EC124=D126,D127,0)</f>
        <v>0</v>
      </c>
      <c r="ED127" s="44">
        <f>IF(ED124=D126,D127,0)</f>
        <v>0</v>
      </c>
      <c r="EE127" s="44">
        <f>IF(EE124=D126,D127,0)</f>
        <v>0</v>
      </c>
      <c r="EF127" s="44">
        <f>IF(EF124=D126,D127,0)</f>
        <v>0</v>
      </c>
      <c r="EG127" s="44">
        <f>IF(EG124=D126,D127,0)</f>
        <v>0</v>
      </c>
      <c r="EH127" s="44">
        <f>IF(EH124=D126,D127,0)</f>
        <v>0</v>
      </c>
      <c r="EI127" s="44">
        <f t="shared" ref="EI127:EN127" si="253">IF(EI124=E126,E127,0)</f>
        <v>0</v>
      </c>
      <c r="EJ127" s="44">
        <f t="shared" si="253"/>
        <v>0</v>
      </c>
      <c r="EK127" s="44">
        <f t="shared" si="253"/>
        <v>0</v>
      </c>
      <c r="EL127" s="44">
        <f t="shared" si="253"/>
        <v>0</v>
      </c>
      <c r="EM127" s="44">
        <f t="shared" si="253"/>
        <v>0</v>
      </c>
      <c r="EN127" s="44">
        <f t="shared" si="253"/>
        <v>0</v>
      </c>
    </row>
    <row r="128" spans="2:144" outlineLevel="1">
      <c r="C128" s="151" t="s">
        <v>73</v>
      </c>
      <c r="D128" s="45"/>
      <c r="E128" s="44"/>
      <c r="F128" s="44"/>
      <c r="G128" s="44"/>
      <c r="H128" s="44">
        <f>(IF(H124=D126,H127,G130))</f>
        <v>0</v>
      </c>
      <c r="I128" s="44">
        <f>(IF(I124=D126,I127,H130))</f>
        <v>0</v>
      </c>
      <c r="J128" s="44">
        <f>(IF(J124=D126,J127,I130))</f>
        <v>0</v>
      </c>
      <c r="K128" s="44">
        <f>(IF(K124=D126,K127,J130))</f>
        <v>0</v>
      </c>
      <c r="L128" s="44">
        <f>(IF(L124=D126,L127,K130))</f>
        <v>0</v>
      </c>
      <c r="M128" s="44">
        <f>(IF(M124=D126,M127,L130))</f>
        <v>0</v>
      </c>
      <c r="N128" s="44">
        <f>(IF(N124=D126,N127,M130))</f>
        <v>0</v>
      </c>
      <c r="O128" s="44">
        <f>(IF(O124=D126,O127,N130))</f>
        <v>0</v>
      </c>
      <c r="P128" s="44">
        <f>(IF(P124=D126,P127,O130))</f>
        <v>0</v>
      </c>
      <c r="Q128" s="44">
        <f>(IF(Q124=D126,Q127,P130))</f>
        <v>0</v>
      </c>
      <c r="R128" s="44">
        <f>(IF(R124=D126,R127,Q130))</f>
        <v>0</v>
      </c>
      <c r="S128" s="44">
        <f>(IF(S124=D126,S127,R130))</f>
        <v>0</v>
      </c>
      <c r="T128" s="44">
        <f>(IF(T124=D126,T127,S130))</f>
        <v>0</v>
      </c>
      <c r="U128" s="44">
        <f>(IF(U124=D126,U127,T130))</f>
        <v>0</v>
      </c>
      <c r="V128" s="44">
        <f>(IF(V124=D126,V127,U130))</f>
        <v>19282532.826812025</v>
      </c>
      <c r="W128" s="44">
        <f>(IF(W124=D126,W127,V130))</f>
        <v>19121845.05325526</v>
      </c>
      <c r="X128" s="44">
        <f>(IF(X124=D126,X127,W130))</f>
        <v>18961157.279698495</v>
      </c>
      <c r="Y128" s="44">
        <f>(IF(Y124=D126,Y127,X130))</f>
        <v>18800469.50614173</v>
      </c>
      <c r="Z128" s="44">
        <f>(IF(Z124=D126,Z127,Y130))</f>
        <v>18639781.732584964</v>
      </c>
      <c r="AA128" s="44">
        <f>(IF(AA124=D126,AA127,Z130))</f>
        <v>18479093.959028199</v>
      </c>
      <c r="AB128" s="44">
        <f>(IF(AB124=D126,AB127,AA130))</f>
        <v>18318406.185471434</v>
      </c>
      <c r="AC128" s="44">
        <f>(IF(AC124=D126,AC127,AB130))</f>
        <v>18157718.411914669</v>
      </c>
      <c r="AD128" s="44">
        <f>(IF(AD124=D126,AD127,AC130))</f>
        <v>17997030.638357904</v>
      </c>
      <c r="AE128" s="44">
        <f>(IF(AE124=D126,AE127,AD130))</f>
        <v>17836342.864801139</v>
      </c>
      <c r="AF128" s="44">
        <f>(IF(AF124=D126,AF127,AE130))</f>
        <v>17675655.091244373</v>
      </c>
      <c r="AG128" s="44">
        <f>(IF(AG124=D126,AG127,AF130))</f>
        <v>17514967.317687608</v>
      </c>
      <c r="AH128" s="44">
        <f>(IF(AH124=D126,AH127,AG130))</f>
        <v>17354279.544130843</v>
      </c>
      <c r="AI128" s="44">
        <f>(IF(AI124=D126,AI127,AH130))</f>
        <v>17193591.770574078</v>
      </c>
      <c r="AJ128" s="44">
        <f>(IF(AJ124=D126,AJ127,AI130))</f>
        <v>17032903.997017313</v>
      </c>
      <c r="AK128" s="44">
        <f>(IF(AK124=D126,AK127,AJ130))</f>
        <v>16872216.223460548</v>
      </c>
      <c r="AL128" s="44">
        <f>(IF(AL124=D126,AL127,AK130))</f>
        <v>16711528.449903781</v>
      </c>
      <c r="AM128" s="44">
        <f>(IF(AM124=D126,AM127,AL130))</f>
        <v>16550840.676347014</v>
      </c>
      <c r="AN128" s="44">
        <f>(IF(AN124=D126,AN127,AM130))</f>
        <v>16390152.902790247</v>
      </c>
      <c r="AO128" s="44">
        <f>(IF(AO124=D126,AO127,AN130))</f>
        <v>16229465.129233479</v>
      </c>
      <c r="AP128" s="44">
        <f>(IF(AP124=D126,AP127,AO130))</f>
        <v>16068777.355676712</v>
      </c>
      <c r="AQ128" s="44">
        <f>(IF(AQ124=D126,AQ127,AP130))</f>
        <v>15908089.582119945</v>
      </c>
      <c r="AR128" s="44">
        <f>(IF(AR124=D126,AR127,AQ130))</f>
        <v>15747401.808563178</v>
      </c>
      <c r="AS128" s="44">
        <f>(IF(AS124=D126,AS127,AR130))</f>
        <v>15586714.035006411</v>
      </c>
      <c r="AT128" s="44">
        <f>(IF(AT124=D126,AT127,AS130))</f>
        <v>15426026.261449644</v>
      </c>
      <c r="AU128" s="44">
        <f>(IF(AU124=D126,AU127,AT130))</f>
        <v>15265338.487892877</v>
      </c>
      <c r="AV128" s="44">
        <f>(IF(AV124=D126,AV127,AU130))</f>
        <v>15104650.71433611</v>
      </c>
      <c r="AW128" s="44">
        <f>(IF(AW124=D126,AW127,AV130))</f>
        <v>14943962.940779343</v>
      </c>
      <c r="AX128" s="44">
        <f>(IF(AX124=D126,AX127,AW130))</f>
        <v>14783275.167222576</v>
      </c>
      <c r="AY128" s="44">
        <f>(IF(AY124=D126,AY127,AX130))</f>
        <v>14622587.393665809</v>
      </c>
      <c r="AZ128" s="44">
        <f>(IF(AZ124=D126,AZ127,AY130))</f>
        <v>14461899.620109042</v>
      </c>
      <c r="BA128" s="44">
        <f>(IF(BA124=D126,BA127,AZ130))</f>
        <v>14301211.846552275</v>
      </c>
      <c r="BB128" s="44">
        <f>(IF(BB124=D126,BB127,BA130))</f>
        <v>14140524.072995508</v>
      </c>
      <c r="BC128" s="44">
        <f>(IF(BC124=D126,BC127,BB130))</f>
        <v>13979836.299438741</v>
      </c>
      <c r="BD128" s="44">
        <f>(IF(BD124=D126,BD127,BC130))</f>
        <v>13819148.525881974</v>
      </c>
      <c r="BE128" s="44">
        <f>(IF(BE124=D126,BE127,BD130))</f>
        <v>13658460.752325207</v>
      </c>
      <c r="BF128" s="44">
        <f>(IF(BF124=D126,BF127,BE130))</f>
        <v>13497772.97876844</v>
      </c>
      <c r="BG128" s="44">
        <f>(IF(BG124=D126,BG127,BF130))</f>
        <v>13337085.205211673</v>
      </c>
      <c r="BH128" s="44">
        <f>(IF(BH124=D126,BH127,BG130))</f>
        <v>13176397.431654906</v>
      </c>
      <c r="BI128" s="44">
        <f>(IF(BI124=D126,BI127,BH130))</f>
        <v>13015709.658098139</v>
      </c>
      <c r="BJ128" s="44">
        <f>(IF(BJ124=D126,BJ127,BI130))</f>
        <v>12855021.884541372</v>
      </c>
      <c r="BK128" s="44">
        <f>(IF(BK124=D126,BK127,BJ130))</f>
        <v>12694334.110984605</v>
      </c>
      <c r="BL128" s="44">
        <f>(IF(BL124=D126,BL127,BK130))</f>
        <v>12533646.337427838</v>
      </c>
      <c r="BM128" s="44">
        <f>(IF(BM124=D126,BM127,BL130))</f>
        <v>12372958.563871071</v>
      </c>
      <c r="BN128" s="44">
        <f>(IF(BN124=D126,BN127,BM130))</f>
        <v>12212270.790314304</v>
      </c>
      <c r="BO128" s="44">
        <f>(IF(BO124=D126,BO127,BN130))</f>
        <v>12051583.016757537</v>
      </c>
      <c r="BP128" s="44">
        <f>(IF(BP124=D126,BP127,BO130))</f>
        <v>11890895.24320077</v>
      </c>
      <c r="BQ128" s="44">
        <f>(IF(BQ124=D126,BQ127,BP130))</f>
        <v>11730207.469644003</v>
      </c>
      <c r="BR128" s="44">
        <f>(IF(BR124=D126,BR127,BQ130))</f>
        <v>11569519.696087236</v>
      </c>
      <c r="BS128" s="44">
        <f>(IF(BS124=D126,BS127,BR130))</f>
        <v>11408831.922530469</v>
      </c>
      <c r="BT128" s="44">
        <f>(IF(BT124=D126,BT127,BS130))</f>
        <v>11248144.148973702</v>
      </c>
      <c r="BU128" s="44">
        <f>(IF(BU124=D126,BU127,BT130))</f>
        <v>11087456.375416934</v>
      </c>
      <c r="BV128" s="44">
        <f>(IF(BV124=D126,BV127,BU130))</f>
        <v>10926768.601860167</v>
      </c>
      <c r="BW128" s="44">
        <f>(IF(BW124=D126,BW127,BV130))</f>
        <v>10766080.8283034</v>
      </c>
      <c r="BX128" s="44">
        <f>(IF(BX124=D126,BX127,BW130))</f>
        <v>10605393.054746633</v>
      </c>
      <c r="BY128" s="44">
        <f>(IF(BY124=D126,BY127,BX130))</f>
        <v>10444705.281189866</v>
      </c>
      <c r="BZ128" s="44">
        <f>(IF(BZ124=D126,BZ127,BY130))</f>
        <v>10284017.507633099</v>
      </c>
      <c r="CA128" s="44">
        <f>(IF(CA124=D126,CA127,BZ130))</f>
        <v>10123329.734076332</v>
      </c>
      <c r="CB128" s="44">
        <f>(IF(CB124=D126,CB127,CA130))</f>
        <v>9962641.9605195653</v>
      </c>
      <c r="CC128" s="44">
        <f>(IF(CC124=D126,CC127,CB130))</f>
        <v>9801954.1869627982</v>
      </c>
      <c r="CD128" s="44">
        <f>(IF(CD124=D126,CD127,CC130))</f>
        <v>9641266.4134060312</v>
      </c>
      <c r="CE128" s="44">
        <f>(IF(CE124=D126,CE127,CD130))</f>
        <v>9480578.6398492642</v>
      </c>
      <c r="CF128" s="44">
        <f>(IF(CF124=D126,CF127,CE130))</f>
        <v>9319890.8662924971</v>
      </c>
      <c r="CG128" s="44">
        <f>(IF(CG124=D126,CG127,CF130))</f>
        <v>9159203.0927357301</v>
      </c>
      <c r="CH128" s="44">
        <f>(IF(CH124=D126,CH127,CG130))</f>
        <v>8998515.3191789631</v>
      </c>
      <c r="CI128" s="44">
        <f>(IF(CI124=D126,CI127,CH130))</f>
        <v>8837827.545622196</v>
      </c>
      <c r="CJ128" s="44">
        <f>(IF(CJ124=D126,CJ127,CI130))</f>
        <v>8677139.772065429</v>
      </c>
      <c r="CK128" s="44">
        <f>(IF(CK124=D126,CK127,CJ130))</f>
        <v>8516451.998508662</v>
      </c>
      <c r="CL128" s="44">
        <f>(IF(CL124=D126,CL127,CK130))</f>
        <v>8355764.224951895</v>
      </c>
      <c r="CM128" s="44">
        <f>(IF(CM124=D126,CM127,CL130))</f>
        <v>8195076.4513951279</v>
      </c>
      <c r="CN128" s="44">
        <f>(IF(CN124=D126,CN127,CM130))</f>
        <v>8034388.6778383609</v>
      </c>
      <c r="CO128" s="44">
        <f>(IF(CO124=D126,CO127,CN130))</f>
        <v>7873700.9042815939</v>
      </c>
      <c r="CP128" s="44">
        <f>(IF(CP124=D126,CP127,CO130))</f>
        <v>7713013.1307248268</v>
      </c>
      <c r="CQ128" s="44">
        <f>(IF(CQ124=D126,CQ127,CP130))</f>
        <v>7552325.3571680598</v>
      </c>
      <c r="CR128" s="44">
        <f>(IF(CR124=D126,CR127,CQ130))</f>
        <v>7391637.5836112928</v>
      </c>
      <c r="CS128" s="44">
        <f>(IF(CS124=D126,CS127,CR130))</f>
        <v>7230949.8100545257</v>
      </c>
      <c r="CT128" s="44">
        <f>(IF(CT124=D126,CT127,CS130))</f>
        <v>7070262.0364977587</v>
      </c>
      <c r="CU128" s="44">
        <f>(IF(CU124=D126,CU127,CT130))</f>
        <v>6909574.2629409917</v>
      </c>
      <c r="CV128" s="44">
        <f>(IF(CV124=D126,CV127,CU130))</f>
        <v>6748886.4893842246</v>
      </c>
      <c r="CW128" s="44">
        <f>(IF(CW124=D126,CW127,CV130))</f>
        <v>6588198.7158274576</v>
      </c>
      <c r="CX128" s="44">
        <f>(IF(CX124=D126,CX127,CW130))</f>
        <v>6427510.9422706906</v>
      </c>
      <c r="CY128" s="44">
        <f>(IF(CY124=D126,CY127,CX130))</f>
        <v>6266823.1687139235</v>
      </c>
      <c r="CZ128" s="44">
        <f>(IF(CZ124=D126,CZ127,CY130))</f>
        <v>6106135.3951571565</v>
      </c>
      <c r="DA128" s="44">
        <f>(IF(DA124=D126,DA127,CZ130))</f>
        <v>5945447.6216003895</v>
      </c>
      <c r="DB128" s="44">
        <f>(IF(DB124=D126,DB127,DA130))</f>
        <v>5784759.8480436224</v>
      </c>
      <c r="DC128" s="44">
        <f>(IF(DC124=D126,DC127,DB130))</f>
        <v>5624072.0744868554</v>
      </c>
      <c r="DD128" s="44">
        <f>(IF(DD124=D126,DD127,DC130))</f>
        <v>5463384.3009300884</v>
      </c>
      <c r="DE128" s="44">
        <f>(IF(DE124=D126,DE127,DD130))</f>
        <v>5302696.5273733214</v>
      </c>
      <c r="DF128" s="44">
        <f>(IF(DF124=D126,DF127,DE130))</f>
        <v>5142008.7538165543</v>
      </c>
      <c r="DG128" s="44">
        <f>(IF(DG124=D126,DG127,DF130))</f>
        <v>4981320.9802597873</v>
      </c>
      <c r="DH128" s="44">
        <f>(IF(DH124=D126,DH127,DG130))</f>
        <v>4820633.2067030203</v>
      </c>
      <c r="DI128" s="44">
        <f>(IF(DI124=D126,DI127,DH130))</f>
        <v>4659945.4331462532</v>
      </c>
      <c r="DJ128" s="44">
        <f>(IF(DJ124=D126,DJ127,DI130))</f>
        <v>4499257.6595894862</v>
      </c>
      <c r="DK128" s="44">
        <f>(IF(DK124=D126,DK127,DJ130))</f>
        <v>4338569.8860327192</v>
      </c>
      <c r="DL128" s="44">
        <f>(IF(DL124=D126,DL127,DK130))</f>
        <v>4177882.1124759521</v>
      </c>
      <c r="DM128" s="44">
        <f>(IF(DM124=D126,DM127,DL130))</f>
        <v>4017194.3389191851</v>
      </c>
      <c r="DN128" s="44">
        <f>(IF(DN124=D126,DN127,DM130))</f>
        <v>3856506.5653624181</v>
      </c>
      <c r="DO128" s="44">
        <f>(IF(DO124=D126,DO127,DN130))</f>
        <v>3695818.791805651</v>
      </c>
      <c r="DP128" s="44">
        <f>(IF(DP124=D126,DP127,DO130))</f>
        <v>3535131.018248884</v>
      </c>
      <c r="DQ128" s="44">
        <f>(IF(DQ124=D126,DQ127,DP130))</f>
        <v>3374443.244692117</v>
      </c>
      <c r="DR128" s="44">
        <f>(IF(DR124=D126,DR127,DQ130))</f>
        <v>3213755.4711353499</v>
      </c>
      <c r="DS128" s="44">
        <f>(IF(DS124=D126,DS127,DR130))</f>
        <v>3053067.6975785829</v>
      </c>
      <c r="DT128" s="44">
        <f>(IF(DT124=D126,DT127,DS130))</f>
        <v>2892379.9240218159</v>
      </c>
      <c r="DU128" s="44">
        <f>(IF(DU124=D126,DU127,DT130))</f>
        <v>2731692.1504650488</v>
      </c>
      <c r="DV128" s="44">
        <f>(IF(DV124=D126,DV127,DU130))</f>
        <v>2571004.3769082818</v>
      </c>
      <c r="DW128" s="44">
        <f>(IF(DW124=D126,DW127,DV130))</f>
        <v>2410316.6033515148</v>
      </c>
      <c r="DX128" s="44">
        <f>(IF(DX124=D126,DX127,DW130))</f>
        <v>2249628.8297947478</v>
      </c>
      <c r="DY128" s="44">
        <f>(IF(DY124=D126,DY127,DX130))</f>
        <v>2088941.056237981</v>
      </c>
      <c r="DZ128" s="44">
        <f>(IF(DZ124=D126,DZ127,DY130))</f>
        <v>1928253.2826812142</v>
      </c>
      <c r="EA128" s="44">
        <f>(IF(EA124=D126,EA127,DZ130))</f>
        <v>1767565.5091244474</v>
      </c>
      <c r="EB128" s="44">
        <f>(IF(EB124=D126,EB127,EA130))</f>
        <v>1606877.7355676806</v>
      </c>
      <c r="EC128" s="44">
        <f>(IF(EC124=D126,EC127,EB130))</f>
        <v>1446189.9620109138</v>
      </c>
      <c r="ED128" s="44">
        <f>(IF(ED124=D126,ED127,EC130))</f>
        <v>1285502.188454147</v>
      </c>
      <c r="EE128" s="44">
        <f>(IF(EE124=D126,EE127,ED130))</f>
        <v>1124814.4148973802</v>
      </c>
      <c r="EF128" s="44">
        <f>(IF(EF124=D126,EF127,EE130))</f>
        <v>964126.64134061325</v>
      </c>
      <c r="EG128" s="44">
        <f>(IF(EG124=D126,EG127,EF130))</f>
        <v>803438.86778384633</v>
      </c>
      <c r="EH128" s="44">
        <f>(IF(EH124=D126,EH127,EG130))</f>
        <v>642751.09422707942</v>
      </c>
      <c r="EI128" s="44">
        <f t="shared" ref="EI128:EN128" si="254">(IF(EI124=E126,EI127,EH130))</f>
        <v>482063.3206703125</v>
      </c>
      <c r="EJ128" s="44">
        <f t="shared" si="254"/>
        <v>321375.54711354559</v>
      </c>
      <c r="EK128" s="44">
        <f t="shared" si="254"/>
        <v>160687.7735567787</v>
      </c>
      <c r="EL128" s="44">
        <f t="shared" si="254"/>
        <v>1.1816155165433884E-8</v>
      </c>
      <c r="EM128" s="44">
        <f t="shared" si="254"/>
        <v>1.1816155165433884E-8</v>
      </c>
      <c r="EN128" s="44">
        <f t="shared" si="254"/>
        <v>1.1816155165433884E-8</v>
      </c>
    </row>
    <row r="129" spans="2:144" outlineLevel="1">
      <c r="B129" s="459">
        <f>SUM(H129:XX129)</f>
        <v>19282532.82681201</v>
      </c>
      <c r="C129" s="151" t="s">
        <v>24</v>
      </c>
      <c r="D129" s="467">
        <f>SUMIF($C$4:$C$18,B126,$J$4:$J$18)</f>
        <v>30</v>
      </c>
      <c r="E129" s="468">
        <f>1/D129</f>
        <v>3.3333333333333333E-2</v>
      </c>
      <c r="F129" s="44">
        <f>D127*E129</f>
        <v>642751.09422706754</v>
      </c>
      <c r="G129" s="44"/>
      <c r="H129" s="44">
        <f>IF(H128&gt;1,$F129/4,0)</f>
        <v>0</v>
      </c>
      <c r="I129" s="44">
        <f t="shared" ref="I129:BT129" si="255">IF(I128&gt;1,$F129/4,0)</f>
        <v>0</v>
      </c>
      <c r="J129" s="44">
        <f t="shared" si="255"/>
        <v>0</v>
      </c>
      <c r="K129" s="44">
        <f t="shared" si="255"/>
        <v>0</v>
      </c>
      <c r="L129" s="44">
        <f t="shared" si="255"/>
        <v>0</v>
      </c>
      <c r="M129" s="44">
        <f t="shared" si="255"/>
        <v>0</v>
      </c>
      <c r="N129" s="44">
        <f t="shared" si="255"/>
        <v>0</v>
      </c>
      <c r="O129" s="44">
        <f t="shared" si="255"/>
        <v>0</v>
      </c>
      <c r="P129" s="44">
        <f t="shared" si="255"/>
        <v>0</v>
      </c>
      <c r="Q129" s="44">
        <f t="shared" si="255"/>
        <v>0</v>
      </c>
      <c r="R129" s="44">
        <f t="shared" si="255"/>
        <v>0</v>
      </c>
      <c r="S129" s="44">
        <f t="shared" si="255"/>
        <v>0</v>
      </c>
      <c r="T129" s="44">
        <f t="shared" si="255"/>
        <v>0</v>
      </c>
      <c r="U129" s="44">
        <f t="shared" si="255"/>
        <v>0</v>
      </c>
      <c r="V129" s="44">
        <f t="shared" si="255"/>
        <v>160687.77355676689</v>
      </c>
      <c r="W129" s="44">
        <f t="shared" si="255"/>
        <v>160687.77355676689</v>
      </c>
      <c r="X129" s="44">
        <f t="shared" si="255"/>
        <v>160687.77355676689</v>
      </c>
      <c r="Y129" s="44">
        <f t="shared" si="255"/>
        <v>160687.77355676689</v>
      </c>
      <c r="Z129" s="44">
        <f t="shared" si="255"/>
        <v>160687.77355676689</v>
      </c>
      <c r="AA129" s="44">
        <f t="shared" si="255"/>
        <v>160687.77355676689</v>
      </c>
      <c r="AB129" s="44">
        <f t="shared" si="255"/>
        <v>160687.77355676689</v>
      </c>
      <c r="AC129" s="44">
        <f t="shared" si="255"/>
        <v>160687.77355676689</v>
      </c>
      <c r="AD129" s="44">
        <f t="shared" si="255"/>
        <v>160687.77355676689</v>
      </c>
      <c r="AE129" s="44">
        <f t="shared" si="255"/>
        <v>160687.77355676689</v>
      </c>
      <c r="AF129" s="44">
        <f t="shared" si="255"/>
        <v>160687.77355676689</v>
      </c>
      <c r="AG129" s="44">
        <f t="shared" si="255"/>
        <v>160687.77355676689</v>
      </c>
      <c r="AH129" s="44">
        <f t="shared" si="255"/>
        <v>160687.77355676689</v>
      </c>
      <c r="AI129" s="44">
        <f t="shared" si="255"/>
        <v>160687.77355676689</v>
      </c>
      <c r="AJ129" s="44">
        <f t="shared" si="255"/>
        <v>160687.77355676689</v>
      </c>
      <c r="AK129" s="44">
        <f t="shared" si="255"/>
        <v>160687.77355676689</v>
      </c>
      <c r="AL129" s="44">
        <f t="shared" si="255"/>
        <v>160687.77355676689</v>
      </c>
      <c r="AM129" s="44">
        <f t="shared" si="255"/>
        <v>160687.77355676689</v>
      </c>
      <c r="AN129" s="44">
        <f t="shared" si="255"/>
        <v>160687.77355676689</v>
      </c>
      <c r="AO129" s="44">
        <f t="shared" si="255"/>
        <v>160687.77355676689</v>
      </c>
      <c r="AP129" s="44">
        <f t="shared" si="255"/>
        <v>160687.77355676689</v>
      </c>
      <c r="AQ129" s="44">
        <f t="shared" si="255"/>
        <v>160687.77355676689</v>
      </c>
      <c r="AR129" s="44">
        <f t="shared" si="255"/>
        <v>160687.77355676689</v>
      </c>
      <c r="AS129" s="44">
        <f t="shared" si="255"/>
        <v>160687.77355676689</v>
      </c>
      <c r="AT129" s="44">
        <f t="shared" si="255"/>
        <v>160687.77355676689</v>
      </c>
      <c r="AU129" s="44">
        <f t="shared" si="255"/>
        <v>160687.77355676689</v>
      </c>
      <c r="AV129" s="44">
        <f t="shared" si="255"/>
        <v>160687.77355676689</v>
      </c>
      <c r="AW129" s="44">
        <f t="shared" si="255"/>
        <v>160687.77355676689</v>
      </c>
      <c r="AX129" s="44">
        <f t="shared" si="255"/>
        <v>160687.77355676689</v>
      </c>
      <c r="AY129" s="44">
        <f t="shared" si="255"/>
        <v>160687.77355676689</v>
      </c>
      <c r="AZ129" s="44">
        <f t="shared" si="255"/>
        <v>160687.77355676689</v>
      </c>
      <c r="BA129" s="44">
        <f t="shared" si="255"/>
        <v>160687.77355676689</v>
      </c>
      <c r="BB129" s="44">
        <f t="shared" si="255"/>
        <v>160687.77355676689</v>
      </c>
      <c r="BC129" s="44">
        <f t="shared" si="255"/>
        <v>160687.77355676689</v>
      </c>
      <c r="BD129" s="44">
        <f t="shared" si="255"/>
        <v>160687.77355676689</v>
      </c>
      <c r="BE129" s="44">
        <f t="shared" si="255"/>
        <v>160687.77355676689</v>
      </c>
      <c r="BF129" s="44">
        <f t="shared" si="255"/>
        <v>160687.77355676689</v>
      </c>
      <c r="BG129" s="44">
        <f t="shared" si="255"/>
        <v>160687.77355676689</v>
      </c>
      <c r="BH129" s="44">
        <f t="shared" si="255"/>
        <v>160687.77355676689</v>
      </c>
      <c r="BI129" s="44">
        <f t="shared" si="255"/>
        <v>160687.77355676689</v>
      </c>
      <c r="BJ129" s="44">
        <f t="shared" si="255"/>
        <v>160687.77355676689</v>
      </c>
      <c r="BK129" s="44">
        <f t="shared" si="255"/>
        <v>160687.77355676689</v>
      </c>
      <c r="BL129" s="44">
        <f t="shared" si="255"/>
        <v>160687.77355676689</v>
      </c>
      <c r="BM129" s="44">
        <f t="shared" si="255"/>
        <v>160687.77355676689</v>
      </c>
      <c r="BN129" s="44">
        <f t="shared" si="255"/>
        <v>160687.77355676689</v>
      </c>
      <c r="BO129" s="44">
        <f t="shared" si="255"/>
        <v>160687.77355676689</v>
      </c>
      <c r="BP129" s="44">
        <f t="shared" si="255"/>
        <v>160687.77355676689</v>
      </c>
      <c r="BQ129" s="44">
        <f t="shared" si="255"/>
        <v>160687.77355676689</v>
      </c>
      <c r="BR129" s="44">
        <f t="shared" si="255"/>
        <v>160687.77355676689</v>
      </c>
      <c r="BS129" s="44">
        <f t="shared" si="255"/>
        <v>160687.77355676689</v>
      </c>
      <c r="BT129" s="44">
        <f t="shared" si="255"/>
        <v>160687.77355676689</v>
      </c>
      <c r="BU129" s="44">
        <f t="shared" ref="BU129:EF129" si="256">IF(BU128&gt;1,$F129/4,0)</f>
        <v>160687.77355676689</v>
      </c>
      <c r="BV129" s="44">
        <f t="shared" si="256"/>
        <v>160687.77355676689</v>
      </c>
      <c r="BW129" s="44">
        <f t="shared" si="256"/>
        <v>160687.77355676689</v>
      </c>
      <c r="BX129" s="44">
        <f t="shared" si="256"/>
        <v>160687.77355676689</v>
      </c>
      <c r="BY129" s="44">
        <f t="shared" si="256"/>
        <v>160687.77355676689</v>
      </c>
      <c r="BZ129" s="44">
        <f t="shared" si="256"/>
        <v>160687.77355676689</v>
      </c>
      <c r="CA129" s="44">
        <f t="shared" si="256"/>
        <v>160687.77355676689</v>
      </c>
      <c r="CB129" s="44">
        <f t="shared" si="256"/>
        <v>160687.77355676689</v>
      </c>
      <c r="CC129" s="44">
        <f t="shared" si="256"/>
        <v>160687.77355676689</v>
      </c>
      <c r="CD129" s="44">
        <f t="shared" si="256"/>
        <v>160687.77355676689</v>
      </c>
      <c r="CE129" s="44">
        <f t="shared" si="256"/>
        <v>160687.77355676689</v>
      </c>
      <c r="CF129" s="44">
        <f t="shared" si="256"/>
        <v>160687.77355676689</v>
      </c>
      <c r="CG129" s="44">
        <f t="shared" si="256"/>
        <v>160687.77355676689</v>
      </c>
      <c r="CH129" s="44">
        <f t="shared" si="256"/>
        <v>160687.77355676689</v>
      </c>
      <c r="CI129" s="44">
        <f t="shared" si="256"/>
        <v>160687.77355676689</v>
      </c>
      <c r="CJ129" s="44">
        <f t="shared" si="256"/>
        <v>160687.77355676689</v>
      </c>
      <c r="CK129" s="44">
        <f t="shared" si="256"/>
        <v>160687.77355676689</v>
      </c>
      <c r="CL129" s="44">
        <f t="shared" si="256"/>
        <v>160687.77355676689</v>
      </c>
      <c r="CM129" s="44">
        <f t="shared" si="256"/>
        <v>160687.77355676689</v>
      </c>
      <c r="CN129" s="44">
        <f t="shared" si="256"/>
        <v>160687.77355676689</v>
      </c>
      <c r="CO129" s="44">
        <f t="shared" si="256"/>
        <v>160687.77355676689</v>
      </c>
      <c r="CP129" s="44">
        <f t="shared" si="256"/>
        <v>160687.77355676689</v>
      </c>
      <c r="CQ129" s="44">
        <f t="shared" si="256"/>
        <v>160687.77355676689</v>
      </c>
      <c r="CR129" s="44">
        <f t="shared" si="256"/>
        <v>160687.77355676689</v>
      </c>
      <c r="CS129" s="44">
        <f t="shared" si="256"/>
        <v>160687.77355676689</v>
      </c>
      <c r="CT129" s="44">
        <f t="shared" si="256"/>
        <v>160687.77355676689</v>
      </c>
      <c r="CU129" s="44">
        <f t="shared" si="256"/>
        <v>160687.77355676689</v>
      </c>
      <c r="CV129" s="44">
        <f t="shared" si="256"/>
        <v>160687.77355676689</v>
      </c>
      <c r="CW129" s="44">
        <f t="shared" si="256"/>
        <v>160687.77355676689</v>
      </c>
      <c r="CX129" s="44">
        <f t="shared" si="256"/>
        <v>160687.77355676689</v>
      </c>
      <c r="CY129" s="44">
        <f t="shared" si="256"/>
        <v>160687.77355676689</v>
      </c>
      <c r="CZ129" s="44">
        <f t="shared" si="256"/>
        <v>160687.77355676689</v>
      </c>
      <c r="DA129" s="44">
        <f t="shared" si="256"/>
        <v>160687.77355676689</v>
      </c>
      <c r="DB129" s="44">
        <f t="shared" si="256"/>
        <v>160687.77355676689</v>
      </c>
      <c r="DC129" s="44">
        <f t="shared" si="256"/>
        <v>160687.77355676689</v>
      </c>
      <c r="DD129" s="44">
        <f t="shared" si="256"/>
        <v>160687.77355676689</v>
      </c>
      <c r="DE129" s="44">
        <f t="shared" si="256"/>
        <v>160687.77355676689</v>
      </c>
      <c r="DF129" s="44">
        <f t="shared" si="256"/>
        <v>160687.77355676689</v>
      </c>
      <c r="DG129" s="44">
        <f t="shared" si="256"/>
        <v>160687.77355676689</v>
      </c>
      <c r="DH129" s="44">
        <f t="shared" si="256"/>
        <v>160687.77355676689</v>
      </c>
      <c r="DI129" s="44">
        <f t="shared" si="256"/>
        <v>160687.77355676689</v>
      </c>
      <c r="DJ129" s="44">
        <f t="shared" si="256"/>
        <v>160687.77355676689</v>
      </c>
      <c r="DK129" s="44">
        <f t="shared" si="256"/>
        <v>160687.77355676689</v>
      </c>
      <c r="DL129" s="44">
        <f t="shared" si="256"/>
        <v>160687.77355676689</v>
      </c>
      <c r="DM129" s="44">
        <f t="shared" si="256"/>
        <v>160687.77355676689</v>
      </c>
      <c r="DN129" s="44">
        <f t="shared" si="256"/>
        <v>160687.77355676689</v>
      </c>
      <c r="DO129" s="44">
        <f t="shared" si="256"/>
        <v>160687.77355676689</v>
      </c>
      <c r="DP129" s="44">
        <f t="shared" si="256"/>
        <v>160687.77355676689</v>
      </c>
      <c r="DQ129" s="44">
        <f t="shared" si="256"/>
        <v>160687.77355676689</v>
      </c>
      <c r="DR129" s="44">
        <f t="shared" si="256"/>
        <v>160687.77355676689</v>
      </c>
      <c r="DS129" s="44">
        <f t="shared" si="256"/>
        <v>160687.77355676689</v>
      </c>
      <c r="DT129" s="44">
        <f t="shared" si="256"/>
        <v>160687.77355676689</v>
      </c>
      <c r="DU129" s="44">
        <f t="shared" si="256"/>
        <v>160687.77355676689</v>
      </c>
      <c r="DV129" s="44">
        <f t="shared" si="256"/>
        <v>160687.77355676689</v>
      </c>
      <c r="DW129" s="44">
        <f t="shared" si="256"/>
        <v>160687.77355676689</v>
      </c>
      <c r="DX129" s="44">
        <f t="shared" si="256"/>
        <v>160687.77355676689</v>
      </c>
      <c r="DY129" s="44">
        <f t="shared" si="256"/>
        <v>160687.77355676689</v>
      </c>
      <c r="DZ129" s="44">
        <f t="shared" si="256"/>
        <v>160687.77355676689</v>
      </c>
      <c r="EA129" s="44">
        <f t="shared" si="256"/>
        <v>160687.77355676689</v>
      </c>
      <c r="EB129" s="44">
        <f t="shared" si="256"/>
        <v>160687.77355676689</v>
      </c>
      <c r="EC129" s="44">
        <f t="shared" si="256"/>
        <v>160687.77355676689</v>
      </c>
      <c r="ED129" s="44">
        <f t="shared" si="256"/>
        <v>160687.77355676689</v>
      </c>
      <c r="EE129" s="44">
        <f t="shared" si="256"/>
        <v>160687.77355676689</v>
      </c>
      <c r="EF129" s="44">
        <f t="shared" si="256"/>
        <v>160687.77355676689</v>
      </c>
      <c r="EG129" s="44">
        <f t="shared" ref="EG129:EN129" si="257">IF(EG128&gt;1,$F129/4,0)</f>
        <v>160687.77355676689</v>
      </c>
      <c r="EH129" s="44">
        <f t="shared" si="257"/>
        <v>160687.77355676689</v>
      </c>
      <c r="EI129" s="44">
        <f t="shared" si="257"/>
        <v>160687.77355676689</v>
      </c>
      <c r="EJ129" s="44">
        <f t="shared" si="257"/>
        <v>160687.77355676689</v>
      </c>
      <c r="EK129" s="44">
        <f t="shared" si="257"/>
        <v>160687.77355676689</v>
      </c>
      <c r="EL129" s="44">
        <f t="shared" si="257"/>
        <v>0</v>
      </c>
      <c r="EM129" s="44">
        <f t="shared" si="257"/>
        <v>0</v>
      </c>
      <c r="EN129" s="44">
        <f t="shared" si="257"/>
        <v>0</v>
      </c>
    </row>
    <row r="130" spans="2:144" outlineLevel="1">
      <c r="B130" s="459">
        <f>D127-B129</f>
        <v>0</v>
      </c>
      <c r="C130" s="151" t="s">
        <v>74</v>
      </c>
      <c r="D130" s="44"/>
      <c r="E130" s="44"/>
      <c r="F130" s="44"/>
      <c r="G130" s="44"/>
      <c r="H130" s="44">
        <f>IF((H128-H129)&gt;0,(H128-H129),0)</f>
        <v>0</v>
      </c>
      <c r="I130" s="44">
        <f t="shared" ref="I130:BT130" si="258">IF((I128-I129)&gt;0,(I128-I129),0)</f>
        <v>0</v>
      </c>
      <c r="J130" s="44">
        <f t="shared" si="258"/>
        <v>0</v>
      </c>
      <c r="K130" s="44">
        <f t="shared" si="258"/>
        <v>0</v>
      </c>
      <c r="L130" s="44">
        <f t="shared" si="258"/>
        <v>0</v>
      </c>
      <c r="M130" s="44">
        <f t="shared" si="258"/>
        <v>0</v>
      </c>
      <c r="N130" s="44">
        <f t="shared" si="258"/>
        <v>0</v>
      </c>
      <c r="O130" s="44">
        <f t="shared" si="258"/>
        <v>0</v>
      </c>
      <c r="P130" s="44">
        <f t="shared" si="258"/>
        <v>0</v>
      </c>
      <c r="Q130" s="44">
        <f t="shared" si="258"/>
        <v>0</v>
      </c>
      <c r="R130" s="44">
        <f t="shared" si="258"/>
        <v>0</v>
      </c>
      <c r="S130" s="44">
        <f t="shared" si="258"/>
        <v>0</v>
      </c>
      <c r="T130" s="44">
        <f t="shared" si="258"/>
        <v>0</v>
      </c>
      <c r="U130" s="44">
        <f t="shared" si="258"/>
        <v>0</v>
      </c>
      <c r="V130" s="44">
        <f t="shared" si="258"/>
        <v>19121845.05325526</v>
      </c>
      <c r="W130" s="44">
        <f t="shared" si="258"/>
        <v>18961157.279698495</v>
      </c>
      <c r="X130" s="44">
        <f t="shared" si="258"/>
        <v>18800469.50614173</v>
      </c>
      <c r="Y130" s="44">
        <f t="shared" si="258"/>
        <v>18639781.732584964</v>
      </c>
      <c r="Z130" s="44">
        <f t="shared" si="258"/>
        <v>18479093.959028199</v>
      </c>
      <c r="AA130" s="44">
        <f t="shared" si="258"/>
        <v>18318406.185471434</v>
      </c>
      <c r="AB130" s="44">
        <f t="shared" si="258"/>
        <v>18157718.411914669</v>
      </c>
      <c r="AC130" s="44">
        <f t="shared" si="258"/>
        <v>17997030.638357904</v>
      </c>
      <c r="AD130" s="44">
        <f t="shared" si="258"/>
        <v>17836342.864801139</v>
      </c>
      <c r="AE130" s="44">
        <f t="shared" si="258"/>
        <v>17675655.091244373</v>
      </c>
      <c r="AF130" s="44">
        <f t="shared" si="258"/>
        <v>17514967.317687608</v>
      </c>
      <c r="AG130" s="44">
        <f t="shared" si="258"/>
        <v>17354279.544130843</v>
      </c>
      <c r="AH130" s="44">
        <f t="shared" si="258"/>
        <v>17193591.770574078</v>
      </c>
      <c r="AI130" s="44">
        <f t="shared" si="258"/>
        <v>17032903.997017313</v>
      </c>
      <c r="AJ130" s="44">
        <f t="shared" si="258"/>
        <v>16872216.223460548</v>
      </c>
      <c r="AK130" s="44">
        <f t="shared" si="258"/>
        <v>16711528.449903781</v>
      </c>
      <c r="AL130" s="44">
        <f t="shared" si="258"/>
        <v>16550840.676347014</v>
      </c>
      <c r="AM130" s="44">
        <f t="shared" si="258"/>
        <v>16390152.902790247</v>
      </c>
      <c r="AN130" s="44">
        <f t="shared" si="258"/>
        <v>16229465.129233479</v>
      </c>
      <c r="AO130" s="44">
        <f t="shared" si="258"/>
        <v>16068777.355676712</v>
      </c>
      <c r="AP130" s="44">
        <f t="shared" si="258"/>
        <v>15908089.582119945</v>
      </c>
      <c r="AQ130" s="44">
        <f t="shared" si="258"/>
        <v>15747401.808563178</v>
      </c>
      <c r="AR130" s="44">
        <f t="shared" si="258"/>
        <v>15586714.035006411</v>
      </c>
      <c r="AS130" s="44">
        <f t="shared" si="258"/>
        <v>15426026.261449644</v>
      </c>
      <c r="AT130" s="44">
        <f t="shared" si="258"/>
        <v>15265338.487892877</v>
      </c>
      <c r="AU130" s="44">
        <f t="shared" si="258"/>
        <v>15104650.71433611</v>
      </c>
      <c r="AV130" s="44">
        <f t="shared" si="258"/>
        <v>14943962.940779343</v>
      </c>
      <c r="AW130" s="44">
        <f t="shared" si="258"/>
        <v>14783275.167222576</v>
      </c>
      <c r="AX130" s="44">
        <f t="shared" si="258"/>
        <v>14622587.393665809</v>
      </c>
      <c r="AY130" s="44">
        <f t="shared" si="258"/>
        <v>14461899.620109042</v>
      </c>
      <c r="AZ130" s="44">
        <f t="shared" si="258"/>
        <v>14301211.846552275</v>
      </c>
      <c r="BA130" s="44">
        <f t="shared" si="258"/>
        <v>14140524.072995508</v>
      </c>
      <c r="BB130" s="44">
        <f t="shared" si="258"/>
        <v>13979836.299438741</v>
      </c>
      <c r="BC130" s="44">
        <f t="shared" si="258"/>
        <v>13819148.525881974</v>
      </c>
      <c r="BD130" s="44">
        <f t="shared" si="258"/>
        <v>13658460.752325207</v>
      </c>
      <c r="BE130" s="44">
        <f t="shared" si="258"/>
        <v>13497772.97876844</v>
      </c>
      <c r="BF130" s="44">
        <f t="shared" si="258"/>
        <v>13337085.205211673</v>
      </c>
      <c r="BG130" s="44">
        <f t="shared" si="258"/>
        <v>13176397.431654906</v>
      </c>
      <c r="BH130" s="44">
        <f t="shared" si="258"/>
        <v>13015709.658098139</v>
      </c>
      <c r="BI130" s="44">
        <f t="shared" si="258"/>
        <v>12855021.884541372</v>
      </c>
      <c r="BJ130" s="44">
        <f t="shared" si="258"/>
        <v>12694334.110984605</v>
      </c>
      <c r="BK130" s="44">
        <f t="shared" si="258"/>
        <v>12533646.337427838</v>
      </c>
      <c r="BL130" s="44">
        <f t="shared" si="258"/>
        <v>12372958.563871071</v>
      </c>
      <c r="BM130" s="44">
        <f t="shared" si="258"/>
        <v>12212270.790314304</v>
      </c>
      <c r="BN130" s="44">
        <f t="shared" si="258"/>
        <v>12051583.016757537</v>
      </c>
      <c r="BO130" s="44">
        <f t="shared" si="258"/>
        <v>11890895.24320077</v>
      </c>
      <c r="BP130" s="44">
        <f t="shared" si="258"/>
        <v>11730207.469644003</v>
      </c>
      <c r="BQ130" s="44">
        <f t="shared" si="258"/>
        <v>11569519.696087236</v>
      </c>
      <c r="BR130" s="44">
        <f t="shared" si="258"/>
        <v>11408831.922530469</v>
      </c>
      <c r="BS130" s="44">
        <f t="shared" si="258"/>
        <v>11248144.148973702</v>
      </c>
      <c r="BT130" s="44">
        <f t="shared" si="258"/>
        <v>11087456.375416934</v>
      </c>
      <c r="BU130" s="44">
        <f t="shared" ref="BU130:EF130" si="259">IF((BU128-BU129)&gt;0,(BU128-BU129),0)</f>
        <v>10926768.601860167</v>
      </c>
      <c r="BV130" s="44">
        <f t="shared" si="259"/>
        <v>10766080.8283034</v>
      </c>
      <c r="BW130" s="44">
        <f t="shared" si="259"/>
        <v>10605393.054746633</v>
      </c>
      <c r="BX130" s="44">
        <f t="shared" si="259"/>
        <v>10444705.281189866</v>
      </c>
      <c r="BY130" s="44">
        <f t="shared" si="259"/>
        <v>10284017.507633099</v>
      </c>
      <c r="BZ130" s="44">
        <f t="shared" si="259"/>
        <v>10123329.734076332</v>
      </c>
      <c r="CA130" s="44">
        <f t="shared" si="259"/>
        <v>9962641.9605195653</v>
      </c>
      <c r="CB130" s="44">
        <f t="shared" si="259"/>
        <v>9801954.1869627982</v>
      </c>
      <c r="CC130" s="44">
        <f t="shared" si="259"/>
        <v>9641266.4134060312</v>
      </c>
      <c r="CD130" s="44">
        <f t="shared" si="259"/>
        <v>9480578.6398492642</v>
      </c>
      <c r="CE130" s="44">
        <f t="shared" si="259"/>
        <v>9319890.8662924971</v>
      </c>
      <c r="CF130" s="44">
        <f t="shared" si="259"/>
        <v>9159203.0927357301</v>
      </c>
      <c r="CG130" s="44">
        <f t="shared" si="259"/>
        <v>8998515.3191789631</v>
      </c>
      <c r="CH130" s="44">
        <f t="shared" si="259"/>
        <v>8837827.545622196</v>
      </c>
      <c r="CI130" s="44">
        <f t="shared" si="259"/>
        <v>8677139.772065429</v>
      </c>
      <c r="CJ130" s="44">
        <f t="shared" si="259"/>
        <v>8516451.998508662</v>
      </c>
      <c r="CK130" s="44">
        <f t="shared" si="259"/>
        <v>8355764.224951895</v>
      </c>
      <c r="CL130" s="44">
        <f t="shared" si="259"/>
        <v>8195076.4513951279</v>
      </c>
      <c r="CM130" s="44">
        <f t="shared" si="259"/>
        <v>8034388.6778383609</v>
      </c>
      <c r="CN130" s="44">
        <f t="shared" si="259"/>
        <v>7873700.9042815939</v>
      </c>
      <c r="CO130" s="44">
        <f t="shared" si="259"/>
        <v>7713013.1307248268</v>
      </c>
      <c r="CP130" s="44">
        <f t="shared" si="259"/>
        <v>7552325.3571680598</v>
      </c>
      <c r="CQ130" s="44">
        <f t="shared" si="259"/>
        <v>7391637.5836112928</v>
      </c>
      <c r="CR130" s="44">
        <f t="shared" si="259"/>
        <v>7230949.8100545257</v>
      </c>
      <c r="CS130" s="44">
        <f t="shared" si="259"/>
        <v>7070262.0364977587</v>
      </c>
      <c r="CT130" s="44">
        <f t="shared" si="259"/>
        <v>6909574.2629409917</v>
      </c>
      <c r="CU130" s="44">
        <f t="shared" si="259"/>
        <v>6748886.4893842246</v>
      </c>
      <c r="CV130" s="44">
        <f t="shared" si="259"/>
        <v>6588198.7158274576</v>
      </c>
      <c r="CW130" s="44">
        <f t="shared" si="259"/>
        <v>6427510.9422706906</v>
      </c>
      <c r="CX130" s="44">
        <f t="shared" si="259"/>
        <v>6266823.1687139235</v>
      </c>
      <c r="CY130" s="44">
        <f t="shared" si="259"/>
        <v>6106135.3951571565</v>
      </c>
      <c r="CZ130" s="44">
        <f t="shared" si="259"/>
        <v>5945447.6216003895</v>
      </c>
      <c r="DA130" s="44">
        <f t="shared" si="259"/>
        <v>5784759.8480436224</v>
      </c>
      <c r="DB130" s="44">
        <f t="shared" si="259"/>
        <v>5624072.0744868554</v>
      </c>
      <c r="DC130" s="44">
        <f t="shared" si="259"/>
        <v>5463384.3009300884</v>
      </c>
      <c r="DD130" s="44">
        <f t="shared" si="259"/>
        <v>5302696.5273733214</v>
      </c>
      <c r="DE130" s="44">
        <f t="shared" si="259"/>
        <v>5142008.7538165543</v>
      </c>
      <c r="DF130" s="44">
        <f t="shared" si="259"/>
        <v>4981320.9802597873</v>
      </c>
      <c r="DG130" s="44">
        <f t="shared" si="259"/>
        <v>4820633.2067030203</v>
      </c>
      <c r="DH130" s="44">
        <f t="shared" si="259"/>
        <v>4659945.4331462532</v>
      </c>
      <c r="DI130" s="44">
        <f t="shared" si="259"/>
        <v>4499257.6595894862</v>
      </c>
      <c r="DJ130" s="44">
        <f t="shared" si="259"/>
        <v>4338569.8860327192</v>
      </c>
      <c r="DK130" s="44">
        <f t="shared" si="259"/>
        <v>4177882.1124759521</v>
      </c>
      <c r="DL130" s="44">
        <f t="shared" si="259"/>
        <v>4017194.3389191851</v>
      </c>
      <c r="DM130" s="44">
        <f t="shared" si="259"/>
        <v>3856506.5653624181</v>
      </c>
      <c r="DN130" s="44">
        <f t="shared" si="259"/>
        <v>3695818.791805651</v>
      </c>
      <c r="DO130" s="44">
        <f t="shared" si="259"/>
        <v>3535131.018248884</v>
      </c>
      <c r="DP130" s="44">
        <f t="shared" si="259"/>
        <v>3374443.244692117</v>
      </c>
      <c r="DQ130" s="44">
        <f t="shared" si="259"/>
        <v>3213755.4711353499</v>
      </c>
      <c r="DR130" s="44">
        <f t="shared" si="259"/>
        <v>3053067.6975785829</v>
      </c>
      <c r="DS130" s="44">
        <f t="shared" si="259"/>
        <v>2892379.9240218159</v>
      </c>
      <c r="DT130" s="44">
        <f t="shared" si="259"/>
        <v>2731692.1504650488</v>
      </c>
      <c r="DU130" s="44">
        <f t="shared" si="259"/>
        <v>2571004.3769082818</v>
      </c>
      <c r="DV130" s="44">
        <f t="shared" si="259"/>
        <v>2410316.6033515148</v>
      </c>
      <c r="DW130" s="44">
        <f t="shared" si="259"/>
        <v>2249628.8297947478</v>
      </c>
      <c r="DX130" s="44">
        <f t="shared" si="259"/>
        <v>2088941.056237981</v>
      </c>
      <c r="DY130" s="44">
        <f t="shared" si="259"/>
        <v>1928253.2826812142</v>
      </c>
      <c r="DZ130" s="44">
        <f t="shared" si="259"/>
        <v>1767565.5091244474</v>
      </c>
      <c r="EA130" s="44">
        <f t="shared" si="259"/>
        <v>1606877.7355676806</v>
      </c>
      <c r="EB130" s="44">
        <f t="shared" si="259"/>
        <v>1446189.9620109138</v>
      </c>
      <c r="EC130" s="44">
        <f t="shared" si="259"/>
        <v>1285502.188454147</v>
      </c>
      <c r="ED130" s="44">
        <f t="shared" si="259"/>
        <v>1124814.4148973802</v>
      </c>
      <c r="EE130" s="44">
        <f t="shared" si="259"/>
        <v>964126.64134061325</v>
      </c>
      <c r="EF130" s="44">
        <f t="shared" si="259"/>
        <v>803438.86778384633</v>
      </c>
      <c r="EG130" s="44">
        <f t="shared" ref="EG130:EN130" si="260">IF((EG128-EG129)&gt;0,(EG128-EG129),0)</f>
        <v>642751.09422707942</v>
      </c>
      <c r="EH130" s="44">
        <f t="shared" si="260"/>
        <v>482063.3206703125</v>
      </c>
      <c r="EI130" s="44">
        <f t="shared" si="260"/>
        <v>321375.54711354559</v>
      </c>
      <c r="EJ130" s="44">
        <f t="shared" si="260"/>
        <v>160687.7735567787</v>
      </c>
      <c r="EK130" s="44">
        <f t="shared" si="260"/>
        <v>1.1816155165433884E-8</v>
      </c>
      <c r="EL130" s="44">
        <f t="shared" si="260"/>
        <v>1.1816155165433884E-8</v>
      </c>
      <c r="EM130" s="44">
        <f t="shared" si="260"/>
        <v>1.1816155165433884E-8</v>
      </c>
      <c r="EN130" s="44">
        <f t="shared" si="260"/>
        <v>1.1816155165433884E-8</v>
      </c>
    </row>
    <row r="131" spans="2:144" outlineLevel="1">
      <c r="B131" s="139" t="s">
        <v>43</v>
      </c>
      <c r="C131" s="151" t="s">
        <v>487</v>
      </c>
      <c r="D131" s="44"/>
      <c r="E131" s="44"/>
      <c r="F131" s="44"/>
      <c r="G131" s="44"/>
      <c r="H131" s="44">
        <f>IF(H124&gt;D126,(SUM(G130:H130)/2),IF(H124=D126,H130,0))</f>
        <v>0</v>
      </c>
      <c r="I131" s="44">
        <f>IF(I124&gt;D126,(SUM(H130:I130)/2),IF(I124=D126,I130,0))</f>
        <v>0</v>
      </c>
      <c r="J131" s="44">
        <f>IF(J124&gt;D126,(SUM(I130:J130)/2),IF(J124=D126,J130,0))</f>
        <v>0</v>
      </c>
      <c r="K131" s="44">
        <f>IF(K124&gt;D126,(SUM(J130:K130)/2),IF(K124=D126,K130,0))</f>
        <v>0</v>
      </c>
      <c r="L131" s="44">
        <f>IF(L124&gt;D126,(SUM(K130:L130)/2),IF(L124=D126,L130,0))</f>
        <v>0</v>
      </c>
      <c r="M131" s="44">
        <f>IF(M124&gt;D126,(SUM(L130:M130)/2),IF(M124=D126,M130,0))</f>
        <v>0</v>
      </c>
      <c r="N131" s="44">
        <f>IF(N124&gt;D126,(SUM(M130:N130)/2),IF(N124=D126,N130,0))</f>
        <v>0</v>
      </c>
      <c r="O131" s="44">
        <f>IF(O124&gt;D126,(SUM(N130:O130)/2),IF(O124=D126,O130,0))</f>
        <v>0</v>
      </c>
      <c r="P131" s="44">
        <f>IF(P124&gt;D126,(SUM(O130:P130)/2),IF(P124=D126,P130,0))</f>
        <v>0</v>
      </c>
      <c r="Q131" s="44">
        <f>IF(Q124&gt;D126,(SUM(P130:Q130)/2),IF(Q124=D126,Q130,0))</f>
        <v>0</v>
      </c>
      <c r="R131" s="44">
        <f>IF(R124&gt;D126,(SUM(Q130:R130)/2),IF(R124=D126,R130,0))</f>
        <v>0</v>
      </c>
      <c r="S131" s="44">
        <f>IF(S124&gt;D126,(SUM(R130:S130)/2),IF(S124=D126,S130,0))</f>
        <v>0</v>
      </c>
      <c r="T131" s="44">
        <f>IF(T124&gt;D126,(SUM(S130:T130)/2),IF(T124=D126,T130,0))</f>
        <v>0</v>
      </c>
      <c r="U131" s="44">
        <f>IF(U124&gt;D126,(SUM(T130:U130)/2),IF(U124=D126,U130,0))</f>
        <v>0</v>
      </c>
      <c r="V131" s="44">
        <f>IF(V124&gt;D126,(SUM(U130:V130)/2),IF(V124=D126,V130,0))</f>
        <v>19121845.05325526</v>
      </c>
      <c r="W131" s="44">
        <f>IF(W124&gt;D126,(SUM(V130:W130)/2),IF(W124=D126,W130,0))</f>
        <v>19041501.166476876</v>
      </c>
      <c r="X131" s="44">
        <f>IF(X124&gt;D126,(SUM(W130:X130)/2),IF(X124=D126,X130,0))</f>
        <v>18880813.392920114</v>
      </c>
      <c r="Y131" s="44">
        <f>IF(Y124&gt;D126,(SUM(X130:Y130)/2),IF(Y124=D126,Y130,0))</f>
        <v>18720125.619363345</v>
      </c>
      <c r="Z131" s="44">
        <f>IF(Z124&gt;D126,(SUM(Y130:Z130)/2),IF(Z124=D126,Z130,0))</f>
        <v>18559437.845806584</v>
      </c>
      <c r="AA131" s="44">
        <f>IF(AA124&gt;D126,(SUM(Z130:AA130)/2),IF(AA124=D126,AA130,0))</f>
        <v>18398750.072249815</v>
      </c>
      <c r="AB131" s="44">
        <f>IF(AB124&gt;D126,(SUM(AA130:AB130)/2),IF(AB124=D126,AB130,0))</f>
        <v>18238062.298693053</v>
      </c>
      <c r="AC131" s="44">
        <f>IF(AC124&gt;D126,(SUM(AB130:AC130)/2),IF(AC124=D126,AC130,0))</f>
        <v>18077374.525136285</v>
      </c>
      <c r="AD131" s="44">
        <f>IF(AD124&gt;D126,(SUM(AC130:AD130)/2),IF(AD124=D126,AD130,0))</f>
        <v>17916686.751579523</v>
      </c>
      <c r="AE131" s="44">
        <f>IF(AE124&gt;D126,(SUM(AD130:AE130)/2),IF(AE124=D126,AE130,0))</f>
        <v>17755998.978022754</v>
      </c>
      <c r="AF131" s="44">
        <f>IF(AF124&gt;D126,(SUM(AE130:AF130)/2),IF(AF124=D126,AF130,0))</f>
        <v>17595311.204465993</v>
      </c>
      <c r="AG131" s="44">
        <f>IF(AG124&gt;D126,(SUM(AF130:AG130)/2),IF(AG124=D126,AG130,0))</f>
        <v>17434623.430909224</v>
      </c>
      <c r="AH131" s="44">
        <f>IF(AH124&gt;D126,(SUM(AG130:AH130)/2),IF(AH124=D126,AH130,0))</f>
        <v>17273935.657352462</v>
      </c>
      <c r="AI131" s="44">
        <f>IF(AI124&gt;D126,(SUM(AH130:AI130)/2),IF(AI124=D126,AI130,0))</f>
        <v>17113247.883795694</v>
      </c>
      <c r="AJ131" s="44">
        <f>IF(AJ124&gt;D126,(SUM(AI130:AJ130)/2),IF(AJ124=D126,AJ130,0))</f>
        <v>16952560.110238932</v>
      </c>
      <c r="AK131" s="44">
        <f>IF(AK124&gt;D126,(SUM(AJ130:AK130)/2),IF(AK124=D126,AK130,0))</f>
        <v>16791872.336682163</v>
      </c>
      <c r="AL131" s="44">
        <f>IF(AL124&gt;D126,(SUM(AK130:AL130)/2),IF(AL124=D126,AL130,0))</f>
        <v>16631184.563125398</v>
      </c>
      <c r="AM131" s="44">
        <f>IF(AM124&gt;D126,(SUM(AL130:AM130)/2),IF(AM124=D126,AM130,0))</f>
        <v>16470496.789568629</v>
      </c>
      <c r="AN131" s="44">
        <f>IF(AN124&gt;D126,(SUM(AM130:AN130)/2),IF(AN124=D126,AN130,0))</f>
        <v>16309809.016011864</v>
      </c>
      <c r="AO131" s="44">
        <f>IF(AO124&gt;D126,(SUM(AN130:AO130)/2),IF(AO124=D126,AO130,0))</f>
        <v>16149121.242455095</v>
      </c>
      <c r="AP131" s="44">
        <f>IF(AP124&gt;D126,(SUM(AO130:AP130)/2),IF(AP124=D126,AP130,0))</f>
        <v>15988433.46889833</v>
      </c>
      <c r="AQ131" s="44">
        <f>IF(AQ124&gt;D126,(SUM(AP130:AQ130)/2),IF(AQ124=D126,AQ130,0))</f>
        <v>15827745.695341561</v>
      </c>
      <c r="AR131" s="44">
        <f>IF(AR124&gt;D126,(SUM(AQ130:AR130)/2),IF(AR124=D126,AR130,0))</f>
        <v>15667057.921784796</v>
      </c>
      <c r="AS131" s="44">
        <f>IF(AS124&gt;D126,(SUM(AR130:AS130)/2),IF(AS124=D126,AS130,0))</f>
        <v>15506370.148228027</v>
      </c>
      <c r="AT131" s="44">
        <f>IF(AT124&gt;D126,(SUM(AS130:AT130)/2),IF(AT124=D126,AT130,0))</f>
        <v>15345682.374671262</v>
      </c>
      <c r="AU131" s="44">
        <f>IF(AU124&gt;D126,(SUM(AT130:AU130)/2),IF(AU124=D126,AU130,0))</f>
        <v>15184994.601114493</v>
      </c>
      <c r="AV131" s="44">
        <f>IF(AV124&gt;D126,(SUM(AU130:AV130)/2),IF(AV124=D126,AV130,0))</f>
        <v>15024306.827557728</v>
      </c>
      <c r="AW131" s="44">
        <f>IF(AW124&gt;D126,(SUM(AV130:AW130)/2),IF(AW124=D126,AW130,0))</f>
        <v>14863619.054000959</v>
      </c>
      <c r="AX131" s="44">
        <f>IF(AX124&gt;D126,(SUM(AW130:AX130)/2),IF(AX124=D126,AX130,0))</f>
        <v>14702931.280444194</v>
      </c>
      <c r="AY131" s="44">
        <f>IF(AY124&gt;D126,(SUM(AX130:AY130)/2),IF(AY124=D126,AY130,0))</f>
        <v>14542243.506887425</v>
      </c>
      <c r="AZ131" s="44">
        <f>IF(AZ124&gt;D126,(SUM(AY130:AZ130)/2),IF(AZ124=D126,AZ130,0))</f>
        <v>14381555.73333066</v>
      </c>
      <c r="BA131" s="44">
        <f>IF(BA124&gt;D126,(SUM(AZ130:BA130)/2),IF(BA124=D126,BA130,0))</f>
        <v>14220867.959773891</v>
      </c>
      <c r="BB131" s="44">
        <f>IF(BB124&gt;D126,(SUM(BA130:BB130)/2),IF(BB124=D126,BB130,0))</f>
        <v>14060180.186217126</v>
      </c>
      <c r="BC131" s="44">
        <f>IF(BC124&gt;D126,(SUM(BB130:BC130)/2),IF(BC124=D126,BC130,0))</f>
        <v>13899492.412660357</v>
      </c>
      <c r="BD131" s="44">
        <f>IF(BD124&gt;D126,(SUM(BC130:BD130)/2),IF(BD124=D126,BD130,0))</f>
        <v>13738804.639103591</v>
      </c>
      <c r="BE131" s="44">
        <f>IF(BE124&gt;D126,(SUM(BD130:BE130)/2),IF(BE124=D126,BE130,0))</f>
        <v>13578116.865546823</v>
      </c>
      <c r="BF131" s="44">
        <f>IF(BF124&gt;D126,(SUM(BE130:BF130)/2),IF(BF124=D126,BF130,0))</f>
        <v>13417429.091990057</v>
      </c>
      <c r="BG131" s="44">
        <f>IF(BG124&gt;D126,(SUM(BF130:BG130)/2),IF(BG124=D126,BG130,0))</f>
        <v>13256741.318433288</v>
      </c>
      <c r="BH131" s="44">
        <f>IF(BH124&gt;D126,(SUM(BG130:BH130)/2),IF(BH124=D126,BH130,0))</f>
        <v>13096053.544876523</v>
      </c>
      <c r="BI131" s="44">
        <f>IF(BI124&gt;D126,(SUM(BH130:BI130)/2),IF(BI124=D126,BI130,0))</f>
        <v>12935365.771319754</v>
      </c>
      <c r="BJ131" s="44">
        <f>IF(BJ124&gt;D126,(SUM(BI130:BJ130)/2),IF(BJ124=D126,BJ130,0))</f>
        <v>12774677.997762989</v>
      </c>
      <c r="BK131" s="44">
        <f>IF(BK124&gt;D126,(SUM(BJ130:BK130)/2),IF(BK124=D126,BK130,0))</f>
        <v>12613990.22420622</v>
      </c>
      <c r="BL131" s="44">
        <f>IF(BL124&gt;D126,(SUM(BK130:BL130)/2),IF(BL124=D126,BL130,0))</f>
        <v>12453302.450649455</v>
      </c>
      <c r="BM131" s="44">
        <f>IF(BM124&gt;D126,(SUM(BL130:BM130)/2),IF(BM124=D126,BM130,0))</f>
        <v>12292614.677092686</v>
      </c>
      <c r="BN131" s="44">
        <f>IF(BN124&gt;D126,(SUM(BM130:BN130)/2),IF(BN124=D126,BN130,0))</f>
        <v>12131926.903535921</v>
      </c>
      <c r="BO131" s="44">
        <f>IF(BO124&gt;D126,(SUM(BN130:BO130)/2),IF(BO124=D126,BO130,0))</f>
        <v>11971239.129979152</v>
      </c>
      <c r="BP131" s="44">
        <f>IF(BP124&gt;D126,(SUM(BO130:BP130)/2),IF(BP124=D126,BP130,0))</f>
        <v>11810551.356422387</v>
      </c>
      <c r="BQ131" s="44">
        <f>IF(BQ124&gt;D126,(SUM(BP130:BQ130)/2),IF(BQ124=D126,BQ130,0))</f>
        <v>11649863.582865618</v>
      </c>
      <c r="BR131" s="44">
        <f>IF(BR124&gt;D126,(SUM(BQ130:BR130)/2),IF(BR124=D126,BR130,0))</f>
        <v>11489175.809308853</v>
      </c>
      <c r="BS131" s="44">
        <f>IF(BS124&gt;D126,(SUM(BR130:BS130)/2),IF(BS124=D126,BS130,0))</f>
        <v>11328488.035752084</v>
      </c>
      <c r="BT131" s="44">
        <f>IF(BT124&gt;D126,(SUM(BS130:BT130)/2),IF(BT124=D126,BT130,0))</f>
        <v>11167800.262195319</v>
      </c>
      <c r="BU131" s="44">
        <f>IF(BU124&gt;D126,(SUM(BT130:BU130)/2),IF(BU124=D126,BU130,0))</f>
        <v>11007112.48863855</v>
      </c>
      <c r="BV131" s="44">
        <f>IF(BV124&gt;D126,(SUM(BU130:BV130)/2),IF(BV124=D126,BV130,0))</f>
        <v>10846424.715081785</v>
      </c>
      <c r="BW131" s="44">
        <f>IF(BW124&gt;D126,(SUM(BV130:BW130)/2),IF(BW124=D126,BW130,0))</f>
        <v>10685736.941525016</v>
      </c>
      <c r="BX131" s="44">
        <f>IF(BX124&gt;D126,(SUM(BW130:BX130)/2),IF(BX124=D126,BX130,0))</f>
        <v>10525049.167968251</v>
      </c>
      <c r="BY131" s="44">
        <f>IF(BY124&gt;D126,(SUM(BX130:BY130)/2),IF(BY124=D126,BY130,0))</f>
        <v>10364361.394411482</v>
      </c>
      <c r="BZ131" s="44">
        <f>IF(BZ124&gt;D126,(SUM(BY130:BZ130)/2),IF(BZ124=D126,BZ130,0))</f>
        <v>10203673.620854717</v>
      </c>
      <c r="CA131" s="44">
        <f>IF(CA124&gt;D126,(SUM(BZ130:CA130)/2),IF(CA124=D126,CA130,0))</f>
        <v>10042985.847297948</v>
      </c>
      <c r="CB131" s="44">
        <f>IF(CB124&gt;D126,(SUM(CA130:CB130)/2),IF(CB124=D126,CB130,0))</f>
        <v>9882298.0737411827</v>
      </c>
      <c r="CC131" s="44">
        <f>IF(CC124&gt;D126,(SUM(CB130:CC130)/2),IF(CC124=D126,CC130,0))</f>
        <v>9721610.3001844138</v>
      </c>
      <c r="CD131" s="44">
        <f>IF(CD124&gt;D126,(SUM(CC130:CD130)/2),IF(CD124=D126,CD130,0))</f>
        <v>9560922.5266276486</v>
      </c>
      <c r="CE131" s="44">
        <f>IF(CE124&gt;D126,(SUM(CD130:CE130)/2),IF(CE124=D126,CE130,0))</f>
        <v>9400234.7530708797</v>
      </c>
      <c r="CF131" s="44">
        <f>IF(CF124&gt;D126,(SUM(CE130:CF130)/2),IF(CF124=D126,CF130,0))</f>
        <v>9239546.9795141146</v>
      </c>
      <c r="CG131" s="44">
        <f>IF(CG124&gt;D126,(SUM(CF130:CG130)/2),IF(CG124=D126,CG130,0))</f>
        <v>9078859.2059573457</v>
      </c>
      <c r="CH131" s="44">
        <f>IF(CH124&gt;D126,(SUM(CG130:CH130)/2),IF(CH124=D126,CH130,0))</f>
        <v>8918171.4324005805</v>
      </c>
      <c r="CI131" s="44">
        <f>IF(CI124&gt;D126,(SUM(CH130:CI130)/2),IF(CI124=D126,CI130,0))</f>
        <v>8757483.6588438116</v>
      </c>
      <c r="CJ131" s="44">
        <f>IF(CJ124&gt;D126,(SUM(CI130:CJ130)/2),IF(CJ124=D126,CJ130,0))</f>
        <v>8596795.8852870464</v>
      </c>
      <c r="CK131" s="44">
        <f>IF(CK124&gt;D126,(SUM(CJ130:CK130)/2),IF(CK124=D126,CK130,0))</f>
        <v>8436108.1117302775</v>
      </c>
      <c r="CL131" s="44">
        <f>IF(CL124&gt;D126,(SUM(CK130:CL130)/2),IF(CL124=D126,CL130,0))</f>
        <v>8275420.3381735114</v>
      </c>
      <c r="CM131" s="44">
        <f>IF(CM124&gt;D126,(SUM(CL130:CM130)/2),IF(CM124=D126,CM130,0))</f>
        <v>8114732.5646167444</v>
      </c>
      <c r="CN131" s="44">
        <f>IF(CN124&gt;D126,(SUM(CM130:CN130)/2),IF(CN124=D126,CN130,0))</f>
        <v>7954044.7910599774</v>
      </c>
      <c r="CO131" s="44">
        <f>IF(CO124&gt;D126,(SUM(CN130:CO130)/2),IF(CO124=D126,CO130,0))</f>
        <v>7793357.0175032103</v>
      </c>
      <c r="CP131" s="44">
        <f>IF(CP124&gt;D126,(SUM(CO130:CP130)/2),IF(CP124=D126,CP130,0))</f>
        <v>7632669.2439464433</v>
      </c>
      <c r="CQ131" s="44">
        <f>IF(CQ124&gt;D126,(SUM(CP130:CQ130)/2),IF(CQ124=D126,CQ130,0))</f>
        <v>7471981.4703896763</v>
      </c>
      <c r="CR131" s="44">
        <f>IF(CR124&gt;D126,(SUM(CQ130:CR130)/2),IF(CR124=D126,CR130,0))</f>
        <v>7311293.6968329092</v>
      </c>
      <c r="CS131" s="44">
        <f>IF(CS124&gt;D126,(SUM(CR130:CS130)/2),IF(CS124=D126,CS130,0))</f>
        <v>7150605.9232761422</v>
      </c>
      <c r="CT131" s="44">
        <f>IF(CT124&gt;D126,(SUM(CS130:CT130)/2),IF(CT124=D126,CT130,0))</f>
        <v>6989918.1497193752</v>
      </c>
      <c r="CU131" s="44">
        <f>IF(CU124&gt;D126,(SUM(CT130:CU130)/2),IF(CU124=D126,CU130,0))</f>
        <v>6829230.3761626082</v>
      </c>
      <c r="CV131" s="44">
        <f>IF(CV124&gt;D126,(SUM(CU130:CV130)/2),IF(CV124=D126,CV130,0))</f>
        <v>6668542.6026058411</v>
      </c>
      <c r="CW131" s="44">
        <f>IF(CW124&gt;D126,(SUM(CV130:CW130)/2),IF(CW124=D126,CW130,0))</f>
        <v>6507854.8290490741</v>
      </c>
      <c r="CX131" s="44">
        <f>IF(CX124&gt;D126,(SUM(CW130:CX130)/2),IF(CX124=D126,CX130,0))</f>
        <v>6347167.0554923071</v>
      </c>
      <c r="CY131" s="44">
        <f>IF(CY124&gt;D126,(SUM(CX130:CY130)/2),IF(CY124=D126,CY130,0))</f>
        <v>6186479.28193554</v>
      </c>
      <c r="CZ131" s="44">
        <f>IF(CZ124&gt;D126,(SUM(CY130:CZ130)/2),IF(CZ124=D126,CZ130,0))</f>
        <v>6025791.508378773</v>
      </c>
      <c r="DA131" s="44">
        <f>IF(DA124&gt;D126,(SUM(CZ130:DA130)/2),IF(DA124=D126,DA130,0))</f>
        <v>5865103.734822006</v>
      </c>
      <c r="DB131" s="44">
        <f>IF(DB124&gt;D126,(SUM(DA130:DB130)/2),IF(DB124=D126,DB130,0))</f>
        <v>5704415.9612652389</v>
      </c>
      <c r="DC131" s="44">
        <f>IF(DC124&gt;D126,(SUM(DB130:DC130)/2),IF(DC124=D126,DC130,0))</f>
        <v>5543728.1877084719</v>
      </c>
      <c r="DD131" s="44">
        <f>IF(DD124&gt;D126,(SUM(DC130:DD130)/2),IF(DD124=D126,DD130,0))</f>
        <v>5383040.4141517049</v>
      </c>
      <c r="DE131" s="44">
        <f>IF(DE124&gt;D126,(SUM(DD130:DE130)/2),IF(DE124=D126,DE130,0))</f>
        <v>5222352.6405949378</v>
      </c>
      <c r="DF131" s="44">
        <f>IF(DF124&gt;D126,(SUM(DE130:DF130)/2),IF(DF124=D126,DF130,0))</f>
        <v>5061664.8670381708</v>
      </c>
      <c r="DG131" s="44">
        <f>IF(DG124&gt;D126,(SUM(DF130:DG130)/2),IF(DG124=D126,DG130,0))</f>
        <v>4900977.0934814038</v>
      </c>
      <c r="DH131" s="44">
        <f>IF(DH124&gt;D126,(SUM(DG130:DH130)/2),IF(DH124=D126,DH130,0))</f>
        <v>4740289.3199246367</v>
      </c>
      <c r="DI131" s="44">
        <f>IF(DI124&gt;D126,(SUM(DH130:DI130)/2),IF(DI124=D126,DI130,0))</f>
        <v>4579601.5463678697</v>
      </c>
      <c r="DJ131" s="44">
        <f>IF(DJ124&gt;D126,(SUM(DI130:DJ130)/2),IF(DJ124=D126,DJ130,0))</f>
        <v>4418913.7728111027</v>
      </c>
      <c r="DK131" s="44">
        <f>IF(DK124&gt;D126,(SUM(DJ130:DK130)/2),IF(DK124=D126,DK130,0))</f>
        <v>4258225.9992543356</v>
      </c>
      <c r="DL131" s="44">
        <f>IF(DL124&gt;D126,(SUM(DK130:DL130)/2),IF(DL124=D126,DL130,0))</f>
        <v>4097538.2256975686</v>
      </c>
      <c r="DM131" s="44">
        <f>IF(DM124&gt;D126,(SUM(DL130:DM130)/2),IF(DM124=D126,DM130,0))</f>
        <v>3936850.4521408016</v>
      </c>
      <c r="DN131" s="44">
        <f>IF(DN124&gt;D126,(SUM(DM130:DN130)/2),IF(DN124=D126,DN130,0))</f>
        <v>3776162.6785840346</v>
      </c>
      <c r="DO131" s="44">
        <f>IF(DO124&gt;D126,(SUM(DN130:DO130)/2),IF(DO124=D126,DO130,0))</f>
        <v>3615474.9050272675</v>
      </c>
      <c r="DP131" s="44">
        <f>IF(DP124&gt;D126,(SUM(DO130:DP130)/2),IF(DP124=D126,DP130,0))</f>
        <v>3454787.1314705005</v>
      </c>
      <c r="DQ131" s="44">
        <f>IF(DQ124&gt;D126,(SUM(DP130:DQ130)/2),IF(DQ124=D126,DQ130,0))</f>
        <v>3294099.3579137335</v>
      </c>
      <c r="DR131" s="44">
        <f>IF(DR124&gt;D126,(SUM(DQ130:DR130)/2),IF(DR124=D126,DR130,0))</f>
        <v>3133411.5843569664</v>
      </c>
      <c r="DS131" s="44">
        <f>IF(DS124&gt;D126,(SUM(DR130:DS130)/2),IF(DS124=D126,DS130,0))</f>
        <v>2972723.8108001994</v>
      </c>
      <c r="DT131" s="44">
        <f>IF(DT124&gt;D126,(SUM(DS130:DT130)/2),IF(DT124=D126,DT130,0))</f>
        <v>2812036.0372434324</v>
      </c>
      <c r="DU131" s="44">
        <f>IF(DU124&gt;D126,(SUM(DT130:DU130)/2),IF(DU124=D126,DU130,0))</f>
        <v>2651348.2636866653</v>
      </c>
      <c r="DV131" s="44">
        <f>IF(DV124&gt;D126,(SUM(DU130:DV130)/2),IF(DV124=D126,DV130,0))</f>
        <v>2490660.4901298983</v>
      </c>
      <c r="DW131" s="44">
        <f>IF(DW124&gt;D126,(SUM(DV130:DW130)/2),IF(DW124=D126,DW130,0))</f>
        <v>2329972.7165731313</v>
      </c>
      <c r="DX131" s="44">
        <f>IF(DX124&gt;D126,(SUM(DW130:DX130)/2),IF(DX124=D126,DX130,0))</f>
        <v>2169284.9430163642</v>
      </c>
      <c r="DY131" s="44">
        <f>IF(DY124&gt;D126,(SUM(DX130:DY130)/2),IF(DY124=D126,DY130,0))</f>
        <v>2008597.1694595977</v>
      </c>
      <c r="DZ131" s="44">
        <f>IF(DZ124&gt;D126,(SUM(DY130:DZ130)/2),IF(DZ124=D126,DZ130,0))</f>
        <v>1847909.3959028306</v>
      </c>
      <c r="EA131" s="44">
        <f>IF(EA124&gt;D126,(SUM(DZ130:EA130)/2),IF(EA124=D126,EA130,0))</f>
        <v>1687221.6223460641</v>
      </c>
      <c r="EB131" s="44">
        <f>IF(EB124&gt;D126,(SUM(EA130:EB130)/2),IF(EB124=D126,EB130,0))</f>
        <v>1526533.848789297</v>
      </c>
      <c r="EC131" s="44">
        <f>IF(EC124&gt;D126,(SUM(EB130:EC130)/2),IF(EC124=D126,EC130,0))</f>
        <v>1365846.0752325305</v>
      </c>
      <c r="ED131" s="44">
        <f>IF(ED124&gt;D126,(SUM(EC130:ED130)/2),IF(ED124=D126,ED130,0))</f>
        <v>1205158.3016757634</v>
      </c>
      <c r="EE131" s="44">
        <f>IF(EE124&gt;D126,(SUM(ED130:EE130)/2),IF(EE124=D126,EE130,0))</f>
        <v>1044470.5281189966</v>
      </c>
      <c r="EF131" s="44">
        <f>IF(EF124&gt;D126,(SUM(EE130:EF130)/2),IF(EF124=D126,EF130,0))</f>
        <v>883782.75456222985</v>
      </c>
      <c r="EG131" s="44">
        <f>IF(EG124&gt;D126,(SUM(EF130:EG130)/2),IF(EG124=D126,EG130,0))</f>
        <v>723094.98100546282</v>
      </c>
      <c r="EH131" s="44">
        <f>IF(EH124&gt;D126,(SUM(EG130:EH130)/2),IF(EH124=D126,EH130,0))</f>
        <v>562407.20744869602</v>
      </c>
      <c r="EI131" s="44">
        <f t="shared" ref="EI131:EN131" si="261">IF(EI124&gt;E126,(SUM(EH130:EI130)/2),IF(EI124=E126,EI130,0))</f>
        <v>401719.43389192905</v>
      </c>
      <c r="EJ131" s="44">
        <f t="shared" si="261"/>
        <v>241031.66033516213</v>
      </c>
      <c r="EK131" s="44">
        <f t="shared" si="261"/>
        <v>80343.886778395259</v>
      </c>
      <c r="EL131" s="44">
        <f t="shared" si="261"/>
        <v>1.1816155165433884E-8</v>
      </c>
      <c r="EM131" s="44">
        <f t="shared" si="261"/>
        <v>1.1816155165433884E-8</v>
      </c>
      <c r="EN131" s="44">
        <f t="shared" si="261"/>
        <v>1.1816155165433884E-8</v>
      </c>
    </row>
    <row r="132" spans="2:144" outlineLevel="1">
      <c r="C132" s="43" t="s">
        <v>176</v>
      </c>
      <c r="D132" s="44"/>
      <c r="E132" s="773">
        <f>E121</f>
        <v>10</v>
      </c>
      <c r="F132" s="44"/>
      <c r="G132" s="44"/>
      <c r="H132" s="120">
        <f>IF(H123&lt;$E126,0,IF(AND(H123&gt;=$E126,H123&lt;=($E126+$E132-1)),Вводные!$D$30,Вводные!$E$30))</f>
        <v>0</v>
      </c>
      <c r="I132" s="120">
        <f>IF(I123&lt;$E126,0,IF(AND(I123&gt;=$E126,I123&lt;=($E126+$E132-1)),Вводные!$D$30,Вводные!$E$30))</f>
        <v>0</v>
      </c>
      <c r="J132" s="120">
        <f>IF(J123&lt;$E126,0,IF(AND(J123&gt;=$E126,J123&lt;=($E126+$E132-1)),Вводные!$D$30,Вводные!$E$30))</f>
        <v>0</v>
      </c>
      <c r="K132" s="120">
        <f>IF(K123&lt;$E126,0,IF(AND(K123&gt;=$E126,K123&lt;=($E126+$E132-1)),Вводные!$D$30,Вводные!$E$30))</f>
        <v>0</v>
      </c>
      <c r="L132" s="120">
        <f>IF(L123&lt;$E126,0,IF(AND(L123&gt;=$E126,L123&lt;=($E126+$E132-1)),Вводные!$D$30,Вводные!$E$30))</f>
        <v>0</v>
      </c>
      <c r="M132" s="120">
        <f>IF(M123&lt;$E126,0,IF(AND(M123&gt;=$E126,M123&lt;=($E126+$E132-1)),Вводные!$D$30,Вводные!$E$30))</f>
        <v>0</v>
      </c>
      <c r="N132" s="120">
        <f>IF(N123&lt;$E126,0,IF(AND(N123&gt;=$E126,N123&lt;=($E126+$E132-1)),Вводные!$D$30,Вводные!$E$30))</f>
        <v>0</v>
      </c>
      <c r="O132" s="120">
        <f>IF(O123&lt;$E126,0,IF(AND(O123&gt;=$E126,O123&lt;=($E126+$E132-1)),Вводные!$D$30,Вводные!$E$30))</f>
        <v>0</v>
      </c>
      <c r="P132" s="120">
        <f>IF(P123&lt;$E126,0,IF(AND(P123&gt;=$E126,P123&lt;=($E126+$E132-1)),Вводные!$D$30,Вводные!$E$30))</f>
        <v>0</v>
      </c>
      <c r="Q132" s="120">
        <f>IF(Q123&lt;$E126,0,IF(AND(Q123&gt;=$E126,Q123&lt;=($E126+$E132-1)),Вводные!$D$30,Вводные!$E$30))</f>
        <v>0</v>
      </c>
      <c r="R132" s="120">
        <f>IF(R123&lt;$E126,0,IF(AND(R123&gt;=$E126,R123&lt;=($E126+$E132-1)),Вводные!$D$30,Вводные!$E$30))</f>
        <v>0</v>
      </c>
      <c r="S132" s="120">
        <f>IF(S123&lt;$E126,0,IF(AND(S123&gt;=$E126,S123&lt;=($E126+$E132-1)),Вводные!$D$30,Вводные!$E$30))</f>
        <v>0</v>
      </c>
      <c r="T132" s="120">
        <f>IF(T123&lt;$E126,0,IF(AND(T123&gt;=$E126,T123&lt;=($E126+$E132-1)),Вводные!$D$30,Вводные!$E$30))</f>
        <v>0</v>
      </c>
      <c r="U132" s="120">
        <f>IF(U123&lt;$E126,0,IF(AND(U123&gt;=$E126,U123&lt;=($E126+$E132-1)),Вводные!$D$30,Вводные!$E$30))</f>
        <v>0</v>
      </c>
      <c r="V132" s="120">
        <f>IF(V123&lt;$E126,0,IF(AND(V123&gt;=$E126,V123&lt;=($E126+$E132-1)),Вводные!$D$30,Вводные!$E$30))</f>
        <v>0</v>
      </c>
      <c r="W132" s="120">
        <f>IF(W123&lt;$E126,0,IF(AND(W123&gt;=$E126,W123&lt;=($E126+$E132-1)),Вводные!$D$30,Вводные!$E$30))</f>
        <v>0</v>
      </c>
      <c r="X132" s="120">
        <f>IF(X123&lt;$E126,0,IF(AND(X123&gt;=$E126,X123&lt;=($E126+$E132-1)),Вводные!$D$30,Вводные!$E$30))</f>
        <v>0</v>
      </c>
      <c r="Y132" s="120">
        <f>IF(Y123&lt;$E126,0,IF(AND(Y123&gt;=$E126,Y123&lt;=($E126+$E132-1)),Вводные!$D$30,Вводные!$E$30))</f>
        <v>0</v>
      </c>
      <c r="Z132" s="120">
        <f>IF(Z123&lt;$E126,0,IF(AND(Z123&gt;=$E126,Z123&lt;=($E126+$E132-1)),Вводные!$D$30,Вводные!$E$30))</f>
        <v>0</v>
      </c>
      <c r="AA132" s="120">
        <f>IF(AA123&lt;$E126,0,IF(AND(AA123&gt;=$E126,AA123&lt;=($E126+$E132-1)),Вводные!$D$30,Вводные!$E$30))</f>
        <v>0</v>
      </c>
      <c r="AB132" s="120">
        <f>IF(AB123&lt;$E126,0,IF(AND(AB123&gt;=$E126,AB123&lt;=($E126+$E132-1)),Вводные!$D$30,Вводные!$E$30))</f>
        <v>0</v>
      </c>
      <c r="AC132" s="120">
        <f>IF(AC123&lt;$E126,0,IF(AND(AC123&gt;=$E126,AC123&lt;=($E126+$E132-1)),Вводные!$D$30,Вводные!$E$30))</f>
        <v>0</v>
      </c>
      <c r="AD132" s="120">
        <f>IF(AD123&lt;$E126,0,IF(AND(AD123&gt;=$E126,AD123&lt;=($E126+$E132-1)),Вводные!$D$30,Вводные!$E$30))</f>
        <v>0</v>
      </c>
      <c r="AE132" s="120">
        <f>IF(AE123&lt;$E126,0,IF(AND(AE123&gt;=$E126,AE123&lt;=($E126+$E132-1)),Вводные!$D$30,Вводные!$E$30))</f>
        <v>0</v>
      </c>
      <c r="AF132" s="120">
        <f>IF(AF123&lt;$E126,0,IF(AND(AF123&gt;=$E126,AF123&lt;=($E126+$E132-1)),Вводные!$D$30,Вводные!$E$30))</f>
        <v>0</v>
      </c>
      <c r="AG132" s="120">
        <f>IF(AG123&lt;$E126,0,IF(AND(AG123&gt;=$E126,AG123&lt;=($E126+$E132-1)),Вводные!$D$30,Вводные!$E$30))</f>
        <v>0</v>
      </c>
      <c r="AH132" s="120">
        <f>IF(AH123&lt;$E126,0,IF(AND(AH123&gt;=$E126,AH123&lt;=($E126+$E132-1)),Вводные!$D$30,Вводные!$E$30))</f>
        <v>0</v>
      </c>
      <c r="AI132" s="120">
        <f>IF(AI123&lt;$E126,0,IF(AND(AI123&gt;=$E126,AI123&lt;=($E126+$E132-1)),Вводные!$D$30,Вводные!$E$30))</f>
        <v>0</v>
      </c>
      <c r="AJ132" s="120">
        <f>IF(AJ123&lt;$E126,0,IF(AND(AJ123&gt;=$E126,AJ123&lt;=($E126+$E132-1)),Вводные!$D$30,Вводные!$E$30))</f>
        <v>0</v>
      </c>
      <c r="AK132" s="120">
        <f>IF(AK123&lt;$E126,0,IF(AND(AK123&gt;=$E126,AK123&lt;=($E126+$E132-1)),Вводные!$D$30,Вводные!$E$30))</f>
        <v>0</v>
      </c>
      <c r="AL132" s="120">
        <f>IF(AL123&lt;$E126,0,IF(AND(AL123&gt;=$E126,AL123&lt;=($E126+$E132-1)),Вводные!$D$30,Вводные!$E$30))</f>
        <v>0</v>
      </c>
      <c r="AM132" s="120">
        <f>IF(AM123&lt;$E126,0,IF(AND(AM123&gt;=$E126,AM123&lt;=($E126+$E132-1)),Вводные!$D$30,Вводные!$E$30))</f>
        <v>0</v>
      </c>
      <c r="AN132" s="120">
        <f>IF(AN123&lt;$E126,0,IF(AND(AN123&gt;=$E126,AN123&lt;=($E126+$E132-1)),Вводные!$D$30,Вводные!$E$30))</f>
        <v>0</v>
      </c>
      <c r="AO132" s="120">
        <f>IF(AO123&lt;$E126,0,IF(AND(AO123&gt;=$E126,AO123&lt;=($E126+$E132-1)),Вводные!$D$30,Вводные!$E$30))</f>
        <v>0</v>
      </c>
      <c r="AP132" s="120">
        <f>IF(AP123&lt;$E126,0,IF(AND(AP123&gt;=$E126,AP123&lt;=($E126+$E132-1)),Вводные!$D$30,Вводные!$E$30))</f>
        <v>0</v>
      </c>
      <c r="AQ132" s="120">
        <f>IF(AQ123&lt;$E126,0,IF(AND(AQ123&gt;=$E126,AQ123&lt;=($E126+$E132-1)),Вводные!$D$30,Вводные!$E$30))</f>
        <v>0</v>
      </c>
      <c r="AR132" s="120">
        <f>IF(AR123&lt;$E126,0,IF(AND(AR123&gt;=$E126,AR123&lt;=($E126+$E132-1)),Вводные!$D$30,Вводные!$E$30))</f>
        <v>0</v>
      </c>
      <c r="AS132" s="120">
        <f>IF(AS123&lt;$E126,0,IF(AND(AS123&gt;=$E126,AS123&lt;=($E126+$E132-1)),Вводные!$D$30,Вводные!$E$30))</f>
        <v>0</v>
      </c>
      <c r="AT132" s="120">
        <f>IF(AT123&lt;$E126,0,IF(AND(AT123&gt;=$E126,AT123&lt;=($E126+$E132-1)),Вводные!$D$30,Вводные!$E$30))</f>
        <v>0</v>
      </c>
      <c r="AU132" s="120">
        <f>IF(AU123&lt;$E126,0,IF(AND(AU123&gt;=$E126,AU123&lt;=($E126+$E132-1)),Вводные!$D$30,Вводные!$E$30))</f>
        <v>0</v>
      </c>
      <c r="AV132" s="120">
        <f>IF(AV123&lt;$E126,0,IF(AND(AV123&gt;=$E126,AV123&lt;=($E126+$E132-1)),Вводные!$D$30,Вводные!$E$30))</f>
        <v>0</v>
      </c>
      <c r="AW132" s="120">
        <f>IF(AW123&lt;$E126,0,IF(AND(AW123&gt;=$E126,AW123&lt;=($E126+$E132-1)),Вводные!$D$30,Вводные!$E$30))</f>
        <v>0</v>
      </c>
      <c r="AX132" s="120">
        <f>IF(AX123&lt;$E126,0,IF(AND(AX123&gt;=$E126,AX123&lt;=($E126+$E132-1)),Вводные!$D$30,Вводные!$E$30))</f>
        <v>0</v>
      </c>
      <c r="AY132" s="120">
        <f>IF(AY123&lt;$E126,0,IF(AND(AY123&gt;=$E126,AY123&lt;=($E126+$E132-1)),Вводные!$D$30,Вводные!$E$30))</f>
        <v>0</v>
      </c>
      <c r="AZ132" s="120">
        <f>IF(AZ123&lt;$E126,0,IF(AND(AZ123&gt;=$E126,AZ123&lt;=($E126+$E132-1)),Вводные!$D$30,Вводные!$E$30))</f>
        <v>0</v>
      </c>
      <c r="BA132" s="120">
        <f>IF(BA123&lt;$E126,0,IF(AND(BA123&gt;=$E126,BA123&lt;=($E126+$E132-1)),Вводные!$D$30,Вводные!$E$30))</f>
        <v>0</v>
      </c>
      <c r="BB132" s="120">
        <f>IF(BB123&lt;$E126,0,IF(AND(BB123&gt;=$E126,BB123&lt;=($E126+$E132-1)),Вводные!$D$30,Вводные!$E$30))</f>
        <v>0</v>
      </c>
      <c r="BC132" s="120">
        <f>IF(BC123&lt;$E126,0,IF(AND(BC123&gt;=$E126,BC123&lt;=($E126+$E132-1)),Вводные!$D$30,Вводные!$E$30))</f>
        <v>0</v>
      </c>
      <c r="BD132" s="120">
        <f>IF(BD123&lt;$E126,0,IF(AND(BD123&gt;=$E126,BD123&lt;=($E126+$E132-1)),Вводные!$D$30,Вводные!$E$30))</f>
        <v>0</v>
      </c>
      <c r="BE132" s="120">
        <f>IF(BE123&lt;$E126,0,IF(AND(BE123&gt;=$E126,BE123&lt;=($E126+$E132-1)),Вводные!$D$30,Вводные!$E$30))</f>
        <v>0</v>
      </c>
      <c r="BF132" s="120">
        <f>IF(BF123&lt;$E126,0,IF(AND(BF123&gt;=$E126,BF123&lt;=($E126+$E132-1)),Вводные!$D$30,Вводные!$E$30))</f>
        <v>0</v>
      </c>
      <c r="BG132" s="120">
        <f>IF(BG123&lt;$E126,0,IF(AND(BG123&gt;=$E126,BG123&lt;=($E126+$E132-1)),Вводные!$D$30,Вводные!$E$30))</f>
        <v>0</v>
      </c>
      <c r="BH132" s="120">
        <f>IF(BH123&lt;$E126,0,IF(AND(BH123&gt;=$E126,BH123&lt;=($E126+$E132-1)),Вводные!$D$30,Вводные!$E$30))</f>
        <v>2.1999999999999999E-2</v>
      </c>
      <c r="BI132" s="120">
        <f>IF(BI123&lt;$E126,0,IF(AND(BI123&gt;=$E126,BI123&lt;=($E126+$E132-1)),Вводные!$D$30,Вводные!$E$30))</f>
        <v>2.1999999999999999E-2</v>
      </c>
      <c r="BJ132" s="120">
        <f>IF(BJ123&lt;$E126,0,IF(AND(BJ123&gt;=$E126,BJ123&lt;=($E126+$E132-1)),Вводные!$D$30,Вводные!$E$30))</f>
        <v>2.1999999999999999E-2</v>
      </c>
      <c r="BK132" s="120">
        <f>IF(BK123&lt;$E126,0,IF(AND(BK123&gt;=$E126,BK123&lt;=($E126+$E132-1)),Вводные!$D$30,Вводные!$E$30))</f>
        <v>2.1999999999999999E-2</v>
      </c>
      <c r="BL132" s="120">
        <f>IF(BL123&lt;$E126,0,IF(AND(BL123&gt;=$E126,BL123&lt;=($E126+$E132-1)),Вводные!$D$30,Вводные!$E$30))</f>
        <v>2.1999999999999999E-2</v>
      </c>
      <c r="BM132" s="120">
        <f>IF(BM123&lt;$E126,0,IF(AND(BM123&gt;=$E126,BM123&lt;=($E126+$E132-1)),Вводные!$D$30,Вводные!$E$30))</f>
        <v>2.1999999999999999E-2</v>
      </c>
      <c r="BN132" s="120">
        <f>IF(BN123&lt;$E126,0,IF(AND(BN123&gt;=$E126,BN123&lt;=($E126+$E132-1)),Вводные!$D$30,Вводные!$E$30))</f>
        <v>2.1999999999999999E-2</v>
      </c>
      <c r="BO132" s="120">
        <f>IF(BO123&lt;$E126,0,IF(AND(BO123&gt;=$E126,BO123&lt;=($E126+$E132-1)),Вводные!$D$30,Вводные!$E$30))</f>
        <v>2.1999999999999999E-2</v>
      </c>
      <c r="BP132" s="120">
        <f>IF(BP123&lt;$E126,0,IF(AND(BP123&gt;=$E126,BP123&lt;=($E126+$E132-1)),Вводные!$D$30,Вводные!$E$30))</f>
        <v>2.1999999999999999E-2</v>
      </c>
      <c r="BQ132" s="120">
        <f>IF(BQ123&lt;$E126,0,IF(AND(BQ123&gt;=$E126,BQ123&lt;=($E126+$E132-1)),Вводные!$D$30,Вводные!$E$30))</f>
        <v>2.1999999999999999E-2</v>
      </c>
      <c r="BR132" s="120">
        <f>IF(BR123&lt;$E126,0,IF(AND(BR123&gt;=$E126,BR123&lt;=($E126+$E132-1)),Вводные!$D$30,Вводные!$E$30))</f>
        <v>2.1999999999999999E-2</v>
      </c>
      <c r="BS132" s="120">
        <f>IF(BS123&lt;$E126,0,IF(AND(BS123&gt;=$E126,BS123&lt;=($E126+$E132-1)),Вводные!$D$30,Вводные!$E$30))</f>
        <v>2.1999999999999999E-2</v>
      </c>
      <c r="BT132" s="120">
        <f>IF(BT123&lt;$E126,0,IF(AND(BT123&gt;=$E126,BT123&lt;=($E126+$E132-1)),Вводные!$D$30,Вводные!$E$30))</f>
        <v>2.1999999999999999E-2</v>
      </c>
      <c r="BU132" s="120">
        <f>IF(BU123&lt;$E126,0,IF(AND(BU123&gt;=$E126,BU123&lt;=($E126+$E132-1)),Вводные!$D$30,Вводные!$E$30))</f>
        <v>2.1999999999999999E-2</v>
      </c>
      <c r="BV132" s="120">
        <f>IF(BV123&lt;$E126,0,IF(AND(BV123&gt;=$E126,BV123&lt;=($E126+$E132-1)),Вводные!$D$30,Вводные!$E$30))</f>
        <v>2.1999999999999999E-2</v>
      </c>
      <c r="BW132" s="120">
        <f>IF(BW123&lt;$E126,0,IF(AND(BW123&gt;=$E126,BW123&lt;=($E126+$E132-1)),Вводные!$D$30,Вводные!$E$30))</f>
        <v>2.1999999999999999E-2</v>
      </c>
      <c r="BX132" s="120">
        <f>IF(BX123&lt;$E126,0,IF(AND(BX123&gt;=$E126,BX123&lt;=($E126+$E132-1)),Вводные!$D$30,Вводные!$E$30))</f>
        <v>2.1999999999999999E-2</v>
      </c>
      <c r="BY132" s="120">
        <f>IF(BY123&lt;$E126,0,IF(AND(BY123&gt;=$E126,BY123&lt;=($E126+$E132-1)),Вводные!$D$30,Вводные!$E$30))</f>
        <v>2.1999999999999999E-2</v>
      </c>
      <c r="BZ132" s="120">
        <f>IF(BZ123&lt;$E126,0,IF(AND(BZ123&gt;=$E126,BZ123&lt;=($E126+$E132-1)),Вводные!$D$30,Вводные!$E$30))</f>
        <v>2.1999999999999999E-2</v>
      </c>
      <c r="CA132" s="120">
        <f>IF(CA123&lt;$E126,0,IF(AND(CA123&gt;=$E126,CA123&lt;=($E126+$E132-1)),Вводные!$D$30,Вводные!$E$30))</f>
        <v>2.1999999999999999E-2</v>
      </c>
      <c r="CB132" s="120">
        <f>IF(CB123&lt;$E126,0,IF(AND(CB123&gt;=$E126,CB123&lt;=($E126+$E132-1)),Вводные!$D$30,Вводные!$E$30))</f>
        <v>2.1999999999999999E-2</v>
      </c>
      <c r="CC132" s="120">
        <f>IF(CC123&lt;$E126,0,IF(AND(CC123&gt;=$E126,CC123&lt;=($E126+$E132-1)),Вводные!$D$30,Вводные!$E$30))</f>
        <v>2.1999999999999999E-2</v>
      </c>
      <c r="CD132" s="120">
        <f>IF(CD123&lt;$E126,0,IF(AND(CD123&gt;=$E126,CD123&lt;=($E126+$E132-1)),Вводные!$D$30,Вводные!$E$30))</f>
        <v>2.1999999999999999E-2</v>
      </c>
      <c r="CE132" s="120">
        <f>IF(CE123&lt;$E126,0,IF(AND(CE123&gt;=$E126,CE123&lt;=($E126+$E132-1)),Вводные!$D$30,Вводные!$E$30))</f>
        <v>2.1999999999999999E-2</v>
      </c>
      <c r="CF132" s="120">
        <f>IF(CF123&lt;$E126,0,IF(AND(CF123&gt;=$E126,CF123&lt;=($E126+$E132-1)),Вводные!$D$30,Вводные!$E$30))</f>
        <v>2.1999999999999999E-2</v>
      </c>
      <c r="CG132" s="120">
        <f>IF(CG123&lt;$E126,0,IF(AND(CG123&gt;=$E126,CG123&lt;=($E126+$E132-1)),Вводные!$D$30,Вводные!$E$30))</f>
        <v>2.1999999999999999E-2</v>
      </c>
      <c r="CH132" s="120">
        <f>IF(CH123&lt;$E126,0,IF(AND(CH123&gt;=$E126,CH123&lt;=($E126+$E132-1)),Вводные!$D$30,Вводные!$E$30))</f>
        <v>2.1999999999999999E-2</v>
      </c>
      <c r="CI132" s="120">
        <f>IF(CI123&lt;$E126,0,IF(AND(CI123&gt;=$E126,CI123&lt;=($E126+$E132-1)),Вводные!$D$30,Вводные!$E$30))</f>
        <v>2.1999999999999999E-2</v>
      </c>
      <c r="CJ132" s="120">
        <f>IF(CJ123&lt;$E126,0,IF(AND(CJ123&gt;=$E126,CJ123&lt;=($E126+$E132-1)),Вводные!$D$30,Вводные!$E$30))</f>
        <v>2.1999999999999999E-2</v>
      </c>
      <c r="CK132" s="120">
        <f>IF(CK123&lt;$E126,0,IF(AND(CK123&gt;=$E126,CK123&lt;=($E126+$E132-1)),Вводные!$D$30,Вводные!$E$30))</f>
        <v>2.1999999999999999E-2</v>
      </c>
      <c r="CL132" s="120">
        <f>IF(CL123&lt;$E126,0,IF(AND(CL123&gt;=$E126,CL123&lt;=($E126+$E132-1)),Вводные!$D$30,Вводные!$E$30))</f>
        <v>2.1999999999999999E-2</v>
      </c>
      <c r="CM132" s="120">
        <f>IF(CM123&lt;$E126,0,IF(AND(CM123&gt;=$E126,CM123&lt;=($E126+$E132-1)),Вводные!$D$30,Вводные!$E$30))</f>
        <v>2.1999999999999999E-2</v>
      </c>
      <c r="CN132" s="120">
        <f>IF(CN123&lt;$E126,0,IF(AND(CN123&gt;=$E126,CN123&lt;=($E126+$E132-1)),Вводные!$D$30,Вводные!$E$30))</f>
        <v>2.1999999999999999E-2</v>
      </c>
      <c r="CO132" s="120">
        <f>IF(CO123&lt;$E126,0,IF(AND(CO123&gt;=$E126,CO123&lt;=($E126+$E132-1)),Вводные!$D$30,Вводные!$E$30))</f>
        <v>2.1999999999999999E-2</v>
      </c>
      <c r="CP132" s="120">
        <f>IF(CP123&lt;$E126,0,IF(AND(CP123&gt;=$E126,CP123&lt;=($E126+$E132-1)),Вводные!$D$30,Вводные!$E$30))</f>
        <v>2.1999999999999999E-2</v>
      </c>
      <c r="CQ132" s="120">
        <f>IF(CQ123&lt;$E126,0,IF(AND(CQ123&gt;=$E126,CQ123&lt;=($E126+$E132-1)),Вводные!$D$30,Вводные!$E$30))</f>
        <v>2.1999999999999999E-2</v>
      </c>
      <c r="CR132" s="120">
        <f>IF(CR123&lt;$E126,0,IF(AND(CR123&gt;=$E126,CR123&lt;=($E126+$E132-1)),Вводные!$D$30,Вводные!$E$30))</f>
        <v>2.1999999999999999E-2</v>
      </c>
      <c r="CS132" s="120">
        <f>IF(CS123&lt;$E126,0,IF(AND(CS123&gt;=$E126,CS123&lt;=($E126+$E132-1)),Вводные!$D$30,Вводные!$E$30))</f>
        <v>2.1999999999999999E-2</v>
      </c>
      <c r="CT132" s="120">
        <f>IF(CT123&lt;$E126,0,IF(AND(CT123&gt;=$E126,CT123&lt;=($E126+$E132-1)),Вводные!$D$30,Вводные!$E$30))</f>
        <v>2.1999999999999999E-2</v>
      </c>
      <c r="CU132" s="120">
        <f>IF(CU123&lt;$E126,0,IF(AND(CU123&gt;=$E126,CU123&lt;=($E126+$E132-1)),Вводные!$D$30,Вводные!$E$30))</f>
        <v>2.1999999999999999E-2</v>
      </c>
      <c r="CV132" s="120">
        <f>IF(CV123&lt;$E126,0,IF(AND(CV123&gt;=$E126,CV123&lt;=($E126+$E132-1)),Вводные!$D$30,Вводные!$E$30))</f>
        <v>2.1999999999999999E-2</v>
      </c>
      <c r="CW132" s="120">
        <f>IF(CW123&lt;$E126,0,IF(AND(CW123&gt;=$E126,CW123&lt;=($E126+$E132-1)),Вводные!$D$30,Вводные!$E$30))</f>
        <v>2.1999999999999999E-2</v>
      </c>
      <c r="CX132" s="120">
        <f>IF(CX123&lt;$E126,0,IF(AND(CX123&gt;=$E126,CX123&lt;=($E126+$E132-1)),Вводные!$D$30,Вводные!$E$30))</f>
        <v>2.1999999999999999E-2</v>
      </c>
      <c r="CY132" s="120">
        <f>IF(CY123&lt;$E126,0,IF(AND(CY123&gt;=$E126,CY123&lt;=($E126+$E132-1)),Вводные!$D$30,Вводные!$E$30))</f>
        <v>2.1999999999999999E-2</v>
      </c>
      <c r="CZ132" s="120">
        <f>IF(CZ123&lt;$E126,0,IF(AND(CZ123&gt;=$E126,CZ123&lt;=($E126+$E132-1)),Вводные!$D$30,Вводные!$E$30))</f>
        <v>2.1999999999999999E-2</v>
      </c>
      <c r="DA132" s="120">
        <f>IF(DA123&lt;$E126,0,IF(AND(DA123&gt;=$E126,DA123&lt;=($E126+$E132-1)),Вводные!$D$30,Вводные!$E$30))</f>
        <v>2.1999999999999999E-2</v>
      </c>
      <c r="DB132" s="120">
        <f>IF(DB123&lt;$E126,0,IF(AND(DB123&gt;=$E126,DB123&lt;=($E126+$E132-1)),Вводные!$D$30,Вводные!$E$30))</f>
        <v>2.1999999999999999E-2</v>
      </c>
      <c r="DC132" s="120">
        <f>IF(DC123&lt;$E126,0,IF(AND(DC123&gt;=$E126,DC123&lt;=($E126+$E132-1)),Вводные!$D$30,Вводные!$E$30))</f>
        <v>2.1999999999999999E-2</v>
      </c>
      <c r="DD132" s="120">
        <f>IF(DD123&lt;$E126,0,IF(AND(DD123&gt;=$E126,DD123&lt;=($E126+$E132-1)),Вводные!$D$30,Вводные!$E$30))</f>
        <v>2.1999999999999999E-2</v>
      </c>
      <c r="DE132" s="120">
        <f>IF(DE123&lt;$E126,0,IF(AND(DE123&gt;=$E126,DE123&lt;=($E126+$E132-1)),Вводные!$D$30,Вводные!$E$30))</f>
        <v>2.1999999999999999E-2</v>
      </c>
      <c r="DF132" s="120">
        <f>IF(DF123&lt;$E126,0,IF(AND(DF123&gt;=$E126,DF123&lt;=($E126+$E132-1)),Вводные!$D$30,Вводные!$E$30))</f>
        <v>2.1999999999999999E-2</v>
      </c>
      <c r="DG132" s="120">
        <f>IF(DG123&lt;$E126,0,IF(AND(DG123&gt;=$E126,DG123&lt;=($E126+$E132-1)),Вводные!$D$30,Вводные!$E$30))</f>
        <v>2.1999999999999999E-2</v>
      </c>
      <c r="DH132" s="120">
        <f>IF(DH123&lt;$E126,0,IF(AND(DH123&gt;=$E126,DH123&lt;=($E126+$E132-1)),Вводные!$D$30,Вводные!$E$30))</f>
        <v>2.1999999999999999E-2</v>
      </c>
      <c r="DI132" s="120">
        <f>IF(DI123&lt;$E126,0,IF(AND(DI123&gt;=$E126,DI123&lt;=($E126+$E132-1)),Вводные!$D$30,Вводные!$E$30))</f>
        <v>2.1999999999999999E-2</v>
      </c>
      <c r="DJ132" s="120">
        <f>IF(DJ123&lt;$E126,0,IF(AND(DJ123&gt;=$E126,DJ123&lt;=($E126+$E132-1)),Вводные!$D$30,Вводные!$E$30))</f>
        <v>2.1999999999999999E-2</v>
      </c>
      <c r="DK132" s="120">
        <f>IF(DK123&lt;$E126,0,IF(AND(DK123&gt;=$E126,DK123&lt;=($E126+$E132-1)),Вводные!$D$30,Вводные!$E$30))</f>
        <v>2.1999999999999999E-2</v>
      </c>
      <c r="DL132" s="120">
        <f>IF(DL123&lt;$E126,0,IF(AND(DL123&gt;=$E126,DL123&lt;=($E126+$E132-1)),Вводные!$D$30,Вводные!$E$30))</f>
        <v>2.1999999999999999E-2</v>
      </c>
      <c r="DM132" s="120">
        <f>IF(DM123&lt;$E126,0,IF(AND(DM123&gt;=$E126,DM123&lt;=($E126+$E132-1)),Вводные!$D$30,Вводные!$E$30))</f>
        <v>2.1999999999999999E-2</v>
      </c>
      <c r="DN132" s="120">
        <f>IF(DN123&lt;$E126,0,IF(AND(DN123&gt;=$E126,DN123&lt;=($E126+$E132-1)),Вводные!$D$30,Вводные!$E$30))</f>
        <v>2.1999999999999999E-2</v>
      </c>
      <c r="DO132" s="120">
        <f>IF(DO123&lt;$E126,0,IF(AND(DO123&gt;=$E126,DO123&lt;=($E126+$E132-1)),Вводные!$D$30,Вводные!$E$30))</f>
        <v>2.1999999999999999E-2</v>
      </c>
      <c r="DP132" s="120">
        <f>IF(DP123&lt;$E126,0,IF(AND(DP123&gt;=$E126,DP123&lt;=($E126+$E132-1)),Вводные!$D$30,Вводные!$E$30))</f>
        <v>2.1999999999999999E-2</v>
      </c>
      <c r="DQ132" s="120">
        <f>IF(DQ123&lt;$E126,0,IF(AND(DQ123&gt;=$E126,DQ123&lt;=($E126+$E132-1)),Вводные!$D$30,Вводные!$E$30))</f>
        <v>2.1999999999999999E-2</v>
      </c>
      <c r="DR132" s="120">
        <f>IF(DR123&lt;$E126,0,IF(AND(DR123&gt;=$E126,DR123&lt;=($E126+$E132-1)),Вводные!$D$30,Вводные!$E$30))</f>
        <v>2.1999999999999999E-2</v>
      </c>
      <c r="DS132" s="120">
        <f>IF(DS123&lt;$E126,0,IF(AND(DS123&gt;=$E126,DS123&lt;=($E126+$E132-1)),Вводные!$D$30,Вводные!$E$30))</f>
        <v>2.1999999999999999E-2</v>
      </c>
      <c r="DT132" s="120">
        <f>IF(DT123&lt;$E126,0,IF(AND(DT123&gt;=$E126,DT123&lt;=($E126+$E132-1)),Вводные!$D$30,Вводные!$E$30))</f>
        <v>2.1999999999999999E-2</v>
      </c>
      <c r="DU132" s="120">
        <f>IF(DU123&lt;$E126,0,IF(AND(DU123&gt;=$E126,DU123&lt;=($E126+$E132-1)),Вводные!$D$30,Вводные!$E$30))</f>
        <v>2.1999999999999999E-2</v>
      </c>
      <c r="DV132" s="120">
        <f>IF(DV123&lt;$E126,0,IF(AND(DV123&gt;=$E126,DV123&lt;=($E126+$E132-1)),Вводные!$D$30,Вводные!$E$30))</f>
        <v>2.1999999999999999E-2</v>
      </c>
      <c r="DW132" s="120">
        <f>IF(DW123&lt;$E126,0,IF(AND(DW123&gt;=$E126,DW123&lt;=($E126+$E132-1)),Вводные!$D$30,Вводные!$E$30))</f>
        <v>2.1999999999999999E-2</v>
      </c>
      <c r="DX132" s="120">
        <f>IF(DX123&lt;$E126,0,IF(AND(DX123&gt;=$E126,DX123&lt;=($E126+$E132-1)),Вводные!$D$30,Вводные!$E$30))</f>
        <v>2.1999999999999999E-2</v>
      </c>
      <c r="DY132" s="120">
        <f>IF(DY123&lt;$E126,0,IF(AND(DY123&gt;=$E126,DY123&lt;=($E126+$E132-1)),Вводные!$D$30,Вводные!$E$30))</f>
        <v>2.1999999999999999E-2</v>
      </c>
      <c r="DZ132" s="120">
        <f>IF(DZ123&lt;$E126,0,IF(AND(DZ123&gt;=$E126,DZ123&lt;=($E126+$E132-1)),Вводные!$D$30,Вводные!$E$30))</f>
        <v>2.1999999999999999E-2</v>
      </c>
      <c r="EA132" s="120">
        <f>IF(EA123&lt;$E126,0,IF(AND(EA123&gt;=$E126,EA123&lt;=($E126+$E132-1)),Вводные!$D$30,Вводные!$E$30))</f>
        <v>2.1999999999999999E-2</v>
      </c>
      <c r="EB132" s="120">
        <f>IF(EB123&lt;$E126,0,IF(AND(EB123&gt;=$E126,EB123&lt;=($E126+$E132-1)),Вводные!$D$30,Вводные!$E$30))</f>
        <v>2.1999999999999999E-2</v>
      </c>
      <c r="EC132" s="120">
        <f>IF(EC123&lt;$E126,0,IF(AND(EC123&gt;=$E126,EC123&lt;=($E126+$E132-1)),Вводные!$D$30,Вводные!$E$30))</f>
        <v>2.1999999999999999E-2</v>
      </c>
      <c r="ED132" s="120">
        <f>IF(ED123&lt;$E126,0,IF(AND(ED123&gt;=$E126,ED123&lt;=($E126+$E132-1)),Вводные!$D$30,Вводные!$E$30))</f>
        <v>2.1999999999999999E-2</v>
      </c>
      <c r="EE132" s="120">
        <f>IF(EE123&lt;$E126,0,IF(AND(EE123&gt;=$E126,EE123&lt;=($E126+$E132-1)),Вводные!$D$30,Вводные!$E$30))</f>
        <v>2.1999999999999999E-2</v>
      </c>
      <c r="EF132" s="120">
        <f>IF(EF123&lt;$E126,0,IF(AND(EF123&gt;=$E126,EF123&lt;=($E126+$E132-1)),Вводные!$D$30,Вводные!$E$30))</f>
        <v>2.1999999999999999E-2</v>
      </c>
      <c r="EG132" s="120">
        <f>IF(EG123&lt;$E126,0,IF(AND(EG123&gt;=$E126,EG123&lt;=($E126+$E132-1)),Вводные!$D$30,Вводные!$E$30))</f>
        <v>2.1999999999999999E-2</v>
      </c>
      <c r="EH132" s="120">
        <f>IF(EH123&lt;$E126,0,IF(AND(EH123&gt;=$E126,EH123&lt;=($E126+$E132-1)),Вводные!$D$30,Вводные!$E$30))</f>
        <v>2.1999999999999999E-2</v>
      </c>
      <c r="EI132" s="120">
        <f>IF(EI123&lt;$E126,0,IF(AND(EI123&gt;=$E126,EI123&lt;=($E126+$E132-1)),Вводные!$D$30,Вводные!$E$30))</f>
        <v>2.1999999999999999E-2</v>
      </c>
      <c r="EJ132" s="120">
        <f>IF(EJ123&lt;$E126,0,IF(AND(EJ123&gt;=$E126,EJ123&lt;=($E126+$E132-1)),Вводные!$D$30,Вводные!$E$30))</f>
        <v>2.1999999999999999E-2</v>
      </c>
      <c r="EK132" s="120">
        <f>IF(EK123&lt;$E126,0,IF(AND(EK123&gt;=$E126,EK123&lt;=($E126+$E132-1)),Вводные!$D$30,Вводные!$E$30))</f>
        <v>2.1999999999999999E-2</v>
      </c>
      <c r="EL132" s="120">
        <f>IF(EL123&lt;$E126,0,IF(AND(EL123&gt;=$E126,EL123&lt;=($E126+$E132-1)),Вводные!$D$30,Вводные!$E$30))</f>
        <v>2.1999999999999999E-2</v>
      </c>
      <c r="EM132" s="120">
        <f>IF(EM123&lt;$E126,0,IF(AND(EM123&gt;=$E126,EM123&lt;=($E126+$E132-1)),Вводные!$D$30,Вводные!$E$30))</f>
        <v>2.1999999999999999E-2</v>
      </c>
      <c r="EN132" s="120">
        <f>IF(EN123&lt;$E126,0,IF(AND(EN123&gt;=$E126,EN123&lt;=($E126+$E132-1)),Вводные!$D$30,Вводные!$E$30))</f>
        <v>2.1999999999999999E-2</v>
      </c>
    </row>
    <row r="133" spans="2:144" outlineLevel="1">
      <c r="C133" s="151" t="s">
        <v>22</v>
      </c>
      <c r="D133" s="44"/>
      <c r="E133" s="469"/>
      <c r="F133" s="44"/>
      <c r="G133" s="44"/>
      <c r="H133" s="44">
        <f t="shared" ref="H133:AM133" si="262">H132*H131/4</f>
        <v>0</v>
      </c>
      <c r="I133" s="44">
        <f t="shared" si="262"/>
        <v>0</v>
      </c>
      <c r="J133" s="44">
        <f t="shared" si="262"/>
        <v>0</v>
      </c>
      <c r="K133" s="44">
        <f t="shared" si="262"/>
        <v>0</v>
      </c>
      <c r="L133" s="44">
        <f t="shared" si="262"/>
        <v>0</v>
      </c>
      <c r="M133" s="44">
        <f t="shared" si="262"/>
        <v>0</v>
      </c>
      <c r="N133" s="44">
        <f t="shared" si="262"/>
        <v>0</v>
      </c>
      <c r="O133" s="44">
        <f t="shared" si="262"/>
        <v>0</v>
      </c>
      <c r="P133" s="44">
        <f t="shared" si="262"/>
        <v>0</v>
      </c>
      <c r="Q133" s="44">
        <f t="shared" si="262"/>
        <v>0</v>
      </c>
      <c r="R133" s="44">
        <f t="shared" si="262"/>
        <v>0</v>
      </c>
      <c r="S133" s="44">
        <f t="shared" si="262"/>
        <v>0</v>
      </c>
      <c r="T133" s="44">
        <f t="shared" si="262"/>
        <v>0</v>
      </c>
      <c r="U133" s="44">
        <f t="shared" si="262"/>
        <v>0</v>
      </c>
      <c r="V133" s="44">
        <f t="shared" si="262"/>
        <v>0</v>
      </c>
      <c r="W133" s="44">
        <f t="shared" si="262"/>
        <v>0</v>
      </c>
      <c r="X133" s="44">
        <f t="shared" si="262"/>
        <v>0</v>
      </c>
      <c r="Y133" s="44">
        <f t="shared" si="262"/>
        <v>0</v>
      </c>
      <c r="Z133" s="44">
        <f t="shared" si="262"/>
        <v>0</v>
      </c>
      <c r="AA133" s="44">
        <f t="shared" si="262"/>
        <v>0</v>
      </c>
      <c r="AB133" s="44">
        <f t="shared" si="262"/>
        <v>0</v>
      </c>
      <c r="AC133" s="44">
        <f t="shared" si="262"/>
        <v>0</v>
      </c>
      <c r="AD133" s="44">
        <f t="shared" si="262"/>
        <v>0</v>
      </c>
      <c r="AE133" s="44">
        <f t="shared" si="262"/>
        <v>0</v>
      </c>
      <c r="AF133" s="44">
        <f t="shared" si="262"/>
        <v>0</v>
      </c>
      <c r="AG133" s="44">
        <f t="shared" si="262"/>
        <v>0</v>
      </c>
      <c r="AH133" s="44">
        <f t="shared" si="262"/>
        <v>0</v>
      </c>
      <c r="AI133" s="44">
        <f t="shared" si="262"/>
        <v>0</v>
      </c>
      <c r="AJ133" s="44">
        <f t="shared" si="262"/>
        <v>0</v>
      </c>
      <c r="AK133" s="44">
        <f t="shared" si="262"/>
        <v>0</v>
      </c>
      <c r="AL133" s="44">
        <f t="shared" si="262"/>
        <v>0</v>
      </c>
      <c r="AM133" s="44">
        <f t="shared" si="262"/>
        <v>0</v>
      </c>
      <c r="AN133" s="44">
        <f t="shared" ref="AN133:BS133" si="263">AN132*AN131/4</f>
        <v>0</v>
      </c>
      <c r="AO133" s="44">
        <f t="shared" si="263"/>
        <v>0</v>
      </c>
      <c r="AP133" s="44">
        <f t="shared" si="263"/>
        <v>0</v>
      </c>
      <c r="AQ133" s="44">
        <f t="shared" si="263"/>
        <v>0</v>
      </c>
      <c r="AR133" s="44">
        <f t="shared" si="263"/>
        <v>0</v>
      </c>
      <c r="AS133" s="44">
        <f t="shared" si="263"/>
        <v>0</v>
      </c>
      <c r="AT133" s="44">
        <f t="shared" si="263"/>
        <v>0</v>
      </c>
      <c r="AU133" s="44">
        <f t="shared" si="263"/>
        <v>0</v>
      </c>
      <c r="AV133" s="44">
        <f t="shared" si="263"/>
        <v>0</v>
      </c>
      <c r="AW133" s="44">
        <f t="shared" si="263"/>
        <v>0</v>
      </c>
      <c r="AX133" s="44">
        <f t="shared" si="263"/>
        <v>0</v>
      </c>
      <c r="AY133" s="44">
        <f t="shared" si="263"/>
        <v>0</v>
      </c>
      <c r="AZ133" s="44">
        <f t="shared" si="263"/>
        <v>0</v>
      </c>
      <c r="BA133" s="44">
        <f t="shared" si="263"/>
        <v>0</v>
      </c>
      <c r="BB133" s="44">
        <f t="shared" si="263"/>
        <v>0</v>
      </c>
      <c r="BC133" s="44">
        <f t="shared" si="263"/>
        <v>0</v>
      </c>
      <c r="BD133" s="44">
        <f t="shared" si="263"/>
        <v>0</v>
      </c>
      <c r="BE133" s="44">
        <f t="shared" si="263"/>
        <v>0</v>
      </c>
      <c r="BF133" s="44">
        <f t="shared" si="263"/>
        <v>0</v>
      </c>
      <c r="BG133" s="44">
        <f t="shared" si="263"/>
        <v>0</v>
      </c>
      <c r="BH133" s="44">
        <f t="shared" si="263"/>
        <v>72028.294496820876</v>
      </c>
      <c r="BI133" s="44">
        <f t="shared" si="263"/>
        <v>71144.511742258648</v>
      </c>
      <c r="BJ133" s="44">
        <f t="shared" si="263"/>
        <v>70260.728987696435</v>
      </c>
      <c r="BK133" s="44">
        <f t="shared" si="263"/>
        <v>69376.946233134207</v>
      </c>
      <c r="BL133" s="44">
        <f t="shared" si="263"/>
        <v>68493.163478571994</v>
      </c>
      <c r="BM133" s="44">
        <f t="shared" si="263"/>
        <v>67609.380724009767</v>
      </c>
      <c r="BN133" s="44">
        <f t="shared" si="263"/>
        <v>66725.597969447568</v>
      </c>
      <c r="BO133" s="44">
        <f t="shared" si="263"/>
        <v>65841.815214885341</v>
      </c>
      <c r="BP133" s="44">
        <f t="shared" si="263"/>
        <v>64958.032460323127</v>
      </c>
      <c r="BQ133" s="44">
        <f t="shared" si="263"/>
        <v>64074.2497057609</v>
      </c>
      <c r="BR133" s="44">
        <f t="shared" si="263"/>
        <v>63190.466951198687</v>
      </c>
      <c r="BS133" s="44">
        <f t="shared" si="263"/>
        <v>62306.684196636459</v>
      </c>
      <c r="BT133" s="44">
        <f t="shared" ref="BT133:CY133" si="264">BT132*BT131/4</f>
        <v>61422.901442074253</v>
      </c>
      <c r="BU133" s="44">
        <f t="shared" si="264"/>
        <v>60539.118687512018</v>
      </c>
      <c r="BV133" s="44">
        <f t="shared" si="264"/>
        <v>59655.335932949813</v>
      </c>
      <c r="BW133" s="44">
        <f t="shared" si="264"/>
        <v>58771.553178387585</v>
      </c>
      <c r="BX133" s="44">
        <f t="shared" si="264"/>
        <v>57887.770423825379</v>
      </c>
      <c r="BY133" s="44">
        <f t="shared" si="264"/>
        <v>57003.987669263144</v>
      </c>
      <c r="BZ133" s="44">
        <f t="shared" si="264"/>
        <v>56120.204914700938</v>
      </c>
      <c r="CA133" s="44">
        <f t="shared" si="264"/>
        <v>55236.422160138711</v>
      </c>
      <c r="CB133" s="44">
        <f t="shared" si="264"/>
        <v>54352.639405576505</v>
      </c>
      <c r="CC133" s="44">
        <f t="shared" si="264"/>
        <v>53468.85665101427</v>
      </c>
      <c r="CD133" s="44">
        <f t="shared" si="264"/>
        <v>52585.073896452064</v>
      </c>
      <c r="CE133" s="44">
        <f t="shared" si="264"/>
        <v>51701.291141889837</v>
      </c>
      <c r="CF133" s="44">
        <f t="shared" si="264"/>
        <v>50817.508387327623</v>
      </c>
      <c r="CG133" s="44">
        <f t="shared" si="264"/>
        <v>49933.725632765396</v>
      </c>
      <c r="CH133" s="44">
        <f t="shared" si="264"/>
        <v>49049.94287820319</v>
      </c>
      <c r="CI133" s="44">
        <f t="shared" si="264"/>
        <v>48166.160123640962</v>
      </c>
      <c r="CJ133" s="44">
        <f t="shared" si="264"/>
        <v>47282.377369078749</v>
      </c>
      <c r="CK133" s="44">
        <f t="shared" si="264"/>
        <v>46398.594614516522</v>
      </c>
      <c r="CL133" s="44">
        <f t="shared" si="264"/>
        <v>45514.811859954309</v>
      </c>
      <c r="CM133" s="44">
        <f t="shared" si="264"/>
        <v>44631.029105392088</v>
      </c>
      <c r="CN133" s="44">
        <f t="shared" si="264"/>
        <v>43747.246350829875</v>
      </c>
      <c r="CO133" s="44">
        <f t="shared" si="264"/>
        <v>42863.463596267655</v>
      </c>
      <c r="CP133" s="44">
        <f t="shared" si="264"/>
        <v>41979.680841705434</v>
      </c>
      <c r="CQ133" s="44">
        <f t="shared" si="264"/>
        <v>41095.898087143214</v>
      </c>
      <c r="CR133" s="44">
        <f t="shared" si="264"/>
        <v>40212.115332581001</v>
      </c>
      <c r="CS133" s="44">
        <f t="shared" si="264"/>
        <v>39328.332578018781</v>
      </c>
      <c r="CT133" s="44">
        <f t="shared" si="264"/>
        <v>38444.54982345656</v>
      </c>
      <c r="CU133" s="44">
        <f t="shared" si="264"/>
        <v>37560.76706889434</v>
      </c>
      <c r="CV133" s="44">
        <f t="shared" si="264"/>
        <v>36676.984314332127</v>
      </c>
      <c r="CW133" s="44">
        <f t="shared" si="264"/>
        <v>35793.201559769906</v>
      </c>
      <c r="CX133" s="44">
        <f t="shared" si="264"/>
        <v>34909.418805207686</v>
      </c>
      <c r="CY133" s="44">
        <f t="shared" si="264"/>
        <v>34025.636050645466</v>
      </c>
      <c r="CZ133" s="44">
        <f t="shared" ref="CZ133:EE133" si="265">CZ132*CZ131/4</f>
        <v>33141.853296083253</v>
      </c>
      <c r="DA133" s="44">
        <f t="shared" si="265"/>
        <v>32258.070541521032</v>
      </c>
      <c r="DB133" s="44">
        <f t="shared" si="265"/>
        <v>31374.287786958812</v>
      </c>
      <c r="DC133" s="44">
        <f t="shared" si="265"/>
        <v>30490.505032396595</v>
      </c>
      <c r="DD133" s="44">
        <f t="shared" si="265"/>
        <v>29606.722277834375</v>
      </c>
      <c r="DE133" s="44">
        <f t="shared" si="265"/>
        <v>28722.939523272158</v>
      </c>
      <c r="DF133" s="44">
        <f t="shared" si="265"/>
        <v>27839.156768709938</v>
      </c>
      <c r="DG133" s="44">
        <f t="shared" si="265"/>
        <v>26955.374014147717</v>
      </c>
      <c r="DH133" s="44">
        <f t="shared" si="265"/>
        <v>26071.591259585501</v>
      </c>
      <c r="DI133" s="44">
        <f t="shared" si="265"/>
        <v>25187.80850502328</v>
      </c>
      <c r="DJ133" s="44">
        <f t="shared" si="265"/>
        <v>24304.025750461064</v>
      </c>
      <c r="DK133" s="44">
        <f t="shared" si="265"/>
        <v>23420.242995898843</v>
      </c>
      <c r="DL133" s="44">
        <f t="shared" si="265"/>
        <v>22536.460241336626</v>
      </c>
      <c r="DM133" s="44">
        <f t="shared" si="265"/>
        <v>21652.677486774406</v>
      </c>
      <c r="DN133" s="44">
        <f t="shared" si="265"/>
        <v>20768.894732212189</v>
      </c>
      <c r="DO133" s="44">
        <f t="shared" si="265"/>
        <v>19885.111977649969</v>
      </c>
      <c r="DP133" s="44">
        <f t="shared" si="265"/>
        <v>19001.329223087752</v>
      </c>
      <c r="DQ133" s="44">
        <f t="shared" si="265"/>
        <v>18117.546468525532</v>
      </c>
      <c r="DR133" s="44">
        <f t="shared" si="265"/>
        <v>17233.763713963315</v>
      </c>
      <c r="DS133" s="44">
        <f t="shared" si="265"/>
        <v>16349.980959401095</v>
      </c>
      <c r="DT133" s="44">
        <f t="shared" si="265"/>
        <v>15466.198204838876</v>
      </c>
      <c r="DU133" s="44">
        <f t="shared" si="265"/>
        <v>14582.415450276658</v>
      </c>
      <c r="DV133" s="44">
        <f t="shared" si="265"/>
        <v>13698.632695714439</v>
      </c>
      <c r="DW133" s="44">
        <f t="shared" si="265"/>
        <v>12814.849941152221</v>
      </c>
      <c r="DX133" s="44">
        <f t="shared" si="265"/>
        <v>11931.067186590002</v>
      </c>
      <c r="DY133" s="44">
        <f t="shared" si="265"/>
        <v>11047.284432027787</v>
      </c>
      <c r="DZ133" s="44">
        <f t="shared" si="265"/>
        <v>10163.501677465569</v>
      </c>
      <c r="EA133" s="44">
        <f t="shared" si="265"/>
        <v>9279.718922903352</v>
      </c>
      <c r="EB133" s="44">
        <f t="shared" si="265"/>
        <v>8395.9361683411335</v>
      </c>
      <c r="EC133" s="44">
        <f t="shared" si="265"/>
        <v>7512.1534137789176</v>
      </c>
      <c r="ED133" s="44">
        <f t="shared" si="265"/>
        <v>6628.3706592166982</v>
      </c>
      <c r="EE133" s="44">
        <f t="shared" si="265"/>
        <v>5744.5879046544815</v>
      </c>
      <c r="EF133" s="44">
        <f t="shared" ref="EF133:EN133" si="266">EF132*EF131/4</f>
        <v>4860.8051500922638</v>
      </c>
      <c r="EG133" s="44">
        <f t="shared" si="266"/>
        <v>3977.0223955300453</v>
      </c>
      <c r="EH133" s="44">
        <f t="shared" si="266"/>
        <v>3093.2396409678281</v>
      </c>
      <c r="EI133" s="44">
        <f t="shared" si="266"/>
        <v>2209.4568864056096</v>
      </c>
      <c r="EJ133" s="44">
        <f t="shared" si="266"/>
        <v>1325.6741318433917</v>
      </c>
      <c r="EK133" s="44">
        <f t="shared" si="266"/>
        <v>441.8913772811739</v>
      </c>
      <c r="EL133" s="44">
        <f t="shared" si="266"/>
        <v>6.498885340988635E-11</v>
      </c>
      <c r="EM133" s="44">
        <f t="shared" si="266"/>
        <v>6.498885340988635E-11</v>
      </c>
      <c r="EN133" s="44">
        <f t="shared" si="266"/>
        <v>6.498885340988635E-11</v>
      </c>
    </row>
    <row r="134" spans="2:144" ht="15.75">
      <c r="B134" s="40"/>
      <c r="C134" s="22"/>
      <c r="E134" s="40"/>
      <c r="F134" s="40"/>
      <c r="G134" s="40"/>
      <c r="H134" s="463">
        <f t="shared" ref="H134:BD134" si="267">YEAR(H136)</f>
        <v>2022</v>
      </c>
      <c r="I134" s="463">
        <f t="shared" si="267"/>
        <v>2022</v>
      </c>
      <c r="J134" s="463">
        <f t="shared" si="267"/>
        <v>2022</v>
      </c>
      <c r="K134" s="463">
        <f t="shared" si="267"/>
        <v>2022</v>
      </c>
      <c r="L134" s="463">
        <f t="shared" si="267"/>
        <v>2023</v>
      </c>
      <c r="M134" s="463">
        <f t="shared" si="267"/>
        <v>2023</v>
      </c>
      <c r="N134" s="463">
        <f t="shared" si="267"/>
        <v>2023</v>
      </c>
      <c r="O134" s="463">
        <f t="shared" si="267"/>
        <v>2023</v>
      </c>
      <c r="P134" s="463">
        <f t="shared" si="267"/>
        <v>2024</v>
      </c>
      <c r="Q134" s="463">
        <f t="shared" si="267"/>
        <v>2024</v>
      </c>
      <c r="R134" s="463">
        <f t="shared" si="267"/>
        <v>2024</v>
      </c>
      <c r="S134" s="463">
        <f t="shared" si="267"/>
        <v>2024</v>
      </c>
      <c r="T134" s="463">
        <f t="shared" si="267"/>
        <v>2025</v>
      </c>
      <c r="U134" s="463">
        <f t="shared" si="267"/>
        <v>2025</v>
      </c>
      <c r="V134" s="463">
        <f t="shared" si="267"/>
        <v>2025</v>
      </c>
      <c r="W134" s="463">
        <f t="shared" si="267"/>
        <v>2025</v>
      </c>
      <c r="X134" s="463">
        <f t="shared" si="267"/>
        <v>2026</v>
      </c>
      <c r="Y134" s="463">
        <f t="shared" si="267"/>
        <v>2026</v>
      </c>
      <c r="Z134" s="463">
        <f t="shared" si="267"/>
        <v>2026</v>
      </c>
      <c r="AA134" s="463">
        <f t="shared" si="267"/>
        <v>2026</v>
      </c>
      <c r="AB134" s="463">
        <f t="shared" si="267"/>
        <v>2027</v>
      </c>
      <c r="AC134" s="463">
        <f t="shared" si="267"/>
        <v>2027</v>
      </c>
      <c r="AD134" s="463">
        <f t="shared" si="267"/>
        <v>2027</v>
      </c>
      <c r="AE134" s="463">
        <f t="shared" si="267"/>
        <v>2027</v>
      </c>
      <c r="AF134" s="463">
        <f t="shared" si="267"/>
        <v>2028</v>
      </c>
      <c r="AG134" s="463">
        <f t="shared" si="267"/>
        <v>2028</v>
      </c>
      <c r="AH134" s="463">
        <f t="shared" si="267"/>
        <v>2028</v>
      </c>
      <c r="AI134" s="463">
        <f t="shared" si="267"/>
        <v>2028</v>
      </c>
      <c r="AJ134" s="463">
        <f t="shared" si="267"/>
        <v>2029</v>
      </c>
      <c r="AK134" s="463">
        <f t="shared" si="267"/>
        <v>2029</v>
      </c>
      <c r="AL134" s="463">
        <f t="shared" si="267"/>
        <v>2029</v>
      </c>
      <c r="AM134" s="463">
        <f t="shared" si="267"/>
        <v>2029</v>
      </c>
      <c r="AN134" s="463">
        <f t="shared" si="267"/>
        <v>2030</v>
      </c>
      <c r="AO134" s="463">
        <f t="shared" si="267"/>
        <v>2030</v>
      </c>
      <c r="AP134" s="463">
        <f t="shared" si="267"/>
        <v>2030</v>
      </c>
      <c r="AQ134" s="463">
        <f t="shared" si="267"/>
        <v>2030</v>
      </c>
      <c r="AR134" s="463">
        <f t="shared" si="267"/>
        <v>2031</v>
      </c>
      <c r="AS134" s="463">
        <f t="shared" si="267"/>
        <v>2031</v>
      </c>
      <c r="AT134" s="463">
        <f t="shared" si="267"/>
        <v>2031</v>
      </c>
      <c r="AU134" s="463">
        <f t="shared" si="267"/>
        <v>2031</v>
      </c>
      <c r="AV134" s="463">
        <f t="shared" si="267"/>
        <v>2032</v>
      </c>
      <c r="AW134" s="463">
        <f t="shared" si="267"/>
        <v>2032</v>
      </c>
      <c r="AX134" s="463">
        <f t="shared" si="267"/>
        <v>2032</v>
      </c>
      <c r="AY134" s="463">
        <f t="shared" si="267"/>
        <v>2032</v>
      </c>
      <c r="AZ134" s="463">
        <f t="shared" si="267"/>
        <v>2033</v>
      </c>
      <c r="BA134" s="463">
        <f t="shared" si="267"/>
        <v>2033</v>
      </c>
      <c r="BB134" s="463">
        <f t="shared" si="267"/>
        <v>2033</v>
      </c>
      <c r="BC134" s="463">
        <f t="shared" si="267"/>
        <v>2033</v>
      </c>
      <c r="BD134" s="463">
        <f t="shared" si="267"/>
        <v>2034</v>
      </c>
      <c r="BE134" s="463">
        <f>YEAR(BE136)</f>
        <v>2034</v>
      </c>
      <c r="BF134" s="463">
        <f>YEAR(BF136)</f>
        <v>2034</v>
      </c>
      <c r="BG134" s="463">
        <f t="shared" ref="BG134:DR134" si="268">YEAR(BG136)</f>
        <v>2034</v>
      </c>
      <c r="BH134" s="463">
        <f t="shared" si="268"/>
        <v>2035</v>
      </c>
      <c r="BI134" s="463">
        <f t="shared" si="268"/>
        <v>2035</v>
      </c>
      <c r="BJ134" s="463">
        <f t="shared" si="268"/>
        <v>2035</v>
      </c>
      <c r="BK134" s="463">
        <f t="shared" si="268"/>
        <v>2035</v>
      </c>
      <c r="BL134" s="463">
        <f t="shared" si="268"/>
        <v>2036</v>
      </c>
      <c r="BM134" s="463">
        <f t="shared" si="268"/>
        <v>2036</v>
      </c>
      <c r="BN134" s="463">
        <f t="shared" si="268"/>
        <v>2036</v>
      </c>
      <c r="BO134" s="463">
        <f t="shared" si="268"/>
        <v>2036</v>
      </c>
      <c r="BP134" s="463">
        <f t="shared" si="268"/>
        <v>2037</v>
      </c>
      <c r="BQ134" s="463">
        <f t="shared" si="268"/>
        <v>2037</v>
      </c>
      <c r="BR134" s="463">
        <f t="shared" si="268"/>
        <v>2037</v>
      </c>
      <c r="BS134" s="463">
        <f t="shared" si="268"/>
        <v>2037</v>
      </c>
      <c r="BT134" s="463">
        <f t="shared" si="268"/>
        <v>2038</v>
      </c>
      <c r="BU134" s="463">
        <f t="shared" si="268"/>
        <v>2038</v>
      </c>
      <c r="BV134" s="463">
        <f t="shared" si="268"/>
        <v>2038</v>
      </c>
      <c r="BW134" s="463">
        <f t="shared" si="268"/>
        <v>2038</v>
      </c>
      <c r="BX134" s="463">
        <f t="shared" si="268"/>
        <v>2039</v>
      </c>
      <c r="BY134" s="463">
        <f t="shared" si="268"/>
        <v>2039</v>
      </c>
      <c r="BZ134" s="463">
        <f t="shared" si="268"/>
        <v>2039</v>
      </c>
      <c r="CA134" s="463">
        <f t="shared" si="268"/>
        <v>2039</v>
      </c>
      <c r="CB134" s="463">
        <f t="shared" si="268"/>
        <v>2040</v>
      </c>
      <c r="CC134" s="463">
        <f t="shared" si="268"/>
        <v>2040</v>
      </c>
      <c r="CD134" s="463">
        <f t="shared" si="268"/>
        <v>2040</v>
      </c>
      <c r="CE134" s="463">
        <f t="shared" si="268"/>
        <v>2040</v>
      </c>
      <c r="CF134" s="463">
        <f t="shared" si="268"/>
        <v>2041</v>
      </c>
      <c r="CG134" s="463">
        <f t="shared" si="268"/>
        <v>2041</v>
      </c>
      <c r="CH134" s="463">
        <f t="shared" si="268"/>
        <v>2041</v>
      </c>
      <c r="CI134" s="463">
        <f t="shared" si="268"/>
        <v>2041</v>
      </c>
      <c r="CJ134" s="463">
        <f t="shared" si="268"/>
        <v>2042</v>
      </c>
      <c r="CK134" s="463">
        <f t="shared" si="268"/>
        <v>2042</v>
      </c>
      <c r="CL134" s="463">
        <f t="shared" si="268"/>
        <v>2042</v>
      </c>
      <c r="CM134" s="463">
        <f t="shared" si="268"/>
        <v>2042</v>
      </c>
      <c r="CN134" s="463">
        <f t="shared" si="268"/>
        <v>2043</v>
      </c>
      <c r="CO134" s="463">
        <f t="shared" si="268"/>
        <v>2043</v>
      </c>
      <c r="CP134" s="463">
        <f t="shared" si="268"/>
        <v>2043</v>
      </c>
      <c r="CQ134" s="463">
        <f t="shared" si="268"/>
        <v>2043</v>
      </c>
      <c r="CR134" s="463">
        <f t="shared" si="268"/>
        <v>2044</v>
      </c>
      <c r="CS134" s="463">
        <f t="shared" si="268"/>
        <v>2044</v>
      </c>
      <c r="CT134" s="463">
        <f t="shared" si="268"/>
        <v>2044</v>
      </c>
      <c r="CU134" s="463">
        <f t="shared" si="268"/>
        <v>2044</v>
      </c>
      <c r="CV134" s="463">
        <f t="shared" si="268"/>
        <v>2045</v>
      </c>
      <c r="CW134" s="463">
        <f t="shared" si="268"/>
        <v>2045</v>
      </c>
      <c r="CX134" s="463">
        <f t="shared" si="268"/>
        <v>2045</v>
      </c>
      <c r="CY134" s="463">
        <f t="shared" si="268"/>
        <v>2045</v>
      </c>
      <c r="CZ134" s="463">
        <f t="shared" si="268"/>
        <v>2046</v>
      </c>
      <c r="DA134" s="463">
        <f t="shared" si="268"/>
        <v>2046</v>
      </c>
      <c r="DB134" s="463">
        <f t="shared" si="268"/>
        <v>2046</v>
      </c>
      <c r="DC134" s="463">
        <f t="shared" si="268"/>
        <v>2046</v>
      </c>
      <c r="DD134" s="463">
        <f t="shared" si="268"/>
        <v>2047</v>
      </c>
      <c r="DE134" s="463">
        <f t="shared" si="268"/>
        <v>2047</v>
      </c>
      <c r="DF134" s="463">
        <f t="shared" si="268"/>
        <v>2047</v>
      </c>
      <c r="DG134" s="463">
        <f t="shared" si="268"/>
        <v>2047</v>
      </c>
      <c r="DH134" s="463">
        <f t="shared" si="268"/>
        <v>2048</v>
      </c>
      <c r="DI134" s="463">
        <f t="shared" si="268"/>
        <v>2048</v>
      </c>
      <c r="DJ134" s="463">
        <f t="shared" si="268"/>
        <v>2048</v>
      </c>
      <c r="DK134" s="463">
        <f t="shared" si="268"/>
        <v>2048</v>
      </c>
      <c r="DL134" s="463">
        <f t="shared" si="268"/>
        <v>2049</v>
      </c>
      <c r="DM134" s="463">
        <f t="shared" si="268"/>
        <v>2049</v>
      </c>
      <c r="DN134" s="463">
        <f t="shared" si="268"/>
        <v>2049</v>
      </c>
      <c r="DO134" s="463">
        <f t="shared" si="268"/>
        <v>2049</v>
      </c>
      <c r="DP134" s="463">
        <f t="shared" si="268"/>
        <v>2050</v>
      </c>
      <c r="DQ134" s="463">
        <f t="shared" si="268"/>
        <v>2050</v>
      </c>
      <c r="DR134" s="463">
        <f t="shared" si="268"/>
        <v>2050</v>
      </c>
      <c r="DS134" s="463">
        <f t="shared" ref="DS134:EN134" si="269">YEAR(DS136)</f>
        <v>2050</v>
      </c>
      <c r="DT134" s="463">
        <f t="shared" si="269"/>
        <v>2051</v>
      </c>
      <c r="DU134" s="463">
        <f t="shared" si="269"/>
        <v>2051</v>
      </c>
      <c r="DV134" s="463">
        <f t="shared" si="269"/>
        <v>2051</v>
      </c>
      <c r="DW134" s="463">
        <f t="shared" si="269"/>
        <v>2051</v>
      </c>
      <c r="DX134" s="463">
        <f t="shared" si="269"/>
        <v>2052</v>
      </c>
      <c r="DY134" s="463">
        <f t="shared" si="269"/>
        <v>2052</v>
      </c>
      <c r="DZ134" s="463">
        <f t="shared" si="269"/>
        <v>2052</v>
      </c>
      <c r="EA134" s="463">
        <f t="shared" si="269"/>
        <v>2052</v>
      </c>
      <c r="EB134" s="463">
        <f t="shared" si="269"/>
        <v>2053</v>
      </c>
      <c r="EC134" s="463">
        <f t="shared" si="269"/>
        <v>2053</v>
      </c>
      <c r="ED134" s="463">
        <f t="shared" si="269"/>
        <v>2053</v>
      </c>
      <c r="EE134" s="463">
        <f t="shared" si="269"/>
        <v>2053</v>
      </c>
      <c r="EF134" s="463">
        <f t="shared" si="269"/>
        <v>2054</v>
      </c>
      <c r="EG134" s="463">
        <f t="shared" si="269"/>
        <v>2054</v>
      </c>
      <c r="EH134" s="463">
        <f t="shared" si="269"/>
        <v>2054</v>
      </c>
      <c r="EI134" s="463">
        <f t="shared" si="269"/>
        <v>2054</v>
      </c>
      <c r="EJ134" s="463">
        <f t="shared" si="269"/>
        <v>2055</v>
      </c>
      <c r="EK134" s="463">
        <f t="shared" si="269"/>
        <v>2055</v>
      </c>
      <c r="EL134" s="463">
        <f t="shared" si="269"/>
        <v>2055</v>
      </c>
      <c r="EM134" s="463">
        <f t="shared" si="269"/>
        <v>2055</v>
      </c>
      <c r="EN134" s="463">
        <f t="shared" si="269"/>
        <v>2056</v>
      </c>
    </row>
    <row r="135" spans="2:144" ht="15.75">
      <c r="B135" s="40"/>
      <c r="C135" s="22"/>
      <c r="E135" s="40"/>
      <c r="F135" s="40"/>
      <c r="G135" s="40"/>
      <c r="H135" s="464">
        <f t="shared" ref="H135:AM135" si="270">H113</f>
        <v>44593</v>
      </c>
      <c r="I135" s="464">
        <f t="shared" si="270"/>
        <v>44652</v>
      </c>
      <c r="J135" s="464">
        <f t="shared" si="270"/>
        <v>44743</v>
      </c>
      <c r="K135" s="464">
        <f t="shared" si="270"/>
        <v>44835</v>
      </c>
      <c r="L135" s="464">
        <f t="shared" si="270"/>
        <v>44927</v>
      </c>
      <c r="M135" s="464">
        <f t="shared" si="270"/>
        <v>45017</v>
      </c>
      <c r="N135" s="464">
        <f t="shared" si="270"/>
        <v>45108</v>
      </c>
      <c r="O135" s="464">
        <f t="shared" si="270"/>
        <v>45200</v>
      </c>
      <c r="P135" s="464">
        <f t="shared" si="270"/>
        <v>45292</v>
      </c>
      <c r="Q135" s="464">
        <f t="shared" si="270"/>
        <v>45383</v>
      </c>
      <c r="R135" s="464">
        <f t="shared" si="270"/>
        <v>45474</v>
      </c>
      <c r="S135" s="464">
        <f t="shared" si="270"/>
        <v>45566</v>
      </c>
      <c r="T135" s="464">
        <f t="shared" si="270"/>
        <v>45658</v>
      </c>
      <c r="U135" s="464">
        <f t="shared" si="270"/>
        <v>45748</v>
      </c>
      <c r="V135" s="464">
        <f t="shared" si="270"/>
        <v>45839</v>
      </c>
      <c r="W135" s="464">
        <f t="shared" si="270"/>
        <v>45931</v>
      </c>
      <c r="X135" s="464">
        <f t="shared" si="270"/>
        <v>46023</v>
      </c>
      <c r="Y135" s="464">
        <f t="shared" si="270"/>
        <v>46113</v>
      </c>
      <c r="Z135" s="464">
        <f t="shared" si="270"/>
        <v>46204</v>
      </c>
      <c r="AA135" s="464">
        <f t="shared" si="270"/>
        <v>46296</v>
      </c>
      <c r="AB135" s="464">
        <f t="shared" si="270"/>
        <v>46388</v>
      </c>
      <c r="AC135" s="464">
        <f t="shared" si="270"/>
        <v>46478</v>
      </c>
      <c r="AD135" s="464">
        <f t="shared" si="270"/>
        <v>46569</v>
      </c>
      <c r="AE135" s="464">
        <f t="shared" si="270"/>
        <v>46661</v>
      </c>
      <c r="AF135" s="464">
        <f t="shared" si="270"/>
        <v>46753</v>
      </c>
      <c r="AG135" s="464">
        <f t="shared" si="270"/>
        <v>46844</v>
      </c>
      <c r="AH135" s="464">
        <f t="shared" si="270"/>
        <v>46935</v>
      </c>
      <c r="AI135" s="464">
        <f t="shared" si="270"/>
        <v>47027</v>
      </c>
      <c r="AJ135" s="464">
        <f t="shared" si="270"/>
        <v>47119</v>
      </c>
      <c r="AK135" s="464">
        <f t="shared" si="270"/>
        <v>47209</v>
      </c>
      <c r="AL135" s="464">
        <f t="shared" si="270"/>
        <v>47300</v>
      </c>
      <c r="AM135" s="464">
        <f t="shared" si="270"/>
        <v>47392</v>
      </c>
      <c r="AN135" s="464">
        <f t="shared" ref="AN135:BS135" si="271">AN113</f>
        <v>47484</v>
      </c>
      <c r="AO135" s="464">
        <f t="shared" si="271"/>
        <v>47574</v>
      </c>
      <c r="AP135" s="464">
        <f t="shared" si="271"/>
        <v>47665</v>
      </c>
      <c r="AQ135" s="464">
        <f t="shared" si="271"/>
        <v>47757</v>
      </c>
      <c r="AR135" s="464">
        <f t="shared" si="271"/>
        <v>47849</v>
      </c>
      <c r="AS135" s="464">
        <f t="shared" si="271"/>
        <v>47939</v>
      </c>
      <c r="AT135" s="464">
        <f t="shared" si="271"/>
        <v>48030</v>
      </c>
      <c r="AU135" s="464">
        <f t="shared" si="271"/>
        <v>48122</v>
      </c>
      <c r="AV135" s="464">
        <f t="shared" si="271"/>
        <v>48214</v>
      </c>
      <c r="AW135" s="464">
        <f t="shared" si="271"/>
        <v>48305</v>
      </c>
      <c r="AX135" s="464">
        <f t="shared" si="271"/>
        <v>48396</v>
      </c>
      <c r="AY135" s="464">
        <f t="shared" si="271"/>
        <v>48488</v>
      </c>
      <c r="AZ135" s="464">
        <f t="shared" si="271"/>
        <v>48580</v>
      </c>
      <c r="BA135" s="464">
        <f t="shared" si="271"/>
        <v>48670</v>
      </c>
      <c r="BB135" s="464">
        <f t="shared" si="271"/>
        <v>48761</v>
      </c>
      <c r="BC135" s="464">
        <f t="shared" si="271"/>
        <v>48853</v>
      </c>
      <c r="BD135" s="464">
        <f t="shared" si="271"/>
        <v>48945</v>
      </c>
      <c r="BE135" s="464">
        <f t="shared" si="271"/>
        <v>49035</v>
      </c>
      <c r="BF135" s="464">
        <f t="shared" si="271"/>
        <v>49126</v>
      </c>
      <c r="BG135" s="464">
        <f t="shared" si="271"/>
        <v>49218</v>
      </c>
      <c r="BH135" s="464">
        <f t="shared" si="271"/>
        <v>49310</v>
      </c>
      <c r="BI135" s="464">
        <f t="shared" si="271"/>
        <v>49400</v>
      </c>
      <c r="BJ135" s="464">
        <f t="shared" si="271"/>
        <v>49491</v>
      </c>
      <c r="BK135" s="464">
        <f t="shared" si="271"/>
        <v>49583</v>
      </c>
      <c r="BL135" s="464">
        <f t="shared" si="271"/>
        <v>49675</v>
      </c>
      <c r="BM135" s="464">
        <f t="shared" si="271"/>
        <v>49766</v>
      </c>
      <c r="BN135" s="464">
        <f t="shared" si="271"/>
        <v>49857</v>
      </c>
      <c r="BO135" s="464">
        <f t="shared" si="271"/>
        <v>49949</v>
      </c>
      <c r="BP135" s="464">
        <f t="shared" si="271"/>
        <v>50041</v>
      </c>
      <c r="BQ135" s="464">
        <f t="shared" si="271"/>
        <v>50131</v>
      </c>
      <c r="BR135" s="464">
        <f t="shared" si="271"/>
        <v>50222</v>
      </c>
      <c r="BS135" s="464">
        <f t="shared" si="271"/>
        <v>50314</v>
      </c>
      <c r="BT135" s="464">
        <f t="shared" ref="BT135:CY135" si="272">BT113</f>
        <v>50406</v>
      </c>
      <c r="BU135" s="464">
        <f t="shared" si="272"/>
        <v>50496</v>
      </c>
      <c r="BV135" s="464">
        <f t="shared" si="272"/>
        <v>50587</v>
      </c>
      <c r="BW135" s="464">
        <f t="shared" si="272"/>
        <v>50679</v>
      </c>
      <c r="BX135" s="464">
        <f t="shared" si="272"/>
        <v>50771</v>
      </c>
      <c r="BY135" s="464">
        <f t="shared" si="272"/>
        <v>50861</v>
      </c>
      <c r="BZ135" s="464">
        <f t="shared" si="272"/>
        <v>50952</v>
      </c>
      <c r="CA135" s="464">
        <f t="shared" si="272"/>
        <v>51044</v>
      </c>
      <c r="CB135" s="464">
        <f t="shared" si="272"/>
        <v>51136</v>
      </c>
      <c r="CC135" s="464">
        <f t="shared" si="272"/>
        <v>51227</v>
      </c>
      <c r="CD135" s="464">
        <f t="shared" si="272"/>
        <v>51318</v>
      </c>
      <c r="CE135" s="464">
        <f t="shared" si="272"/>
        <v>51410</v>
      </c>
      <c r="CF135" s="464">
        <f t="shared" si="272"/>
        <v>51502</v>
      </c>
      <c r="CG135" s="464">
        <f t="shared" si="272"/>
        <v>51592</v>
      </c>
      <c r="CH135" s="464">
        <f t="shared" si="272"/>
        <v>51683</v>
      </c>
      <c r="CI135" s="464">
        <f t="shared" si="272"/>
        <v>51775</v>
      </c>
      <c r="CJ135" s="464">
        <f t="shared" si="272"/>
        <v>51867</v>
      </c>
      <c r="CK135" s="464">
        <f t="shared" si="272"/>
        <v>51957</v>
      </c>
      <c r="CL135" s="464">
        <f t="shared" si="272"/>
        <v>52048</v>
      </c>
      <c r="CM135" s="464">
        <f t="shared" si="272"/>
        <v>52140</v>
      </c>
      <c r="CN135" s="464">
        <f t="shared" si="272"/>
        <v>52232</v>
      </c>
      <c r="CO135" s="464">
        <f t="shared" si="272"/>
        <v>52322</v>
      </c>
      <c r="CP135" s="464">
        <f t="shared" si="272"/>
        <v>52413</v>
      </c>
      <c r="CQ135" s="464">
        <f t="shared" si="272"/>
        <v>52505</v>
      </c>
      <c r="CR135" s="464">
        <f t="shared" si="272"/>
        <v>52597</v>
      </c>
      <c r="CS135" s="464">
        <f t="shared" si="272"/>
        <v>52688</v>
      </c>
      <c r="CT135" s="464">
        <f t="shared" si="272"/>
        <v>52779</v>
      </c>
      <c r="CU135" s="464">
        <f t="shared" si="272"/>
        <v>52871</v>
      </c>
      <c r="CV135" s="464">
        <f t="shared" si="272"/>
        <v>52963</v>
      </c>
      <c r="CW135" s="464">
        <f t="shared" si="272"/>
        <v>53053</v>
      </c>
      <c r="CX135" s="464">
        <f t="shared" si="272"/>
        <v>53144</v>
      </c>
      <c r="CY135" s="464">
        <f t="shared" si="272"/>
        <v>53236</v>
      </c>
      <c r="CZ135" s="464">
        <f t="shared" ref="CZ135:EE135" si="273">CZ113</f>
        <v>53328</v>
      </c>
      <c r="DA135" s="464">
        <f t="shared" si="273"/>
        <v>53418</v>
      </c>
      <c r="DB135" s="464">
        <f t="shared" si="273"/>
        <v>53509</v>
      </c>
      <c r="DC135" s="464">
        <f t="shared" si="273"/>
        <v>53601</v>
      </c>
      <c r="DD135" s="464">
        <f t="shared" si="273"/>
        <v>53693</v>
      </c>
      <c r="DE135" s="464">
        <f t="shared" si="273"/>
        <v>53783</v>
      </c>
      <c r="DF135" s="464">
        <f t="shared" si="273"/>
        <v>53874</v>
      </c>
      <c r="DG135" s="464">
        <f t="shared" si="273"/>
        <v>53966</v>
      </c>
      <c r="DH135" s="464">
        <f t="shared" si="273"/>
        <v>54058</v>
      </c>
      <c r="DI135" s="464">
        <f t="shared" si="273"/>
        <v>54149</v>
      </c>
      <c r="DJ135" s="464">
        <f t="shared" si="273"/>
        <v>54240</v>
      </c>
      <c r="DK135" s="464">
        <f t="shared" si="273"/>
        <v>54332</v>
      </c>
      <c r="DL135" s="464">
        <f t="shared" si="273"/>
        <v>54424</v>
      </c>
      <c r="DM135" s="464">
        <f t="shared" si="273"/>
        <v>54514</v>
      </c>
      <c r="DN135" s="464">
        <f t="shared" si="273"/>
        <v>54605</v>
      </c>
      <c r="DO135" s="464">
        <f t="shared" si="273"/>
        <v>54697</v>
      </c>
      <c r="DP135" s="464">
        <f t="shared" si="273"/>
        <v>54789</v>
      </c>
      <c r="DQ135" s="464">
        <f t="shared" si="273"/>
        <v>54879</v>
      </c>
      <c r="DR135" s="464">
        <f t="shared" si="273"/>
        <v>54970</v>
      </c>
      <c r="DS135" s="464">
        <f t="shared" si="273"/>
        <v>55062</v>
      </c>
      <c r="DT135" s="464">
        <f t="shared" si="273"/>
        <v>55154</v>
      </c>
      <c r="DU135" s="464">
        <f t="shared" si="273"/>
        <v>55244</v>
      </c>
      <c r="DV135" s="464">
        <f t="shared" si="273"/>
        <v>55335</v>
      </c>
      <c r="DW135" s="464">
        <f t="shared" si="273"/>
        <v>55427</v>
      </c>
      <c r="DX135" s="464">
        <f t="shared" si="273"/>
        <v>55519</v>
      </c>
      <c r="DY135" s="464">
        <f t="shared" si="273"/>
        <v>55610</v>
      </c>
      <c r="DZ135" s="464">
        <f t="shared" si="273"/>
        <v>55701</v>
      </c>
      <c r="EA135" s="464">
        <f t="shared" si="273"/>
        <v>55793</v>
      </c>
      <c r="EB135" s="464">
        <f t="shared" si="273"/>
        <v>55885</v>
      </c>
      <c r="EC135" s="464">
        <f t="shared" si="273"/>
        <v>55975</v>
      </c>
      <c r="ED135" s="464">
        <f t="shared" si="273"/>
        <v>56066</v>
      </c>
      <c r="EE135" s="464">
        <f t="shared" si="273"/>
        <v>56158</v>
      </c>
      <c r="EF135" s="464">
        <f t="shared" ref="EF135:EN135" si="274">EF113</f>
        <v>56250</v>
      </c>
      <c r="EG135" s="464">
        <f t="shared" si="274"/>
        <v>56340</v>
      </c>
      <c r="EH135" s="464">
        <f t="shared" si="274"/>
        <v>56431</v>
      </c>
      <c r="EI135" s="464">
        <f t="shared" si="274"/>
        <v>56523</v>
      </c>
      <c r="EJ135" s="464">
        <f t="shared" si="274"/>
        <v>56615</v>
      </c>
      <c r="EK135" s="464">
        <f t="shared" si="274"/>
        <v>56705</v>
      </c>
      <c r="EL135" s="464">
        <f t="shared" si="274"/>
        <v>56796</v>
      </c>
      <c r="EM135" s="464">
        <f t="shared" si="274"/>
        <v>56888</v>
      </c>
      <c r="EN135" s="464">
        <f t="shared" si="274"/>
        <v>56980</v>
      </c>
    </row>
    <row r="136" spans="2:144" ht="15.75">
      <c r="C136" s="22"/>
      <c r="E136" s="42"/>
      <c r="F136" s="42"/>
      <c r="G136" s="42"/>
      <c r="H136" s="464">
        <f t="shared" ref="H136:AM136" si="275">H114</f>
        <v>44651</v>
      </c>
      <c r="I136" s="464">
        <f t="shared" si="275"/>
        <v>44742</v>
      </c>
      <c r="J136" s="464">
        <f t="shared" si="275"/>
        <v>44834</v>
      </c>
      <c r="K136" s="464">
        <f t="shared" si="275"/>
        <v>44926</v>
      </c>
      <c r="L136" s="464">
        <f t="shared" si="275"/>
        <v>45016</v>
      </c>
      <c r="M136" s="464">
        <f t="shared" si="275"/>
        <v>45107</v>
      </c>
      <c r="N136" s="464">
        <f t="shared" si="275"/>
        <v>45199</v>
      </c>
      <c r="O136" s="464">
        <f t="shared" si="275"/>
        <v>45291</v>
      </c>
      <c r="P136" s="464">
        <f t="shared" si="275"/>
        <v>45382</v>
      </c>
      <c r="Q136" s="464">
        <f t="shared" si="275"/>
        <v>45473</v>
      </c>
      <c r="R136" s="464">
        <f t="shared" si="275"/>
        <v>45565</v>
      </c>
      <c r="S136" s="464">
        <f t="shared" si="275"/>
        <v>45657</v>
      </c>
      <c r="T136" s="464">
        <f t="shared" si="275"/>
        <v>45747</v>
      </c>
      <c r="U136" s="464">
        <f t="shared" si="275"/>
        <v>45838</v>
      </c>
      <c r="V136" s="464">
        <f t="shared" si="275"/>
        <v>45930</v>
      </c>
      <c r="W136" s="464">
        <f t="shared" si="275"/>
        <v>46022</v>
      </c>
      <c r="X136" s="464">
        <f t="shared" si="275"/>
        <v>46112</v>
      </c>
      <c r="Y136" s="464">
        <f t="shared" si="275"/>
        <v>46203</v>
      </c>
      <c r="Z136" s="464">
        <f t="shared" si="275"/>
        <v>46295</v>
      </c>
      <c r="AA136" s="464">
        <f t="shared" si="275"/>
        <v>46387</v>
      </c>
      <c r="AB136" s="464">
        <f t="shared" si="275"/>
        <v>46477</v>
      </c>
      <c r="AC136" s="464">
        <f t="shared" si="275"/>
        <v>46568</v>
      </c>
      <c r="AD136" s="464">
        <f t="shared" si="275"/>
        <v>46660</v>
      </c>
      <c r="AE136" s="464">
        <f t="shared" si="275"/>
        <v>46752</v>
      </c>
      <c r="AF136" s="464">
        <f t="shared" si="275"/>
        <v>46843</v>
      </c>
      <c r="AG136" s="464">
        <f t="shared" si="275"/>
        <v>46934</v>
      </c>
      <c r="AH136" s="464">
        <f t="shared" si="275"/>
        <v>47026</v>
      </c>
      <c r="AI136" s="464">
        <f t="shared" si="275"/>
        <v>47118</v>
      </c>
      <c r="AJ136" s="464">
        <f t="shared" si="275"/>
        <v>47208</v>
      </c>
      <c r="AK136" s="464">
        <f t="shared" si="275"/>
        <v>47299</v>
      </c>
      <c r="AL136" s="464">
        <f t="shared" si="275"/>
        <v>47391</v>
      </c>
      <c r="AM136" s="464">
        <f t="shared" si="275"/>
        <v>47483</v>
      </c>
      <c r="AN136" s="464">
        <f t="shared" ref="AN136:BS136" si="276">AN114</f>
        <v>47573</v>
      </c>
      <c r="AO136" s="464">
        <f t="shared" si="276"/>
        <v>47664</v>
      </c>
      <c r="AP136" s="464">
        <f t="shared" si="276"/>
        <v>47756</v>
      </c>
      <c r="AQ136" s="464">
        <f t="shared" si="276"/>
        <v>47848</v>
      </c>
      <c r="AR136" s="464">
        <f t="shared" si="276"/>
        <v>47938</v>
      </c>
      <c r="AS136" s="464">
        <f t="shared" si="276"/>
        <v>48029</v>
      </c>
      <c r="AT136" s="464">
        <f t="shared" si="276"/>
        <v>48121</v>
      </c>
      <c r="AU136" s="464">
        <f t="shared" si="276"/>
        <v>48213</v>
      </c>
      <c r="AV136" s="464">
        <f t="shared" si="276"/>
        <v>48304</v>
      </c>
      <c r="AW136" s="464">
        <f t="shared" si="276"/>
        <v>48395</v>
      </c>
      <c r="AX136" s="464">
        <f t="shared" si="276"/>
        <v>48487</v>
      </c>
      <c r="AY136" s="464">
        <f t="shared" si="276"/>
        <v>48579</v>
      </c>
      <c r="AZ136" s="464">
        <f t="shared" si="276"/>
        <v>48669</v>
      </c>
      <c r="BA136" s="464">
        <f t="shared" si="276"/>
        <v>48760</v>
      </c>
      <c r="BB136" s="464">
        <f t="shared" si="276"/>
        <v>48852</v>
      </c>
      <c r="BC136" s="464">
        <f t="shared" si="276"/>
        <v>48944</v>
      </c>
      <c r="BD136" s="464">
        <f t="shared" si="276"/>
        <v>49034</v>
      </c>
      <c r="BE136" s="464">
        <f t="shared" si="276"/>
        <v>49125</v>
      </c>
      <c r="BF136" s="464">
        <f t="shared" si="276"/>
        <v>49217</v>
      </c>
      <c r="BG136" s="464">
        <f t="shared" si="276"/>
        <v>49309</v>
      </c>
      <c r="BH136" s="464">
        <f t="shared" si="276"/>
        <v>49399</v>
      </c>
      <c r="BI136" s="464">
        <f t="shared" si="276"/>
        <v>49490</v>
      </c>
      <c r="BJ136" s="464">
        <f t="shared" si="276"/>
        <v>49582</v>
      </c>
      <c r="BK136" s="464">
        <f t="shared" si="276"/>
        <v>49674</v>
      </c>
      <c r="BL136" s="464">
        <f t="shared" si="276"/>
        <v>49765</v>
      </c>
      <c r="BM136" s="464">
        <f t="shared" si="276"/>
        <v>49856</v>
      </c>
      <c r="BN136" s="464">
        <f t="shared" si="276"/>
        <v>49948</v>
      </c>
      <c r="BO136" s="464">
        <f t="shared" si="276"/>
        <v>50040</v>
      </c>
      <c r="BP136" s="464">
        <f t="shared" si="276"/>
        <v>50130</v>
      </c>
      <c r="BQ136" s="464">
        <f t="shared" si="276"/>
        <v>50221</v>
      </c>
      <c r="BR136" s="464">
        <f t="shared" si="276"/>
        <v>50313</v>
      </c>
      <c r="BS136" s="464">
        <f t="shared" si="276"/>
        <v>50405</v>
      </c>
      <c r="BT136" s="464">
        <f t="shared" ref="BT136:CY136" si="277">BT114</f>
        <v>50495</v>
      </c>
      <c r="BU136" s="464">
        <f t="shared" si="277"/>
        <v>50586</v>
      </c>
      <c r="BV136" s="464">
        <f t="shared" si="277"/>
        <v>50678</v>
      </c>
      <c r="BW136" s="464">
        <f t="shared" si="277"/>
        <v>50770</v>
      </c>
      <c r="BX136" s="464">
        <f t="shared" si="277"/>
        <v>50860</v>
      </c>
      <c r="BY136" s="464">
        <f t="shared" si="277"/>
        <v>50951</v>
      </c>
      <c r="BZ136" s="464">
        <f t="shared" si="277"/>
        <v>51043</v>
      </c>
      <c r="CA136" s="464">
        <f t="shared" si="277"/>
        <v>51135</v>
      </c>
      <c r="CB136" s="464">
        <f t="shared" si="277"/>
        <v>51226</v>
      </c>
      <c r="CC136" s="464">
        <f t="shared" si="277"/>
        <v>51317</v>
      </c>
      <c r="CD136" s="464">
        <f t="shared" si="277"/>
        <v>51409</v>
      </c>
      <c r="CE136" s="464">
        <f t="shared" si="277"/>
        <v>51501</v>
      </c>
      <c r="CF136" s="464">
        <f t="shared" si="277"/>
        <v>51591</v>
      </c>
      <c r="CG136" s="464">
        <f t="shared" si="277"/>
        <v>51682</v>
      </c>
      <c r="CH136" s="464">
        <f t="shared" si="277"/>
        <v>51774</v>
      </c>
      <c r="CI136" s="464">
        <f t="shared" si="277"/>
        <v>51866</v>
      </c>
      <c r="CJ136" s="464">
        <f t="shared" si="277"/>
        <v>51956</v>
      </c>
      <c r="CK136" s="464">
        <f t="shared" si="277"/>
        <v>52047</v>
      </c>
      <c r="CL136" s="464">
        <f t="shared" si="277"/>
        <v>52139</v>
      </c>
      <c r="CM136" s="464">
        <f t="shared" si="277"/>
        <v>52231</v>
      </c>
      <c r="CN136" s="464">
        <f t="shared" si="277"/>
        <v>52321</v>
      </c>
      <c r="CO136" s="464">
        <f t="shared" si="277"/>
        <v>52412</v>
      </c>
      <c r="CP136" s="464">
        <f t="shared" si="277"/>
        <v>52504</v>
      </c>
      <c r="CQ136" s="464">
        <f t="shared" si="277"/>
        <v>52596</v>
      </c>
      <c r="CR136" s="464">
        <f t="shared" si="277"/>
        <v>52687</v>
      </c>
      <c r="CS136" s="464">
        <f t="shared" si="277"/>
        <v>52778</v>
      </c>
      <c r="CT136" s="464">
        <f t="shared" si="277"/>
        <v>52870</v>
      </c>
      <c r="CU136" s="464">
        <f t="shared" si="277"/>
        <v>52962</v>
      </c>
      <c r="CV136" s="464">
        <f t="shared" si="277"/>
        <v>53052</v>
      </c>
      <c r="CW136" s="464">
        <f t="shared" si="277"/>
        <v>53143</v>
      </c>
      <c r="CX136" s="464">
        <f t="shared" si="277"/>
        <v>53235</v>
      </c>
      <c r="CY136" s="464">
        <f t="shared" si="277"/>
        <v>53327</v>
      </c>
      <c r="CZ136" s="464">
        <f t="shared" ref="CZ136:EE136" si="278">CZ114</f>
        <v>53417</v>
      </c>
      <c r="DA136" s="464">
        <f t="shared" si="278"/>
        <v>53508</v>
      </c>
      <c r="DB136" s="464">
        <f t="shared" si="278"/>
        <v>53600</v>
      </c>
      <c r="DC136" s="464">
        <f t="shared" si="278"/>
        <v>53692</v>
      </c>
      <c r="DD136" s="464">
        <f t="shared" si="278"/>
        <v>53782</v>
      </c>
      <c r="DE136" s="464">
        <f t="shared" si="278"/>
        <v>53873</v>
      </c>
      <c r="DF136" s="464">
        <f t="shared" si="278"/>
        <v>53965</v>
      </c>
      <c r="DG136" s="464">
        <f t="shared" si="278"/>
        <v>54057</v>
      </c>
      <c r="DH136" s="464">
        <f t="shared" si="278"/>
        <v>54148</v>
      </c>
      <c r="DI136" s="464">
        <f t="shared" si="278"/>
        <v>54239</v>
      </c>
      <c r="DJ136" s="464">
        <f t="shared" si="278"/>
        <v>54331</v>
      </c>
      <c r="DK136" s="464">
        <f t="shared" si="278"/>
        <v>54423</v>
      </c>
      <c r="DL136" s="464">
        <f t="shared" si="278"/>
        <v>54513</v>
      </c>
      <c r="DM136" s="464">
        <f t="shared" si="278"/>
        <v>54604</v>
      </c>
      <c r="DN136" s="464">
        <f t="shared" si="278"/>
        <v>54696</v>
      </c>
      <c r="DO136" s="464">
        <f t="shared" si="278"/>
        <v>54788</v>
      </c>
      <c r="DP136" s="464">
        <f t="shared" si="278"/>
        <v>54878</v>
      </c>
      <c r="DQ136" s="464">
        <f t="shared" si="278"/>
        <v>54969</v>
      </c>
      <c r="DR136" s="464">
        <f t="shared" si="278"/>
        <v>55061</v>
      </c>
      <c r="DS136" s="464">
        <f t="shared" si="278"/>
        <v>55153</v>
      </c>
      <c r="DT136" s="464">
        <f t="shared" si="278"/>
        <v>55243</v>
      </c>
      <c r="DU136" s="464">
        <f t="shared" si="278"/>
        <v>55334</v>
      </c>
      <c r="DV136" s="464">
        <f t="shared" si="278"/>
        <v>55426</v>
      </c>
      <c r="DW136" s="464">
        <f t="shared" si="278"/>
        <v>55518</v>
      </c>
      <c r="DX136" s="464">
        <f t="shared" si="278"/>
        <v>55609</v>
      </c>
      <c r="DY136" s="464">
        <f t="shared" si="278"/>
        <v>55700</v>
      </c>
      <c r="DZ136" s="464">
        <f t="shared" si="278"/>
        <v>55792</v>
      </c>
      <c r="EA136" s="464">
        <f t="shared" si="278"/>
        <v>55884</v>
      </c>
      <c r="EB136" s="464">
        <f t="shared" si="278"/>
        <v>55974</v>
      </c>
      <c r="EC136" s="464">
        <f t="shared" si="278"/>
        <v>56065</v>
      </c>
      <c r="ED136" s="464">
        <f t="shared" si="278"/>
        <v>56157</v>
      </c>
      <c r="EE136" s="464">
        <f t="shared" si="278"/>
        <v>56249</v>
      </c>
      <c r="EF136" s="464">
        <f t="shared" ref="EF136:EN136" si="279">EF114</f>
        <v>56339</v>
      </c>
      <c r="EG136" s="464">
        <f t="shared" si="279"/>
        <v>56430</v>
      </c>
      <c r="EH136" s="464">
        <f t="shared" si="279"/>
        <v>56522</v>
      </c>
      <c r="EI136" s="464">
        <f t="shared" si="279"/>
        <v>56614</v>
      </c>
      <c r="EJ136" s="464">
        <f t="shared" si="279"/>
        <v>56704</v>
      </c>
      <c r="EK136" s="464">
        <f t="shared" si="279"/>
        <v>56795</v>
      </c>
      <c r="EL136" s="464">
        <f t="shared" si="279"/>
        <v>56887</v>
      </c>
      <c r="EM136" s="464">
        <f t="shared" si="279"/>
        <v>56979</v>
      </c>
      <c r="EN136" s="464">
        <f t="shared" si="279"/>
        <v>57070</v>
      </c>
    </row>
    <row r="137" spans="2:144">
      <c r="B137" s="776" t="str">
        <f>C14</f>
        <v>Наземный паркинг</v>
      </c>
      <c r="C137" s="465"/>
      <c r="D137" s="430">
        <f>SUMIF($C$4:$C$18,B137,$I$4:$I$18)</f>
        <v>45839</v>
      </c>
      <c r="E137" s="772">
        <f>YEAR(D137)</f>
        <v>2025</v>
      </c>
      <c r="F137" s="466"/>
      <c r="G137" s="466"/>
      <c r="H137" s="466"/>
      <c r="I137" s="466"/>
      <c r="J137" s="466"/>
      <c r="K137" s="466"/>
      <c r="L137" s="466"/>
      <c r="M137" s="466"/>
      <c r="N137" s="466"/>
      <c r="O137" s="466"/>
      <c r="P137" s="466"/>
      <c r="Q137" s="466"/>
      <c r="R137" s="466"/>
      <c r="S137" s="466"/>
      <c r="T137" s="466"/>
      <c r="U137" s="466"/>
      <c r="V137" s="466"/>
      <c r="W137" s="466"/>
      <c r="X137" s="466"/>
      <c r="Y137" s="466"/>
      <c r="Z137" s="466"/>
      <c r="AA137" s="466"/>
      <c r="AB137" s="466"/>
      <c r="AC137" s="466"/>
      <c r="AD137" s="466"/>
      <c r="AE137" s="466"/>
      <c r="AF137" s="466"/>
      <c r="AG137" s="466"/>
      <c r="AH137" s="466"/>
      <c r="AI137" s="466"/>
      <c r="AJ137" s="466"/>
      <c r="AK137" s="466"/>
      <c r="AL137" s="466"/>
      <c r="AM137" s="466"/>
      <c r="AN137" s="466"/>
      <c r="AO137" s="466"/>
      <c r="AP137" s="466"/>
      <c r="AQ137" s="466"/>
      <c r="AR137" s="466"/>
      <c r="AS137" s="466"/>
      <c r="AT137" s="466"/>
      <c r="AU137" s="466"/>
      <c r="AV137" s="466"/>
      <c r="AW137" s="466"/>
      <c r="AX137" s="466"/>
      <c r="AY137" s="466"/>
      <c r="AZ137" s="466"/>
      <c r="BA137" s="466"/>
      <c r="BB137" s="466"/>
      <c r="BC137" s="466"/>
      <c r="BD137" s="466"/>
      <c r="BE137" s="466"/>
      <c r="BF137" s="466"/>
      <c r="BG137" s="466"/>
      <c r="BH137" s="466"/>
      <c r="BI137" s="466"/>
      <c r="BJ137" s="466"/>
      <c r="BK137" s="466"/>
      <c r="BL137" s="466"/>
      <c r="BM137" s="466"/>
      <c r="BN137" s="466"/>
      <c r="BO137" s="466"/>
      <c r="BP137" s="466"/>
      <c r="BQ137" s="466"/>
      <c r="BR137" s="466"/>
      <c r="BS137" s="466"/>
      <c r="BT137" s="466"/>
      <c r="BU137" s="466"/>
      <c r="BV137" s="466"/>
      <c r="BW137" s="466"/>
      <c r="BX137" s="466"/>
      <c r="BY137" s="466"/>
      <c r="BZ137" s="466"/>
      <c r="CA137" s="466"/>
      <c r="CB137" s="466"/>
      <c r="CC137" s="466"/>
      <c r="CD137" s="466"/>
      <c r="CE137" s="466"/>
      <c r="CF137" s="466"/>
      <c r="CG137" s="466"/>
      <c r="CH137" s="466"/>
      <c r="CI137" s="466"/>
      <c r="CJ137" s="466"/>
      <c r="CK137" s="466"/>
      <c r="CL137" s="466"/>
      <c r="CM137" s="466"/>
      <c r="CN137" s="466"/>
      <c r="CO137" s="466"/>
      <c r="CP137" s="466"/>
      <c r="CQ137" s="466"/>
      <c r="CR137" s="466"/>
      <c r="CS137" s="466"/>
      <c r="CT137" s="466"/>
      <c r="CU137" s="466"/>
      <c r="CV137" s="466"/>
      <c r="CW137" s="466"/>
      <c r="CX137" s="466"/>
      <c r="CY137" s="466"/>
      <c r="CZ137" s="466"/>
      <c r="DA137" s="466"/>
      <c r="DB137" s="466"/>
      <c r="DC137" s="466"/>
      <c r="DD137" s="466"/>
      <c r="DE137" s="466"/>
      <c r="DF137" s="466"/>
      <c r="DG137" s="466"/>
      <c r="DH137" s="466"/>
      <c r="DI137" s="466"/>
      <c r="DJ137" s="466"/>
      <c r="DK137" s="466"/>
      <c r="DL137" s="466"/>
      <c r="DM137" s="466"/>
      <c r="DN137" s="466"/>
      <c r="DO137" s="466"/>
      <c r="DP137" s="466"/>
      <c r="DQ137" s="466"/>
      <c r="DR137" s="466"/>
      <c r="DS137" s="466"/>
      <c r="DT137" s="466"/>
      <c r="DU137" s="466"/>
      <c r="DV137" s="466"/>
      <c r="DW137" s="466"/>
      <c r="DX137" s="466"/>
      <c r="DY137" s="466"/>
      <c r="DZ137" s="466"/>
      <c r="EA137" s="466"/>
      <c r="EB137" s="466"/>
      <c r="EC137" s="466"/>
      <c r="ED137" s="466"/>
      <c r="EE137" s="466"/>
      <c r="EF137" s="466"/>
      <c r="EG137" s="466"/>
      <c r="EH137" s="466"/>
      <c r="EI137" s="466"/>
      <c r="EJ137" s="466"/>
      <c r="EK137" s="466"/>
      <c r="EL137" s="466"/>
      <c r="EM137" s="466"/>
      <c r="EN137" s="466"/>
    </row>
    <row r="138" spans="2:144" outlineLevel="1">
      <c r="C138" s="151" t="s">
        <v>72</v>
      </c>
      <c r="D138" s="771">
        <f>SUMIF($C$4:$C$18,B137,$H$4:$H$18)</f>
        <v>14048702.488105901</v>
      </c>
      <c r="E138" s="44"/>
      <c r="F138" s="44"/>
      <c r="G138" s="44"/>
      <c r="H138" s="44">
        <f>IF(H135=D137,D138,0)</f>
        <v>0</v>
      </c>
      <c r="I138" s="44">
        <f>IF(I135=D137,D138,0)</f>
        <v>0</v>
      </c>
      <c r="J138" s="44">
        <f>IF(J135=D137,D138,0)</f>
        <v>0</v>
      </c>
      <c r="K138" s="44">
        <f>IF(K135=D137,D138,0)</f>
        <v>0</v>
      </c>
      <c r="L138" s="44">
        <f>IF(L135=D137,D138,0)</f>
        <v>0</v>
      </c>
      <c r="M138" s="44">
        <f>IF(M135=D137,D138,0)</f>
        <v>0</v>
      </c>
      <c r="N138" s="44">
        <f>IF(N135=D137,D138,0)</f>
        <v>0</v>
      </c>
      <c r="O138" s="44">
        <f>IF(O135=D137,D138,0)</f>
        <v>0</v>
      </c>
      <c r="P138" s="44">
        <f>IF(P135=D137,D138,0)</f>
        <v>0</v>
      </c>
      <c r="Q138" s="44">
        <f>IF(Q135=D137,D138,0)</f>
        <v>0</v>
      </c>
      <c r="R138" s="44">
        <f>IF(R135=D137,D138,0)</f>
        <v>0</v>
      </c>
      <c r="S138" s="44">
        <f>IF(S135=D137,D138,0)</f>
        <v>0</v>
      </c>
      <c r="T138" s="44">
        <f>IF(T135=D137,D138,0)</f>
        <v>0</v>
      </c>
      <c r="U138" s="44">
        <f>IF(U135=D137,D138,0)</f>
        <v>0</v>
      </c>
      <c r="V138" s="44">
        <f>IF(V135=D137,D138,0)</f>
        <v>14048702.488105901</v>
      </c>
      <c r="W138" s="44">
        <f>IF(W135=D137,D138,0)</f>
        <v>0</v>
      </c>
      <c r="X138" s="44">
        <f>IF(X135=D137,D138,0)</f>
        <v>0</v>
      </c>
      <c r="Y138" s="44">
        <f>IF(Y135=D137,D138,0)</f>
        <v>0</v>
      </c>
      <c r="Z138" s="44">
        <f>IF(Z135=D137,D138,0)</f>
        <v>0</v>
      </c>
      <c r="AA138" s="44">
        <f>IF(AA135=D137,D138,0)</f>
        <v>0</v>
      </c>
      <c r="AB138" s="44">
        <f>IF(AB135=D137,D138,0)</f>
        <v>0</v>
      </c>
      <c r="AC138" s="44">
        <f>IF(AC135=D137,D138,0)</f>
        <v>0</v>
      </c>
      <c r="AD138" s="44">
        <f>IF(AD135=D137,D138,0)</f>
        <v>0</v>
      </c>
      <c r="AE138" s="44">
        <f>IF(AE135=D137,D138,0)</f>
        <v>0</v>
      </c>
      <c r="AF138" s="44">
        <f>IF(AF135=D137,D138,0)</f>
        <v>0</v>
      </c>
      <c r="AG138" s="44">
        <f>IF(AG135=D137,D138,0)</f>
        <v>0</v>
      </c>
      <c r="AH138" s="44">
        <f>IF(AH135=D137,D138,0)</f>
        <v>0</v>
      </c>
      <c r="AI138" s="44">
        <f>IF(AI135=D137,D138,0)</f>
        <v>0</v>
      </c>
      <c r="AJ138" s="44">
        <f>IF(AJ135=D137,D138,0)</f>
        <v>0</v>
      </c>
      <c r="AK138" s="44">
        <f>IF(AK135=D137,D138,0)</f>
        <v>0</v>
      </c>
      <c r="AL138" s="44">
        <f>IF(AL135=D137,D138,0)</f>
        <v>0</v>
      </c>
      <c r="AM138" s="44">
        <f>IF(AM135=D137,D138,0)</f>
        <v>0</v>
      </c>
      <c r="AN138" s="44">
        <f>IF(AN135=D137,D138,0)</f>
        <v>0</v>
      </c>
      <c r="AO138" s="44">
        <f>IF(AO135=D137,D138,0)</f>
        <v>0</v>
      </c>
      <c r="AP138" s="44">
        <f>IF(AP135=D137,D138,0)</f>
        <v>0</v>
      </c>
      <c r="AQ138" s="44">
        <f>IF(AQ135=D137,D138,0)</f>
        <v>0</v>
      </c>
      <c r="AR138" s="44">
        <f>IF(AR135=D137,D138,0)</f>
        <v>0</v>
      </c>
      <c r="AS138" s="44">
        <f>IF(AS135=D137,D138,0)</f>
        <v>0</v>
      </c>
      <c r="AT138" s="44">
        <f>IF(AT135=D137,D138,0)</f>
        <v>0</v>
      </c>
      <c r="AU138" s="44">
        <f>IF(AU135=D137,D138,0)</f>
        <v>0</v>
      </c>
      <c r="AV138" s="44">
        <f>IF(AV135=D137,D138,0)</f>
        <v>0</v>
      </c>
      <c r="AW138" s="44">
        <f>IF(AW135=D137,D138,0)</f>
        <v>0</v>
      </c>
      <c r="AX138" s="44">
        <f>IF(AX135=D137,D138,0)</f>
        <v>0</v>
      </c>
      <c r="AY138" s="44">
        <f>IF(AY135=D137,D138,0)</f>
        <v>0</v>
      </c>
      <c r="AZ138" s="44">
        <f>IF(AZ135=D137,D138,0)</f>
        <v>0</v>
      </c>
      <c r="BA138" s="44">
        <f>IF(BA135=D137,D138,0)</f>
        <v>0</v>
      </c>
      <c r="BB138" s="44">
        <f>IF(BB135=D137,D138,0)</f>
        <v>0</v>
      </c>
      <c r="BC138" s="44">
        <f>IF(BC135=D137,D138,0)</f>
        <v>0</v>
      </c>
      <c r="BD138" s="44">
        <f>IF(BD135=D137,D138,0)</f>
        <v>0</v>
      </c>
      <c r="BE138" s="44">
        <f>IF(BE135=D137,D138,0)</f>
        <v>0</v>
      </c>
      <c r="BF138" s="44">
        <f>IF(BF135=D137,D138,0)</f>
        <v>0</v>
      </c>
      <c r="BG138" s="44">
        <f>IF(BG135=D137,D138,0)</f>
        <v>0</v>
      </c>
      <c r="BH138" s="44">
        <f>IF(BH135=D137,D138,0)</f>
        <v>0</v>
      </c>
      <c r="BI138" s="44">
        <f>IF(BI135=D137,D138,0)</f>
        <v>0</v>
      </c>
      <c r="BJ138" s="44">
        <f>IF(BJ135=D137,D138,0)</f>
        <v>0</v>
      </c>
      <c r="BK138" s="44">
        <f>IF(BK135=D137,D138,0)</f>
        <v>0</v>
      </c>
      <c r="BL138" s="44">
        <f>IF(BL135=D137,D138,0)</f>
        <v>0</v>
      </c>
      <c r="BM138" s="44">
        <f>IF(BM135=D137,D138,0)</f>
        <v>0</v>
      </c>
      <c r="BN138" s="44">
        <f>IF(BN135=D137,D138,0)</f>
        <v>0</v>
      </c>
      <c r="BO138" s="44">
        <f>IF(BO135=D137,D138,0)</f>
        <v>0</v>
      </c>
      <c r="BP138" s="44">
        <f>IF(BP135=D137,D138,0)</f>
        <v>0</v>
      </c>
      <c r="BQ138" s="44">
        <f>IF(BQ135=D137,D138,0)</f>
        <v>0</v>
      </c>
      <c r="BR138" s="44">
        <f>IF(BR135=D137,D138,0)</f>
        <v>0</v>
      </c>
      <c r="BS138" s="44">
        <f>IF(BS135=D137,D138,0)</f>
        <v>0</v>
      </c>
      <c r="BT138" s="44">
        <f>IF(BT135=D137,D138,0)</f>
        <v>0</v>
      </c>
      <c r="BU138" s="44">
        <f>IF(BU135=D137,D138,0)</f>
        <v>0</v>
      </c>
      <c r="BV138" s="44">
        <f>IF(BV135=D137,D138,0)</f>
        <v>0</v>
      </c>
      <c r="BW138" s="44">
        <f>IF(BW135=D137,D138,0)</f>
        <v>0</v>
      </c>
      <c r="BX138" s="44">
        <f>IF(BX135=D137,D138,0)</f>
        <v>0</v>
      </c>
      <c r="BY138" s="44">
        <f>IF(BY135=D137,D138,0)</f>
        <v>0</v>
      </c>
      <c r="BZ138" s="44">
        <f>IF(BZ135=D137,D138,0)</f>
        <v>0</v>
      </c>
      <c r="CA138" s="44">
        <f>IF(CA135=D137,D138,0)</f>
        <v>0</v>
      </c>
      <c r="CB138" s="44">
        <f>IF(CB135=D137,D138,0)</f>
        <v>0</v>
      </c>
      <c r="CC138" s="44">
        <f>IF(CC135=D137,D138,0)</f>
        <v>0</v>
      </c>
      <c r="CD138" s="44">
        <f>IF(CD135=D137,D138,0)</f>
        <v>0</v>
      </c>
      <c r="CE138" s="44">
        <f>IF(CE135=D137,D138,0)</f>
        <v>0</v>
      </c>
      <c r="CF138" s="44">
        <f>IF(CF135=D137,D138,0)</f>
        <v>0</v>
      </c>
      <c r="CG138" s="44">
        <f>IF(CG135=D137,D138,0)</f>
        <v>0</v>
      </c>
      <c r="CH138" s="44">
        <f>IF(CH135=D137,D138,0)</f>
        <v>0</v>
      </c>
      <c r="CI138" s="44">
        <f>IF(CI135=D137,D138,0)</f>
        <v>0</v>
      </c>
      <c r="CJ138" s="44">
        <f>IF(CJ135=D137,D138,0)</f>
        <v>0</v>
      </c>
      <c r="CK138" s="44">
        <f>IF(CK135=D137,D138,0)</f>
        <v>0</v>
      </c>
      <c r="CL138" s="44">
        <f>IF(CL135=D137,D138,0)</f>
        <v>0</v>
      </c>
      <c r="CM138" s="44">
        <f>IF(CM135=D137,D138,0)</f>
        <v>0</v>
      </c>
      <c r="CN138" s="44">
        <f>IF(CN135=D137,D138,0)</f>
        <v>0</v>
      </c>
      <c r="CO138" s="44">
        <f>IF(CO135=D137,D138,0)</f>
        <v>0</v>
      </c>
      <c r="CP138" s="44">
        <f>IF(CP135=D137,D138,0)</f>
        <v>0</v>
      </c>
      <c r="CQ138" s="44">
        <f>IF(CQ135=D137,D138,0)</f>
        <v>0</v>
      </c>
      <c r="CR138" s="44">
        <f>IF(CR135=D137,D138,0)</f>
        <v>0</v>
      </c>
      <c r="CS138" s="44">
        <f>IF(CS135=D137,D138,0)</f>
        <v>0</v>
      </c>
      <c r="CT138" s="44">
        <f>IF(CT135=D137,D138,0)</f>
        <v>0</v>
      </c>
      <c r="CU138" s="44">
        <f>IF(CU135=D137,D138,0)</f>
        <v>0</v>
      </c>
      <c r="CV138" s="44">
        <f>IF(CV135=D137,D138,0)</f>
        <v>0</v>
      </c>
      <c r="CW138" s="44">
        <f>IF(CW135=D137,D138,0)</f>
        <v>0</v>
      </c>
      <c r="CX138" s="44">
        <f>IF(CX135=D137,D138,0)</f>
        <v>0</v>
      </c>
      <c r="CY138" s="44">
        <f>IF(CY135=D137,D138,0)</f>
        <v>0</v>
      </c>
      <c r="CZ138" s="44">
        <f>IF(CZ135=D137,D138,0)</f>
        <v>0</v>
      </c>
      <c r="DA138" s="44">
        <f>IF(DA135=D137,D138,0)</f>
        <v>0</v>
      </c>
      <c r="DB138" s="44">
        <f>IF(DB135=D137,D138,0)</f>
        <v>0</v>
      </c>
      <c r="DC138" s="44">
        <f>IF(DC135=D137,D138,0)</f>
        <v>0</v>
      </c>
      <c r="DD138" s="44">
        <f>IF(DD135=D137,D138,0)</f>
        <v>0</v>
      </c>
      <c r="DE138" s="44">
        <f>IF(DE135=D137,D138,0)</f>
        <v>0</v>
      </c>
      <c r="DF138" s="44">
        <f>IF(DF135=D137,D138,0)</f>
        <v>0</v>
      </c>
      <c r="DG138" s="44">
        <f>IF(DG135=D137,D138,0)</f>
        <v>0</v>
      </c>
      <c r="DH138" s="44">
        <f>IF(DH135=D137,D138,0)</f>
        <v>0</v>
      </c>
      <c r="DI138" s="44">
        <f>IF(DI135=D137,D138,0)</f>
        <v>0</v>
      </c>
      <c r="DJ138" s="44">
        <f>IF(DJ135=D137,D138,0)</f>
        <v>0</v>
      </c>
      <c r="DK138" s="44">
        <f>IF(DK135=D137,D138,0)</f>
        <v>0</v>
      </c>
      <c r="DL138" s="44">
        <f>IF(DL135=D137,D138,0)</f>
        <v>0</v>
      </c>
      <c r="DM138" s="44">
        <f>IF(DM135=D137,D138,0)</f>
        <v>0</v>
      </c>
      <c r="DN138" s="44">
        <f>IF(DN135=D137,D138,0)</f>
        <v>0</v>
      </c>
      <c r="DO138" s="44">
        <f>IF(DO135=D137,D138,0)</f>
        <v>0</v>
      </c>
      <c r="DP138" s="44">
        <f>IF(DP135=D137,D138,0)</f>
        <v>0</v>
      </c>
      <c r="DQ138" s="44">
        <f>IF(DQ135=D137,D138,0)</f>
        <v>0</v>
      </c>
      <c r="DR138" s="44">
        <f>IF(DR135=D137,D138,0)</f>
        <v>0</v>
      </c>
      <c r="DS138" s="44">
        <f>IF(DS135=D137,D138,0)</f>
        <v>0</v>
      </c>
      <c r="DT138" s="44">
        <f>IF(DT135=D137,D138,0)</f>
        <v>0</v>
      </c>
      <c r="DU138" s="44">
        <f>IF(DU135=D137,D138,0)</f>
        <v>0</v>
      </c>
      <c r="DV138" s="44">
        <f>IF(DV135=D137,D138,0)</f>
        <v>0</v>
      </c>
      <c r="DW138" s="44">
        <f>IF(DW135=D137,D138,0)</f>
        <v>0</v>
      </c>
      <c r="DX138" s="44">
        <f>IF(DX135=D137,D138,0)</f>
        <v>0</v>
      </c>
      <c r="DY138" s="44">
        <f>IF(DY135=D137,D138,0)</f>
        <v>0</v>
      </c>
      <c r="DZ138" s="44">
        <f>IF(DZ135=D137,D138,0)</f>
        <v>0</v>
      </c>
      <c r="EA138" s="44">
        <f>IF(EA135=D137,D138,0)</f>
        <v>0</v>
      </c>
      <c r="EB138" s="44">
        <f>IF(EB135=D137,D138,0)</f>
        <v>0</v>
      </c>
      <c r="EC138" s="44">
        <f>IF(EC135=D137,D138,0)</f>
        <v>0</v>
      </c>
      <c r="ED138" s="44">
        <f>IF(ED135=D137,D138,0)</f>
        <v>0</v>
      </c>
      <c r="EE138" s="44">
        <f>IF(EE135=D137,D138,0)</f>
        <v>0</v>
      </c>
      <c r="EF138" s="44">
        <f>IF(EF135=D137,D138,0)</f>
        <v>0</v>
      </c>
      <c r="EG138" s="44">
        <f>IF(EG135=D137,D138,0)</f>
        <v>0</v>
      </c>
      <c r="EH138" s="44">
        <f>IF(EH135=D137,D138,0)</f>
        <v>0</v>
      </c>
      <c r="EI138" s="44">
        <f t="shared" ref="EI138:EN138" si="280">IF(EI135=E137,E138,0)</f>
        <v>0</v>
      </c>
      <c r="EJ138" s="44">
        <f t="shared" si="280"/>
        <v>0</v>
      </c>
      <c r="EK138" s="44">
        <f t="shared" si="280"/>
        <v>0</v>
      </c>
      <c r="EL138" s="44">
        <f t="shared" si="280"/>
        <v>0</v>
      </c>
      <c r="EM138" s="44">
        <f t="shared" si="280"/>
        <v>0</v>
      </c>
      <c r="EN138" s="44">
        <f t="shared" si="280"/>
        <v>0</v>
      </c>
    </row>
    <row r="139" spans="2:144" outlineLevel="1">
      <c r="C139" s="151" t="s">
        <v>73</v>
      </c>
      <c r="D139" s="45"/>
      <c r="E139" s="44"/>
      <c r="F139" s="44"/>
      <c r="G139" s="44"/>
      <c r="H139" s="44">
        <f>(IF(H135=D137,H138,G141))</f>
        <v>0</v>
      </c>
      <c r="I139" s="44">
        <f>(IF(I135=D137,I138,H141))</f>
        <v>0</v>
      </c>
      <c r="J139" s="44">
        <f>(IF(J135=D137,J138,I141))</f>
        <v>0</v>
      </c>
      <c r="K139" s="44">
        <f>(IF(K135=D137,K138,J141))</f>
        <v>0</v>
      </c>
      <c r="L139" s="44">
        <f>(IF(L135=D137,L138,K141))</f>
        <v>0</v>
      </c>
      <c r="M139" s="44">
        <f>(IF(M135=D137,M138,L141))</f>
        <v>0</v>
      </c>
      <c r="N139" s="44">
        <f>(IF(N135=D137,N138,M141))</f>
        <v>0</v>
      </c>
      <c r="O139" s="44">
        <f>(IF(O135=D137,O138,N141))</f>
        <v>0</v>
      </c>
      <c r="P139" s="44">
        <f>(IF(P135=D137,P138,O141))</f>
        <v>0</v>
      </c>
      <c r="Q139" s="44">
        <f>(IF(Q135=D137,Q138,P141))</f>
        <v>0</v>
      </c>
      <c r="R139" s="44">
        <f>(IF(R135=D137,R138,Q141))</f>
        <v>0</v>
      </c>
      <c r="S139" s="44">
        <f>(IF(S135=D137,S138,R141))</f>
        <v>0</v>
      </c>
      <c r="T139" s="44">
        <f>(IF(T135=D137,T138,S141))</f>
        <v>0</v>
      </c>
      <c r="U139" s="44">
        <f>(IF(U135=D137,U138,T141))</f>
        <v>0</v>
      </c>
      <c r="V139" s="44">
        <f>(IF(V135=D137,V138,U141))</f>
        <v>14048702.488105901</v>
      </c>
      <c r="W139" s="44">
        <f>(IF(W135=D137,W138,V141))</f>
        <v>13931629.967371685</v>
      </c>
      <c r="X139" s="44">
        <f>(IF(X135=D137,X138,W141))</f>
        <v>13814557.44663747</v>
      </c>
      <c r="Y139" s="44">
        <f>(IF(Y135=D137,Y138,X141))</f>
        <v>13697484.925903255</v>
      </c>
      <c r="Z139" s="44">
        <f>(IF(Z135=D137,Z138,Y141))</f>
        <v>13580412.40516904</v>
      </c>
      <c r="AA139" s="44">
        <f>(IF(AA135=D137,AA138,Z141))</f>
        <v>13463339.884434825</v>
      </c>
      <c r="AB139" s="44">
        <f>(IF(AB135=D137,AB138,AA141))</f>
        <v>13346267.36370061</v>
      </c>
      <c r="AC139" s="44">
        <f>(IF(AC135=D137,AC138,AB141))</f>
        <v>13229194.842966394</v>
      </c>
      <c r="AD139" s="44">
        <f>(IF(AD135=D137,AD138,AC141))</f>
        <v>13112122.322232179</v>
      </c>
      <c r="AE139" s="44">
        <f>(IF(AE135=D137,AE138,AD141))</f>
        <v>12995049.801497964</v>
      </c>
      <c r="AF139" s="44">
        <f>(IF(AF135=D137,AF138,AE141))</f>
        <v>12877977.280763749</v>
      </c>
      <c r="AG139" s="44">
        <f>(IF(AG135=D137,AG138,AF141))</f>
        <v>12760904.760029534</v>
      </c>
      <c r="AH139" s="44">
        <f>(IF(AH135=D137,AH138,AG141))</f>
        <v>12643832.239295319</v>
      </c>
      <c r="AI139" s="44">
        <f>(IF(AI135=D137,AI138,AH141))</f>
        <v>12526759.718561104</v>
      </c>
      <c r="AJ139" s="44">
        <f>(IF(AJ135=D137,AJ138,AI141))</f>
        <v>12409687.197826888</v>
      </c>
      <c r="AK139" s="44">
        <f>(IF(AK135=D137,AK138,AJ141))</f>
        <v>12292614.677092673</v>
      </c>
      <c r="AL139" s="44">
        <f>(IF(AL135=D137,AL138,AK141))</f>
        <v>12175542.156358458</v>
      </c>
      <c r="AM139" s="44">
        <f>(IF(AM135=D137,AM138,AL141))</f>
        <v>12058469.635624243</v>
      </c>
      <c r="AN139" s="44">
        <f>(IF(AN135=D137,AN138,AM141))</f>
        <v>11941397.114890028</v>
      </c>
      <c r="AO139" s="44">
        <f>(IF(AO135=D137,AO138,AN141))</f>
        <v>11824324.594155813</v>
      </c>
      <c r="AP139" s="44">
        <f>(IF(AP135=D137,AP138,AO141))</f>
        <v>11707252.073421597</v>
      </c>
      <c r="AQ139" s="44">
        <f>(IF(AQ135=D137,AQ138,AP141))</f>
        <v>11590179.552687382</v>
      </c>
      <c r="AR139" s="44">
        <f>(IF(AR135=D137,AR138,AQ141))</f>
        <v>11473107.031953167</v>
      </c>
      <c r="AS139" s="44">
        <f>(IF(AS135=D137,AS138,AR141))</f>
        <v>11356034.511218952</v>
      </c>
      <c r="AT139" s="44">
        <f>(IF(AT135=D137,AT138,AS141))</f>
        <v>11238961.990484737</v>
      </c>
      <c r="AU139" s="44">
        <f>(IF(AU135=D137,AU138,AT141))</f>
        <v>11121889.469750522</v>
      </c>
      <c r="AV139" s="44">
        <f>(IF(AV135=D137,AV138,AU141))</f>
        <v>11004816.949016307</v>
      </c>
      <c r="AW139" s="44">
        <f>(IF(AW135=D137,AW138,AV141))</f>
        <v>10887744.428282091</v>
      </c>
      <c r="AX139" s="44">
        <f>(IF(AX135=D137,AX138,AW141))</f>
        <v>10770671.907547876</v>
      </c>
      <c r="AY139" s="44">
        <f>(IF(AY135=D137,AY138,AX141))</f>
        <v>10653599.386813661</v>
      </c>
      <c r="AZ139" s="44">
        <f>(IF(AZ135=D137,AZ138,AY141))</f>
        <v>10536526.866079446</v>
      </c>
      <c r="BA139" s="44">
        <f>(IF(BA135=D137,BA138,AZ141))</f>
        <v>10419454.345345231</v>
      </c>
      <c r="BB139" s="44">
        <f>(IF(BB135=D137,BB138,BA141))</f>
        <v>10302381.824611016</v>
      </c>
      <c r="BC139" s="44">
        <f>(IF(BC135=D137,BC138,BB141))</f>
        <v>10185309.3038768</v>
      </c>
      <c r="BD139" s="44">
        <f>(IF(BD135=D137,BD138,BC141))</f>
        <v>10068236.783142585</v>
      </c>
      <c r="BE139" s="44">
        <f>(IF(BE135=D137,BE138,BD141))</f>
        <v>9951164.2624083702</v>
      </c>
      <c r="BF139" s="44">
        <f>(IF(BF135=D137,BF138,BE141))</f>
        <v>9834091.741674155</v>
      </c>
      <c r="BG139" s="44">
        <f>(IF(BG135=D137,BG138,BF141))</f>
        <v>9717019.2209399398</v>
      </c>
      <c r="BH139" s="44">
        <f>(IF(BH135=D137,BH138,BG141))</f>
        <v>9599946.7002057247</v>
      </c>
      <c r="BI139" s="44">
        <f>(IF(BI135=D137,BI138,BH141))</f>
        <v>9482874.1794715095</v>
      </c>
      <c r="BJ139" s="44">
        <f>(IF(BJ135=D137,BJ138,BI141))</f>
        <v>9365801.6587372944</v>
      </c>
      <c r="BK139" s="44">
        <f>(IF(BK135=D137,BK138,BJ141))</f>
        <v>9248729.1380030792</v>
      </c>
      <c r="BL139" s="44">
        <f>(IF(BL135=D137,BL138,BK141))</f>
        <v>9131656.6172688641</v>
      </c>
      <c r="BM139" s="44">
        <f>(IF(BM135=D137,BM138,BL141))</f>
        <v>9014584.0965346489</v>
      </c>
      <c r="BN139" s="44">
        <f>(IF(BN135=D137,BN138,BM141))</f>
        <v>8897511.5758004338</v>
      </c>
      <c r="BO139" s="44">
        <f>(IF(BO135=D137,BO138,BN141))</f>
        <v>8780439.0550662186</v>
      </c>
      <c r="BP139" s="44">
        <f>(IF(BP135=D137,BP138,BO141))</f>
        <v>8663366.5343320034</v>
      </c>
      <c r="BQ139" s="44">
        <f>(IF(BQ135=D137,BQ138,BP141))</f>
        <v>8546294.0135977883</v>
      </c>
      <c r="BR139" s="44">
        <f>(IF(BR135=D137,BR138,BQ141))</f>
        <v>8429221.4928635731</v>
      </c>
      <c r="BS139" s="44">
        <f>(IF(BS135=D137,BS138,BR141))</f>
        <v>8312148.972129357</v>
      </c>
      <c r="BT139" s="44">
        <f>(IF(BT135=D137,BT138,BS141))</f>
        <v>8195076.451395141</v>
      </c>
      <c r="BU139" s="44">
        <f>(IF(BU135=D137,BU138,BT141))</f>
        <v>8078003.9306609249</v>
      </c>
      <c r="BV139" s="44">
        <f>(IF(BV135=D137,BV138,BU141))</f>
        <v>7960931.4099267088</v>
      </c>
      <c r="BW139" s="44">
        <f>(IF(BW135=D137,BW138,BV141))</f>
        <v>7843858.8891924927</v>
      </c>
      <c r="BX139" s="44">
        <f>(IF(BX135=D137,BX138,BW141))</f>
        <v>7726786.3684582766</v>
      </c>
      <c r="BY139" s="44">
        <f>(IF(BY135=D137,BY138,BX141))</f>
        <v>7609713.8477240605</v>
      </c>
      <c r="BZ139" s="44">
        <f>(IF(BZ135=D137,BZ138,BY141))</f>
        <v>7492641.3269898444</v>
      </c>
      <c r="CA139" s="44">
        <f>(IF(CA135=D137,CA138,BZ141))</f>
        <v>7375568.8062556284</v>
      </c>
      <c r="CB139" s="44">
        <f>(IF(CB135=D137,CB138,CA141))</f>
        <v>7258496.2855214123</v>
      </c>
      <c r="CC139" s="44">
        <f>(IF(CC135=D137,CC138,CB141))</f>
        <v>7141423.7647871962</v>
      </c>
      <c r="CD139" s="44">
        <f>(IF(CD135=D137,CD138,CC141))</f>
        <v>7024351.2440529801</v>
      </c>
      <c r="CE139" s="44">
        <f>(IF(CE135=D137,CE138,CD141))</f>
        <v>6907278.723318764</v>
      </c>
      <c r="CF139" s="44">
        <f>(IF(CF135=D137,CF138,CE141))</f>
        <v>6790206.2025845479</v>
      </c>
      <c r="CG139" s="44">
        <f>(IF(CG135=D137,CG138,CF141))</f>
        <v>6673133.6818503318</v>
      </c>
      <c r="CH139" s="44">
        <f>(IF(CH135=D137,CH138,CG141))</f>
        <v>6556061.1611161157</v>
      </c>
      <c r="CI139" s="44">
        <f>(IF(CI135=D137,CI138,CH141))</f>
        <v>6438988.6403818997</v>
      </c>
      <c r="CJ139" s="44">
        <f>(IF(CJ135=D137,CJ138,CI141))</f>
        <v>6321916.1196476836</v>
      </c>
      <c r="CK139" s="44">
        <f>(IF(CK135=D137,CK138,CJ141))</f>
        <v>6204843.5989134675</v>
      </c>
      <c r="CL139" s="44">
        <f>(IF(CL135=D137,CL138,CK141))</f>
        <v>6087771.0781792514</v>
      </c>
      <c r="CM139" s="44">
        <f>(IF(CM135=D137,CM138,CL141))</f>
        <v>5970698.5574450353</v>
      </c>
      <c r="CN139" s="44">
        <f>(IF(CN135=D137,CN138,CM141))</f>
        <v>5853626.0367108192</v>
      </c>
      <c r="CO139" s="44">
        <f>(IF(CO135=D137,CO138,CN141))</f>
        <v>5736553.5159766031</v>
      </c>
      <c r="CP139" s="44">
        <f>(IF(CP135=D137,CP138,CO141))</f>
        <v>5619480.9952423871</v>
      </c>
      <c r="CQ139" s="44">
        <f>(IF(CQ135=D137,CQ138,CP141))</f>
        <v>5502408.474508171</v>
      </c>
      <c r="CR139" s="44">
        <f>(IF(CR135=D137,CR138,CQ141))</f>
        <v>5385335.9537739549</v>
      </c>
      <c r="CS139" s="44">
        <f>(IF(CS135=D137,CS138,CR141))</f>
        <v>5268263.4330397388</v>
      </c>
      <c r="CT139" s="44">
        <f>(IF(CT135=D137,CT138,CS141))</f>
        <v>5151190.9123055227</v>
      </c>
      <c r="CU139" s="44">
        <f>(IF(CU135=D137,CU138,CT141))</f>
        <v>5034118.3915713066</v>
      </c>
      <c r="CV139" s="44">
        <f>(IF(CV135=D137,CV138,CU141))</f>
        <v>4917045.8708370905</v>
      </c>
      <c r="CW139" s="44">
        <f>(IF(CW135=D137,CW138,CV141))</f>
        <v>4799973.3501028745</v>
      </c>
      <c r="CX139" s="44">
        <f>(IF(CX135=D137,CX138,CW141))</f>
        <v>4682900.8293686584</v>
      </c>
      <c r="CY139" s="44">
        <f>(IF(CY135=D137,CY138,CX141))</f>
        <v>4565828.3086344423</v>
      </c>
      <c r="CZ139" s="44">
        <f>(IF(CZ135=D137,CZ138,CY141))</f>
        <v>4448755.7879002262</v>
      </c>
      <c r="DA139" s="44">
        <f>(IF(DA135=D137,DA138,CZ141))</f>
        <v>4331683.2671660101</v>
      </c>
      <c r="DB139" s="44">
        <f>(IF(DB135=D137,DB138,DA141))</f>
        <v>4214610.746431794</v>
      </c>
      <c r="DC139" s="44">
        <f>(IF(DC135=D137,DC138,DB141))</f>
        <v>4097538.2256975784</v>
      </c>
      <c r="DD139" s="44">
        <f>(IF(DD135=D137,DD138,DC141))</f>
        <v>3980465.7049633628</v>
      </c>
      <c r="DE139" s="44">
        <f>(IF(DE135=D137,DE138,DD141))</f>
        <v>3863393.1842291472</v>
      </c>
      <c r="DF139" s="44">
        <f>(IF(DF135=D137,DF138,DE141))</f>
        <v>3746320.6634949315</v>
      </c>
      <c r="DG139" s="44">
        <f>(IF(DG135=D137,DG138,DF141))</f>
        <v>3629248.1427607159</v>
      </c>
      <c r="DH139" s="44">
        <f>(IF(DH135=D137,DH138,DG141))</f>
        <v>3512175.6220265003</v>
      </c>
      <c r="DI139" s="44">
        <f>(IF(DI135=D137,DI138,DH141))</f>
        <v>3395103.1012922847</v>
      </c>
      <c r="DJ139" s="44">
        <f>(IF(DJ135=D137,DJ138,DI141))</f>
        <v>3278030.5805580691</v>
      </c>
      <c r="DK139" s="44">
        <f>(IF(DK135=D137,DK138,DJ141))</f>
        <v>3160958.0598238534</v>
      </c>
      <c r="DL139" s="44">
        <f>(IF(DL135=D137,DL138,DK141))</f>
        <v>3043885.5390896378</v>
      </c>
      <c r="DM139" s="44">
        <f>(IF(DM135=D137,DM138,DL141))</f>
        <v>2926813.0183554222</v>
      </c>
      <c r="DN139" s="44">
        <f>(IF(DN135=D137,DN138,DM141))</f>
        <v>2809740.4976212066</v>
      </c>
      <c r="DO139" s="44">
        <f>(IF(DO135=D137,DO138,DN141))</f>
        <v>2692667.9768869909</v>
      </c>
      <c r="DP139" s="44">
        <f>(IF(DP135=D137,DP138,DO141))</f>
        <v>2575595.4561527753</v>
      </c>
      <c r="DQ139" s="44">
        <f>(IF(DQ135=D137,DQ138,DP141))</f>
        <v>2458522.9354185597</v>
      </c>
      <c r="DR139" s="44">
        <f>(IF(DR135=D137,DR138,DQ141))</f>
        <v>2341450.4146843441</v>
      </c>
      <c r="DS139" s="44">
        <f>(IF(DS135=D137,DS138,DR141))</f>
        <v>2224377.8939501285</v>
      </c>
      <c r="DT139" s="44">
        <f>(IF(DT135=D137,DT138,DS141))</f>
        <v>2107305.3732159128</v>
      </c>
      <c r="DU139" s="44">
        <f>(IF(DU135=D137,DU138,DT141))</f>
        <v>1990232.852481697</v>
      </c>
      <c r="DV139" s="44">
        <f>(IF(DV135=D137,DV138,DU141))</f>
        <v>1873160.3317474811</v>
      </c>
      <c r="DW139" s="44">
        <f>(IF(DW135=D137,DW138,DV141))</f>
        <v>1756087.8110132653</v>
      </c>
      <c r="DX139" s="44">
        <f>(IF(DX135=D137,DX138,DW141))</f>
        <v>1639015.2902790494</v>
      </c>
      <c r="DY139" s="44">
        <f>(IF(DY135=D137,DY138,DX141))</f>
        <v>1521942.7695448336</v>
      </c>
      <c r="DZ139" s="44">
        <f>(IF(DZ135=D137,DZ138,DY141))</f>
        <v>1404870.2488106177</v>
      </c>
      <c r="EA139" s="44">
        <f>(IF(EA135=D137,EA138,DZ141))</f>
        <v>1287797.7280764019</v>
      </c>
      <c r="EB139" s="44">
        <f>(IF(EB135=D137,EB138,EA141))</f>
        <v>1170725.207342186</v>
      </c>
      <c r="EC139" s="44">
        <f>(IF(EC135=D137,EC138,EB141))</f>
        <v>1053652.6866079702</v>
      </c>
      <c r="ED139" s="44">
        <f>(IF(ED135=D137,ED138,EC141))</f>
        <v>936580.1658737543</v>
      </c>
      <c r="EE139" s="44">
        <f>(IF(EE135=D137,EE138,ED141))</f>
        <v>819507.64513953845</v>
      </c>
      <c r="EF139" s="44">
        <f>(IF(EF135=D137,EF138,EE141))</f>
        <v>702435.1244053226</v>
      </c>
      <c r="EG139" s="44">
        <f>(IF(EG135=D137,EG138,EF141))</f>
        <v>585362.60367110674</v>
      </c>
      <c r="EH139" s="44">
        <f>(IF(EH135=D137,EH138,EG141))</f>
        <v>468290.08293689089</v>
      </c>
      <c r="EI139" s="44">
        <f t="shared" ref="EI139:EN139" si="281">(IF(EI135=E137,EI138,EH141))</f>
        <v>351217.56220267504</v>
      </c>
      <c r="EJ139" s="44">
        <f t="shared" si="281"/>
        <v>234145.04146845918</v>
      </c>
      <c r="EK139" s="44">
        <f t="shared" si="281"/>
        <v>117072.52073424334</v>
      </c>
      <c r="EL139" s="44">
        <f t="shared" si="281"/>
        <v>2.750311978161335E-8</v>
      </c>
      <c r="EM139" s="44">
        <f t="shared" si="281"/>
        <v>2.750311978161335E-8</v>
      </c>
      <c r="EN139" s="44">
        <f t="shared" si="281"/>
        <v>2.750311978161335E-8</v>
      </c>
    </row>
    <row r="140" spans="2:144" outlineLevel="1">
      <c r="B140" s="459">
        <f>SUM(H140:XX140)</f>
        <v>14048702.488105873</v>
      </c>
      <c r="C140" s="151" t="s">
        <v>24</v>
      </c>
      <c r="D140" s="467">
        <f>SUMIF($C$4:$C$18,B137,$J$4:$J$18)</f>
        <v>30</v>
      </c>
      <c r="E140" s="468">
        <f>1/D140</f>
        <v>3.3333333333333333E-2</v>
      </c>
      <c r="F140" s="44">
        <f>D138*E140</f>
        <v>468290.08293686336</v>
      </c>
      <c r="G140" s="44"/>
      <c r="H140" s="44">
        <f>IF(H139&gt;1,$F140/4,0)</f>
        <v>0</v>
      </c>
      <c r="I140" s="44">
        <f t="shared" ref="I140:BT140" si="282">IF(I139&gt;1,$F140/4,0)</f>
        <v>0</v>
      </c>
      <c r="J140" s="44">
        <f t="shared" si="282"/>
        <v>0</v>
      </c>
      <c r="K140" s="44">
        <f t="shared" si="282"/>
        <v>0</v>
      </c>
      <c r="L140" s="44">
        <f t="shared" si="282"/>
        <v>0</v>
      </c>
      <c r="M140" s="44">
        <f t="shared" si="282"/>
        <v>0</v>
      </c>
      <c r="N140" s="44">
        <f t="shared" si="282"/>
        <v>0</v>
      </c>
      <c r="O140" s="44">
        <f t="shared" si="282"/>
        <v>0</v>
      </c>
      <c r="P140" s="44">
        <f t="shared" si="282"/>
        <v>0</v>
      </c>
      <c r="Q140" s="44">
        <f t="shared" si="282"/>
        <v>0</v>
      </c>
      <c r="R140" s="44">
        <f t="shared" si="282"/>
        <v>0</v>
      </c>
      <c r="S140" s="44">
        <f t="shared" si="282"/>
        <v>0</v>
      </c>
      <c r="T140" s="44">
        <f t="shared" si="282"/>
        <v>0</v>
      </c>
      <c r="U140" s="44">
        <f t="shared" si="282"/>
        <v>0</v>
      </c>
      <c r="V140" s="44">
        <f t="shared" si="282"/>
        <v>117072.52073421584</v>
      </c>
      <c r="W140" s="44">
        <f t="shared" si="282"/>
        <v>117072.52073421584</v>
      </c>
      <c r="X140" s="44">
        <f t="shared" si="282"/>
        <v>117072.52073421584</v>
      </c>
      <c r="Y140" s="44">
        <f t="shared" si="282"/>
        <v>117072.52073421584</v>
      </c>
      <c r="Z140" s="44">
        <f t="shared" si="282"/>
        <v>117072.52073421584</v>
      </c>
      <c r="AA140" s="44">
        <f t="shared" si="282"/>
        <v>117072.52073421584</v>
      </c>
      <c r="AB140" s="44">
        <f t="shared" si="282"/>
        <v>117072.52073421584</v>
      </c>
      <c r="AC140" s="44">
        <f t="shared" si="282"/>
        <v>117072.52073421584</v>
      </c>
      <c r="AD140" s="44">
        <f t="shared" si="282"/>
        <v>117072.52073421584</v>
      </c>
      <c r="AE140" s="44">
        <f t="shared" si="282"/>
        <v>117072.52073421584</v>
      </c>
      <c r="AF140" s="44">
        <f t="shared" si="282"/>
        <v>117072.52073421584</v>
      </c>
      <c r="AG140" s="44">
        <f t="shared" si="282"/>
        <v>117072.52073421584</v>
      </c>
      <c r="AH140" s="44">
        <f t="shared" si="282"/>
        <v>117072.52073421584</v>
      </c>
      <c r="AI140" s="44">
        <f t="shared" si="282"/>
        <v>117072.52073421584</v>
      </c>
      <c r="AJ140" s="44">
        <f t="shared" si="282"/>
        <v>117072.52073421584</v>
      </c>
      <c r="AK140" s="44">
        <f t="shared" si="282"/>
        <v>117072.52073421584</v>
      </c>
      <c r="AL140" s="44">
        <f t="shared" si="282"/>
        <v>117072.52073421584</v>
      </c>
      <c r="AM140" s="44">
        <f t="shared" si="282"/>
        <v>117072.52073421584</v>
      </c>
      <c r="AN140" s="44">
        <f t="shared" si="282"/>
        <v>117072.52073421584</v>
      </c>
      <c r="AO140" s="44">
        <f t="shared" si="282"/>
        <v>117072.52073421584</v>
      </c>
      <c r="AP140" s="44">
        <f t="shared" si="282"/>
        <v>117072.52073421584</v>
      </c>
      <c r="AQ140" s="44">
        <f t="shared" si="282"/>
        <v>117072.52073421584</v>
      </c>
      <c r="AR140" s="44">
        <f t="shared" si="282"/>
        <v>117072.52073421584</v>
      </c>
      <c r="AS140" s="44">
        <f t="shared" si="282"/>
        <v>117072.52073421584</v>
      </c>
      <c r="AT140" s="44">
        <f t="shared" si="282"/>
        <v>117072.52073421584</v>
      </c>
      <c r="AU140" s="44">
        <f t="shared" si="282"/>
        <v>117072.52073421584</v>
      </c>
      <c r="AV140" s="44">
        <f t="shared" si="282"/>
        <v>117072.52073421584</v>
      </c>
      <c r="AW140" s="44">
        <f t="shared" si="282"/>
        <v>117072.52073421584</v>
      </c>
      <c r="AX140" s="44">
        <f t="shared" si="282"/>
        <v>117072.52073421584</v>
      </c>
      <c r="AY140" s="44">
        <f t="shared" si="282"/>
        <v>117072.52073421584</v>
      </c>
      <c r="AZ140" s="44">
        <f t="shared" si="282"/>
        <v>117072.52073421584</v>
      </c>
      <c r="BA140" s="44">
        <f t="shared" si="282"/>
        <v>117072.52073421584</v>
      </c>
      <c r="BB140" s="44">
        <f t="shared" si="282"/>
        <v>117072.52073421584</v>
      </c>
      <c r="BC140" s="44">
        <f t="shared" si="282"/>
        <v>117072.52073421584</v>
      </c>
      <c r="BD140" s="44">
        <f t="shared" si="282"/>
        <v>117072.52073421584</v>
      </c>
      <c r="BE140" s="44">
        <f t="shared" si="282"/>
        <v>117072.52073421584</v>
      </c>
      <c r="BF140" s="44">
        <f t="shared" si="282"/>
        <v>117072.52073421584</v>
      </c>
      <c r="BG140" s="44">
        <f t="shared" si="282"/>
        <v>117072.52073421584</v>
      </c>
      <c r="BH140" s="44">
        <f t="shared" si="282"/>
        <v>117072.52073421584</v>
      </c>
      <c r="BI140" s="44">
        <f t="shared" si="282"/>
        <v>117072.52073421584</v>
      </c>
      <c r="BJ140" s="44">
        <f t="shared" si="282"/>
        <v>117072.52073421584</v>
      </c>
      <c r="BK140" s="44">
        <f t="shared" si="282"/>
        <v>117072.52073421584</v>
      </c>
      <c r="BL140" s="44">
        <f t="shared" si="282"/>
        <v>117072.52073421584</v>
      </c>
      <c r="BM140" s="44">
        <f t="shared" si="282"/>
        <v>117072.52073421584</v>
      </c>
      <c r="BN140" s="44">
        <f t="shared" si="282"/>
        <v>117072.52073421584</v>
      </c>
      <c r="BO140" s="44">
        <f t="shared" si="282"/>
        <v>117072.52073421584</v>
      </c>
      <c r="BP140" s="44">
        <f t="shared" si="282"/>
        <v>117072.52073421584</v>
      </c>
      <c r="BQ140" s="44">
        <f t="shared" si="282"/>
        <v>117072.52073421584</v>
      </c>
      <c r="BR140" s="44">
        <f t="shared" si="282"/>
        <v>117072.52073421584</v>
      </c>
      <c r="BS140" s="44">
        <f t="shared" si="282"/>
        <v>117072.52073421584</v>
      </c>
      <c r="BT140" s="44">
        <f t="shared" si="282"/>
        <v>117072.52073421584</v>
      </c>
      <c r="BU140" s="44">
        <f t="shared" ref="BU140:EF140" si="283">IF(BU139&gt;1,$F140/4,0)</f>
        <v>117072.52073421584</v>
      </c>
      <c r="BV140" s="44">
        <f t="shared" si="283"/>
        <v>117072.52073421584</v>
      </c>
      <c r="BW140" s="44">
        <f t="shared" si="283"/>
        <v>117072.52073421584</v>
      </c>
      <c r="BX140" s="44">
        <f t="shared" si="283"/>
        <v>117072.52073421584</v>
      </c>
      <c r="BY140" s="44">
        <f t="shared" si="283"/>
        <v>117072.52073421584</v>
      </c>
      <c r="BZ140" s="44">
        <f t="shared" si="283"/>
        <v>117072.52073421584</v>
      </c>
      <c r="CA140" s="44">
        <f t="shared" si="283"/>
        <v>117072.52073421584</v>
      </c>
      <c r="CB140" s="44">
        <f t="shared" si="283"/>
        <v>117072.52073421584</v>
      </c>
      <c r="CC140" s="44">
        <f t="shared" si="283"/>
        <v>117072.52073421584</v>
      </c>
      <c r="CD140" s="44">
        <f t="shared" si="283"/>
        <v>117072.52073421584</v>
      </c>
      <c r="CE140" s="44">
        <f t="shared" si="283"/>
        <v>117072.52073421584</v>
      </c>
      <c r="CF140" s="44">
        <f t="shared" si="283"/>
        <v>117072.52073421584</v>
      </c>
      <c r="CG140" s="44">
        <f t="shared" si="283"/>
        <v>117072.52073421584</v>
      </c>
      <c r="CH140" s="44">
        <f t="shared" si="283"/>
        <v>117072.52073421584</v>
      </c>
      <c r="CI140" s="44">
        <f t="shared" si="283"/>
        <v>117072.52073421584</v>
      </c>
      <c r="CJ140" s="44">
        <f t="shared" si="283"/>
        <v>117072.52073421584</v>
      </c>
      <c r="CK140" s="44">
        <f t="shared" si="283"/>
        <v>117072.52073421584</v>
      </c>
      <c r="CL140" s="44">
        <f t="shared" si="283"/>
        <v>117072.52073421584</v>
      </c>
      <c r="CM140" s="44">
        <f t="shared" si="283"/>
        <v>117072.52073421584</v>
      </c>
      <c r="CN140" s="44">
        <f t="shared" si="283"/>
        <v>117072.52073421584</v>
      </c>
      <c r="CO140" s="44">
        <f t="shared" si="283"/>
        <v>117072.52073421584</v>
      </c>
      <c r="CP140" s="44">
        <f t="shared" si="283"/>
        <v>117072.52073421584</v>
      </c>
      <c r="CQ140" s="44">
        <f t="shared" si="283"/>
        <v>117072.52073421584</v>
      </c>
      <c r="CR140" s="44">
        <f t="shared" si="283"/>
        <v>117072.52073421584</v>
      </c>
      <c r="CS140" s="44">
        <f t="shared" si="283"/>
        <v>117072.52073421584</v>
      </c>
      <c r="CT140" s="44">
        <f t="shared" si="283"/>
        <v>117072.52073421584</v>
      </c>
      <c r="CU140" s="44">
        <f t="shared" si="283"/>
        <v>117072.52073421584</v>
      </c>
      <c r="CV140" s="44">
        <f t="shared" si="283"/>
        <v>117072.52073421584</v>
      </c>
      <c r="CW140" s="44">
        <f t="shared" si="283"/>
        <v>117072.52073421584</v>
      </c>
      <c r="CX140" s="44">
        <f t="shared" si="283"/>
        <v>117072.52073421584</v>
      </c>
      <c r="CY140" s="44">
        <f t="shared" si="283"/>
        <v>117072.52073421584</v>
      </c>
      <c r="CZ140" s="44">
        <f t="shared" si="283"/>
        <v>117072.52073421584</v>
      </c>
      <c r="DA140" s="44">
        <f t="shared" si="283"/>
        <v>117072.52073421584</v>
      </c>
      <c r="DB140" s="44">
        <f t="shared" si="283"/>
        <v>117072.52073421584</v>
      </c>
      <c r="DC140" s="44">
        <f t="shared" si="283"/>
        <v>117072.52073421584</v>
      </c>
      <c r="DD140" s="44">
        <f t="shared" si="283"/>
        <v>117072.52073421584</v>
      </c>
      <c r="DE140" s="44">
        <f t="shared" si="283"/>
        <v>117072.52073421584</v>
      </c>
      <c r="DF140" s="44">
        <f t="shared" si="283"/>
        <v>117072.52073421584</v>
      </c>
      <c r="DG140" s="44">
        <f t="shared" si="283"/>
        <v>117072.52073421584</v>
      </c>
      <c r="DH140" s="44">
        <f t="shared" si="283"/>
        <v>117072.52073421584</v>
      </c>
      <c r="DI140" s="44">
        <f t="shared" si="283"/>
        <v>117072.52073421584</v>
      </c>
      <c r="DJ140" s="44">
        <f t="shared" si="283"/>
        <v>117072.52073421584</v>
      </c>
      <c r="DK140" s="44">
        <f t="shared" si="283"/>
        <v>117072.52073421584</v>
      </c>
      <c r="DL140" s="44">
        <f t="shared" si="283"/>
        <v>117072.52073421584</v>
      </c>
      <c r="DM140" s="44">
        <f t="shared" si="283"/>
        <v>117072.52073421584</v>
      </c>
      <c r="DN140" s="44">
        <f t="shared" si="283"/>
        <v>117072.52073421584</v>
      </c>
      <c r="DO140" s="44">
        <f t="shared" si="283"/>
        <v>117072.52073421584</v>
      </c>
      <c r="DP140" s="44">
        <f t="shared" si="283"/>
        <v>117072.52073421584</v>
      </c>
      <c r="DQ140" s="44">
        <f t="shared" si="283"/>
        <v>117072.52073421584</v>
      </c>
      <c r="DR140" s="44">
        <f t="shared" si="283"/>
        <v>117072.52073421584</v>
      </c>
      <c r="DS140" s="44">
        <f t="shared" si="283"/>
        <v>117072.52073421584</v>
      </c>
      <c r="DT140" s="44">
        <f t="shared" si="283"/>
        <v>117072.52073421584</v>
      </c>
      <c r="DU140" s="44">
        <f t="shared" si="283"/>
        <v>117072.52073421584</v>
      </c>
      <c r="DV140" s="44">
        <f t="shared" si="283"/>
        <v>117072.52073421584</v>
      </c>
      <c r="DW140" s="44">
        <f t="shared" si="283"/>
        <v>117072.52073421584</v>
      </c>
      <c r="DX140" s="44">
        <f t="shared" si="283"/>
        <v>117072.52073421584</v>
      </c>
      <c r="DY140" s="44">
        <f t="shared" si="283"/>
        <v>117072.52073421584</v>
      </c>
      <c r="DZ140" s="44">
        <f t="shared" si="283"/>
        <v>117072.52073421584</v>
      </c>
      <c r="EA140" s="44">
        <f t="shared" si="283"/>
        <v>117072.52073421584</v>
      </c>
      <c r="EB140" s="44">
        <f t="shared" si="283"/>
        <v>117072.52073421584</v>
      </c>
      <c r="EC140" s="44">
        <f t="shared" si="283"/>
        <v>117072.52073421584</v>
      </c>
      <c r="ED140" s="44">
        <f t="shared" si="283"/>
        <v>117072.52073421584</v>
      </c>
      <c r="EE140" s="44">
        <f t="shared" si="283"/>
        <v>117072.52073421584</v>
      </c>
      <c r="EF140" s="44">
        <f t="shared" si="283"/>
        <v>117072.52073421584</v>
      </c>
      <c r="EG140" s="44">
        <f t="shared" ref="EG140:EN140" si="284">IF(EG139&gt;1,$F140/4,0)</f>
        <v>117072.52073421584</v>
      </c>
      <c r="EH140" s="44">
        <f t="shared" si="284"/>
        <v>117072.52073421584</v>
      </c>
      <c r="EI140" s="44">
        <f t="shared" si="284"/>
        <v>117072.52073421584</v>
      </c>
      <c r="EJ140" s="44">
        <f t="shared" si="284"/>
        <v>117072.52073421584</v>
      </c>
      <c r="EK140" s="44">
        <f t="shared" si="284"/>
        <v>117072.52073421584</v>
      </c>
      <c r="EL140" s="44">
        <f t="shared" si="284"/>
        <v>0</v>
      </c>
      <c r="EM140" s="44">
        <f t="shared" si="284"/>
        <v>0</v>
      </c>
      <c r="EN140" s="44">
        <f t="shared" si="284"/>
        <v>0</v>
      </c>
    </row>
    <row r="141" spans="2:144" outlineLevel="1">
      <c r="B141" s="459">
        <f>D138-B140</f>
        <v>2.7939677238464355E-8</v>
      </c>
      <c r="C141" s="151" t="s">
        <v>74</v>
      </c>
      <c r="D141" s="44"/>
      <c r="E141" s="44"/>
      <c r="F141" s="44"/>
      <c r="G141" s="44"/>
      <c r="H141" s="44">
        <f>IF((H139-H140)&gt;0,(H139-H140),0)</f>
        <v>0</v>
      </c>
      <c r="I141" s="44">
        <f t="shared" ref="I141:BT141" si="285">IF((I139-I140)&gt;0,(I139-I140),0)</f>
        <v>0</v>
      </c>
      <c r="J141" s="44">
        <f t="shared" si="285"/>
        <v>0</v>
      </c>
      <c r="K141" s="44">
        <f t="shared" si="285"/>
        <v>0</v>
      </c>
      <c r="L141" s="44">
        <f t="shared" si="285"/>
        <v>0</v>
      </c>
      <c r="M141" s="44">
        <f t="shared" si="285"/>
        <v>0</v>
      </c>
      <c r="N141" s="44">
        <f t="shared" si="285"/>
        <v>0</v>
      </c>
      <c r="O141" s="44">
        <f t="shared" si="285"/>
        <v>0</v>
      </c>
      <c r="P141" s="44">
        <f t="shared" si="285"/>
        <v>0</v>
      </c>
      <c r="Q141" s="44">
        <f t="shared" si="285"/>
        <v>0</v>
      </c>
      <c r="R141" s="44">
        <f t="shared" si="285"/>
        <v>0</v>
      </c>
      <c r="S141" s="44">
        <f t="shared" si="285"/>
        <v>0</v>
      </c>
      <c r="T141" s="44">
        <f t="shared" si="285"/>
        <v>0</v>
      </c>
      <c r="U141" s="44">
        <f t="shared" si="285"/>
        <v>0</v>
      </c>
      <c r="V141" s="44">
        <f t="shared" si="285"/>
        <v>13931629.967371685</v>
      </c>
      <c r="W141" s="44">
        <f t="shared" si="285"/>
        <v>13814557.44663747</v>
      </c>
      <c r="X141" s="44">
        <f t="shared" si="285"/>
        <v>13697484.925903255</v>
      </c>
      <c r="Y141" s="44">
        <f t="shared" si="285"/>
        <v>13580412.40516904</v>
      </c>
      <c r="Z141" s="44">
        <f t="shared" si="285"/>
        <v>13463339.884434825</v>
      </c>
      <c r="AA141" s="44">
        <f t="shared" si="285"/>
        <v>13346267.36370061</v>
      </c>
      <c r="AB141" s="44">
        <f t="shared" si="285"/>
        <v>13229194.842966394</v>
      </c>
      <c r="AC141" s="44">
        <f t="shared" si="285"/>
        <v>13112122.322232179</v>
      </c>
      <c r="AD141" s="44">
        <f t="shared" si="285"/>
        <v>12995049.801497964</v>
      </c>
      <c r="AE141" s="44">
        <f t="shared" si="285"/>
        <v>12877977.280763749</v>
      </c>
      <c r="AF141" s="44">
        <f t="shared" si="285"/>
        <v>12760904.760029534</v>
      </c>
      <c r="AG141" s="44">
        <f t="shared" si="285"/>
        <v>12643832.239295319</v>
      </c>
      <c r="AH141" s="44">
        <f t="shared" si="285"/>
        <v>12526759.718561104</v>
      </c>
      <c r="AI141" s="44">
        <f t="shared" si="285"/>
        <v>12409687.197826888</v>
      </c>
      <c r="AJ141" s="44">
        <f t="shared" si="285"/>
        <v>12292614.677092673</v>
      </c>
      <c r="AK141" s="44">
        <f t="shared" si="285"/>
        <v>12175542.156358458</v>
      </c>
      <c r="AL141" s="44">
        <f t="shared" si="285"/>
        <v>12058469.635624243</v>
      </c>
      <c r="AM141" s="44">
        <f t="shared" si="285"/>
        <v>11941397.114890028</v>
      </c>
      <c r="AN141" s="44">
        <f t="shared" si="285"/>
        <v>11824324.594155813</v>
      </c>
      <c r="AO141" s="44">
        <f t="shared" si="285"/>
        <v>11707252.073421597</v>
      </c>
      <c r="AP141" s="44">
        <f t="shared" si="285"/>
        <v>11590179.552687382</v>
      </c>
      <c r="AQ141" s="44">
        <f t="shared" si="285"/>
        <v>11473107.031953167</v>
      </c>
      <c r="AR141" s="44">
        <f t="shared" si="285"/>
        <v>11356034.511218952</v>
      </c>
      <c r="AS141" s="44">
        <f t="shared" si="285"/>
        <v>11238961.990484737</v>
      </c>
      <c r="AT141" s="44">
        <f t="shared" si="285"/>
        <v>11121889.469750522</v>
      </c>
      <c r="AU141" s="44">
        <f t="shared" si="285"/>
        <v>11004816.949016307</v>
      </c>
      <c r="AV141" s="44">
        <f t="shared" si="285"/>
        <v>10887744.428282091</v>
      </c>
      <c r="AW141" s="44">
        <f t="shared" si="285"/>
        <v>10770671.907547876</v>
      </c>
      <c r="AX141" s="44">
        <f t="shared" si="285"/>
        <v>10653599.386813661</v>
      </c>
      <c r="AY141" s="44">
        <f t="shared" si="285"/>
        <v>10536526.866079446</v>
      </c>
      <c r="AZ141" s="44">
        <f t="shared" si="285"/>
        <v>10419454.345345231</v>
      </c>
      <c r="BA141" s="44">
        <f t="shared" si="285"/>
        <v>10302381.824611016</v>
      </c>
      <c r="BB141" s="44">
        <f t="shared" si="285"/>
        <v>10185309.3038768</v>
      </c>
      <c r="BC141" s="44">
        <f t="shared" si="285"/>
        <v>10068236.783142585</v>
      </c>
      <c r="BD141" s="44">
        <f t="shared" si="285"/>
        <v>9951164.2624083702</v>
      </c>
      <c r="BE141" s="44">
        <f t="shared" si="285"/>
        <v>9834091.741674155</v>
      </c>
      <c r="BF141" s="44">
        <f t="shared" si="285"/>
        <v>9717019.2209399398</v>
      </c>
      <c r="BG141" s="44">
        <f t="shared" si="285"/>
        <v>9599946.7002057247</v>
      </c>
      <c r="BH141" s="44">
        <f t="shared" si="285"/>
        <v>9482874.1794715095</v>
      </c>
      <c r="BI141" s="44">
        <f t="shared" si="285"/>
        <v>9365801.6587372944</v>
      </c>
      <c r="BJ141" s="44">
        <f t="shared" si="285"/>
        <v>9248729.1380030792</v>
      </c>
      <c r="BK141" s="44">
        <f t="shared" si="285"/>
        <v>9131656.6172688641</v>
      </c>
      <c r="BL141" s="44">
        <f t="shared" si="285"/>
        <v>9014584.0965346489</v>
      </c>
      <c r="BM141" s="44">
        <f t="shared" si="285"/>
        <v>8897511.5758004338</v>
      </c>
      <c r="BN141" s="44">
        <f t="shared" si="285"/>
        <v>8780439.0550662186</v>
      </c>
      <c r="BO141" s="44">
        <f t="shared" si="285"/>
        <v>8663366.5343320034</v>
      </c>
      <c r="BP141" s="44">
        <f t="shared" si="285"/>
        <v>8546294.0135977883</v>
      </c>
      <c r="BQ141" s="44">
        <f t="shared" si="285"/>
        <v>8429221.4928635731</v>
      </c>
      <c r="BR141" s="44">
        <f t="shared" si="285"/>
        <v>8312148.972129357</v>
      </c>
      <c r="BS141" s="44">
        <f t="shared" si="285"/>
        <v>8195076.451395141</v>
      </c>
      <c r="BT141" s="44">
        <f t="shared" si="285"/>
        <v>8078003.9306609249</v>
      </c>
      <c r="BU141" s="44">
        <f t="shared" ref="BU141:EF141" si="286">IF((BU139-BU140)&gt;0,(BU139-BU140),0)</f>
        <v>7960931.4099267088</v>
      </c>
      <c r="BV141" s="44">
        <f t="shared" si="286"/>
        <v>7843858.8891924927</v>
      </c>
      <c r="BW141" s="44">
        <f t="shared" si="286"/>
        <v>7726786.3684582766</v>
      </c>
      <c r="BX141" s="44">
        <f t="shared" si="286"/>
        <v>7609713.8477240605</v>
      </c>
      <c r="BY141" s="44">
        <f t="shared" si="286"/>
        <v>7492641.3269898444</v>
      </c>
      <c r="BZ141" s="44">
        <f t="shared" si="286"/>
        <v>7375568.8062556284</v>
      </c>
      <c r="CA141" s="44">
        <f t="shared" si="286"/>
        <v>7258496.2855214123</v>
      </c>
      <c r="CB141" s="44">
        <f t="shared" si="286"/>
        <v>7141423.7647871962</v>
      </c>
      <c r="CC141" s="44">
        <f t="shared" si="286"/>
        <v>7024351.2440529801</v>
      </c>
      <c r="CD141" s="44">
        <f t="shared" si="286"/>
        <v>6907278.723318764</v>
      </c>
      <c r="CE141" s="44">
        <f t="shared" si="286"/>
        <v>6790206.2025845479</v>
      </c>
      <c r="CF141" s="44">
        <f t="shared" si="286"/>
        <v>6673133.6818503318</v>
      </c>
      <c r="CG141" s="44">
        <f t="shared" si="286"/>
        <v>6556061.1611161157</v>
      </c>
      <c r="CH141" s="44">
        <f t="shared" si="286"/>
        <v>6438988.6403818997</v>
      </c>
      <c r="CI141" s="44">
        <f t="shared" si="286"/>
        <v>6321916.1196476836</v>
      </c>
      <c r="CJ141" s="44">
        <f t="shared" si="286"/>
        <v>6204843.5989134675</v>
      </c>
      <c r="CK141" s="44">
        <f t="shared" si="286"/>
        <v>6087771.0781792514</v>
      </c>
      <c r="CL141" s="44">
        <f t="shared" si="286"/>
        <v>5970698.5574450353</v>
      </c>
      <c r="CM141" s="44">
        <f t="shared" si="286"/>
        <v>5853626.0367108192</v>
      </c>
      <c r="CN141" s="44">
        <f t="shared" si="286"/>
        <v>5736553.5159766031</v>
      </c>
      <c r="CO141" s="44">
        <f t="shared" si="286"/>
        <v>5619480.9952423871</v>
      </c>
      <c r="CP141" s="44">
        <f t="shared" si="286"/>
        <v>5502408.474508171</v>
      </c>
      <c r="CQ141" s="44">
        <f t="shared" si="286"/>
        <v>5385335.9537739549</v>
      </c>
      <c r="CR141" s="44">
        <f t="shared" si="286"/>
        <v>5268263.4330397388</v>
      </c>
      <c r="CS141" s="44">
        <f t="shared" si="286"/>
        <v>5151190.9123055227</v>
      </c>
      <c r="CT141" s="44">
        <f t="shared" si="286"/>
        <v>5034118.3915713066</v>
      </c>
      <c r="CU141" s="44">
        <f t="shared" si="286"/>
        <v>4917045.8708370905</v>
      </c>
      <c r="CV141" s="44">
        <f t="shared" si="286"/>
        <v>4799973.3501028745</v>
      </c>
      <c r="CW141" s="44">
        <f t="shared" si="286"/>
        <v>4682900.8293686584</v>
      </c>
      <c r="CX141" s="44">
        <f t="shared" si="286"/>
        <v>4565828.3086344423</v>
      </c>
      <c r="CY141" s="44">
        <f t="shared" si="286"/>
        <v>4448755.7879002262</v>
      </c>
      <c r="CZ141" s="44">
        <f t="shared" si="286"/>
        <v>4331683.2671660101</v>
      </c>
      <c r="DA141" s="44">
        <f t="shared" si="286"/>
        <v>4214610.746431794</v>
      </c>
      <c r="DB141" s="44">
        <f t="shared" si="286"/>
        <v>4097538.2256975784</v>
      </c>
      <c r="DC141" s="44">
        <f t="shared" si="286"/>
        <v>3980465.7049633628</v>
      </c>
      <c r="DD141" s="44">
        <f t="shared" si="286"/>
        <v>3863393.1842291472</v>
      </c>
      <c r="DE141" s="44">
        <f t="shared" si="286"/>
        <v>3746320.6634949315</v>
      </c>
      <c r="DF141" s="44">
        <f t="shared" si="286"/>
        <v>3629248.1427607159</v>
      </c>
      <c r="DG141" s="44">
        <f t="shared" si="286"/>
        <v>3512175.6220265003</v>
      </c>
      <c r="DH141" s="44">
        <f t="shared" si="286"/>
        <v>3395103.1012922847</v>
      </c>
      <c r="DI141" s="44">
        <f t="shared" si="286"/>
        <v>3278030.5805580691</v>
      </c>
      <c r="DJ141" s="44">
        <f t="shared" si="286"/>
        <v>3160958.0598238534</v>
      </c>
      <c r="DK141" s="44">
        <f t="shared" si="286"/>
        <v>3043885.5390896378</v>
      </c>
      <c r="DL141" s="44">
        <f t="shared" si="286"/>
        <v>2926813.0183554222</v>
      </c>
      <c r="DM141" s="44">
        <f t="shared" si="286"/>
        <v>2809740.4976212066</v>
      </c>
      <c r="DN141" s="44">
        <f t="shared" si="286"/>
        <v>2692667.9768869909</v>
      </c>
      <c r="DO141" s="44">
        <f t="shared" si="286"/>
        <v>2575595.4561527753</v>
      </c>
      <c r="DP141" s="44">
        <f t="shared" si="286"/>
        <v>2458522.9354185597</v>
      </c>
      <c r="DQ141" s="44">
        <f t="shared" si="286"/>
        <v>2341450.4146843441</v>
      </c>
      <c r="DR141" s="44">
        <f t="shared" si="286"/>
        <v>2224377.8939501285</v>
      </c>
      <c r="DS141" s="44">
        <f t="shared" si="286"/>
        <v>2107305.3732159128</v>
      </c>
      <c r="DT141" s="44">
        <f t="shared" si="286"/>
        <v>1990232.852481697</v>
      </c>
      <c r="DU141" s="44">
        <f t="shared" si="286"/>
        <v>1873160.3317474811</v>
      </c>
      <c r="DV141" s="44">
        <f t="shared" si="286"/>
        <v>1756087.8110132653</v>
      </c>
      <c r="DW141" s="44">
        <f t="shared" si="286"/>
        <v>1639015.2902790494</v>
      </c>
      <c r="DX141" s="44">
        <f t="shared" si="286"/>
        <v>1521942.7695448336</v>
      </c>
      <c r="DY141" s="44">
        <f t="shared" si="286"/>
        <v>1404870.2488106177</v>
      </c>
      <c r="DZ141" s="44">
        <f t="shared" si="286"/>
        <v>1287797.7280764019</v>
      </c>
      <c r="EA141" s="44">
        <f t="shared" si="286"/>
        <v>1170725.207342186</v>
      </c>
      <c r="EB141" s="44">
        <f t="shared" si="286"/>
        <v>1053652.6866079702</v>
      </c>
      <c r="EC141" s="44">
        <f t="shared" si="286"/>
        <v>936580.1658737543</v>
      </c>
      <c r="ED141" s="44">
        <f t="shared" si="286"/>
        <v>819507.64513953845</v>
      </c>
      <c r="EE141" s="44">
        <f t="shared" si="286"/>
        <v>702435.1244053226</v>
      </c>
      <c r="EF141" s="44">
        <f t="shared" si="286"/>
        <v>585362.60367110674</v>
      </c>
      <c r="EG141" s="44">
        <f t="shared" ref="EG141:EN141" si="287">IF((EG139-EG140)&gt;0,(EG139-EG140),0)</f>
        <v>468290.08293689089</v>
      </c>
      <c r="EH141" s="44">
        <f t="shared" si="287"/>
        <v>351217.56220267504</v>
      </c>
      <c r="EI141" s="44">
        <f t="shared" si="287"/>
        <v>234145.04146845918</v>
      </c>
      <c r="EJ141" s="44">
        <f t="shared" si="287"/>
        <v>117072.52073424334</v>
      </c>
      <c r="EK141" s="44">
        <f t="shared" si="287"/>
        <v>2.750311978161335E-8</v>
      </c>
      <c r="EL141" s="44">
        <f t="shared" si="287"/>
        <v>2.750311978161335E-8</v>
      </c>
      <c r="EM141" s="44">
        <f t="shared" si="287"/>
        <v>2.750311978161335E-8</v>
      </c>
      <c r="EN141" s="44">
        <f t="shared" si="287"/>
        <v>2.750311978161335E-8</v>
      </c>
    </row>
    <row r="142" spans="2:144" outlineLevel="1">
      <c r="B142" s="139" t="s">
        <v>43</v>
      </c>
      <c r="C142" s="151" t="s">
        <v>487</v>
      </c>
      <c r="D142" s="44"/>
      <c r="E142" s="44"/>
      <c r="F142" s="44"/>
      <c r="G142" s="44"/>
      <c r="H142" s="44">
        <f>IF(H135&gt;D137,(SUM(G141:H141)/2),IF(H135=D137,H141,0))</f>
        <v>0</v>
      </c>
      <c r="I142" s="44">
        <f>IF(I135&gt;D137,(SUM(H141:I141)/2),IF(I135=D137,I141,0))</f>
        <v>0</v>
      </c>
      <c r="J142" s="44">
        <f>IF(J135&gt;D137,(SUM(I141:J141)/2),IF(J135=D137,J141,0))</f>
        <v>0</v>
      </c>
      <c r="K142" s="44">
        <f>IF(K135&gt;D137,(SUM(J141:K141)/2),IF(K135=D137,K141,0))</f>
        <v>0</v>
      </c>
      <c r="L142" s="44">
        <f>IF(L135&gt;D137,(SUM(K141:L141)/2),IF(L135=D137,L141,0))</f>
        <v>0</v>
      </c>
      <c r="M142" s="44">
        <f>IF(M135&gt;D137,(SUM(L141:M141)/2),IF(M135=D137,M141,0))</f>
        <v>0</v>
      </c>
      <c r="N142" s="44">
        <f>IF(N135&gt;D137,(SUM(M141:N141)/2),IF(N135=D137,N141,0))</f>
        <v>0</v>
      </c>
      <c r="O142" s="44">
        <f>IF(O135&gt;D137,(SUM(N141:O141)/2),IF(O135=D137,O141,0))</f>
        <v>0</v>
      </c>
      <c r="P142" s="44">
        <f>IF(P135&gt;D137,(SUM(O141:P141)/2),IF(P135=D137,P141,0))</f>
        <v>0</v>
      </c>
      <c r="Q142" s="44">
        <f>IF(Q135&gt;D137,(SUM(P141:Q141)/2),IF(Q135=D137,Q141,0))</f>
        <v>0</v>
      </c>
      <c r="R142" s="44">
        <f>IF(R135&gt;D137,(SUM(Q141:R141)/2),IF(R135=D137,R141,0))</f>
        <v>0</v>
      </c>
      <c r="S142" s="44">
        <f>IF(S135&gt;D137,(SUM(R141:S141)/2),IF(S135=D137,S141,0))</f>
        <v>0</v>
      </c>
      <c r="T142" s="44">
        <f>IF(T135&gt;D137,(SUM(S141:T141)/2),IF(T135=D137,T141,0))</f>
        <v>0</v>
      </c>
      <c r="U142" s="44">
        <f>IF(U135&gt;D137,(SUM(T141:U141)/2),IF(U135=D137,U141,0))</f>
        <v>0</v>
      </c>
      <c r="V142" s="44">
        <f>IF(V135&gt;D137,(SUM(U141:V141)/2),IF(V135=D137,V141,0))</f>
        <v>13931629.967371685</v>
      </c>
      <c r="W142" s="44">
        <f>IF(W135&gt;D137,(SUM(V141:W141)/2),IF(W135=D137,W141,0))</f>
        <v>13873093.707004577</v>
      </c>
      <c r="X142" s="44">
        <f>IF(X135&gt;D137,(SUM(W141:X141)/2),IF(X135=D137,X141,0))</f>
        <v>13756021.186270364</v>
      </c>
      <c r="Y142" s="44">
        <f>IF(Y135&gt;D137,(SUM(X141:Y141)/2),IF(Y135=D137,Y141,0))</f>
        <v>13638948.665536147</v>
      </c>
      <c r="Z142" s="44">
        <f>IF(Z135&gt;D137,(SUM(Y141:Z141)/2),IF(Z135=D137,Z141,0))</f>
        <v>13521876.144801933</v>
      </c>
      <c r="AA142" s="44">
        <f>IF(AA135&gt;D137,(SUM(Z141:AA141)/2),IF(AA135=D137,AA141,0))</f>
        <v>13404803.624067716</v>
      </c>
      <c r="AB142" s="44">
        <f>IF(AB135&gt;D137,(SUM(AA141:AB141)/2),IF(AB135=D137,AB141,0))</f>
        <v>13287731.103333503</v>
      </c>
      <c r="AC142" s="44">
        <f>IF(AC135&gt;D137,(SUM(AB141:AC141)/2),IF(AC135=D137,AC141,0))</f>
        <v>13170658.582599286</v>
      </c>
      <c r="AD142" s="44">
        <f>IF(AD135&gt;D137,(SUM(AC141:AD141)/2),IF(AD135=D137,AD141,0))</f>
        <v>13053586.061865073</v>
      </c>
      <c r="AE142" s="44">
        <f>IF(AE135&gt;D137,(SUM(AD141:AE141)/2),IF(AE135=D137,AE141,0))</f>
        <v>12936513.541130856</v>
      </c>
      <c r="AF142" s="44">
        <f>IF(AF135&gt;D137,(SUM(AE141:AF141)/2),IF(AF135=D137,AF141,0))</f>
        <v>12819441.020396642</v>
      </c>
      <c r="AG142" s="44">
        <f>IF(AG135&gt;D137,(SUM(AF141:AG141)/2),IF(AG135=D137,AG141,0))</f>
        <v>12702368.499662425</v>
      </c>
      <c r="AH142" s="44">
        <f>IF(AH135&gt;D137,(SUM(AG141:AH141)/2),IF(AH135=D137,AH141,0))</f>
        <v>12585295.978928212</v>
      </c>
      <c r="AI142" s="44">
        <f>IF(AI135&gt;D137,(SUM(AH141:AI141)/2),IF(AI135=D137,AI141,0))</f>
        <v>12468223.458193995</v>
      </c>
      <c r="AJ142" s="44">
        <f>IF(AJ135&gt;D137,(SUM(AI141:AJ141)/2),IF(AJ135=D137,AJ141,0))</f>
        <v>12351150.937459782</v>
      </c>
      <c r="AK142" s="44">
        <f>IF(AK135&gt;D137,(SUM(AJ141:AK141)/2),IF(AK135=D137,AK141,0))</f>
        <v>12234078.416725565</v>
      </c>
      <c r="AL142" s="44">
        <f>IF(AL135&gt;D137,(SUM(AK141:AL141)/2),IF(AL135=D137,AL141,0))</f>
        <v>12117005.895991351</v>
      </c>
      <c r="AM142" s="44">
        <f>IF(AM135&gt;D137,(SUM(AL141:AM141)/2),IF(AM135=D137,AM141,0))</f>
        <v>11999933.375257134</v>
      </c>
      <c r="AN142" s="44">
        <f>IF(AN135&gt;D137,(SUM(AM141:AN141)/2),IF(AN135=D137,AN141,0))</f>
        <v>11882860.854522921</v>
      </c>
      <c r="AO142" s="44">
        <f>IF(AO135&gt;D137,(SUM(AN141:AO141)/2),IF(AO135=D137,AO141,0))</f>
        <v>11765788.333788704</v>
      </c>
      <c r="AP142" s="44">
        <f>IF(AP135&gt;D137,(SUM(AO141:AP141)/2),IF(AP135=D137,AP141,0))</f>
        <v>11648715.813054491</v>
      </c>
      <c r="AQ142" s="44">
        <f>IF(AQ135&gt;D137,(SUM(AP141:AQ141)/2),IF(AQ135=D137,AQ141,0))</f>
        <v>11531643.292320274</v>
      </c>
      <c r="AR142" s="44">
        <f>IF(AR135&gt;D137,(SUM(AQ141:AR141)/2),IF(AR135=D137,AR141,0))</f>
        <v>11414570.771586061</v>
      </c>
      <c r="AS142" s="44">
        <f>IF(AS135&gt;D137,(SUM(AR141:AS141)/2),IF(AS135=D137,AS141,0))</f>
        <v>11297498.250851844</v>
      </c>
      <c r="AT142" s="44">
        <f>IF(AT135&gt;D137,(SUM(AS141:AT141)/2),IF(AT135=D137,AT141,0))</f>
        <v>11180425.73011763</v>
      </c>
      <c r="AU142" s="44">
        <f>IF(AU135&gt;D137,(SUM(AT141:AU141)/2),IF(AU135=D137,AU141,0))</f>
        <v>11063353.209383413</v>
      </c>
      <c r="AV142" s="44">
        <f>IF(AV135&gt;D137,(SUM(AU141:AV141)/2),IF(AV135=D137,AV141,0))</f>
        <v>10946280.6886492</v>
      </c>
      <c r="AW142" s="44">
        <f>IF(AW135&gt;D137,(SUM(AV141:AW141)/2),IF(AW135=D137,AW141,0))</f>
        <v>10829208.167914983</v>
      </c>
      <c r="AX142" s="44">
        <f>IF(AX135&gt;D137,(SUM(AW141:AX141)/2),IF(AX135=D137,AX141,0))</f>
        <v>10712135.64718077</v>
      </c>
      <c r="AY142" s="44">
        <f>IF(AY135&gt;D137,(SUM(AX141:AY141)/2),IF(AY135=D137,AY141,0))</f>
        <v>10595063.126446553</v>
      </c>
      <c r="AZ142" s="44">
        <f>IF(AZ135&gt;D137,(SUM(AY141:AZ141)/2),IF(AZ135=D137,AZ141,0))</f>
        <v>10477990.605712339</v>
      </c>
      <c r="BA142" s="44">
        <f>IF(BA135&gt;D137,(SUM(AZ141:BA141)/2),IF(BA135=D137,BA141,0))</f>
        <v>10360918.084978122</v>
      </c>
      <c r="BB142" s="44">
        <f>IF(BB135&gt;D137,(SUM(BA141:BB141)/2),IF(BB135=D137,BB141,0))</f>
        <v>10243845.564243909</v>
      </c>
      <c r="BC142" s="44">
        <f>IF(BC135&gt;D137,(SUM(BB141:BC141)/2),IF(BC135=D137,BC141,0))</f>
        <v>10126773.043509692</v>
      </c>
      <c r="BD142" s="44">
        <f>IF(BD135&gt;D137,(SUM(BC141:BD141)/2),IF(BD135=D137,BD141,0))</f>
        <v>10009700.522775479</v>
      </c>
      <c r="BE142" s="44">
        <f>IF(BE135&gt;D137,(SUM(BD141:BE141)/2),IF(BE135=D137,BE141,0))</f>
        <v>9892628.0020412616</v>
      </c>
      <c r="BF142" s="44">
        <f>IF(BF135&gt;D137,(SUM(BE141:BF141)/2),IF(BF135=D137,BF141,0))</f>
        <v>9775555.4813070484</v>
      </c>
      <c r="BG142" s="44">
        <f>IF(BG135&gt;D137,(SUM(BF141:BG141)/2),IF(BG135=D137,BG141,0))</f>
        <v>9658482.9605728313</v>
      </c>
      <c r="BH142" s="44">
        <f>IF(BH135&gt;D137,(SUM(BG141:BH141)/2),IF(BH135=D137,BH141,0))</f>
        <v>9541410.439838618</v>
      </c>
      <c r="BI142" s="44">
        <f>IF(BI135&gt;D137,(SUM(BH141:BI141)/2),IF(BI135=D137,BI141,0))</f>
        <v>9424337.919104401</v>
      </c>
      <c r="BJ142" s="44">
        <f>IF(BJ135&gt;D137,(SUM(BI141:BJ141)/2),IF(BJ135=D137,BJ141,0))</f>
        <v>9307265.3983701877</v>
      </c>
      <c r="BK142" s="44">
        <f>IF(BK135&gt;D137,(SUM(BJ141:BK141)/2),IF(BK135=D137,BK141,0))</f>
        <v>9190192.8776359707</v>
      </c>
      <c r="BL142" s="44">
        <f>IF(BL135&gt;D137,(SUM(BK141:BL141)/2),IF(BL135=D137,BL141,0))</f>
        <v>9073120.3569017574</v>
      </c>
      <c r="BM142" s="44">
        <f>IF(BM135&gt;D137,(SUM(BL141:BM141)/2),IF(BM135=D137,BM141,0))</f>
        <v>8956047.8361675404</v>
      </c>
      <c r="BN142" s="44">
        <f>IF(BN135&gt;D137,(SUM(BM141:BN141)/2),IF(BN135=D137,BN141,0))</f>
        <v>8838975.3154333271</v>
      </c>
      <c r="BO142" s="44">
        <f>IF(BO135&gt;D137,(SUM(BN141:BO141)/2),IF(BO135=D137,BO141,0))</f>
        <v>8721902.7946991101</v>
      </c>
      <c r="BP142" s="44">
        <f>IF(BP135&gt;D137,(SUM(BO141:BP141)/2),IF(BP135=D137,BP141,0))</f>
        <v>8604830.2739648968</v>
      </c>
      <c r="BQ142" s="44">
        <f>IF(BQ135&gt;D137,(SUM(BP141:BQ141)/2),IF(BQ135=D137,BQ141,0))</f>
        <v>8487757.7532306798</v>
      </c>
      <c r="BR142" s="44">
        <f>IF(BR135&gt;D137,(SUM(BQ141:BR141)/2),IF(BR135=D137,BR141,0))</f>
        <v>8370685.2324964646</v>
      </c>
      <c r="BS142" s="44">
        <f>IF(BS135&gt;D137,(SUM(BR141:BS141)/2),IF(BS135=D137,BS141,0))</f>
        <v>8253612.7117622495</v>
      </c>
      <c r="BT142" s="44">
        <f>IF(BT135&gt;D137,(SUM(BS141:BT141)/2),IF(BT135=D137,BT141,0))</f>
        <v>8136540.1910280325</v>
      </c>
      <c r="BU142" s="44">
        <f>IF(BU135&gt;D137,(SUM(BT141:BU141)/2),IF(BU135=D137,BU141,0))</f>
        <v>8019467.6702938173</v>
      </c>
      <c r="BV142" s="44">
        <f>IF(BV135&gt;D137,(SUM(BU141:BV141)/2),IF(BV135=D137,BV141,0))</f>
        <v>7902395.1495596003</v>
      </c>
      <c r="BW142" s="44">
        <f>IF(BW135&gt;D137,(SUM(BV141:BW141)/2),IF(BW135=D137,BW141,0))</f>
        <v>7785322.6288253851</v>
      </c>
      <c r="BX142" s="44">
        <f>IF(BX135&gt;D137,(SUM(BW141:BX141)/2),IF(BX135=D137,BX141,0))</f>
        <v>7668250.1080911681</v>
      </c>
      <c r="BY142" s="44">
        <f>IF(BY135&gt;D137,(SUM(BX141:BY141)/2),IF(BY135=D137,BY141,0))</f>
        <v>7551177.587356953</v>
      </c>
      <c r="BZ142" s="44">
        <f>IF(BZ135&gt;D137,(SUM(BY141:BZ141)/2),IF(BZ135=D137,BZ141,0))</f>
        <v>7434105.0666227359</v>
      </c>
      <c r="CA142" s="44">
        <f>IF(CA135&gt;D137,(SUM(BZ141:CA141)/2),IF(CA135=D137,CA141,0))</f>
        <v>7317032.5458885208</v>
      </c>
      <c r="CB142" s="44">
        <f>IF(CB135&gt;D137,(SUM(CA141:CB141)/2),IF(CB135=D137,CB141,0))</f>
        <v>7199960.0251543038</v>
      </c>
      <c r="CC142" s="44">
        <f>IF(CC135&gt;D137,(SUM(CB141:CC141)/2),IF(CC135=D137,CC141,0))</f>
        <v>7082887.5044200886</v>
      </c>
      <c r="CD142" s="44">
        <f>IF(CD135&gt;D137,(SUM(CC141:CD141)/2),IF(CD135=D137,CD141,0))</f>
        <v>6965814.9836858716</v>
      </c>
      <c r="CE142" s="44">
        <f>IF(CE135&gt;D137,(SUM(CD141:CE141)/2),IF(CE135=D137,CE141,0))</f>
        <v>6848742.4629516564</v>
      </c>
      <c r="CF142" s="44">
        <f>IF(CF135&gt;D137,(SUM(CE141:CF141)/2),IF(CF135=D137,CF141,0))</f>
        <v>6731669.9422174394</v>
      </c>
      <c r="CG142" s="44">
        <f>IF(CG135&gt;D137,(SUM(CF141:CG141)/2),IF(CG135=D137,CG141,0))</f>
        <v>6614597.4214832243</v>
      </c>
      <c r="CH142" s="44">
        <f>IF(CH135&gt;D137,(SUM(CG141:CH141)/2),IF(CH135=D137,CH141,0))</f>
        <v>6497524.9007490072</v>
      </c>
      <c r="CI142" s="44">
        <f>IF(CI135&gt;D137,(SUM(CH141:CI141)/2),IF(CI135=D137,CI141,0))</f>
        <v>6380452.3800147921</v>
      </c>
      <c r="CJ142" s="44">
        <f>IF(CJ135&gt;D137,(SUM(CI141:CJ141)/2),IF(CJ135=D137,CJ141,0))</f>
        <v>6263379.8592805751</v>
      </c>
      <c r="CK142" s="44">
        <f>IF(CK135&gt;D137,(SUM(CJ141:CK141)/2),IF(CK135=D137,CK141,0))</f>
        <v>6146307.3385463599</v>
      </c>
      <c r="CL142" s="44">
        <f>IF(CL135&gt;D137,(SUM(CK141:CL141)/2),IF(CL135=D137,CL141,0))</f>
        <v>6029234.8178121429</v>
      </c>
      <c r="CM142" s="44">
        <f>IF(CM135&gt;D137,(SUM(CL141:CM141)/2),IF(CM135=D137,CM141,0))</f>
        <v>5912162.2970779277</v>
      </c>
      <c r="CN142" s="44">
        <f>IF(CN135&gt;D137,(SUM(CM141:CN141)/2),IF(CN135=D137,CN141,0))</f>
        <v>5795089.7763437107</v>
      </c>
      <c r="CO142" s="44">
        <f>IF(CO135&gt;D137,(SUM(CN141:CO141)/2),IF(CO135=D137,CO141,0))</f>
        <v>5678017.2556094956</v>
      </c>
      <c r="CP142" s="44">
        <f>IF(CP135&gt;D137,(SUM(CO141:CP141)/2),IF(CP135=D137,CP141,0))</f>
        <v>5560944.7348752785</v>
      </c>
      <c r="CQ142" s="44">
        <f>IF(CQ135&gt;D137,(SUM(CP141:CQ141)/2),IF(CQ135=D137,CQ141,0))</f>
        <v>5443872.2141410634</v>
      </c>
      <c r="CR142" s="44">
        <f>IF(CR135&gt;D137,(SUM(CQ141:CR141)/2),IF(CR135=D137,CR141,0))</f>
        <v>5326799.6934068464</v>
      </c>
      <c r="CS142" s="44">
        <f>IF(CS135&gt;D137,(SUM(CR141:CS141)/2),IF(CS135=D137,CS141,0))</f>
        <v>5209727.1726726312</v>
      </c>
      <c r="CT142" s="44">
        <f>IF(CT135&gt;D137,(SUM(CS141:CT141)/2),IF(CT135=D137,CT141,0))</f>
        <v>5092654.6519384142</v>
      </c>
      <c r="CU142" s="44">
        <f>IF(CU135&gt;D137,(SUM(CT141:CU141)/2),IF(CU135=D137,CU141,0))</f>
        <v>4975582.131204199</v>
      </c>
      <c r="CV142" s="44">
        <f>IF(CV135&gt;D137,(SUM(CU141:CV141)/2),IF(CV135=D137,CV141,0))</f>
        <v>4858509.610469982</v>
      </c>
      <c r="CW142" s="44">
        <f>IF(CW135&gt;D137,(SUM(CV141:CW141)/2),IF(CW135=D137,CW141,0))</f>
        <v>4741437.0897357669</v>
      </c>
      <c r="CX142" s="44">
        <f>IF(CX135&gt;D137,(SUM(CW141:CX141)/2),IF(CX135=D137,CX141,0))</f>
        <v>4624364.5690015499</v>
      </c>
      <c r="CY142" s="44">
        <f>IF(CY135&gt;D137,(SUM(CX141:CY141)/2),IF(CY135=D137,CY141,0))</f>
        <v>4507292.0482673347</v>
      </c>
      <c r="CZ142" s="44">
        <f>IF(CZ135&gt;D137,(SUM(CY141:CZ141)/2),IF(CZ135=D137,CZ141,0))</f>
        <v>4390219.5275331177</v>
      </c>
      <c r="DA142" s="44">
        <f>IF(DA135&gt;D137,(SUM(CZ141:DA141)/2),IF(DA135=D137,DA141,0))</f>
        <v>4273147.0067989025</v>
      </c>
      <c r="DB142" s="44">
        <f>IF(DB135&gt;D137,(SUM(DA141:DB141)/2),IF(DB135=D137,DB141,0))</f>
        <v>4156074.4860646864</v>
      </c>
      <c r="DC142" s="44">
        <f>IF(DC135&gt;D137,(SUM(DB141:DC141)/2),IF(DC135=D137,DC141,0))</f>
        <v>4039001.9653304704</v>
      </c>
      <c r="DD142" s="44">
        <f>IF(DD135&gt;D137,(SUM(DC141:DD141)/2),IF(DD135=D137,DD141,0))</f>
        <v>3921929.4445962552</v>
      </c>
      <c r="DE142" s="44">
        <f>IF(DE135&gt;D137,(SUM(DD141:DE141)/2),IF(DE135=D137,DE141,0))</f>
        <v>3804856.9238620391</v>
      </c>
      <c r="DF142" s="44">
        <f>IF(DF135&gt;D137,(SUM(DE141:DF141)/2),IF(DF135=D137,DF141,0))</f>
        <v>3687784.403127824</v>
      </c>
      <c r="DG142" s="44">
        <f>IF(DG135&gt;D137,(SUM(DF141:DG141)/2),IF(DG135=D137,DG141,0))</f>
        <v>3570711.8823936079</v>
      </c>
      <c r="DH142" s="44">
        <f>IF(DH135&gt;D137,(SUM(DG141:DH141)/2),IF(DH135=D137,DH141,0))</f>
        <v>3453639.3616593927</v>
      </c>
      <c r="DI142" s="44">
        <f>IF(DI135&gt;D137,(SUM(DH141:DI141)/2),IF(DI135=D137,DI141,0))</f>
        <v>3336566.8409251766</v>
      </c>
      <c r="DJ142" s="44">
        <f>IF(DJ135&gt;D137,(SUM(DI141:DJ141)/2),IF(DJ135=D137,DJ141,0))</f>
        <v>3219494.3201909615</v>
      </c>
      <c r="DK142" s="44">
        <f>IF(DK135&gt;D137,(SUM(DJ141:DK141)/2),IF(DK135=D137,DK141,0))</f>
        <v>3102421.7994567454</v>
      </c>
      <c r="DL142" s="44">
        <f>IF(DL135&gt;D137,(SUM(DK141:DL141)/2),IF(DL135=D137,DL141,0))</f>
        <v>2985349.2787225302</v>
      </c>
      <c r="DM142" s="44">
        <f>IF(DM135&gt;D137,(SUM(DL141:DM141)/2),IF(DM135=D137,DM141,0))</f>
        <v>2868276.7579883141</v>
      </c>
      <c r="DN142" s="44">
        <f>IF(DN135&gt;D137,(SUM(DM141:DN141)/2),IF(DN135=D137,DN141,0))</f>
        <v>2751204.237254099</v>
      </c>
      <c r="DO142" s="44">
        <f>IF(DO135&gt;D137,(SUM(DN141:DO141)/2),IF(DO135=D137,DO141,0))</f>
        <v>2634131.7165198829</v>
      </c>
      <c r="DP142" s="44">
        <f>IF(DP135&gt;D137,(SUM(DO141:DP141)/2),IF(DP135=D137,DP141,0))</f>
        <v>2517059.1957856677</v>
      </c>
      <c r="DQ142" s="44">
        <f>IF(DQ135&gt;D137,(SUM(DP141:DQ141)/2),IF(DQ135=D137,DQ141,0))</f>
        <v>2399986.6750514517</v>
      </c>
      <c r="DR142" s="44">
        <f>IF(DR135&gt;D137,(SUM(DQ141:DR141)/2),IF(DR135=D137,DR141,0))</f>
        <v>2282914.1543172365</v>
      </c>
      <c r="DS142" s="44">
        <f>IF(DS135&gt;D137,(SUM(DR141:DS141)/2),IF(DS135=D137,DS141,0))</f>
        <v>2165841.6335830204</v>
      </c>
      <c r="DT142" s="44">
        <f>IF(DT135&gt;D137,(SUM(DS141:DT141)/2),IF(DT135=D137,DT141,0))</f>
        <v>2048769.1128488048</v>
      </c>
      <c r="DU142" s="44">
        <f>IF(DU135&gt;D137,(SUM(DT141:DU141)/2),IF(DU135=D137,DU141,0))</f>
        <v>1931696.5921145892</v>
      </c>
      <c r="DV142" s="44">
        <f>IF(DV135&gt;D137,(SUM(DU141:DV141)/2),IF(DV135=D137,DV141,0))</f>
        <v>1814624.0713803731</v>
      </c>
      <c r="DW142" s="44">
        <f>IF(DW135&gt;D137,(SUM(DV141:DW141)/2),IF(DW135=D137,DW141,0))</f>
        <v>1697551.5506461575</v>
      </c>
      <c r="DX142" s="44">
        <f>IF(DX135&gt;D137,(SUM(DW141:DX141)/2),IF(DX135=D137,DX141,0))</f>
        <v>1580479.0299119414</v>
      </c>
      <c r="DY142" s="44">
        <f>IF(DY135&gt;D137,(SUM(DX141:DY141)/2),IF(DY135=D137,DY141,0))</f>
        <v>1463406.5091777258</v>
      </c>
      <c r="DZ142" s="44">
        <f>IF(DZ135&gt;D137,(SUM(DY141:DZ141)/2),IF(DZ135=D137,DZ141,0))</f>
        <v>1346333.9884435097</v>
      </c>
      <c r="EA142" s="44">
        <f>IF(EA135&gt;D137,(SUM(DZ141:EA141)/2),IF(EA135=D137,EA141,0))</f>
        <v>1229261.4677092941</v>
      </c>
      <c r="EB142" s="44">
        <f>IF(EB135&gt;D137,(SUM(EA141:EB141)/2),IF(EB135=D137,EB141,0))</f>
        <v>1112188.946975078</v>
      </c>
      <c r="EC142" s="44">
        <f>IF(EC135&gt;D137,(SUM(EB141:EC141)/2),IF(EC135=D137,EC141,0))</f>
        <v>995116.42624086223</v>
      </c>
      <c r="ED142" s="44">
        <f>IF(ED135&gt;D137,(SUM(EC141:ED141)/2),IF(ED135=D137,ED141,0))</f>
        <v>878043.90550664638</v>
      </c>
      <c r="EE142" s="44">
        <f>IF(EE135&gt;D137,(SUM(ED141:EE141)/2),IF(EE135=D137,EE141,0))</f>
        <v>760971.38477243052</v>
      </c>
      <c r="EF142" s="44">
        <f>IF(EF135&gt;D137,(SUM(EE141:EF141)/2),IF(EF135=D137,EF141,0))</f>
        <v>643898.86403821467</v>
      </c>
      <c r="EG142" s="44">
        <f>IF(EG135&gt;D137,(SUM(EF141:EG141)/2),IF(EG135=D137,EG141,0))</f>
        <v>526826.34330399882</v>
      </c>
      <c r="EH142" s="44">
        <f>IF(EH135&gt;D137,(SUM(EG141:EH141)/2),IF(EH135=D137,EH141,0))</f>
        <v>409753.82256978296</v>
      </c>
      <c r="EI142" s="44">
        <f t="shared" ref="EI142:EN142" si="288">IF(EI135&gt;E137,(SUM(EH141:EI141)/2),IF(EI135=E137,EI141,0))</f>
        <v>292681.30183556711</v>
      </c>
      <c r="EJ142" s="44">
        <f t="shared" si="288"/>
        <v>175608.78110135125</v>
      </c>
      <c r="EK142" s="44">
        <f t="shared" si="288"/>
        <v>58536.260367135423</v>
      </c>
      <c r="EL142" s="44">
        <f t="shared" si="288"/>
        <v>2.750311978161335E-8</v>
      </c>
      <c r="EM142" s="44">
        <f t="shared" si="288"/>
        <v>2.750311978161335E-8</v>
      </c>
      <c r="EN142" s="44">
        <f t="shared" si="288"/>
        <v>2.750311978161335E-8</v>
      </c>
    </row>
    <row r="143" spans="2:144" outlineLevel="1">
      <c r="C143" s="43" t="s">
        <v>176</v>
      </c>
      <c r="D143" s="44"/>
      <c r="E143" s="773">
        <f>E132</f>
        <v>10</v>
      </c>
      <c r="F143" s="44"/>
      <c r="G143" s="44"/>
      <c r="H143" s="120">
        <f>IF(H134&lt;$E137,0,IF(AND(H134&gt;=$E137,H134&lt;=($E137+$E143-1)),Вводные!$D$30,Вводные!$E$30))</f>
        <v>0</v>
      </c>
      <c r="I143" s="120">
        <f>IF(I134&lt;$E137,0,IF(AND(I134&gt;=$E137,I134&lt;=($E137+$E143-1)),Вводные!$D$30,Вводные!$E$30))</f>
        <v>0</v>
      </c>
      <c r="J143" s="120">
        <f>IF(J134&lt;$E137,0,IF(AND(J134&gt;=$E137,J134&lt;=($E137+$E143-1)),Вводные!$D$30,Вводные!$E$30))</f>
        <v>0</v>
      </c>
      <c r="K143" s="120">
        <f>IF(K134&lt;$E137,0,IF(AND(K134&gt;=$E137,K134&lt;=($E137+$E143-1)),Вводные!$D$30,Вводные!$E$30))</f>
        <v>0</v>
      </c>
      <c r="L143" s="120">
        <f>IF(L134&lt;$E137,0,IF(AND(L134&gt;=$E137,L134&lt;=($E137+$E143-1)),Вводные!$D$30,Вводные!$E$30))</f>
        <v>0</v>
      </c>
      <c r="M143" s="120">
        <f>IF(M134&lt;$E137,0,IF(AND(M134&gt;=$E137,M134&lt;=($E137+$E143-1)),Вводные!$D$30,Вводные!$E$30))</f>
        <v>0</v>
      </c>
      <c r="N143" s="120">
        <f>IF(N134&lt;$E137,0,IF(AND(N134&gt;=$E137,N134&lt;=($E137+$E143-1)),Вводные!$D$30,Вводные!$E$30))</f>
        <v>0</v>
      </c>
      <c r="O143" s="120">
        <f>IF(O134&lt;$E137,0,IF(AND(O134&gt;=$E137,O134&lt;=($E137+$E143-1)),Вводные!$D$30,Вводные!$E$30))</f>
        <v>0</v>
      </c>
      <c r="P143" s="120">
        <f>IF(P134&lt;$E137,0,IF(AND(P134&gt;=$E137,P134&lt;=($E137+$E143-1)),Вводные!$D$30,Вводные!$E$30))</f>
        <v>0</v>
      </c>
      <c r="Q143" s="120">
        <f>IF(Q134&lt;$E137,0,IF(AND(Q134&gt;=$E137,Q134&lt;=($E137+$E143-1)),Вводные!$D$30,Вводные!$E$30))</f>
        <v>0</v>
      </c>
      <c r="R143" s="120">
        <f>IF(R134&lt;$E137,0,IF(AND(R134&gt;=$E137,R134&lt;=($E137+$E143-1)),Вводные!$D$30,Вводные!$E$30))</f>
        <v>0</v>
      </c>
      <c r="S143" s="120">
        <f>IF(S134&lt;$E137,0,IF(AND(S134&gt;=$E137,S134&lt;=($E137+$E143-1)),Вводные!$D$30,Вводные!$E$30))</f>
        <v>0</v>
      </c>
      <c r="T143" s="120">
        <f>IF(T134&lt;$E137,0,IF(AND(T134&gt;=$E137,T134&lt;=($E137+$E143-1)),Вводные!$D$30,Вводные!$E$30))</f>
        <v>0</v>
      </c>
      <c r="U143" s="120">
        <f>IF(U134&lt;$E137,0,IF(AND(U134&gt;=$E137,U134&lt;=($E137+$E143-1)),Вводные!$D$30,Вводные!$E$30))</f>
        <v>0</v>
      </c>
      <c r="V143" s="120">
        <f>IF(V134&lt;$E137,0,IF(AND(V134&gt;=$E137,V134&lt;=($E137+$E143-1)),Вводные!$D$30,Вводные!$E$30))</f>
        <v>0</v>
      </c>
      <c r="W143" s="120">
        <f>IF(W134&lt;$E137,0,IF(AND(W134&gt;=$E137,W134&lt;=($E137+$E143-1)),Вводные!$D$30,Вводные!$E$30))</f>
        <v>0</v>
      </c>
      <c r="X143" s="120">
        <f>IF(X134&lt;$E137,0,IF(AND(X134&gt;=$E137,X134&lt;=($E137+$E143-1)),Вводные!$D$30,Вводные!$E$30))</f>
        <v>0</v>
      </c>
      <c r="Y143" s="120">
        <f>IF(Y134&lt;$E137,0,IF(AND(Y134&gt;=$E137,Y134&lt;=($E137+$E143-1)),Вводные!$D$30,Вводные!$E$30))</f>
        <v>0</v>
      </c>
      <c r="Z143" s="120">
        <f>IF(Z134&lt;$E137,0,IF(AND(Z134&gt;=$E137,Z134&lt;=($E137+$E143-1)),Вводные!$D$30,Вводные!$E$30))</f>
        <v>0</v>
      </c>
      <c r="AA143" s="120">
        <f>IF(AA134&lt;$E137,0,IF(AND(AA134&gt;=$E137,AA134&lt;=($E137+$E143-1)),Вводные!$D$30,Вводные!$E$30))</f>
        <v>0</v>
      </c>
      <c r="AB143" s="120">
        <f>IF(AB134&lt;$E137,0,IF(AND(AB134&gt;=$E137,AB134&lt;=($E137+$E143-1)),Вводные!$D$30,Вводные!$E$30))</f>
        <v>0</v>
      </c>
      <c r="AC143" s="120">
        <f>IF(AC134&lt;$E137,0,IF(AND(AC134&gt;=$E137,AC134&lt;=($E137+$E143-1)),Вводные!$D$30,Вводные!$E$30))</f>
        <v>0</v>
      </c>
      <c r="AD143" s="120">
        <f>IF(AD134&lt;$E137,0,IF(AND(AD134&gt;=$E137,AD134&lt;=($E137+$E143-1)),Вводные!$D$30,Вводные!$E$30))</f>
        <v>0</v>
      </c>
      <c r="AE143" s="120">
        <f>IF(AE134&lt;$E137,0,IF(AND(AE134&gt;=$E137,AE134&lt;=($E137+$E143-1)),Вводные!$D$30,Вводные!$E$30))</f>
        <v>0</v>
      </c>
      <c r="AF143" s="120">
        <f>IF(AF134&lt;$E137,0,IF(AND(AF134&gt;=$E137,AF134&lt;=($E137+$E143-1)),Вводные!$D$30,Вводные!$E$30))</f>
        <v>0</v>
      </c>
      <c r="AG143" s="120">
        <f>IF(AG134&lt;$E137,0,IF(AND(AG134&gt;=$E137,AG134&lt;=($E137+$E143-1)),Вводные!$D$30,Вводные!$E$30))</f>
        <v>0</v>
      </c>
      <c r="AH143" s="120">
        <f>IF(AH134&lt;$E137,0,IF(AND(AH134&gt;=$E137,AH134&lt;=($E137+$E143-1)),Вводные!$D$30,Вводные!$E$30))</f>
        <v>0</v>
      </c>
      <c r="AI143" s="120">
        <f>IF(AI134&lt;$E137,0,IF(AND(AI134&gt;=$E137,AI134&lt;=($E137+$E143-1)),Вводные!$D$30,Вводные!$E$30))</f>
        <v>0</v>
      </c>
      <c r="AJ143" s="120">
        <f>IF(AJ134&lt;$E137,0,IF(AND(AJ134&gt;=$E137,AJ134&lt;=($E137+$E143-1)),Вводные!$D$30,Вводные!$E$30))</f>
        <v>0</v>
      </c>
      <c r="AK143" s="120">
        <f>IF(AK134&lt;$E137,0,IF(AND(AK134&gt;=$E137,AK134&lt;=($E137+$E143-1)),Вводные!$D$30,Вводные!$E$30))</f>
        <v>0</v>
      </c>
      <c r="AL143" s="120">
        <f>IF(AL134&lt;$E137,0,IF(AND(AL134&gt;=$E137,AL134&lt;=($E137+$E143-1)),Вводные!$D$30,Вводные!$E$30))</f>
        <v>0</v>
      </c>
      <c r="AM143" s="120">
        <f>IF(AM134&lt;$E137,0,IF(AND(AM134&gt;=$E137,AM134&lt;=($E137+$E143-1)),Вводные!$D$30,Вводные!$E$30))</f>
        <v>0</v>
      </c>
      <c r="AN143" s="120">
        <f>IF(AN134&lt;$E137,0,IF(AND(AN134&gt;=$E137,AN134&lt;=($E137+$E143-1)),Вводные!$D$30,Вводные!$E$30))</f>
        <v>0</v>
      </c>
      <c r="AO143" s="120">
        <f>IF(AO134&lt;$E137,0,IF(AND(AO134&gt;=$E137,AO134&lt;=($E137+$E143-1)),Вводные!$D$30,Вводные!$E$30))</f>
        <v>0</v>
      </c>
      <c r="AP143" s="120">
        <f>IF(AP134&lt;$E137,0,IF(AND(AP134&gt;=$E137,AP134&lt;=($E137+$E143-1)),Вводные!$D$30,Вводные!$E$30))</f>
        <v>0</v>
      </c>
      <c r="AQ143" s="120">
        <f>IF(AQ134&lt;$E137,0,IF(AND(AQ134&gt;=$E137,AQ134&lt;=($E137+$E143-1)),Вводные!$D$30,Вводные!$E$30))</f>
        <v>0</v>
      </c>
      <c r="AR143" s="120">
        <f>IF(AR134&lt;$E137,0,IF(AND(AR134&gt;=$E137,AR134&lt;=($E137+$E143-1)),Вводные!$D$30,Вводные!$E$30))</f>
        <v>0</v>
      </c>
      <c r="AS143" s="120">
        <f>IF(AS134&lt;$E137,0,IF(AND(AS134&gt;=$E137,AS134&lt;=($E137+$E143-1)),Вводные!$D$30,Вводные!$E$30))</f>
        <v>0</v>
      </c>
      <c r="AT143" s="120">
        <f>IF(AT134&lt;$E137,0,IF(AND(AT134&gt;=$E137,AT134&lt;=($E137+$E143-1)),Вводные!$D$30,Вводные!$E$30))</f>
        <v>0</v>
      </c>
      <c r="AU143" s="120">
        <f>IF(AU134&lt;$E137,0,IF(AND(AU134&gt;=$E137,AU134&lt;=($E137+$E143-1)),Вводные!$D$30,Вводные!$E$30))</f>
        <v>0</v>
      </c>
      <c r="AV143" s="120">
        <f>IF(AV134&lt;$E137,0,IF(AND(AV134&gt;=$E137,AV134&lt;=($E137+$E143-1)),Вводные!$D$30,Вводные!$E$30))</f>
        <v>0</v>
      </c>
      <c r="AW143" s="120">
        <f>IF(AW134&lt;$E137,0,IF(AND(AW134&gt;=$E137,AW134&lt;=($E137+$E143-1)),Вводные!$D$30,Вводные!$E$30))</f>
        <v>0</v>
      </c>
      <c r="AX143" s="120">
        <f>IF(AX134&lt;$E137,0,IF(AND(AX134&gt;=$E137,AX134&lt;=($E137+$E143-1)),Вводные!$D$30,Вводные!$E$30))</f>
        <v>0</v>
      </c>
      <c r="AY143" s="120">
        <f>IF(AY134&lt;$E137,0,IF(AND(AY134&gt;=$E137,AY134&lt;=($E137+$E143-1)),Вводные!$D$30,Вводные!$E$30))</f>
        <v>0</v>
      </c>
      <c r="AZ143" s="120">
        <f>IF(AZ134&lt;$E137,0,IF(AND(AZ134&gt;=$E137,AZ134&lt;=($E137+$E143-1)),Вводные!$D$30,Вводные!$E$30))</f>
        <v>0</v>
      </c>
      <c r="BA143" s="120">
        <f>IF(BA134&lt;$E137,0,IF(AND(BA134&gt;=$E137,BA134&lt;=($E137+$E143-1)),Вводные!$D$30,Вводные!$E$30))</f>
        <v>0</v>
      </c>
      <c r="BB143" s="120">
        <f>IF(BB134&lt;$E137,0,IF(AND(BB134&gt;=$E137,BB134&lt;=($E137+$E143-1)),Вводные!$D$30,Вводные!$E$30))</f>
        <v>0</v>
      </c>
      <c r="BC143" s="120">
        <f>IF(BC134&lt;$E137,0,IF(AND(BC134&gt;=$E137,BC134&lt;=($E137+$E143-1)),Вводные!$D$30,Вводные!$E$30))</f>
        <v>0</v>
      </c>
      <c r="BD143" s="120">
        <f>IF(BD134&lt;$E137,0,IF(AND(BD134&gt;=$E137,BD134&lt;=($E137+$E143-1)),Вводные!$D$30,Вводные!$E$30))</f>
        <v>0</v>
      </c>
      <c r="BE143" s="120">
        <f>IF(BE134&lt;$E137,0,IF(AND(BE134&gt;=$E137,BE134&lt;=($E137+$E143-1)),Вводные!$D$30,Вводные!$E$30))</f>
        <v>0</v>
      </c>
      <c r="BF143" s="120">
        <f>IF(BF134&lt;$E137,0,IF(AND(BF134&gt;=$E137,BF134&lt;=($E137+$E143-1)),Вводные!$D$30,Вводные!$E$30))</f>
        <v>0</v>
      </c>
      <c r="BG143" s="120">
        <f>IF(BG134&lt;$E137,0,IF(AND(BG134&gt;=$E137,BG134&lt;=($E137+$E143-1)),Вводные!$D$30,Вводные!$E$30))</f>
        <v>0</v>
      </c>
      <c r="BH143" s="120">
        <f>IF(BH134&lt;$E137,0,IF(AND(BH134&gt;=$E137,BH134&lt;=($E137+$E143-1)),Вводные!$D$30,Вводные!$E$30))</f>
        <v>2.1999999999999999E-2</v>
      </c>
      <c r="BI143" s="120">
        <f>IF(BI134&lt;$E137,0,IF(AND(BI134&gt;=$E137,BI134&lt;=($E137+$E143-1)),Вводные!$D$30,Вводные!$E$30))</f>
        <v>2.1999999999999999E-2</v>
      </c>
      <c r="BJ143" s="120">
        <f>IF(BJ134&lt;$E137,0,IF(AND(BJ134&gt;=$E137,BJ134&lt;=($E137+$E143-1)),Вводные!$D$30,Вводные!$E$30))</f>
        <v>2.1999999999999999E-2</v>
      </c>
      <c r="BK143" s="120">
        <f>IF(BK134&lt;$E137,0,IF(AND(BK134&gt;=$E137,BK134&lt;=($E137+$E143-1)),Вводные!$D$30,Вводные!$E$30))</f>
        <v>2.1999999999999999E-2</v>
      </c>
      <c r="BL143" s="120">
        <f>IF(BL134&lt;$E137,0,IF(AND(BL134&gt;=$E137,BL134&lt;=($E137+$E143-1)),Вводные!$D$30,Вводные!$E$30))</f>
        <v>2.1999999999999999E-2</v>
      </c>
      <c r="BM143" s="120">
        <f>IF(BM134&lt;$E137,0,IF(AND(BM134&gt;=$E137,BM134&lt;=($E137+$E143-1)),Вводные!$D$30,Вводные!$E$30))</f>
        <v>2.1999999999999999E-2</v>
      </c>
      <c r="BN143" s="120">
        <f>IF(BN134&lt;$E137,0,IF(AND(BN134&gt;=$E137,BN134&lt;=($E137+$E143-1)),Вводные!$D$30,Вводные!$E$30))</f>
        <v>2.1999999999999999E-2</v>
      </c>
      <c r="BO143" s="120">
        <f>IF(BO134&lt;$E137,0,IF(AND(BO134&gt;=$E137,BO134&lt;=($E137+$E143-1)),Вводные!$D$30,Вводные!$E$30))</f>
        <v>2.1999999999999999E-2</v>
      </c>
      <c r="BP143" s="120">
        <f>IF(BP134&lt;$E137,0,IF(AND(BP134&gt;=$E137,BP134&lt;=($E137+$E143-1)),Вводные!$D$30,Вводные!$E$30))</f>
        <v>2.1999999999999999E-2</v>
      </c>
      <c r="BQ143" s="120">
        <f>IF(BQ134&lt;$E137,0,IF(AND(BQ134&gt;=$E137,BQ134&lt;=($E137+$E143-1)),Вводные!$D$30,Вводные!$E$30))</f>
        <v>2.1999999999999999E-2</v>
      </c>
      <c r="BR143" s="120">
        <f>IF(BR134&lt;$E137,0,IF(AND(BR134&gt;=$E137,BR134&lt;=($E137+$E143-1)),Вводные!$D$30,Вводные!$E$30))</f>
        <v>2.1999999999999999E-2</v>
      </c>
      <c r="BS143" s="120">
        <f>IF(BS134&lt;$E137,0,IF(AND(BS134&gt;=$E137,BS134&lt;=($E137+$E143-1)),Вводные!$D$30,Вводные!$E$30))</f>
        <v>2.1999999999999999E-2</v>
      </c>
      <c r="BT143" s="120">
        <f>IF(BT134&lt;$E137,0,IF(AND(BT134&gt;=$E137,BT134&lt;=($E137+$E143-1)),Вводные!$D$30,Вводные!$E$30))</f>
        <v>2.1999999999999999E-2</v>
      </c>
      <c r="BU143" s="120">
        <f>IF(BU134&lt;$E137,0,IF(AND(BU134&gt;=$E137,BU134&lt;=($E137+$E143-1)),Вводные!$D$30,Вводные!$E$30))</f>
        <v>2.1999999999999999E-2</v>
      </c>
      <c r="BV143" s="120">
        <f>IF(BV134&lt;$E137,0,IF(AND(BV134&gt;=$E137,BV134&lt;=($E137+$E143-1)),Вводные!$D$30,Вводные!$E$30))</f>
        <v>2.1999999999999999E-2</v>
      </c>
      <c r="BW143" s="120">
        <f>IF(BW134&lt;$E137,0,IF(AND(BW134&gt;=$E137,BW134&lt;=($E137+$E143-1)),Вводные!$D$30,Вводные!$E$30))</f>
        <v>2.1999999999999999E-2</v>
      </c>
      <c r="BX143" s="120">
        <f>IF(BX134&lt;$E137,0,IF(AND(BX134&gt;=$E137,BX134&lt;=($E137+$E143-1)),Вводные!$D$30,Вводные!$E$30))</f>
        <v>2.1999999999999999E-2</v>
      </c>
      <c r="BY143" s="120">
        <f>IF(BY134&lt;$E137,0,IF(AND(BY134&gt;=$E137,BY134&lt;=($E137+$E143-1)),Вводные!$D$30,Вводные!$E$30))</f>
        <v>2.1999999999999999E-2</v>
      </c>
      <c r="BZ143" s="120">
        <f>IF(BZ134&lt;$E137,0,IF(AND(BZ134&gt;=$E137,BZ134&lt;=($E137+$E143-1)),Вводные!$D$30,Вводные!$E$30))</f>
        <v>2.1999999999999999E-2</v>
      </c>
      <c r="CA143" s="120">
        <f>IF(CA134&lt;$E137,0,IF(AND(CA134&gt;=$E137,CA134&lt;=($E137+$E143-1)),Вводные!$D$30,Вводные!$E$30))</f>
        <v>2.1999999999999999E-2</v>
      </c>
      <c r="CB143" s="120">
        <f>IF(CB134&lt;$E137,0,IF(AND(CB134&gt;=$E137,CB134&lt;=($E137+$E143-1)),Вводные!$D$30,Вводные!$E$30))</f>
        <v>2.1999999999999999E-2</v>
      </c>
      <c r="CC143" s="120">
        <f>IF(CC134&lt;$E137,0,IF(AND(CC134&gt;=$E137,CC134&lt;=($E137+$E143-1)),Вводные!$D$30,Вводные!$E$30))</f>
        <v>2.1999999999999999E-2</v>
      </c>
      <c r="CD143" s="120">
        <f>IF(CD134&lt;$E137,0,IF(AND(CD134&gt;=$E137,CD134&lt;=($E137+$E143-1)),Вводные!$D$30,Вводные!$E$30))</f>
        <v>2.1999999999999999E-2</v>
      </c>
      <c r="CE143" s="120">
        <f>IF(CE134&lt;$E137,0,IF(AND(CE134&gt;=$E137,CE134&lt;=($E137+$E143-1)),Вводные!$D$30,Вводные!$E$30))</f>
        <v>2.1999999999999999E-2</v>
      </c>
      <c r="CF143" s="120">
        <f>IF(CF134&lt;$E137,0,IF(AND(CF134&gt;=$E137,CF134&lt;=($E137+$E143-1)),Вводные!$D$30,Вводные!$E$30))</f>
        <v>2.1999999999999999E-2</v>
      </c>
      <c r="CG143" s="120">
        <f>IF(CG134&lt;$E137,0,IF(AND(CG134&gt;=$E137,CG134&lt;=($E137+$E143-1)),Вводные!$D$30,Вводные!$E$30))</f>
        <v>2.1999999999999999E-2</v>
      </c>
      <c r="CH143" s="120">
        <f>IF(CH134&lt;$E137,0,IF(AND(CH134&gt;=$E137,CH134&lt;=($E137+$E143-1)),Вводные!$D$30,Вводные!$E$30))</f>
        <v>2.1999999999999999E-2</v>
      </c>
      <c r="CI143" s="120">
        <f>IF(CI134&lt;$E137,0,IF(AND(CI134&gt;=$E137,CI134&lt;=($E137+$E143-1)),Вводные!$D$30,Вводные!$E$30))</f>
        <v>2.1999999999999999E-2</v>
      </c>
      <c r="CJ143" s="120">
        <f>IF(CJ134&lt;$E137,0,IF(AND(CJ134&gt;=$E137,CJ134&lt;=($E137+$E143-1)),Вводные!$D$30,Вводные!$E$30))</f>
        <v>2.1999999999999999E-2</v>
      </c>
      <c r="CK143" s="120">
        <f>IF(CK134&lt;$E137,0,IF(AND(CK134&gt;=$E137,CK134&lt;=($E137+$E143-1)),Вводные!$D$30,Вводные!$E$30))</f>
        <v>2.1999999999999999E-2</v>
      </c>
      <c r="CL143" s="120">
        <f>IF(CL134&lt;$E137,0,IF(AND(CL134&gt;=$E137,CL134&lt;=($E137+$E143-1)),Вводные!$D$30,Вводные!$E$30))</f>
        <v>2.1999999999999999E-2</v>
      </c>
      <c r="CM143" s="120">
        <f>IF(CM134&lt;$E137,0,IF(AND(CM134&gt;=$E137,CM134&lt;=($E137+$E143-1)),Вводные!$D$30,Вводные!$E$30))</f>
        <v>2.1999999999999999E-2</v>
      </c>
      <c r="CN143" s="120">
        <f>IF(CN134&lt;$E137,0,IF(AND(CN134&gt;=$E137,CN134&lt;=($E137+$E143-1)),Вводные!$D$30,Вводные!$E$30))</f>
        <v>2.1999999999999999E-2</v>
      </c>
      <c r="CO143" s="120">
        <f>IF(CO134&lt;$E137,0,IF(AND(CO134&gt;=$E137,CO134&lt;=($E137+$E143-1)),Вводные!$D$30,Вводные!$E$30))</f>
        <v>2.1999999999999999E-2</v>
      </c>
      <c r="CP143" s="120">
        <f>IF(CP134&lt;$E137,0,IF(AND(CP134&gt;=$E137,CP134&lt;=($E137+$E143-1)),Вводные!$D$30,Вводные!$E$30))</f>
        <v>2.1999999999999999E-2</v>
      </c>
      <c r="CQ143" s="120">
        <f>IF(CQ134&lt;$E137,0,IF(AND(CQ134&gt;=$E137,CQ134&lt;=($E137+$E143-1)),Вводные!$D$30,Вводные!$E$30))</f>
        <v>2.1999999999999999E-2</v>
      </c>
      <c r="CR143" s="120">
        <f>IF(CR134&lt;$E137,0,IF(AND(CR134&gt;=$E137,CR134&lt;=($E137+$E143-1)),Вводные!$D$30,Вводные!$E$30))</f>
        <v>2.1999999999999999E-2</v>
      </c>
      <c r="CS143" s="120">
        <f>IF(CS134&lt;$E137,0,IF(AND(CS134&gt;=$E137,CS134&lt;=($E137+$E143-1)),Вводные!$D$30,Вводные!$E$30))</f>
        <v>2.1999999999999999E-2</v>
      </c>
      <c r="CT143" s="120">
        <f>IF(CT134&lt;$E137,0,IF(AND(CT134&gt;=$E137,CT134&lt;=($E137+$E143-1)),Вводные!$D$30,Вводные!$E$30))</f>
        <v>2.1999999999999999E-2</v>
      </c>
      <c r="CU143" s="120">
        <f>IF(CU134&lt;$E137,0,IF(AND(CU134&gt;=$E137,CU134&lt;=($E137+$E143-1)),Вводные!$D$30,Вводные!$E$30))</f>
        <v>2.1999999999999999E-2</v>
      </c>
      <c r="CV143" s="120">
        <f>IF(CV134&lt;$E137,0,IF(AND(CV134&gt;=$E137,CV134&lt;=($E137+$E143-1)),Вводные!$D$30,Вводные!$E$30))</f>
        <v>2.1999999999999999E-2</v>
      </c>
      <c r="CW143" s="120">
        <f>IF(CW134&lt;$E137,0,IF(AND(CW134&gt;=$E137,CW134&lt;=($E137+$E143-1)),Вводные!$D$30,Вводные!$E$30))</f>
        <v>2.1999999999999999E-2</v>
      </c>
      <c r="CX143" s="120">
        <f>IF(CX134&lt;$E137,0,IF(AND(CX134&gt;=$E137,CX134&lt;=($E137+$E143-1)),Вводные!$D$30,Вводные!$E$30))</f>
        <v>2.1999999999999999E-2</v>
      </c>
      <c r="CY143" s="120">
        <f>IF(CY134&lt;$E137,0,IF(AND(CY134&gt;=$E137,CY134&lt;=($E137+$E143-1)),Вводные!$D$30,Вводные!$E$30))</f>
        <v>2.1999999999999999E-2</v>
      </c>
      <c r="CZ143" s="120">
        <f>IF(CZ134&lt;$E137,0,IF(AND(CZ134&gt;=$E137,CZ134&lt;=($E137+$E143-1)),Вводные!$D$30,Вводные!$E$30))</f>
        <v>2.1999999999999999E-2</v>
      </c>
      <c r="DA143" s="120">
        <f>IF(DA134&lt;$E137,0,IF(AND(DA134&gt;=$E137,DA134&lt;=($E137+$E143-1)),Вводные!$D$30,Вводные!$E$30))</f>
        <v>2.1999999999999999E-2</v>
      </c>
      <c r="DB143" s="120">
        <f>IF(DB134&lt;$E137,0,IF(AND(DB134&gt;=$E137,DB134&lt;=($E137+$E143-1)),Вводные!$D$30,Вводные!$E$30))</f>
        <v>2.1999999999999999E-2</v>
      </c>
      <c r="DC143" s="120">
        <f>IF(DC134&lt;$E137,0,IF(AND(DC134&gt;=$E137,DC134&lt;=($E137+$E143-1)),Вводные!$D$30,Вводные!$E$30))</f>
        <v>2.1999999999999999E-2</v>
      </c>
      <c r="DD143" s="120">
        <f>IF(DD134&lt;$E137,0,IF(AND(DD134&gt;=$E137,DD134&lt;=($E137+$E143-1)),Вводные!$D$30,Вводные!$E$30))</f>
        <v>2.1999999999999999E-2</v>
      </c>
      <c r="DE143" s="120">
        <f>IF(DE134&lt;$E137,0,IF(AND(DE134&gt;=$E137,DE134&lt;=($E137+$E143-1)),Вводные!$D$30,Вводные!$E$30))</f>
        <v>2.1999999999999999E-2</v>
      </c>
      <c r="DF143" s="120">
        <f>IF(DF134&lt;$E137,0,IF(AND(DF134&gt;=$E137,DF134&lt;=($E137+$E143-1)),Вводные!$D$30,Вводные!$E$30))</f>
        <v>2.1999999999999999E-2</v>
      </c>
      <c r="DG143" s="120">
        <f>IF(DG134&lt;$E137,0,IF(AND(DG134&gt;=$E137,DG134&lt;=($E137+$E143-1)),Вводные!$D$30,Вводные!$E$30))</f>
        <v>2.1999999999999999E-2</v>
      </c>
      <c r="DH143" s="120">
        <f>IF(DH134&lt;$E137,0,IF(AND(DH134&gt;=$E137,DH134&lt;=($E137+$E143-1)),Вводные!$D$30,Вводные!$E$30))</f>
        <v>2.1999999999999999E-2</v>
      </c>
      <c r="DI143" s="120">
        <f>IF(DI134&lt;$E137,0,IF(AND(DI134&gt;=$E137,DI134&lt;=($E137+$E143-1)),Вводные!$D$30,Вводные!$E$30))</f>
        <v>2.1999999999999999E-2</v>
      </c>
      <c r="DJ143" s="120">
        <f>IF(DJ134&lt;$E137,0,IF(AND(DJ134&gt;=$E137,DJ134&lt;=($E137+$E143-1)),Вводные!$D$30,Вводные!$E$30))</f>
        <v>2.1999999999999999E-2</v>
      </c>
      <c r="DK143" s="120">
        <f>IF(DK134&lt;$E137,0,IF(AND(DK134&gt;=$E137,DK134&lt;=($E137+$E143-1)),Вводные!$D$30,Вводные!$E$30))</f>
        <v>2.1999999999999999E-2</v>
      </c>
      <c r="DL143" s="120">
        <f>IF(DL134&lt;$E137,0,IF(AND(DL134&gt;=$E137,DL134&lt;=($E137+$E143-1)),Вводные!$D$30,Вводные!$E$30))</f>
        <v>2.1999999999999999E-2</v>
      </c>
      <c r="DM143" s="120">
        <f>IF(DM134&lt;$E137,0,IF(AND(DM134&gt;=$E137,DM134&lt;=($E137+$E143-1)),Вводные!$D$30,Вводные!$E$30))</f>
        <v>2.1999999999999999E-2</v>
      </c>
      <c r="DN143" s="120">
        <f>IF(DN134&lt;$E137,0,IF(AND(DN134&gt;=$E137,DN134&lt;=($E137+$E143-1)),Вводные!$D$30,Вводные!$E$30))</f>
        <v>2.1999999999999999E-2</v>
      </c>
      <c r="DO143" s="120">
        <f>IF(DO134&lt;$E137,0,IF(AND(DO134&gt;=$E137,DO134&lt;=($E137+$E143-1)),Вводные!$D$30,Вводные!$E$30))</f>
        <v>2.1999999999999999E-2</v>
      </c>
      <c r="DP143" s="120">
        <f>IF(DP134&lt;$E137,0,IF(AND(DP134&gt;=$E137,DP134&lt;=($E137+$E143-1)),Вводные!$D$30,Вводные!$E$30))</f>
        <v>2.1999999999999999E-2</v>
      </c>
      <c r="DQ143" s="120">
        <f>IF(DQ134&lt;$E137,0,IF(AND(DQ134&gt;=$E137,DQ134&lt;=($E137+$E143-1)),Вводные!$D$30,Вводные!$E$30))</f>
        <v>2.1999999999999999E-2</v>
      </c>
      <c r="DR143" s="120">
        <f>IF(DR134&lt;$E137,0,IF(AND(DR134&gt;=$E137,DR134&lt;=($E137+$E143-1)),Вводные!$D$30,Вводные!$E$30))</f>
        <v>2.1999999999999999E-2</v>
      </c>
      <c r="DS143" s="120">
        <f>IF(DS134&lt;$E137,0,IF(AND(DS134&gt;=$E137,DS134&lt;=($E137+$E143-1)),Вводные!$D$30,Вводные!$E$30))</f>
        <v>2.1999999999999999E-2</v>
      </c>
      <c r="DT143" s="120">
        <f>IF(DT134&lt;$E137,0,IF(AND(DT134&gt;=$E137,DT134&lt;=($E137+$E143-1)),Вводные!$D$30,Вводные!$E$30))</f>
        <v>2.1999999999999999E-2</v>
      </c>
      <c r="DU143" s="120">
        <f>IF(DU134&lt;$E137,0,IF(AND(DU134&gt;=$E137,DU134&lt;=($E137+$E143-1)),Вводные!$D$30,Вводные!$E$30))</f>
        <v>2.1999999999999999E-2</v>
      </c>
      <c r="DV143" s="120">
        <f>IF(DV134&lt;$E137,0,IF(AND(DV134&gt;=$E137,DV134&lt;=($E137+$E143-1)),Вводные!$D$30,Вводные!$E$30))</f>
        <v>2.1999999999999999E-2</v>
      </c>
      <c r="DW143" s="120">
        <f>IF(DW134&lt;$E137,0,IF(AND(DW134&gt;=$E137,DW134&lt;=($E137+$E143-1)),Вводные!$D$30,Вводные!$E$30))</f>
        <v>2.1999999999999999E-2</v>
      </c>
      <c r="DX143" s="120">
        <f>IF(DX134&lt;$E137,0,IF(AND(DX134&gt;=$E137,DX134&lt;=($E137+$E143-1)),Вводные!$D$30,Вводные!$E$30))</f>
        <v>2.1999999999999999E-2</v>
      </c>
      <c r="DY143" s="120">
        <f>IF(DY134&lt;$E137,0,IF(AND(DY134&gt;=$E137,DY134&lt;=($E137+$E143-1)),Вводные!$D$30,Вводные!$E$30))</f>
        <v>2.1999999999999999E-2</v>
      </c>
      <c r="DZ143" s="120">
        <f>IF(DZ134&lt;$E137,0,IF(AND(DZ134&gt;=$E137,DZ134&lt;=($E137+$E143-1)),Вводные!$D$30,Вводные!$E$30))</f>
        <v>2.1999999999999999E-2</v>
      </c>
      <c r="EA143" s="120">
        <f>IF(EA134&lt;$E137,0,IF(AND(EA134&gt;=$E137,EA134&lt;=($E137+$E143-1)),Вводные!$D$30,Вводные!$E$30))</f>
        <v>2.1999999999999999E-2</v>
      </c>
      <c r="EB143" s="120">
        <f>IF(EB134&lt;$E137,0,IF(AND(EB134&gt;=$E137,EB134&lt;=($E137+$E143-1)),Вводные!$D$30,Вводные!$E$30))</f>
        <v>2.1999999999999999E-2</v>
      </c>
      <c r="EC143" s="120">
        <f>IF(EC134&lt;$E137,0,IF(AND(EC134&gt;=$E137,EC134&lt;=($E137+$E143-1)),Вводные!$D$30,Вводные!$E$30))</f>
        <v>2.1999999999999999E-2</v>
      </c>
      <c r="ED143" s="120">
        <f>IF(ED134&lt;$E137,0,IF(AND(ED134&gt;=$E137,ED134&lt;=($E137+$E143-1)),Вводные!$D$30,Вводные!$E$30))</f>
        <v>2.1999999999999999E-2</v>
      </c>
      <c r="EE143" s="120">
        <f>IF(EE134&lt;$E137,0,IF(AND(EE134&gt;=$E137,EE134&lt;=($E137+$E143-1)),Вводные!$D$30,Вводные!$E$30))</f>
        <v>2.1999999999999999E-2</v>
      </c>
      <c r="EF143" s="120">
        <f>IF(EF134&lt;$E137,0,IF(AND(EF134&gt;=$E137,EF134&lt;=($E137+$E143-1)),Вводные!$D$30,Вводные!$E$30))</f>
        <v>2.1999999999999999E-2</v>
      </c>
      <c r="EG143" s="120">
        <f>IF(EG134&lt;$E137,0,IF(AND(EG134&gt;=$E137,EG134&lt;=($E137+$E143-1)),Вводные!$D$30,Вводные!$E$30))</f>
        <v>2.1999999999999999E-2</v>
      </c>
      <c r="EH143" s="120">
        <f>IF(EH134&lt;$E137,0,IF(AND(EH134&gt;=$E137,EH134&lt;=($E137+$E143-1)),Вводные!$D$30,Вводные!$E$30))</f>
        <v>2.1999999999999999E-2</v>
      </c>
      <c r="EI143" s="120">
        <f>IF(EI134&lt;$E137,0,IF(AND(EI134&gt;=$E137,EI134&lt;=($E137+$E143-1)),Вводные!$D$30,Вводные!$E$30))</f>
        <v>2.1999999999999999E-2</v>
      </c>
      <c r="EJ143" s="120">
        <f>IF(EJ134&lt;$E137,0,IF(AND(EJ134&gt;=$E137,EJ134&lt;=($E137+$E143-1)),Вводные!$D$30,Вводные!$E$30))</f>
        <v>2.1999999999999999E-2</v>
      </c>
      <c r="EK143" s="120">
        <f>IF(EK134&lt;$E137,0,IF(AND(EK134&gt;=$E137,EK134&lt;=($E137+$E143-1)),Вводные!$D$30,Вводные!$E$30))</f>
        <v>2.1999999999999999E-2</v>
      </c>
      <c r="EL143" s="120">
        <f>IF(EL134&lt;$E137,0,IF(AND(EL134&gt;=$E137,EL134&lt;=($E137+$E143-1)),Вводные!$D$30,Вводные!$E$30))</f>
        <v>2.1999999999999999E-2</v>
      </c>
      <c r="EM143" s="120">
        <f>IF(EM134&lt;$E137,0,IF(AND(EM134&gt;=$E137,EM134&lt;=($E137+$E143-1)),Вводные!$D$30,Вводные!$E$30))</f>
        <v>2.1999999999999999E-2</v>
      </c>
      <c r="EN143" s="120">
        <f>IF(EN134&lt;$E137,0,IF(AND(EN134&gt;=$E137,EN134&lt;=($E137+$E143-1)),Вводные!$D$30,Вводные!$E$30))</f>
        <v>2.1999999999999999E-2</v>
      </c>
    </row>
    <row r="144" spans="2:144" outlineLevel="1">
      <c r="C144" s="151" t="s">
        <v>22</v>
      </c>
      <c r="D144" s="44"/>
      <c r="E144" s="469"/>
      <c r="F144" s="44"/>
      <c r="G144" s="44"/>
      <c r="H144" s="44">
        <f t="shared" ref="H144:AM144" si="289">H143*H142/4</f>
        <v>0</v>
      </c>
      <c r="I144" s="44">
        <f t="shared" si="289"/>
        <v>0</v>
      </c>
      <c r="J144" s="44">
        <f t="shared" si="289"/>
        <v>0</v>
      </c>
      <c r="K144" s="44">
        <f t="shared" si="289"/>
        <v>0</v>
      </c>
      <c r="L144" s="44">
        <f t="shared" si="289"/>
        <v>0</v>
      </c>
      <c r="M144" s="44">
        <f t="shared" si="289"/>
        <v>0</v>
      </c>
      <c r="N144" s="44">
        <f t="shared" si="289"/>
        <v>0</v>
      </c>
      <c r="O144" s="44">
        <f t="shared" si="289"/>
        <v>0</v>
      </c>
      <c r="P144" s="44">
        <f t="shared" si="289"/>
        <v>0</v>
      </c>
      <c r="Q144" s="44">
        <f t="shared" si="289"/>
        <v>0</v>
      </c>
      <c r="R144" s="44">
        <f t="shared" si="289"/>
        <v>0</v>
      </c>
      <c r="S144" s="44">
        <f t="shared" si="289"/>
        <v>0</v>
      </c>
      <c r="T144" s="44">
        <f t="shared" si="289"/>
        <v>0</v>
      </c>
      <c r="U144" s="44">
        <f t="shared" si="289"/>
        <v>0</v>
      </c>
      <c r="V144" s="44">
        <f t="shared" si="289"/>
        <v>0</v>
      </c>
      <c r="W144" s="44">
        <f t="shared" si="289"/>
        <v>0</v>
      </c>
      <c r="X144" s="44">
        <f t="shared" si="289"/>
        <v>0</v>
      </c>
      <c r="Y144" s="44">
        <f t="shared" si="289"/>
        <v>0</v>
      </c>
      <c r="Z144" s="44">
        <f t="shared" si="289"/>
        <v>0</v>
      </c>
      <c r="AA144" s="44">
        <f t="shared" si="289"/>
        <v>0</v>
      </c>
      <c r="AB144" s="44">
        <f t="shared" si="289"/>
        <v>0</v>
      </c>
      <c r="AC144" s="44">
        <f t="shared" si="289"/>
        <v>0</v>
      </c>
      <c r="AD144" s="44">
        <f t="shared" si="289"/>
        <v>0</v>
      </c>
      <c r="AE144" s="44">
        <f t="shared" si="289"/>
        <v>0</v>
      </c>
      <c r="AF144" s="44">
        <f t="shared" si="289"/>
        <v>0</v>
      </c>
      <c r="AG144" s="44">
        <f t="shared" si="289"/>
        <v>0</v>
      </c>
      <c r="AH144" s="44">
        <f t="shared" si="289"/>
        <v>0</v>
      </c>
      <c r="AI144" s="44">
        <f t="shared" si="289"/>
        <v>0</v>
      </c>
      <c r="AJ144" s="44">
        <f t="shared" si="289"/>
        <v>0</v>
      </c>
      <c r="AK144" s="44">
        <f t="shared" si="289"/>
        <v>0</v>
      </c>
      <c r="AL144" s="44">
        <f t="shared" si="289"/>
        <v>0</v>
      </c>
      <c r="AM144" s="44">
        <f t="shared" si="289"/>
        <v>0</v>
      </c>
      <c r="AN144" s="44">
        <f t="shared" ref="AN144:BS144" si="290">AN143*AN142/4</f>
        <v>0</v>
      </c>
      <c r="AO144" s="44">
        <f t="shared" si="290"/>
        <v>0</v>
      </c>
      <c r="AP144" s="44">
        <f t="shared" si="290"/>
        <v>0</v>
      </c>
      <c r="AQ144" s="44">
        <f t="shared" si="290"/>
        <v>0</v>
      </c>
      <c r="AR144" s="44">
        <f t="shared" si="290"/>
        <v>0</v>
      </c>
      <c r="AS144" s="44">
        <f t="shared" si="290"/>
        <v>0</v>
      </c>
      <c r="AT144" s="44">
        <f t="shared" si="290"/>
        <v>0</v>
      </c>
      <c r="AU144" s="44">
        <f t="shared" si="290"/>
        <v>0</v>
      </c>
      <c r="AV144" s="44">
        <f t="shared" si="290"/>
        <v>0</v>
      </c>
      <c r="AW144" s="44">
        <f t="shared" si="290"/>
        <v>0</v>
      </c>
      <c r="AX144" s="44">
        <f t="shared" si="290"/>
        <v>0</v>
      </c>
      <c r="AY144" s="44">
        <f t="shared" si="290"/>
        <v>0</v>
      </c>
      <c r="AZ144" s="44">
        <f t="shared" si="290"/>
        <v>0</v>
      </c>
      <c r="BA144" s="44">
        <f t="shared" si="290"/>
        <v>0</v>
      </c>
      <c r="BB144" s="44">
        <f t="shared" si="290"/>
        <v>0</v>
      </c>
      <c r="BC144" s="44">
        <f t="shared" si="290"/>
        <v>0</v>
      </c>
      <c r="BD144" s="44">
        <f t="shared" si="290"/>
        <v>0</v>
      </c>
      <c r="BE144" s="44">
        <f t="shared" si="290"/>
        <v>0</v>
      </c>
      <c r="BF144" s="44">
        <f t="shared" si="290"/>
        <v>0</v>
      </c>
      <c r="BG144" s="44">
        <f t="shared" si="290"/>
        <v>0</v>
      </c>
      <c r="BH144" s="44">
        <f t="shared" si="290"/>
        <v>52477.757419112393</v>
      </c>
      <c r="BI144" s="44">
        <f t="shared" si="290"/>
        <v>51833.858555074199</v>
      </c>
      <c r="BJ144" s="44">
        <f t="shared" si="290"/>
        <v>51189.959691036027</v>
      </c>
      <c r="BK144" s="44">
        <f t="shared" si="290"/>
        <v>50546.060826997833</v>
      </c>
      <c r="BL144" s="44">
        <f t="shared" si="290"/>
        <v>49902.161962959661</v>
      </c>
      <c r="BM144" s="44">
        <f t="shared" si="290"/>
        <v>49258.263098921467</v>
      </c>
      <c r="BN144" s="44">
        <f t="shared" si="290"/>
        <v>48614.364234883295</v>
      </c>
      <c r="BO144" s="44">
        <f t="shared" si="290"/>
        <v>47970.465370845101</v>
      </c>
      <c r="BP144" s="44">
        <f t="shared" si="290"/>
        <v>47326.566506806928</v>
      </c>
      <c r="BQ144" s="44">
        <f t="shared" si="290"/>
        <v>46682.667642768734</v>
      </c>
      <c r="BR144" s="44">
        <f t="shared" si="290"/>
        <v>46038.768778730555</v>
      </c>
      <c r="BS144" s="44">
        <f t="shared" si="290"/>
        <v>45394.869914692368</v>
      </c>
      <c r="BT144" s="44">
        <f t="shared" ref="BT144:CY144" si="291">BT143*BT142/4</f>
        <v>44750.971050654174</v>
      </c>
      <c r="BU144" s="44">
        <f t="shared" si="291"/>
        <v>44107.072186615995</v>
      </c>
      <c r="BV144" s="44">
        <f t="shared" si="291"/>
        <v>43463.173322577801</v>
      </c>
      <c r="BW144" s="44">
        <f t="shared" si="291"/>
        <v>42819.274458539614</v>
      </c>
      <c r="BX144" s="44">
        <f t="shared" si="291"/>
        <v>42175.37559450142</v>
      </c>
      <c r="BY144" s="44">
        <f t="shared" si="291"/>
        <v>41531.476730463241</v>
      </c>
      <c r="BZ144" s="44">
        <f t="shared" si="291"/>
        <v>40887.577866425047</v>
      </c>
      <c r="CA144" s="44">
        <f t="shared" si="291"/>
        <v>40243.67900238686</v>
      </c>
      <c r="CB144" s="44">
        <f t="shared" si="291"/>
        <v>39599.780138348666</v>
      </c>
      <c r="CC144" s="44">
        <f t="shared" si="291"/>
        <v>38955.881274310486</v>
      </c>
      <c r="CD144" s="44">
        <f t="shared" si="291"/>
        <v>38311.982410272292</v>
      </c>
      <c r="CE144" s="44">
        <f t="shared" si="291"/>
        <v>37668.083546234106</v>
      </c>
      <c r="CF144" s="44">
        <f t="shared" si="291"/>
        <v>37024.184682195912</v>
      </c>
      <c r="CG144" s="44">
        <f t="shared" si="291"/>
        <v>36380.285818157732</v>
      </c>
      <c r="CH144" s="44">
        <f t="shared" si="291"/>
        <v>35736.386954119538</v>
      </c>
      <c r="CI144" s="44">
        <f t="shared" si="291"/>
        <v>35092.488090081351</v>
      </c>
      <c r="CJ144" s="44">
        <f t="shared" si="291"/>
        <v>34448.589226043157</v>
      </c>
      <c r="CK144" s="44">
        <f t="shared" si="291"/>
        <v>33804.690362004978</v>
      </c>
      <c r="CL144" s="44">
        <f t="shared" si="291"/>
        <v>33160.791497966784</v>
      </c>
      <c r="CM144" s="44">
        <f t="shared" si="291"/>
        <v>32516.892633928601</v>
      </c>
      <c r="CN144" s="44">
        <f t="shared" si="291"/>
        <v>31872.993769890407</v>
      </c>
      <c r="CO144" s="44">
        <f t="shared" si="291"/>
        <v>31229.094905852224</v>
      </c>
      <c r="CP144" s="44">
        <f t="shared" si="291"/>
        <v>30585.19604181403</v>
      </c>
      <c r="CQ144" s="44">
        <f t="shared" si="291"/>
        <v>29941.297177775847</v>
      </c>
      <c r="CR144" s="44">
        <f t="shared" si="291"/>
        <v>29297.398313737653</v>
      </c>
      <c r="CS144" s="44">
        <f t="shared" si="291"/>
        <v>28653.49944969947</v>
      </c>
      <c r="CT144" s="44">
        <f t="shared" si="291"/>
        <v>28009.600585661276</v>
      </c>
      <c r="CU144" s="44">
        <f t="shared" si="291"/>
        <v>27365.701721623092</v>
      </c>
      <c r="CV144" s="44">
        <f t="shared" si="291"/>
        <v>26721.802857584898</v>
      </c>
      <c r="CW144" s="44">
        <f t="shared" si="291"/>
        <v>26077.903993546715</v>
      </c>
      <c r="CX144" s="44">
        <f t="shared" si="291"/>
        <v>25434.005129508521</v>
      </c>
      <c r="CY144" s="44">
        <f t="shared" si="291"/>
        <v>24790.106265470338</v>
      </c>
      <c r="CZ144" s="44">
        <f t="shared" ref="CZ144:EE144" si="292">CZ143*CZ142/4</f>
        <v>24146.207401432144</v>
      </c>
      <c r="DA144" s="44">
        <f t="shared" si="292"/>
        <v>23502.308537393961</v>
      </c>
      <c r="DB144" s="44">
        <f t="shared" si="292"/>
        <v>22858.409673355774</v>
      </c>
      <c r="DC144" s="44">
        <f t="shared" si="292"/>
        <v>22214.510809317584</v>
      </c>
      <c r="DD144" s="44">
        <f t="shared" si="292"/>
        <v>21570.611945279401</v>
      </c>
      <c r="DE144" s="44">
        <f t="shared" si="292"/>
        <v>20926.713081241214</v>
      </c>
      <c r="DF144" s="44">
        <f t="shared" si="292"/>
        <v>20282.814217203031</v>
      </c>
      <c r="DG144" s="44">
        <f t="shared" si="292"/>
        <v>19638.915353164841</v>
      </c>
      <c r="DH144" s="44">
        <f t="shared" si="292"/>
        <v>18995.016489126658</v>
      </c>
      <c r="DI144" s="44">
        <f t="shared" si="292"/>
        <v>18351.117625088471</v>
      </c>
      <c r="DJ144" s="44">
        <f t="shared" si="292"/>
        <v>17707.218761050288</v>
      </c>
      <c r="DK144" s="44">
        <f t="shared" si="292"/>
        <v>17063.319897012097</v>
      </c>
      <c r="DL144" s="44">
        <f t="shared" si="292"/>
        <v>16419.421032973914</v>
      </c>
      <c r="DM144" s="44">
        <f t="shared" si="292"/>
        <v>15775.522168935728</v>
      </c>
      <c r="DN144" s="44">
        <f t="shared" si="292"/>
        <v>15131.623304897543</v>
      </c>
      <c r="DO144" s="44">
        <f t="shared" si="292"/>
        <v>14487.724440859354</v>
      </c>
      <c r="DP144" s="44">
        <f t="shared" si="292"/>
        <v>13843.825576821171</v>
      </c>
      <c r="DQ144" s="44">
        <f t="shared" si="292"/>
        <v>13199.926712782983</v>
      </c>
      <c r="DR144" s="44">
        <f t="shared" si="292"/>
        <v>12556.027848744799</v>
      </c>
      <c r="DS144" s="44">
        <f t="shared" si="292"/>
        <v>11912.128984706611</v>
      </c>
      <c r="DT144" s="44">
        <f t="shared" si="292"/>
        <v>11268.230120668426</v>
      </c>
      <c r="DU144" s="44">
        <f t="shared" si="292"/>
        <v>10624.331256630239</v>
      </c>
      <c r="DV144" s="44">
        <f t="shared" si="292"/>
        <v>9980.4323925920507</v>
      </c>
      <c r="DW144" s="44">
        <f t="shared" si="292"/>
        <v>9336.5335285538658</v>
      </c>
      <c r="DX144" s="44">
        <f t="shared" si="292"/>
        <v>8692.6346645156773</v>
      </c>
      <c r="DY144" s="44">
        <f t="shared" si="292"/>
        <v>8048.7358004774915</v>
      </c>
      <c r="DZ144" s="44">
        <f t="shared" si="292"/>
        <v>7404.8369364393029</v>
      </c>
      <c r="EA144" s="44">
        <f t="shared" si="292"/>
        <v>6760.9380724011171</v>
      </c>
      <c r="EB144" s="44">
        <f t="shared" si="292"/>
        <v>6117.0392083629285</v>
      </c>
      <c r="EC144" s="44">
        <f t="shared" si="292"/>
        <v>5473.1403443247418</v>
      </c>
      <c r="ED144" s="44">
        <f t="shared" si="292"/>
        <v>4829.2414802865551</v>
      </c>
      <c r="EE144" s="44">
        <f t="shared" si="292"/>
        <v>4185.3426162483674</v>
      </c>
      <c r="EF144" s="44">
        <f t="shared" ref="EF144:EN144" si="293">EF143*EF142/4</f>
        <v>3541.4437522101803</v>
      </c>
      <c r="EG144" s="44">
        <f t="shared" si="293"/>
        <v>2897.5448881719935</v>
      </c>
      <c r="EH144" s="44">
        <f t="shared" si="293"/>
        <v>2253.6460241338063</v>
      </c>
      <c r="EI144" s="44">
        <f t="shared" si="293"/>
        <v>1609.7471600956189</v>
      </c>
      <c r="EJ144" s="44">
        <f t="shared" si="293"/>
        <v>965.84829605743187</v>
      </c>
      <c r="EK144" s="44">
        <f t="shared" si="293"/>
        <v>321.9494320192448</v>
      </c>
      <c r="EL144" s="44">
        <f t="shared" si="293"/>
        <v>1.5126715879887342E-10</v>
      </c>
      <c r="EM144" s="44">
        <f t="shared" si="293"/>
        <v>1.5126715879887342E-10</v>
      </c>
      <c r="EN144" s="44">
        <f t="shared" si="293"/>
        <v>1.5126715879887342E-10</v>
      </c>
    </row>
    <row r="145" spans="2:144" ht="15.75">
      <c r="B145" s="40"/>
      <c r="C145" s="22"/>
      <c r="E145" s="40"/>
      <c r="F145" s="40"/>
      <c r="G145" s="40"/>
      <c r="H145" s="463">
        <f t="shared" ref="H145:BD145" si="294">YEAR(H147)</f>
        <v>2022</v>
      </c>
      <c r="I145" s="463">
        <f t="shared" si="294"/>
        <v>2022</v>
      </c>
      <c r="J145" s="463">
        <f t="shared" si="294"/>
        <v>2022</v>
      </c>
      <c r="K145" s="463">
        <f t="shared" si="294"/>
        <v>2022</v>
      </c>
      <c r="L145" s="463">
        <f t="shared" si="294"/>
        <v>2023</v>
      </c>
      <c r="M145" s="463">
        <f t="shared" si="294"/>
        <v>2023</v>
      </c>
      <c r="N145" s="463">
        <f t="shared" si="294"/>
        <v>2023</v>
      </c>
      <c r="O145" s="463">
        <f t="shared" si="294"/>
        <v>2023</v>
      </c>
      <c r="P145" s="463">
        <f t="shared" si="294"/>
        <v>2024</v>
      </c>
      <c r="Q145" s="463">
        <f t="shared" si="294"/>
        <v>2024</v>
      </c>
      <c r="R145" s="463">
        <f t="shared" si="294"/>
        <v>2024</v>
      </c>
      <c r="S145" s="463">
        <f t="shared" si="294"/>
        <v>2024</v>
      </c>
      <c r="T145" s="463">
        <f t="shared" si="294"/>
        <v>2025</v>
      </c>
      <c r="U145" s="463">
        <f t="shared" si="294"/>
        <v>2025</v>
      </c>
      <c r="V145" s="463">
        <f t="shared" si="294"/>
        <v>2025</v>
      </c>
      <c r="W145" s="463">
        <f t="shared" si="294"/>
        <v>2025</v>
      </c>
      <c r="X145" s="463">
        <f t="shared" si="294"/>
        <v>2026</v>
      </c>
      <c r="Y145" s="463">
        <f t="shared" si="294"/>
        <v>2026</v>
      </c>
      <c r="Z145" s="463">
        <f t="shared" si="294"/>
        <v>2026</v>
      </c>
      <c r="AA145" s="463">
        <f t="shared" si="294"/>
        <v>2026</v>
      </c>
      <c r="AB145" s="463">
        <f t="shared" si="294"/>
        <v>2027</v>
      </c>
      <c r="AC145" s="463">
        <f t="shared" si="294"/>
        <v>2027</v>
      </c>
      <c r="AD145" s="463">
        <f t="shared" si="294"/>
        <v>2027</v>
      </c>
      <c r="AE145" s="463">
        <f t="shared" si="294"/>
        <v>2027</v>
      </c>
      <c r="AF145" s="463">
        <f t="shared" si="294"/>
        <v>2028</v>
      </c>
      <c r="AG145" s="463">
        <f t="shared" si="294"/>
        <v>2028</v>
      </c>
      <c r="AH145" s="463">
        <f t="shared" si="294"/>
        <v>2028</v>
      </c>
      <c r="AI145" s="463">
        <f t="shared" si="294"/>
        <v>2028</v>
      </c>
      <c r="AJ145" s="463">
        <f t="shared" si="294"/>
        <v>2029</v>
      </c>
      <c r="AK145" s="463">
        <f t="shared" si="294"/>
        <v>2029</v>
      </c>
      <c r="AL145" s="463">
        <f t="shared" si="294"/>
        <v>2029</v>
      </c>
      <c r="AM145" s="463">
        <f t="shared" si="294"/>
        <v>2029</v>
      </c>
      <c r="AN145" s="463">
        <f t="shared" si="294"/>
        <v>2030</v>
      </c>
      <c r="AO145" s="463">
        <f t="shared" si="294"/>
        <v>2030</v>
      </c>
      <c r="AP145" s="463">
        <f t="shared" si="294"/>
        <v>2030</v>
      </c>
      <c r="AQ145" s="463">
        <f t="shared" si="294"/>
        <v>2030</v>
      </c>
      <c r="AR145" s="463">
        <f t="shared" si="294"/>
        <v>2031</v>
      </c>
      <c r="AS145" s="463">
        <f t="shared" si="294"/>
        <v>2031</v>
      </c>
      <c r="AT145" s="463">
        <f t="shared" si="294"/>
        <v>2031</v>
      </c>
      <c r="AU145" s="463">
        <f t="shared" si="294"/>
        <v>2031</v>
      </c>
      <c r="AV145" s="463">
        <f t="shared" si="294"/>
        <v>2032</v>
      </c>
      <c r="AW145" s="463">
        <f t="shared" si="294"/>
        <v>2032</v>
      </c>
      <c r="AX145" s="463">
        <f t="shared" si="294"/>
        <v>2032</v>
      </c>
      <c r="AY145" s="463">
        <f t="shared" si="294"/>
        <v>2032</v>
      </c>
      <c r="AZ145" s="463">
        <f t="shared" si="294"/>
        <v>2033</v>
      </c>
      <c r="BA145" s="463">
        <f t="shared" si="294"/>
        <v>2033</v>
      </c>
      <c r="BB145" s="463">
        <f t="shared" si="294"/>
        <v>2033</v>
      </c>
      <c r="BC145" s="463">
        <f t="shared" si="294"/>
        <v>2033</v>
      </c>
      <c r="BD145" s="463">
        <f t="shared" si="294"/>
        <v>2034</v>
      </c>
      <c r="BE145" s="463">
        <f>YEAR(BE147)</f>
        <v>2034</v>
      </c>
      <c r="BF145" s="463">
        <f>YEAR(BF147)</f>
        <v>2034</v>
      </c>
      <c r="BG145" s="463">
        <f t="shared" ref="BG145:DR145" si="295">YEAR(BG147)</f>
        <v>2034</v>
      </c>
      <c r="BH145" s="463">
        <f t="shared" si="295"/>
        <v>2035</v>
      </c>
      <c r="BI145" s="463">
        <f t="shared" si="295"/>
        <v>2035</v>
      </c>
      <c r="BJ145" s="463">
        <f t="shared" si="295"/>
        <v>2035</v>
      </c>
      <c r="BK145" s="463">
        <f t="shared" si="295"/>
        <v>2035</v>
      </c>
      <c r="BL145" s="463">
        <f t="shared" si="295"/>
        <v>2036</v>
      </c>
      <c r="BM145" s="463">
        <f t="shared" si="295"/>
        <v>2036</v>
      </c>
      <c r="BN145" s="463">
        <f t="shared" si="295"/>
        <v>2036</v>
      </c>
      <c r="BO145" s="463">
        <f t="shared" si="295"/>
        <v>2036</v>
      </c>
      <c r="BP145" s="463">
        <f t="shared" si="295"/>
        <v>2037</v>
      </c>
      <c r="BQ145" s="463">
        <f t="shared" si="295"/>
        <v>2037</v>
      </c>
      <c r="BR145" s="463">
        <f t="shared" si="295"/>
        <v>2037</v>
      </c>
      <c r="BS145" s="463">
        <f t="shared" si="295"/>
        <v>2037</v>
      </c>
      <c r="BT145" s="463">
        <f t="shared" si="295"/>
        <v>2038</v>
      </c>
      <c r="BU145" s="463">
        <f t="shared" si="295"/>
        <v>2038</v>
      </c>
      <c r="BV145" s="463">
        <f t="shared" si="295"/>
        <v>2038</v>
      </c>
      <c r="BW145" s="463">
        <f t="shared" si="295"/>
        <v>2038</v>
      </c>
      <c r="BX145" s="463">
        <f t="shared" si="295"/>
        <v>2039</v>
      </c>
      <c r="BY145" s="463">
        <f t="shared" si="295"/>
        <v>2039</v>
      </c>
      <c r="BZ145" s="463">
        <f t="shared" si="295"/>
        <v>2039</v>
      </c>
      <c r="CA145" s="463">
        <f t="shared" si="295"/>
        <v>2039</v>
      </c>
      <c r="CB145" s="463">
        <f t="shared" si="295"/>
        <v>2040</v>
      </c>
      <c r="CC145" s="463">
        <f t="shared" si="295"/>
        <v>2040</v>
      </c>
      <c r="CD145" s="463">
        <f t="shared" si="295"/>
        <v>2040</v>
      </c>
      <c r="CE145" s="463">
        <f t="shared" si="295"/>
        <v>2040</v>
      </c>
      <c r="CF145" s="463">
        <f t="shared" si="295"/>
        <v>2041</v>
      </c>
      <c r="CG145" s="463">
        <f t="shared" si="295"/>
        <v>2041</v>
      </c>
      <c r="CH145" s="463">
        <f t="shared" si="295"/>
        <v>2041</v>
      </c>
      <c r="CI145" s="463">
        <f t="shared" si="295"/>
        <v>2041</v>
      </c>
      <c r="CJ145" s="463">
        <f t="shared" si="295"/>
        <v>2042</v>
      </c>
      <c r="CK145" s="463">
        <f t="shared" si="295"/>
        <v>2042</v>
      </c>
      <c r="CL145" s="463">
        <f t="shared" si="295"/>
        <v>2042</v>
      </c>
      <c r="CM145" s="463">
        <f t="shared" si="295"/>
        <v>2042</v>
      </c>
      <c r="CN145" s="463">
        <f t="shared" si="295"/>
        <v>2043</v>
      </c>
      <c r="CO145" s="463">
        <f t="shared" si="295"/>
        <v>2043</v>
      </c>
      <c r="CP145" s="463">
        <f t="shared" si="295"/>
        <v>2043</v>
      </c>
      <c r="CQ145" s="463">
        <f t="shared" si="295"/>
        <v>2043</v>
      </c>
      <c r="CR145" s="463">
        <f t="shared" si="295"/>
        <v>2044</v>
      </c>
      <c r="CS145" s="463">
        <f t="shared" si="295"/>
        <v>2044</v>
      </c>
      <c r="CT145" s="463">
        <f t="shared" si="295"/>
        <v>2044</v>
      </c>
      <c r="CU145" s="463">
        <f t="shared" si="295"/>
        <v>2044</v>
      </c>
      <c r="CV145" s="463">
        <f t="shared" si="295"/>
        <v>2045</v>
      </c>
      <c r="CW145" s="463">
        <f t="shared" si="295"/>
        <v>2045</v>
      </c>
      <c r="CX145" s="463">
        <f t="shared" si="295"/>
        <v>2045</v>
      </c>
      <c r="CY145" s="463">
        <f t="shared" si="295"/>
        <v>2045</v>
      </c>
      <c r="CZ145" s="463">
        <f t="shared" si="295"/>
        <v>2046</v>
      </c>
      <c r="DA145" s="463">
        <f t="shared" si="295"/>
        <v>2046</v>
      </c>
      <c r="DB145" s="463">
        <f t="shared" si="295"/>
        <v>2046</v>
      </c>
      <c r="DC145" s="463">
        <f t="shared" si="295"/>
        <v>2046</v>
      </c>
      <c r="DD145" s="463">
        <f t="shared" si="295"/>
        <v>2047</v>
      </c>
      <c r="DE145" s="463">
        <f t="shared" si="295"/>
        <v>2047</v>
      </c>
      <c r="DF145" s="463">
        <f t="shared" si="295"/>
        <v>2047</v>
      </c>
      <c r="DG145" s="463">
        <f t="shared" si="295"/>
        <v>2047</v>
      </c>
      <c r="DH145" s="463">
        <f t="shared" si="295"/>
        <v>2048</v>
      </c>
      <c r="DI145" s="463">
        <f t="shared" si="295"/>
        <v>2048</v>
      </c>
      <c r="DJ145" s="463">
        <f t="shared" si="295"/>
        <v>2048</v>
      </c>
      <c r="DK145" s="463">
        <f t="shared" si="295"/>
        <v>2048</v>
      </c>
      <c r="DL145" s="463">
        <f t="shared" si="295"/>
        <v>2049</v>
      </c>
      <c r="DM145" s="463">
        <f t="shared" si="295"/>
        <v>2049</v>
      </c>
      <c r="DN145" s="463">
        <f t="shared" si="295"/>
        <v>2049</v>
      </c>
      <c r="DO145" s="463">
        <f t="shared" si="295"/>
        <v>2049</v>
      </c>
      <c r="DP145" s="463">
        <f t="shared" si="295"/>
        <v>2050</v>
      </c>
      <c r="DQ145" s="463">
        <f t="shared" si="295"/>
        <v>2050</v>
      </c>
      <c r="DR145" s="463">
        <f t="shared" si="295"/>
        <v>2050</v>
      </c>
      <c r="DS145" s="463">
        <f t="shared" ref="DS145:EN145" si="296">YEAR(DS147)</f>
        <v>2050</v>
      </c>
      <c r="DT145" s="463">
        <f t="shared" si="296"/>
        <v>2051</v>
      </c>
      <c r="DU145" s="463">
        <f t="shared" si="296"/>
        <v>2051</v>
      </c>
      <c r="DV145" s="463">
        <f t="shared" si="296"/>
        <v>2051</v>
      </c>
      <c r="DW145" s="463">
        <f t="shared" si="296"/>
        <v>2051</v>
      </c>
      <c r="DX145" s="463">
        <f t="shared" si="296"/>
        <v>2052</v>
      </c>
      <c r="DY145" s="463">
        <f t="shared" si="296"/>
        <v>2052</v>
      </c>
      <c r="DZ145" s="463">
        <f t="shared" si="296"/>
        <v>2052</v>
      </c>
      <c r="EA145" s="463">
        <f t="shared" si="296"/>
        <v>2052</v>
      </c>
      <c r="EB145" s="463">
        <f t="shared" si="296"/>
        <v>2053</v>
      </c>
      <c r="EC145" s="463">
        <f t="shared" si="296"/>
        <v>2053</v>
      </c>
      <c r="ED145" s="463">
        <f t="shared" si="296"/>
        <v>2053</v>
      </c>
      <c r="EE145" s="463">
        <f t="shared" si="296"/>
        <v>2053</v>
      </c>
      <c r="EF145" s="463">
        <f t="shared" si="296"/>
        <v>2054</v>
      </c>
      <c r="EG145" s="463">
        <f t="shared" si="296"/>
        <v>2054</v>
      </c>
      <c r="EH145" s="463">
        <f t="shared" si="296"/>
        <v>2054</v>
      </c>
      <c r="EI145" s="463">
        <f t="shared" si="296"/>
        <v>2054</v>
      </c>
      <c r="EJ145" s="463">
        <f t="shared" si="296"/>
        <v>2055</v>
      </c>
      <c r="EK145" s="463">
        <f t="shared" si="296"/>
        <v>2055</v>
      </c>
      <c r="EL145" s="463">
        <f t="shared" si="296"/>
        <v>2055</v>
      </c>
      <c r="EM145" s="463">
        <f t="shared" si="296"/>
        <v>2055</v>
      </c>
      <c r="EN145" s="463">
        <f t="shared" si="296"/>
        <v>2056</v>
      </c>
    </row>
    <row r="146" spans="2:144" ht="15.75">
      <c r="B146" s="40"/>
      <c r="C146" s="22"/>
      <c r="E146" s="40"/>
      <c r="F146" s="40"/>
      <c r="G146" s="40"/>
      <c r="H146" s="464">
        <f t="shared" ref="H146:AM146" si="297">H135</f>
        <v>44593</v>
      </c>
      <c r="I146" s="464">
        <f t="shared" si="297"/>
        <v>44652</v>
      </c>
      <c r="J146" s="464">
        <f t="shared" si="297"/>
        <v>44743</v>
      </c>
      <c r="K146" s="464">
        <f t="shared" si="297"/>
        <v>44835</v>
      </c>
      <c r="L146" s="464">
        <f t="shared" si="297"/>
        <v>44927</v>
      </c>
      <c r="M146" s="464">
        <f t="shared" si="297"/>
        <v>45017</v>
      </c>
      <c r="N146" s="464">
        <f t="shared" si="297"/>
        <v>45108</v>
      </c>
      <c r="O146" s="464">
        <f t="shared" si="297"/>
        <v>45200</v>
      </c>
      <c r="P146" s="464">
        <f t="shared" si="297"/>
        <v>45292</v>
      </c>
      <c r="Q146" s="464">
        <f t="shared" si="297"/>
        <v>45383</v>
      </c>
      <c r="R146" s="464">
        <f t="shared" si="297"/>
        <v>45474</v>
      </c>
      <c r="S146" s="464">
        <f t="shared" si="297"/>
        <v>45566</v>
      </c>
      <c r="T146" s="464">
        <f t="shared" si="297"/>
        <v>45658</v>
      </c>
      <c r="U146" s="464">
        <f t="shared" si="297"/>
        <v>45748</v>
      </c>
      <c r="V146" s="464">
        <f t="shared" si="297"/>
        <v>45839</v>
      </c>
      <c r="W146" s="464">
        <f t="shared" si="297"/>
        <v>45931</v>
      </c>
      <c r="X146" s="464">
        <f t="shared" si="297"/>
        <v>46023</v>
      </c>
      <c r="Y146" s="464">
        <f t="shared" si="297"/>
        <v>46113</v>
      </c>
      <c r="Z146" s="464">
        <f t="shared" si="297"/>
        <v>46204</v>
      </c>
      <c r="AA146" s="464">
        <f t="shared" si="297"/>
        <v>46296</v>
      </c>
      <c r="AB146" s="464">
        <f t="shared" si="297"/>
        <v>46388</v>
      </c>
      <c r="AC146" s="464">
        <f t="shared" si="297"/>
        <v>46478</v>
      </c>
      <c r="AD146" s="464">
        <f t="shared" si="297"/>
        <v>46569</v>
      </c>
      <c r="AE146" s="464">
        <f t="shared" si="297"/>
        <v>46661</v>
      </c>
      <c r="AF146" s="464">
        <f t="shared" si="297"/>
        <v>46753</v>
      </c>
      <c r="AG146" s="464">
        <f t="shared" si="297"/>
        <v>46844</v>
      </c>
      <c r="AH146" s="464">
        <f t="shared" si="297"/>
        <v>46935</v>
      </c>
      <c r="AI146" s="464">
        <f t="shared" si="297"/>
        <v>47027</v>
      </c>
      <c r="AJ146" s="464">
        <f t="shared" si="297"/>
        <v>47119</v>
      </c>
      <c r="AK146" s="464">
        <f t="shared" si="297"/>
        <v>47209</v>
      </c>
      <c r="AL146" s="464">
        <f t="shared" si="297"/>
        <v>47300</v>
      </c>
      <c r="AM146" s="464">
        <f t="shared" si="297"/>
        <v>47392</v>
      </c>
      <c r="AN146" s="464">
        <f t="shared" ref="AN146:BS146" si="298">AN135</f>
        <v>47484</v>
      </c>
      <c r="AO146" s="464">
        <f t="shared" si="298"/>
        <v>47574</v>
      </c>
      <c r="AP146" s="464">
        <f t="shared" si="298"/>
        <v>47665</v>
      </c>
      <c r="AQ146" s="464">
        <f t="shared" si="298"/>
        <v>47757</v>
      </c>
      <c r="AR146" s="464">
        <f t="shared" si="298"/>
        <v>47849</v>
      </c>
      <c r="AS146" s="464">
        <f t="shared" si="298"/>
        <v>47939</v>
      </c>
      <c r="AT146" s="464">
        <f t="shared" si="298"/>
        <v>48030</v>
      </c>
      <c r="AU146" s="464">
        <f t="shared" si="298"/>
        <v>48122</v>
      </c>
      <c r="AV146" s="464">
        <f t="shared" si="298"/>
        <v>48214</v>
      </c>
      <c r="AW146" s="464">
        <f t="shared" si="298"/>
        <v>48305</v>
      </c>
      <c r="AX146" s="464">
        <f t="shared" si="298"/>
        <v>48396</v>
      </c>
      <c r="AY146" s="464">
        <f t="shared" si="298"/>
        <v>48488</v>
      </c>
      <c r="AZ146" s="464">
        <f t="shared" si="298"/>
        <v>48580</v>
      </c>
      <c r="BA146" s="464">
        <f t="shared" si="298"/>
        <v>48670</v>
      </c>
      <c r="BB146" s="464">
        <f t="shared" si="298"/>
        <v>48761</v>
      </c>
      <c r="BC146" s="464">
        <f t="shared" si="298"/>
        <v>48853</v>
      </c>
      <c r="BD146" s="464">
        <f t="shared" si="298"/>
        <v>48945</v>
      </c>
      <c r="BE146" s="464">
        <f t="shared" si="298"/>
        <v>49035</v>
      </c>
      <c r="BF146" s="464">
        <f t="shared" si="298"/>
        <v>49126</v>
      </c>
      <c r="BG146" s="464">
        <f t="shared" si="298"/>
        <v>49218</v>
      </c>
      <c r="BH146" s="464">
        <f t="shared" si="298"/>
        <v>49310</v>
      </c>
      <c r="BI146" s="464">
        <f t="shared" si="298"/>
        <v>49400</v>
      </c>
      <c r="BJ146" s="464">
        <f t="shared" si="298"/>
        <v>49491</v>
      </c>
      <c r="BK146" s="464">
        <f t="shared" si="298"/>
        <v>49583</v>
      </c>
      <c r="BL146" s="464">
        <f t="shared" si="298"/>
        <v>49675</v>
      </c>
      <c r="BM146" s="464">
        <f t="shared" si="298"/>
        <v>49766</v>
      </c>
      <c r="BN146" s="464">
        <f t="shared" si="298"/>
        <v>49857</v>
      </c>
      <c r="BO146" s="464">
        <f t="shared" si="298"/>
        <v>49949</v>
      </c>
      <c r="BP146" s="464">
        <f t="shared" si="298"/>
        <v>50041</v>
      </c>
      <c r="BQ146" s="464">
        <f t="shared" si="298"/>
        <v>50131</v>
      </c>
      <c r="BR146" s="464">
        <f t="shared" si="298"/>
        <v>50222</v>
      </c>
      <c r="BS146" s="464">
        <f t="shared" si="298"/>
        <v>50314</v>
      </c>
      <c r="BT146" s="464">
        <f t="shared" ref="BT146:CY146" si="299">BT135</f>
        <v>50406</v>
      </c>
      <c r="BU146" s="464">
        <f t="shared" si="299"/>
        <v>50496</v>
      </c>
      <c r="BV146" s="464">
        <f t="shared" si="299"/>
        <v>50587</v>
      </c>
      <c r="BW146" s="464">
        <f t="shared" si="299"/>
        <v>50679</v>
      </c>
      <c r="BX146" s="464">
        <f t="shared" si="299"/>
        <v>50771</v>
      </c>
      <c r="BY146" s="464">
        <f t="shared" si="299"/>
        <v>50861</v>
      </c>
      <c r="BZ146" s="464">
        <f t="shared" si="299"/>
        <v>50952</v>
      </c>
      <c r="CA146" s="464">
        <f t="shared" si="299"/>
        <v>51044</v>
      </c>
      <c r="CB146" s="464">
        <f t="shared" si="299"/>
        <v>51136</v>
      </c>
      <c r="CC146" s="464">
        <f t="shared" si="299"/>
        <v>51227</v>
      </c>
      <c r="CD146" s="464">
        <f t="shared" si="299"/>
        <v>51318</v>
      </c>
      <c r="CE146" s="464">
        <f t="shared" si="299"/>
        <v>51410</v>
      </c>
      <c r="CF146" s="464">
        <f t="shared" si="299"/>
        <v>51502</v>
      </c>
      <c r="CG146" s="464">
        <f t="shared" si="299"/>
        <v>51592</v>
      </c>
      <c r="CH146" s="464">
        <f t="shared" si="299"/>
        <v>51683</v>
      </c>
      <c r="CI146" s="464">
        <f t="shared" si="299"/>
        <v>51775</v>
      </c>
      <c r="CJ146" s="464">
        <f t="shared" si="299"/>
        <v>51867</v>
      </c>
      <c r="CK146" s="464">
        <f t="shared" si="299"/>
        <v>51957</v>
      </c>
      <c r="CL146" s="464">
        <f t="shared" si="299"/>
        <v>52048</v>
      </c>
      <c r="CM146" s="464">
        <f t="shared" si="299"/>
        <v>52140</v>
      </c>
      <c r="CN146" s="464">
        <f t="shared" si="299"/>
        <v>52232</v>
      </c>
      <c r="CO146" s="464">
        <f t="shared" si="299"/>
        <v>52322</v>
      </c>
      <c r="CP146" s="464">
        <f t="shared" si="299"/>
        <v>52413</v>
      </c>
      <c r="CQ146" s="464">
        <f t="shared" si="299"/>
        <v>52505</v>
      </c>
      <c r="CR146" s="464">
        <f t="shared" si="299"/>
        <v>52597</v>
      </c>
      <c r="CS146" s="464">
        <f t="shared" si="299"/>
        <v>52688</v>
      </c>
      <c r="CT146" s="464">
        <f t="shared" si="299"/>
        <v>52779</v>
      </c>
      <c r="CU146" s="464">
        <f t="shared" si="299"/>
        <v>52871</v>
      </c>
      <c r="CV146" s="464">
        <f t="shared" si="299"/>
        <v>52963</v>
      </c>
      <c r="CW146" s="464">
        <f t="shared" si="299"/>
        <v>53053</v>
      </c>
      <c r="CX146" s="464">
        <f t="shared" si="299"/>
        <v>53144</v>
      </c>
      <c r="CY146" s="464">
        <f t="shared" si="299"/>
        <v>53236</v>
      </c>
      <c r="CZ146" s="464">
        <f t="shared" ref="CZ146:EE146" si="300">CZ135</f>
        <v>53328</v>
      </c>
      <c r="DA146" s="464">
        <f t="shared" si="300"/>
        <v>53418</v>
      </c>
      <c r="DB146" s="464">
        <f t="shared" si="300"/>
        <v>53509</v>
      </c>
      <c r="DC146" s="464">
        <f t="shared" si="300"/>
        <v>53601</v>
      </c>
      <c r="DD146" s="464">
        <f t="shared" si="300"/>
        <v>53693</v>
      </c>
      <c r="DE146" s="464">
        <f t="shared" si="300"/>
        <v>53783</v>
      </c>
      <c r="DF146" s="464">
        <f t="shared" si="300"/>
        <v>53874</v>
      </c>
      <c r="DG146" s="464">
        <f t="shared" si="300"/>
        <v>53966</v>
      </c>
      <c r="DH146" s="464">
        <f t="shared" si="300"/>
        <v>54058</v>
      </c>
      <c r="DI146" s="464">
        <f t="shared" si="300"/>
        <v>54149</v>
      </c>
      <c r="DJ146" s="464">
        <f t="shared" si="300"/>
        <v>54240</v>
      </c>
      <c r="DK146" s="464">
        <f t="shared" si="300"/>
        <v>54332</v>
      </c>
      <c r="DL146" s="464">
        <f t="shared" si="300"/>
        <v>54424</v>
      </c>
      <c r="DM146" s="464">
        <f t="shared" si="300"/>
        <v>54514</v>
      </c>
      <c r="DN146" s="464">
        <f t="shared" si="300"/>
        <v>54605</v>
      </c>
      <c r="DO146" s="464">
        <f t="shared" si="300"/>
        <v>54697</v>
      </c>
      <c r="DP146" s="464">
        <f t="shared" si="300"/>
        <v>54789</v>
      </c>
      <c r="DQ146" s="464">
        <f t="shared" si="300"/>
        <v>54879</v>
      </c>
      <c r="DR146" s="464">
        <f t="shared" si="300"/>
        <v>54970</v>
      </c>
      <c r="DS146" s="464">
        <f t="shared" si="300"/>
        <v>55062</v>
      </c>
      <c r="DT146" s="464">
        <f t="shared" si="300"/>
        <v>55154</v>
      </c>
      <c r="DU146" s="464">
        <f t="shared" si="300"/>
        <v>55244</v>
      </c>
      <c r="DV146" s="464">
        <f t="shared" si="300"/>
        <v>55335</v>
      </c>
      <c r="DW146" s="464">
        <f t="shared" si="300"/>
        <v>55427</v>
      </c>
      <c r="DX146" s="464">
        <f t="shared" si="300"/>
        <v>55519</v>
      </c>
      <c r="DY146" s="464">
        <f t="shared" si="300"/>
        <v>55610</v>
      </c>
      <c r="DZ146" s="464">
        <f t="shared" si="300"/>
        <v>55701</v>
      </c>
      <c r="EA146" s="464">
        <f t="shared" si="300"/>
        <v>55793</v>
      </c>
      <c r="EB146" s="464">
        <f t="shared" si="300"/>
        <v>55885</v>
      </c>
      <c r="EC146" s="464">
        <f t="shared" si="300"/>
        <v>55975</v>
      </c>
      <c r="ED146" s="464">
        <f t="shared" si="300"/>
        <v>56066</v>
      </c>
      <c r="EE146" s="464">
        <f t="shared" si="300"/>
        <v>56158</v>
      </c>
      <c r="EF146" s="464">
        <f t="shared" ref="EF146:EN146" si="301">EF135</f>
        <v>56250</v>
      </c>
      <c r="EG146" s="464">
        <f t="shared" si="301"/>
        <v>56340</v>
      </c>
      <c r="EH146" s="464">
        <f t="shared" si="301"/>
        <v>56431</v>
      </c>
      <c r="EI146" s="464">
        <f t="shared" si="301"/>
        <v>56523</v>
      </c>
      <c r="EJ146" s="464">
        <f t="shared" si="301"/>
        <v>56615</v>
      </c>
      <c r="EK146" s="464">
        <f t="shared" si="301"/>
        <v>56705</v>
      </c>
      <c r="EL146" s="464">
        <f t="shared" si="301"/>
        <v>56796</v>
      </c>
      <c r="EM146" s="464">
        <f t="shared" si="301"/>
        <v>56888</v>
      </c>
      <c r="EN146" s="464">
        <f t="shared" si="301"/>
        <v>56980</v>
      </c>
    </row>
    <row r="147" spans="2:144" ht="15.75">
      <c r="C147" s="22"/>
      <c r="E147" s="42"/>
      <c r="F147" s="42"/>
      <c r="G147" s="42"/>
      <c r="H147" s="464">
        <f t="shared" ref="H147:AM147" si="302">H136</f>
        <v>44651</v>
      </c>
      <c r="I147" s="464">
        <f t="shared" si="302"/>
        <v>44742</v>
      </c>
      <c r="J147" s="464">
        <f t="shared" si="302"/>
        <v>44834</v>
      </c>
      <c r="K147" s="464">
        <f t="shared" si="302"/>
        <v>44926</v>
      </c>
      <c r="L147" s="464">
        <f t="shared" si="302"/>
        <v>45016</v>
      </c>
      <c r="M147" s="464">
        <f t="shared" si="302"/>
        <v>45107</v>
      </c>
      <c r="N147" s="464">
        <f t="shared" si="302"/>
        <v>45199</v>
      </c>
      <c r="O147" s="464">
        <f t="shared" si="302"/>
        <v>45291</v>
      </c>
      <c r="P147" s="464">
        <f t="shared" si="302"/>
        <v>45382</v>
      </c>
      <c r="Q147" s="464">
        <f t="shared" si="302"/>
        <v>45473</v>
      </c>
      <c r="R147" s="464">
        <f t="shared" si="302"/>
        <v>45565</v>
      </c>
      <c r="S147" s="464">
        <f t="shared" si="302"/>
        <v>45657</v>
      </c>
      <c r="T147" s="464">
        <f t="shared" si="302"/>
        <v>45747</v>
      </c>
      <c r="U147" s="464">
        <f t="shared" si="302"/>
        <v>45838</v>
      </c>
      <c r="V147" s="464">
        <f t="shared" si="302"/>
        <v>45930</v>
      </c>
      <c r="W147" s="464">
        <f t="shared" si="302"/>
        <v>46022</v>
      </c>
      <c r="X147" s="464">
        <f t="shared" si="302"/>
        <v>46112</v>
      </c>
      <c r="Y147" s="464">
        <f t="shared" si="302"/>
        <v>46203</v>
      </c>
      <c r="Z147" s="464">
        <f t="shared" si="302"/>
        <v>46295</v>
      </c>
      <c r="AA147" s="464">
        <f t="shared" si="302"/>
        <v>46387</v>
      </c>
      <c r="AB147" s="464">
        <f t="shared" si="302"/>
        <v>46477</v>
      </c>
      <c r="AC147" s="464">
        <f t="shared" si="302"/>
        <v>46568</v>
      </c>
      <c r="AD147" s="464">
        <f t="shared" si="302"/>
        <v>46660</v>
      </c>
      <c r="AE147" s="464">
        <f t="shared" si="302"/>
        <v>46752</v>
      </c>
      <c r="AF147" s="464">
        <f t="shared" si="302"/>
        <v>46843</v>
      </c>
      <c r="AG147" s="464">
        <f t="shared" si="302"/>
        <v>46934</v>
      </c>
      <c r="AH147" s="464">
        <f t="shared" si="302"/>
        <v>47026</v>
      </c>
      <c r="AI147" s="464">
        <f t="shared" si="302"/>
        <v>47118</v>
      </c>
      <c r="AJ147" s="464">
        <f t="shared" si="302"/>
        <v>47208</v>
      </c>
      <c r="AK147" s="464">
        <f t="shared" si="302"/>
        <v>47299</v>
      </c>
      <c r="AL147" s="464">
        <f t="shared" si="302"/>
        <v>47391</v>
      </c>
      <c r="AM147" s="464">
        <f t="shared" si="302"/>
        <v>47483</v>
      </c>
      <c r="AN147" s="464">
        <f t="shared" ref="AN147:BS147" si="303">AN136</f>
        <v>47573</v>
      </c>
      <c r="AO147" s="464">
        <f t="shared" si="303"/>
        <v>47664</v>
      </c>
      <c r="AP147" s="464">
        <f t="shared" si="303"/>
        <v>47756</v>
      </c>
      <c r="AQ147" s="464">
        <f t="shared" si="303"/>
        <v>47848</v>
      </c>
      <c r="AR147" s="464">
        <f t="shared" si="303"/>
        <v>47938</v>
      </c>
      <c r="AS147" s="464">
        <f t="shared" si="303"/>
        <v>48029</v>
      </c>
      <c r="AT147" s="464">
        <f t="shared" si="303"/>
        <v>48121</v>
      </c>
      <c r="AU147" s="464">
        <f t="shared" si="303"/>
        <v>48213</v>
      </c>
      <c r="AV147" s="464">
        <f t="shared" si="303"/>
        <v>48304</v>
      </c>
      <c r="AW147" s="464">
        <f t="shared" si="303"/>
        <v>48395</v>
      </c>
      <c r="AX147" s="464">
        <f t="shared" si="303"/>
        <v>48487</v>
      </c>
      <c r="AY147" s="464">
        <f t="shared" si="303"/>
        <v>48579</v>
      </c>
      <c r="AZ147" s="464">
        <f t="shared" si="303"/>
        <v>48669</v>
      </c>
      <c r="BA147" s="464">
        <f t="shared" si="303"/>
        <v>48760</v>
      </c>
      <c r="BB147" s="464">
        <f t="shared" si="303"/>
        <v>48852</v>
      </c>
      <c r="BC147" s="464">
        <f t="shared" si="303"/>
        <v>48944</v>
      </c>
      <c r="BD147" s="464">
        <f t="shared" si="303"/>
        <v>49034</v>
      </c>
      <c r="BE147" s="464">
        <f t="shared" si="303"/>
        <v>49125</v>
      </c>
      <c r="BF147" s="464">
        <f t="shared" si="303"/>
        <v>49217</v>
      </c>
      <c r="BG147" s="464">
        <f t="shared" si="303"/>
        <v>49309</v>
      </c>
      <c r="BH147" s="464">
        <f t="shared" si="303"/>
        <v>49399</v>
      </c>
      <c r="BI147" s="464">
        <f t="shared" si="303"/>
        <v>49490</v>
      </c>
      <c r="BJ147" s="464">
        <f t="shared" si="303"/>
        <v>49582</v>
      </c>
      <c r="BK147" s="464">
        <f t="shared" si="303"/>
        <v>49674</v>
      </c>
      <c r="BL147" s="464">
        <f t="shared" si="303"/>
        <v>49765</v>
      </c>
      <c r="BM147" s="464">
        <f t="shared" si="303"/>
        <v>49856</v>
      </c>
      <c r="BN147" s="464">
        <f t="shared" si="303"/>
        <v>49948</v>
      </c>
      <c r="BO147" s="464">
        <f t="shared" si="303"/>
        <v>50040</v>
      </c>
      <c r="BP147" s="464">
        <f t="shared" si="303"/>
        <v>50130</v>
      </c>
      <c r="BQ147" s="464">
        <f t="shared" si="303"/>
        <v>50221</v>
      </c>
      <c r="BR147" s="464">
        <f t="shared" si="303"/>
        <v>50313</v>
      </c>
      <c r="BS147" s="464">
        <f t="shared" si="303"/>
        <v>50405</v>
      </c>
      <c r="BT147" s="464">
        <f t="shared" ref="BT147:CY147" si="304">BT136</f>
        <v>50495</v>
      </c>
      <c r="BU147" s="464">
        <f t="shared" si="304"/>
        <v>50586</v>
      </c>
      <c r="BV147" s="464">
        <f t="shared" si="304"/>
        <v>50678</v>
      </c>
      <c r="BW147" s="464">
        <f t="shared" si="304"/>
        <v>50770</v>
      </c>
      <c r="BX147" s="464">
        <f t="shared" si="304"/>
        <v>50860</v>
      </c>
      <c r="BY147" s="464">
        <f t="shared" si="304"/>
        <v>50951</v>
      </c>
      <c r="BZ147" s="464">
        <f t="shared" si="304"/>
        <v>51043</v>
      </c>
      <c r="CA147" s="464">
        <f t="shared" si="304"/>
        <v>51135</v>
      </c>
      <c r="CB147" s="464">
        <f t="shared" si="304"/>
        <v>51226</v>
      </c>
      <c r="CC147" s="464">
        <f t="shared" si="304"/>
        <v>51317</v>
      </c>
      <c r="CD147" s="464">
        <f t="shared" si="304"/>
        <v>51409</v>
      </c>
      <c r="CE147" s="464">
        <f t="shared" si="304"/>
        <v>51501</v>
      </c>
      <c r="CF147" s="464">
        <f t="shared" si="304"/>
        <v>51591</v>
      </c>
      <c r="CG147" s="464">
        <f t="shared" si="304"/>
        <v>51682</v>
      </c>
      <c r="CH147" s="464">
        <f t="shared" si="304"/>
        <v>51774</v>
      </c>
      <c r="CI147" s="464">
        <f t="shared" si="304"/>
        <v>51866</v>
      </c>
      <c r="CJ147" s="464">
        <f t="shared" si="304"/>
        <v>51956</v>
      </c>
      <c r="CK147" s="464">
        <f t="shared" si="304"/>
        <v>52047</v>
      </c>
      <c r="CL147" s="464">
        <f t="shared" si="304"/>
        <v>52139</v>
      </c>
      <c r="CM147" s="464">
        <f t="shared" si="304"/>
        <v>52231</v>
      </c>
      <c r="CN147" s="464">
        <f t="shared" si="304"/>
        <v>52321</v>
      </c>
      <c r="CO147" s="464">
        <f t="shared" si="304"/>
        <v>52412</v>
      </c>
      <c r="CP147" s="464">
        <f t="shared" si="304"/>
        <v>52504</v>
      </c>
      <c r="CQ147" s="464">
        <f t="shared" si="304"/>
        <v>52596</v>
      </c>
      <c r="CR147" s="464">
        <f t="shared" si="304"/>
        <v>52687</v>
      </c>
      <c r="CS147" s="464">
        <f t="shared" si="304"/>
        <v>52778</v>
      </c>
      <c r="CT147" s="464">
        <f t="shared" si="304"/>
        <v>52870</v>
      </c>
      <c r="CU147" s="464">
        <f t="shared" si="304"/>
        <v>52962</v>
      </c>
      <c r="CV147" s="464">
        <f t="shared" si="304"/>
        <v>53052</v>
      </c>
      <c r="CW147" s="464">
        <f t="shared" si="304"/>
        <v>53143</v>
      </c>
      <c r="CX147" s="464">
        <f t="shared" si="304"/>
        <v>53235</v>
      </c>
      <c r="CY147" s="464">
        <f t="shared" si="304"/>
        <v>53327</v>
      </c>
      <c r="CZ147" s="464">
        <f t="shared" ref="CZ147:EE147" si="305">CZ136</f>
        <v>53417</v>
      </c>
      <c r="DA147" s="464">
        <f t="shared" si="305"/>
        <v>53508</v>
      </c>
      <c r="DB147" s="464">
        <f t="shared" si="305"/>
        <v>53600</v>
      </c>
      <c r="DC147" s="464">
        <f t="shared" si="305"/>
        <v>53692</v>
      </c>
      <c r="DD147" s="464">
        <f t="shared" si="305"/>
        <v>53782</v>
      </c>
      <c r="DE147" s="464">
        <f t="shared" si="305"/>
        <v>53873</v>
      </c>
      <c r="DF147" s="464">
        <f t="shared" si="305"/>
        <v>53965</v>
      </c>
      <c r="DG147" s="464">
        <f t="shared" si="305"/>
        <v>54057</v>
      </c>
      <c r="DH147" s="464">
        <f t="shared" si="305"/>
        <v>54148</v>
      </c>
      <c r="DI147" s="464">
        <f t="shared" si="305"/>
        <v>54239</v>
      </c>
      <c r="DJ147" s="464">
        <f t="shared" si="305"/>
        <v>54331</v>
      </c>
      <c r="DK147" s="464">
        <f t="shared" si="305"/>
        <v>54423</v>
      </c>
      <c r="DL147" s="464">
        <f t="shared" si="305"/>
        <v>54513</v>
      </c>
      <c r="DM147" s="464">
        <f t="shared" si="305"/>
        <v>54604</v>
      </c>
      <c r="DN147" s="464">
        <f t="shared" si="305"/>
        <v>54696</v>
      </c>
      <c r="DO147" s="464">
        <f t="shared" si="305"/>
        <v>54788</v>
      </c>
      <c r="DP147" s="464">
        <f t="shared" si="305"/>
        <v>54878</v>
      </c>
      <c r="DQ147" s="464">
        <f t="shared" si="305"/>
        <v>54969</v>
      </c>
      <c r="DR147" s="464">
        <f t="shared" si="305"/>
        <v>55061</v>
      </c>
      <c r="DS147" s="464">
        <f t="shared" si="305"/>
        <v>55153</v>
      </c>
      <c r="DT147" s="464">
        <f t="shared" si="305"/>
        <v>55243</v>
      </c>
      <c r="DU147" s="464">
        <f t="shared" si="305"/>
        <v>55334</v>
      </c>
      <c r="DV147" s="464">
        <f t="shared" si="305"/>
        <v>55426</v>
      </c>
      <c r="DW147" s="464">
        <f t="shared" si="305"/>
        <v>55518</v>
      </c>
      <c r="DX147" s="464">
        <f t="shared" si="305"/>
        <v>55609</v>
      </c>
      <c r="DY147" s="464">
        <f t="shared" si="305"/>
        <v>55700</v>
      </c>
      <c r="DZ147" s="464">
        <f t="shared" si="305"/>
        <v>55792</v>
      </c>
      <c r="EA147" s="464">
        <f t="shared" si="305"/>
        <v>55884</v>
      </c>
      <c r="EB147" s="464">
        <f t="shared" si="305"/>
        <v>55974</v>
      </c>
      <c r="EC147" s="464">
        <f t="shared" si="305"/>
        <v>56065</v>
      </c>
      <c r="ED147" s="464">
        <f t="shared" si="305"/>
        <v>56157</v>
      </c>
      <c r="EE147" s="464">
        <f t="shared" si="305"/>
        <v>56249</v>
      </c>
      <c r="EF147" s="464">
        <f t="shared" ref="EF147:EN147" si="306">EF136</f>
        <v>56339</v>
      </c>
      <c r="EG147" s="464">
        <f t="shared" si="306"/>
        <v>56430</v>
      </c>
      <c r="EH147" s="464">
        <f t="shared" si="306"/>
        <v>56522</v>
      </c>
      <c r="EI147" s="464">
        <f t="shared" si="306"/>
        <v>56614</v>
      </c>
      <c r="EJ147" s="464">
        <f t="shared" si="306"/>
        <v>56704</v>
      </c>
      <c r="EK147" s="464">
        <f t="shared" si="306"/>
        <v>56795</v>
      </c>
      <c r="EL147" s="464">
        <f t="shared" si="306"/>
        <v>56887</v>
      </c>
      <c r="EM147" s="464">
        <f t="shared" si="306"/>
        <v>56979</v>
      </c>
      <c r="EN147" s="464">
        <f t="shared" si="306"/>
        <v>57070</v>
      </c>
    </row>
    <row r="148" spans="2:144">
      <c r="B148" s="776" t="str">
        <f>C15</f>
        <v>Организация набережных</v>
      </c>
      <c r="C148" s="465"/>
      <c r="D148" s="430">
        <f>SUMIF($C$4:$C$18,B148,$I$4:$I$18)</f>
        <v>45839</v>
      </c>
      <c r="E148" s="772">
        <f>YEAR(D148)</f>
        <v>2025</v>
      </c>
      <c r="F148" s="466"/>
      <c r="G148" s="466"/>
      <c r="H148" s="466"/>
      <c r="I148" s="466"/>
      <c r="J148" s="466"/>
      <c r="K148" s="466"/>
      <c r="L148" s="466"/>
      <c r="M148" s="466"/>
      <c r="N148" s="466"/>
      <c r="O148" s="466"/>
      <c r="P148" s="466"/>
      <c r="Q148" s="466"/>
      <c r="R148" s="466"/>
      <c r="S148" s="466"/>
      <c r="T148" s="466"/>
      <c r="U148" s="466"/>
      <c r="V148" s="466"/>
      <c r="W148" s="466"/>
      <c r="X148" s="466"/>
      <c r="Y148" s="466"/>
      <c r="Z148" s="466"/>
      <c r="AA148" s="466"/>
      <c r="AB148" s="466"/>
      <c r="AC148" s="466"/>
      <c r="AD148" s="466"/>
      <c r="AE148" s="466"/>
      <c r="AF148" s="466"/>
      <c r="AG148" s="466"/>
      <c r="AH148" s="466"/>
      <c r="AI148" s="466"/>
      <c r="AJ148" s="466"/>
      <c r="AK148" s="466"/>
      <c r="AL148" s="466"/>
      <c r="AM148" s="466"/>
      <c r="AN148" s="466"/>
      <c r="AO148" s="466"/>
      <c r="AP148" s="466"/>
      <c r="AQ148" s="466"/>
      <c r="AR148" s="466"/>
      <c r="AS148" s="466"/>
      <c r="AT148" s="466"/>
      <c r="AU148" s="466"/>
      <c r="AV148" s="466"/>
      <c r="AW148" s="466"/>
      <c r="AX148" s="466"/>
      <c r="AY148" s="466"/>
      <c r="AZ148" s="466"/>
      <c r="BA148" s="466"/>
      <c r="BB148" s="466"/>
      <c r="BC148" s="466"/>
      <c r="BD148" s="466"/>
      <c r="BE148" s="466"/>
      <c r="BF148" s="466"/>
      <c r="BG148" s="466"/>
      <c r="BH148" s="466"/>
      <c r="BI148" s="466"/>
      <c r="BJ148" s="466"/>
      <c r="BK148" s="466"/>
      <c r="BL148" s="466"/>
      <c r="BM148" s="466"/>
      <c r="BN148" s="466"/>
      <c r="BO148" s="466"/>
      <c r="BP148" s="466"/>
      <c r="BQ148" s="466"/>
      <c r="BR148" s="466"/>
      <c r="BS148" s="466"/>
      <c r="BT148" s="466"/>
      <c r="BU148" s="466"/>
      <c r="BV148" s="466"/>
      <c r="BW148" s="466"/>
      <c r="BX148" s="466"/>
      <c r="BY148" s="466"/>
      <c r="BZ148" s="466"/>
      <c r="CA148" s="466"/>
      <c r="CB148" s="466"/>
      <c r="CC148" s="466"/>
      <c r="CD148" s="466"/>
      <c r="CE148" s="466"/>
      <c r="CF148" s="466"/>
      <c r="CG148" s="466"/>
      <c r="CH148" s="466"/>
      <c r="CI148" s="466"/>
      <c r="CJ148" s="466"/>
      <c r="CK148" s="466"/>
      <c r="CL148" s="466"/>
      <c r="CM148" s="466"/>
      <c r="CN148" s="466"/>
      <c r="CO148" s="466"/>
      <c r="CP148" s="466"/>
      <c r="CQ148" s="466"/>
      <c r="CR148" s="466"/>
      <c r="CS148" s="466"/>
      <c r="CT148" s="466"/>
      <c r="CU148" s="466"/>
      <c r="CV148" s="466"/>
      <c r="CW148" s="466"/>
      <c r="CX148" s="466"/>
      <c r="CY148" s="466"/>
      <c r="CZ148" s="466"/>
      <c r="DA148" s="466"/>
      <c r="DB148" s="466"/>
      <c r="DC148" s="466"/>
      <c r="DD148" s="466"/>
      <c r="DE148" s="466"/>
      <c r="DF148" s="466"/>
      <c r="DG148" s="466"/>
      <c r="DH148" s="466"/>
      <c r="DI148" s="466"/>
      <c r="DJ148" s="466"/>
      <c r="DK148" s="466"/>
      <c r="DL148" s="466"/>
      <c r="DM148" s="466"/>
      <c r="DN148" s="466"/>
      <c r="DO148" s="466"/>
      <c r="DP148" s="466"/>
      <c r="DQ148" s="466"/>
      <c r="DR148" s="466"/>
      <c r="DS148" s="466"/>
      <c r="DT148" s="466"/>
      <c r="DU148" s="466"/>
      <c r="DV148" s="466"/>
      <c r="DW148" s="466"/>
      <c r="DX148" s="466"/>
      <c r="DY148" s="466"/>
      <c r="DZ148" s="466"/>
      <c r="EA148" s="466"/>
      <c r="EB148" s="466"/>
      <c r="EC148" s="466"/>
      <c r="ED148" s="466"/>
      <c r="EE148" s="466"/>
      <c r="EF148" s="466"/>
      <c r="EG148" s="466"/>
      <c r="EH148" s="466"/>
      <c r="EI148" s="466"/>
      <c r="EJ148" s="466"/>
      <c r="EK148" s="466"/>
      <c r="EL148" s="466"/>
      <c r="EM148" s="466"/>
      <c r="EN148" s="466"/>
    </row>
    <row r="149" spans="2:144" outlineLevel="1">
      <c r="C149" s="151" t="s">
        <v>72</v>
      </c>
      <c r="D149" s="771">
        <f>SUMIF($C$4:$C$18,B148,$H$4:$H$18)</f>
        <v>132223082.24099672</v>
      </c>
      <c r="E149" s="44"/>
      <c r="F149" s="44"/>
      <c r="G149" s="44"/>
      <c r="H149" s="44">
        <f>IF(H146=D148,D149,0)</f>
        <v>0</v>
      </c>
      <c r="I149" s="44">
        <f>IF(I146=D148,D149,0)</f>
        <v>0</v>
      </c>
      <c r="J149" s="44">
        <f>IF(J146=D148,D149,0)</f>
        <v>0</v>
      </c>
      <c r="K149" s="44">
        <f>IF(K146=D148,D149,0)</f>
        <v>0</v>
      </c>
      <c r="L149" s="44">
        <f>IF(L146=D148,D149,0)</f>
        <v>0</v>
      </c>
      <c r="M149" s="44">
        <f>IF(M146=D148,D149,0)</f>
        <v>0</v>
      </c>
      <c r="N149" s="44">
        <f>IF(N146=D148,D149,0)</f>
        <v>0</v>
      </c>
      <c r="O149" s="44">
        <f>IF(O146=D148,D149,0)</f>
        <v>0</v>
      </c>
      <c r="P149" s="44">
        <f>IF(P146=D148,D149,0)</f>
        <v>0</v>
      </c>
      <c r="Q149" s="44">
        <f>IF(Q146=D148,D149,0)</f>
        <v>0</v>
      </c>
      <c r="R149" s="44">
        <f>IF(R146=D148,D149,0)</f>
        <v>0</v>
      </c>
      <c r="S149" s="44">
        <f>IF(S146=D148,D149,0)</f>
        <v>0</v>
      </c>
      <c r="T149" s="44">
        <f>IF(T146=D148,D149,0)</f>
        <v>0</v>
      </c>
      <c r="U149" s="44">
        <f>IF(U146=D148,D149,0)</f>
        <v>0</v>
      </c>
      <c r="V149" s="44">
        <f>IF(V146=D148,D149,0)</f>
        <v>132223082.24099672</v>
      </c>
      <c r="W149" s="44">
        <f>IF(W146=D148,D149,0)</f>
        <v>0</v>
      </c>
      <c r="X149" s="44">
        <f>IF(X146=D148,D149,0)</f>
        <v>0</v>
      </c>
      <c r="Y149" s="44">
        <f>IF(Y146=D148,D149,0)</f>
        <v>0</v>
      </c>
      <c r="Z149" s="44">
        <f>IF(Z146=D148,D149,0)</f>
        <v>0</v>
      </c>
      <c r="AA149" s="44">
        <f>IF(AA146=D148,D149,0)</f>
        <v>0</v>
      </c>
      <c r="AB149" s="44">
        <f>IF(AB146=D148,D149,0)</f>
        <v>0</v>
      </c>
      <c r="AC149" s="44">
        <f>IF(AC146=D148,D149,0)</f>
        <v>0</v>
      </c>
      <c r="AD149" s="44">
        <f>IF(AD146=D148,D149,0)</f>
        <v>0</v>
      </c>
      <c r="AE149" s="44">
        <f>IF(AE146=D148,D149,0)</f>
        <v>0</v>
      </c>
      <c r="AF149" s="44">
        <f>IF(AF146=D148,D149,0)</f>
        <v>0</v>
      </c>
      <c r="AG149" s="44">
        <f>IF(AG146=D148,D149,0)</f>
        <v>0</v>
      </c>
      <c r="AH149" s="44">
        <f>IF(AH146=D148,D149,0)</f>
        <v>0</v>
      </c>
      <c r="AI149" s="44">
        <f>IF(AI146=D148,D149,0)</f>
        <v>0</v>
      </c>
      <c r="AJ149" s="44">
        <f>IF(AJ146=D148,D149,0)</f>
        <v>0</v>
      </c>
      <c r="AK149" s="44">
        <f>IF(AK146=D148,D149,0)</f>
        <v>0</v>
      </c>
      <c r="AL149" s="44">
        <f>IF(AL146=D148,D149,0)</f>
        <v>0</v>
      </c>
      <c r="AM149" s="44">
        <f>IF(AM146=D148,D149,0)</f>
        <v>0</v>
      </c>
      <c r="AN149" s="44">
        <f>IF(AN146=D148,D149,0)</f>
        <v>0</v>
      </c>
      <c r="AO149" s="44">
        <f>IF(AO146=D148,D149,0)</f>
        <v>0</v>
      </c>
      <c r="AP149" s="44">
        <f>IF(AP146=D148,D149,0)</f>
        <v>0</v>
      </c>
      <c r="AQ149" s="44">
        <f>IF(AQ146=D148,D149,0)</f>
        <v>0</v>
      </c>
      <c r="AR149" s="44">
        <f>IF(AR146=D148,D149,0)</f>
        <v>0</v>
      </c>
      <c r="AS149" s="44">
        <f>IF(AS146=D148,D149,0)</f>
        <v>0</v>
      </c>
      <c r="AT149" s="44">
        <f>IF(AT146=D148,D149,0)</f>
        <v>0</v>
      </c>
      <c r="AU149" s="44">
        <f>IF(AU146=D148,D149,0)</f>
        <v>0</v>
      </c>
      <c r="AV149" s="44">
        <f>IF(AV146=D148,D149,0)</f>
        <v>0</v>
      </c>
      <c r="AW149" s="44">
        <f>IF(AW146=D148,D149,0)</f>
        <v>0</v>
      </c>
      <c r="AX149" s="44">
        <f>IF(AX146=D148,D149,0)</f>
        <v>0</v>
      </c>
      <c r="AY149" s="44">
        <f>IF(AY146=D148,D149,0)</f>
        <v>0</v>
      </c>
      <c r="AZ149" s="44">
        <f>IF(AZ146=D148,D149,0)</f>
        <v>0</v>
      </c>
      <c r="BA149" s="44">
        <f>IF(BA146=D148,D149,0)</f>
        <v>0</v>
      </c>
      <c r="BB149" s="44">
        <f>IF(BB146=D148,D149,0)</f>
        <v>0</v>
      </c>
      <c r="BC149" s="44">
        <f>IF(BC146=D148,D149,0)</f>
        <v>0</v>
      </c>
      <c r="BD149" s="44">
        <f>IF(BD146=D148,D149,0)</f>
        <v>0</v>
      </c>
      <c r="BE149" s="44">
        <f>IF(BE146=D148,D149,0)</f>
        <v>0</v>
      </c>
      <c r="BF149" s="44">
        <f>IF(BF146=D148,D149,0)</f>
        <v>0</v>
      </c>
      <c r="BG149" s="44">
        <f>IF(BG146=D148,D149,0)</f>
        <v>0</v>
      </c>
      <c r="BH149" s="44">
        <f>IF(BH146=D148,D149,0)</f>
        <v>0</v>
      </c>
      <c r="BI149" s="44">
        <f>IF(BI146=D148,D149,0)</f>
        <v>0</v>
      </c>
      <c r="BJ149" s="44">
        <f>IF(BJ146=D148,D149,0)</f>
        <v>0</v>
      </c>
      <c r="BK149" s="44">
        <f>IF(BK146=D148,D149,0)</f>
        <v>0</v>
      </c>
      <c r="BL149" s="44">
        <f>IF(BL146=D148,D149,0)</f>
        <v>0</v>
      </c>
      <c r="BM149" s="44">
        <f>IF(BM146=D148,D149,0)</f>
        <v>0</v>
      </c>
      <c r="BN149" s="44">
        <f>IF(BN146=D148,D149,0)</f>
        <v>0</v>
      </c>
      <c r="BO149" s="44">
        <f>IF(BO146=D148,D149,0)</f>
        <v>0</v>
      </c>
      <c r="BP149" s="44">
        <f>IF(BP146=D148,D149,0)</f>
        <v>0</v>
      </c>
      <c r="BQ149" s="44">
        <f>IF(BQ146=D148,D149,0)</f>
        <v>0</v>
      </c>
      <c r="BR149" s="44">
        <f>IF(BR146=D148,D149,0)</f>
        <v>0</v>
      </c>
      <c r="BS149" s="44">
        <f>IF(BS146=D148,D149,0)</f>
        <v>0</v>
      </c>
      <c r="BT149" s="44">
        <f>IF(BT146=D148,D149,0)</f>
        <v>0</v>
      </c>
      <c r="BU149" s="44">
        <f>IF(BU146=D148,D149,0)</f>
        <v>0</v>
      </c>
      <c r="BV149" s="44">
        <f>IF(BV146=D148,D149,0)</f>
        <v>0</v>
      </c>
      <c r="BW149" s="44">
        <f>IF(BW146=D148,D149,0)</f>
        <v>0</v>
      </c>
      <c r="BX149" s="44">
        <f>IF(BX146=D148,D149,0)</f>
        <v>0</v>
      </c>
      <c r="BY149" s="44">
        <f>IF(BY146=D148,D149,0)</f>
        <v>0</v>
      </c>
      <c r="BZ149" s="44">
        <f>IF(BZ146=D148,D149,0)</f>
        <v>0</v>
      </c>
      <c r="CA149" s="44">
        <f>IF(CA146=D148,D149,0)</f>
        <v>0</v>
      </c>
      <c r="CB149" s="44">
        <f>IF(CB146=D148,D149,0)</f>
        <v>0</v>
      </c>
      <c r="CC149" s="44">
        <f>IF(CC146=D148,D149,0)</f>
        <v>0</v>
      </c>
      <c r="CD149" s="44">
        <f>IF(CD146=D148,D149,0)</f>
        <v>0</v>
      </c>
      <c r="CE149" s="44">
        <f>IF(CE146=D148,D149,0)</f>
        <v>0</v>
      </c>
      <c r="CF149" s="44">
        <f>IF(CF146=D148,D149,0)</f>
        <v>0</v>
      </c>
      <c r="CG149" s="44">
        <f>IF(CG146=D148,D149,0)</f>
        <v>0</v>
      </c>
      <c r="CH149" s="44">
        <f>IF(CH146=D148,D149,0)</f>
        <v>0</v>
      </c>
      <c r="CI149" s="44">
        <f>IF(CI146=D148,D149,0)</f>
        <v>0</v>
      </c>
      <c r="CJ149" s="44">
        <f>IF(CJ146=D148,D149,0)</f>
        <v>0</v>
      </c>
      <c r="CK149" s="44">
        <f>IF(CK146=D148,D149,0)</f>
        <v>0</v>
      </c>
      <c r="CL149" s="44">
        <f>IF(CL146=D148,D149,0)</f>
        <v>0</v>
      </c>
      <c r="CM149" s="44">
        <f>IF(CM146=D148,D149,0)</f>
        <v>0</v>
      </c>
      <c r="CN149" s="44">
        <f>IF(CN146=D148,D149,0)</f>
        <v>0</v>
      </c>
      <c r="CO149" s="44">
        <f>IF(CO146=D148,D149,0)</f>
        <v>0</v>
      </c>
      <c r="CP149" s="44">
        <f>IF(CP146=D148,D149,0)</f>
        <v>0</v>
      </c>
      <c r="CQ149" s="44">
        <f>IF(CQ146=D148,D149,0)</f>
        <v>0</v>
      </c>
      <c r="CR149" s="44">
        <f>IF(CR146=D148,D149,0)</f>
        <v>0</v>
      </c>
      <c r="CS149" s="44">
        <f>IF(CS146=D148,D149,0)</f>
        <v>0</v>
      </c>
      <c r="CT149" s="44">
        <f>IF(CT146=D148,D149,0)</f>
        <v>0</v>
      </c>
      <c r="CU149" s="44">
        <f>IF(CU146=D148,D149,0)</f>
        <v>0</v>
      </c>
      <c r="CV149" s="44">
        <f>IF(CV146=D148,D149,0)</f>
        <v>0</v>
      </c>
      <c r="CW149" s="44">
        <f>IF(CW146=D148,D149,0)</f>
        <v>0</v>
      </c>
      <c r="CX149" s="44">
        <f>IF(CX146=D148,D149,0)</f>
        <v>0</v>
      </c>
      <c r="CY149" s="44">
        <f>IF(CY146=D148,D149,0)</f>
        <v>0</v>
      </c>
      <c r="CZ149" s="44">
        <f>IF(CZ146=D148,D149,0)</f>
        <v>0</v>
      </c>
      <c r="DA149" s="44">
        <f>IF(DA146=D148,D149,0)</f>
        <v>0</v>
      </c>
      <c r="DB149" s="44">
        <f>IF(DB146=D148,D149,0)</f>
        <v>0</v>
      </c>
      <c r="DC149" s="44">
        <f>IF(DC146=D148,D149,0)</f>
        <v>0</v>
      </c>
      <c r="DD149" s="44">
        <f>IF(DD146=D148,D149,0)</f>
        <v>0</v>
      </c>
      <c r="DE149" s="44">
        <f>IF(DE146=D148,D149,0)</f>
        <v>0</v>
      </c>
      <c r="DF149" s="44">
        <f>IF(DF146=D148,D149,0)</f>
        <v>0</v>
      </c>
      <c r="DG149" s="44">
        <f>IF(DG146=D148,D149,0)</f>
        <v>0</v>
      </c>
      <c r="DH149" s="44">
        <f>IF(DH146=D148,D149,0)</f>
        <v>0</v>
      </c>
      <c r="DI149" s="44">
        <f>IF(DI146=D148,D149,0)</f>
        <v>0</v>
      </c>
      <c r="DJ149" s="44">
        <f>IF(DJ146=D148,D149,0)</f>
        <v>0</v>
      </c>
      <c r="DK149" s="44">
        <f>IF(DK146=D148,D149,0)</f>
        <v>0</v>
      </c>
      <c r="DL149" s="44">
        <f>IF(DL146=D148,D149,0)</f>
        <v>0</v>
      </c>
      <c r="DM149" s="44">
        <f>IF(DM146=D148,D149,0)</f>
        <v>0</v>
      </c>
      <c r="DN149" s="44">
        <f>IF(DN146=D148,D149,0)</f>
        <v>0</v>
      </c>
      <c r="DO149" s="44">
        <f>IF(DO146=D148,D149,0)</f>
        <v>0</v>
      </c>
      <c r="DP149" s="44">
        <f>IF(DP146=D148,D149,0)</f>
        <v>0</v>
      </c>
      <c r="DQ149" s="44">
        <f>IF(DQ146=D148,D149,0)</f>
        <v>0</v>
      </c>
      <c r="DR149" s="44">
        <f>IF(DR146=D148,D149,0)</f>
        <v>0</v>
      </c>
      <c r="DS149" s="44">
        <f>IF(DS146=D148,D149,0)</f>
        <v>0</v>
      </c>
      <c r="DT149" s="44">
        <f>IF(DT146=D148,D149,0)</f>
        <v>0</v>
      </c>
      <c r="DU149" s="44">
        <f>IF(DU146=D148,D149,0)</f>
        <v>0</v>
      </c>
      <c r="DV149" s="44">
        <f>IF(DV146=D148,D149,0)</f>
        <v>0</v>
      </c>
      <c r="DW149" s="44">
        <f>IF(DW146=D148,D149,0)</f>
        <v>0</v>
      </c>
      <c r="DX149" s="44">
        <f>IF(DX146=D148,D149,0)</f>
        <v>0</v>
      </c>
      <c r="DY149" s="44">
        <f>IF(DY146=D148,D149,0)</f>
        <v>0</v>
      </c>
      <c r="DZ149" s="44">
        <f>IF(DZ146=D148,D149,0)</f>
        <v>0</v>
      </c>
      <c r="EA149" s="44">
        <f>IF(EA146=D148,D149,0)</f>
        <v>0</v>
      </c>
      <c r="EB149" s="44">
        <f>IF(EB146=D148,D149,0)</f>
        <v>0</v>
      </c>
      <c r="EC149" s="44">
        <f>IF(EC146=D148,D149,0)</f>
        <v>0</v>
      </c>
      <c r="ED149" s="44">
        <f>IF(ED146=D148,D149,0)</f>
        <v>0</v>
      </c>
      <c r="EE149" s="44">
        <f>IF(EE146=D148,D149,0)</f>
        <v>0</v>
      </c>
      <c r="EF149" s="44">
        <f>IF(EF146=D148,D149,0)</f>
        <v>0</v>
      </c>
      <c r="EG149" s="44">
        <f>IF(EG146=D148,D149,0)</f>
        <v>0</v>
      </c>
      <c r="EH149" s="44">
        <f>IF(EH146=D148,D149,0)</f>
        <v>0</v>
      </c>
      <c r="EI149" s="44">
        <f t="shared" ref="EI149:EN149" si="307">IF(EI146=E148,E149,0)</f>
        <v>0</v>
      </c>
      <c r="EJ149" s="44">
        <f t="shared" si="307"/>
        <v>0</v>
      </c>
      <c r="EK149" s="44">
        <f t="shared" si="307"/>
        <v>0</v>
      </c>
      <c r="EL149" s="44">
        <f t="shared" si="307"/>
        <v>0</v>
      </c>
      <c r="EM149" s="44">
        <f t="shared" si="307"/>
        <v>0</v>
      </c>
      <c r="EN149" s="44">
        <f t="shared" si="307"/>
        <v>0</v>
      </c>
    </row>
    <row r="150" spans="2:144" outlineLevel="1">
      <c r="C150" s="151" t="s">
        <v>73</v>
      </c>
      <c r="D150" s="45"/>
      <c r="E150" s="44"/>
      <c r="F150" s="44"/>
      <c r="G150" s="44"/>
      <c r="H150" s="44">
        <f>(IF(H146=D148,H149,G152))</f>
        <v>0</v>
      </c>
      <c r="I150" s="44">
        <f>(IF(I146=D148,I149,H152))</f>
        <v>0</v>
      </c>
      <c r="J150" s="44">
        <f>(IF(J146=D148,J149,I152))</f>
        <v>0</v>
      </c>
      <c r="K150" s="44">
        <f>(IF(K146=D148,K149,J152))</f>
        <v>0</v>
      </c>
      <c r="L150" s="44">
        <f>(IF(L146=D148,L149,K152))</f>
        <v>0</v>
      </c>
      <c r="M150" s="44">
        <f>(IF(M146=D148,M149,L152))</f>
        <v>0</v>
      </c>
      <c r="N150" s="44">
        <f>(IF(N146=D148,N149,M152))</f>
        <v>0</v>
      </c>
      <c r="O150" s="44">
        <f>(IF(O146=D148,O149,N152))</f>
        <v>0</v>
      </c>
      <c r="P150" s="44">
        <f>(IF(P146=D148,P149,O152))</f>
        <v>0</v>
      </c>
      <c r="Q150" s="44">
        <f>(IF(Q146=D148,Q149,P152))</f>
        <v>0</v>
      </c>
      <c r="R150" s="44">
        <f>(IF(R146=D148,R149,Q152))</f>
        <v>0</v>
      </c>
      <c r="S150" s="44">
        <f>(IF(S146=D148,S149,R152))</f>
        <v>0</v>
      </c>
      <c r="T150" s="44">
        <f>(IF(T146=D148,T149,S152))</f>
        <v>0</v>
      </c>
      <c r="U150" s="44">
        <f>(IF(U146=D148,U149,T152))</f>
        <v>0</v>
      </c>
      <c r="V150" s="44">
        <f>(IF(V146=D148,V149,U152))</f>
        <v>132223082.24099672</v>
      </c>
      <c r="W150" s="44">
        <f>(IF(W146=D148,W149,V152))</f>
        <v>131121223.22232175</v>
      </c>
      <c r="X150" s="44">
        <f>(IF(X146=D148,X149,W152))</f>
        <v>130019364.20364678</v>
      </c>
      <c r="Y150" s="44">
        <f>(IF(Y146=D148,Y149,X152))</f>
        <v>128917505.18497181</v>
      </c>
      <c r="Z150" s="44">
        <f>(IF(Z146=D148,Z149,Y152))</f>
        <v>127815646.16629684</v>
      </c>
      <c r="AA150" s="44">
        <f>(IF(AA146=D148,AA149,Z152))</f>
        <v>126713787.14762187</v>
      </c>
      <c r="AB150" s="44">
        <f>(IF(AB146=D148,AB149,AA152))</f>
        <v>125611928.1289469</v>
      </c>
      <c r="AC150" s="44">
        <f>(IF(AC146=D148,AC149,AB152))</f>
        <v>124510069.11027193</v>
      </c>
      <c r="AD150" s="44">
        <f>(IF(AD146=D148,AD149,AC152))</f>
        <v>123408210.09159696</v>
      </c>
      <c r="AE150" s="44">
        <f>(IF(AE146=D148,AE149,AD152))</f>
        <v>122306351.07292199</v>
      </c>
      <c r="AF150" s="44">
        <f>(IF(AF146=D148,AF149,AE152))</f>
        <v>121204492.05424702</v>
      </c>
      <c r="AG150" s="44">
        <f>(IF(AG146=D148,AG149,AF152))</f>
        <v>120102633.03557205</v>
      </c>
      <c r="AH150" s="44">
        <f>(IF(AH146=D148,AH149,AG152))</f>
        <v>119000774.01689708</v>
      </c>
      <c r="AI150" s="44">
        <f>(IF(AI146=D148,AI149,AH152))</f>
        <v>117898914.99822211</v>
      </c>
      <c r="AJ150" s="44">
        <f>(IF(AJ146=D148,AJ149,AI152))</f>
        <v>116797055.97954714</v>
      </c>
      <c r="AK150" s="44">
        <f>(IF(AK146=D148,AK149,AJ152))</f>
        <v>115695196.96087217</v>
      </c>
      <c r="AL150" s="44">
        <f>(IF(AL146=D148,AL149,AK152))</f>
        <v>114593337.9421972</v>
      </c>
      <c r="AM150" s="44">
        <f>(IF(AM146=D148,AM149,AL152))</f>
        <v>113491478.92352223</v>
      </c>
      <c r="AN150" s="44">
        <f>(IF(AN146=D148,AN149,AM152))</f>
        <v>112389619.90484726</v>
      </c>
      <c r="AO150" s="44">
        <f>(IF(AO146=D148,AO149,AN152))</f>
        <v>111287760.88617229</v>
      </c>
      <c r="AP150" s="44">
        <f>(IF(AP146=D148,AP149,AO152))</f>
        <v>110185901.86749732</v>
      </c>
      <c r="AQ150" s="44">
        <f>(IF(AQ146=D148,AQ149,AP152))</f>
        <v>109084042.84882236</v>
      </c>
      <c r="AR150" s="44">
        <f>(IF(AR146=D148,AR149,AQ152))</f>
        <v>107982183.83014739</v>
      </c>
      <c r="AS150" s="44">
        <f>(IF(AS146=D148,AS149,AR152))</f>
        <v>106880324.81147242</v>
      </c>
      <c r="AT150" s="44">
        <f>(IF(AT146=D148,AT149,AS152))</f>
        <v>105778465.79279745</v>
      </c>
      <c r="AU150" s="44">
        <f>(IF(AU146=D148,AU149,AT152))</f>
        <v>104676606.77412248</v>
      </c>
      <c r="AV150" s="44">
        <f>(IF(AV146=D148,AV149,AU152))</f>
        <v>103574747.75544751</v>
      </c>
      <c r="AW150" s="44">
        <f>(IF(AW146=D148,AW149,AV152))</f>
        <v>102472888.73677254</v>
      </c>
      <c r="AX150" s="44">
        <f>(IF(AX146=D148,AX149,AW152))</f>
        <v>101371029.71809757</v>
      </c>
      <c r="AY150" s="44">
        <f>(IF(AY146=D148,AY149,AX152))</f>
        <v>100269170.6994226</v>
      </c>
      <c r="AZ150" s="44">
        <f>(IF(AZ146=D148,AZ149,AY152))</f>
        <v>99167311.680747628</v>
      </c>
      <c r="BA150" s="44">
        <f>(IF(BA146=D148,BA149,AZ152))</f>
        <v>98065452.662072659</v>
      </c>
      <c r="BB150" s="44">
        <f>(IF(BB146=D148,BB149,BA152))</f>
        <v>96963593.643397689</v>
      </c>
      <c r="BC150" s="44">
        <f>(IF(BC146=D148,BC149,BB152))</f>
        <v>95861734.624722719</v>
      </c>
      <c r="BD150" s="44">
        <f>(IF(BD146=D148,BD149,BC152))</f>
        <v>94759875.60604775</v>
      </c>
      <c r="BE150" s="44">
        <f>(IF(BE146=D148,BE149,BD152))</f>
        <v>93658016.58737278</v>
      </c>
      <c r="BF150" s="44">
        <f>(IF(BF146=D148,BF149,BE152))</f>
        <v>92556157.56869781</v>
      </c>
      <c r="BG150" s="44">
        <f>(IF(BG146=D148,BG149,BF152))</f>
        <v>91454298.55002284</v>
      </c>
      <c r="BH150" s="44">
        <f>(IF(BH146=D148,BH149,BG152))</f>
        <v>90352439.531347871</v>
      </c>
      <c r="BI150" s="44">
        <f>(IF(BI146=D148,BI149,BH152))</f>
        <v>89250580.512672901</v>
      </c>
      <c r="BJ150" s="44">
        <f>(IF(BJ146=D148,BJ149,BI152))</f>
        <v>88148721.493997931</v>
      </c>
      <c r="BK150" s="44">
        <f>(IF(BK146=D148,BK149,BJ152))</f>
        <v>87046862.475322962</v>
      </c>
      <c r="BL150" s="44">
        <f>(IF(BL146=D148,BL149,BK152))</f>
        <v>85945003.456647992</v>
      </c>
      <c r="BM150" s="44">
        <f>(IF(BM146=D148,BM149,BL152))</f>
        <v>84843144.437973022</v>
      </c>
      <c r="BN150" s="44">
        <f>(IF(BN146=D148,BN149,BM152))</f>
        <v>83741285.419298053</v>
      </c>
      <c r="BO150" s="44">
        <f>(IF(BO146=D148,BO149,BN152))</f>
        <v>82639426.400623083</v>
      </c>
      <c r="BP150" s="44">
        <f>(IF(BP146=D148,BP149,BO152))</f>
        <v>81537567.381948113</v>
      </c>
      <c r="BQ150" s="44">
        <f>(IF(BQ146=D148,BQ149,BP152))</f>
        <v>80435708.363273144</v>
      </c>
      <c r="BR150" s="44">
        <f>(IF(BR146=D148,BR149,BQ152))</f>
        <v>79333849.344598174</v>
      </c>
      <c r="BS150" s="44">
        <f>(IF(BS146=D148,BS149,BR152))</f>
        <v>78231990.325923204</v>
      </c>
      <c r="BT150" s="44">
        <f>(IF(BT146=D148,BT149,BS152))</f>
        <v>77130131.307248235</v>
      </c>
      <c r="BU150" s="44">
        <f>(IF(BU146=D148,BU149,BT152))</f>
        <v>76028272.288573265</v>
      </c>
      <c r="BV150" s="44">
        <f>(IF(BV146=D148,BV149,BU152))</f>
        <v>74926413.269898295</v>
      </c>
      <c r="BW150" s="44">
        <f>(IF(BW146=D148,BW149,BV152))</f>
        <v>73824554.251223326</v>
      </c>
      <c r="BX150" s="44">
        <f>(IF(BX146=D148,BX149,BW152))</f>
        <v>72722695.232548356</v>
      </c>
      <c r="BY150" s="44">
        <f>(IF(BY146=D148,BY149,BX152))</f>
        <v>71620836.213873386</v>
      </c>
      <c r="BZ150" s="44">
        <f>(IF(BZ146=D148,BZ149,BY152))</f>
        <v>70518977.195198417</v>
      </c>
      <c r="CA150" s="44">
        <f>(IF(CA146=D148,CA149,BZ152))</f>
        <v>69417118.176523447</v>
      </c>
      <c r="CB150" s="44">
        <f>(IF(CB146=D148,CB149,CA152))</f>
        <v>68315259.157848477</v>
      </c>
      <c r="CC150" s="44">
        <f>(IF(CC146=D148,CC149,CB152))</f>
        <v>67213400.139173508</v>
      </c>
      <c r="CD150" s="44">
        <f>(IF(CD146=D148,CD149,CC152))</f>
        <v>66111541.120498538</v>
      </c>
      <c r="CE150" s="44">
        <f>(IF(CE146=D148,CE149,CD152))</f>
        <v>65009682.101823568</v>
      </c>
      <c r="CF150" s="44">
        <f>(IF(CF146=D148,CF149,CE152))</f>
        <v>63907823.083148599</v>
      </c>
      <c r="CG150" s="44">
        <f>(IF(CG146=D148,CG149,CF152))</f>
        <v>62805964.064473629</v>
      </c>
      <c r="CH150" s="44">
        <f>(IF(CH146=D148,CH149,CG152))</f>
        <v>61704105.045798659</v>
      </c>
      <c r="CI150" s="44">
        <f>(IF(CI146=D148,CI149,CH152))</f>
        <v>60602246.02712369</v>
      </c>
      <c r="CJ150" s="44">
        <f>(IF(CJ146=D148,CJ149,CI152))</f>
        <v>59500387.00844872</v>
      </c>
      <c r="CK150" s="44">
        <f>(IF(CK146=D148,CK149,CJ152))</f>
        <v>58398527.98977375</v>
      </c>
      <c r="CL150" s="44">
        <f>(IF(CL146=D148,CL149,CK152))</f>
        <v>57296668.971098781</v>
      </c>
      <c r="CM150" s="44">
        <f>(IF(CM146=D148,CM149,CL152))</f>
        <v>56194809.952423811</v>
      </c>
      <c r="CN150" s="44">
        <f>(IF(CN146=D148,CN149,CM152))</f>
        <v>55092950.933748841</v>
      </c>
      <c r="CO150" s="44">
        <f>(IF(CO146=D148,CO149,CN152))</f>
        <v>53991091.915073872</v>
      </c>
      <c r="CP150" s="44">
        <f>(IF(CP146=D148,CP149,CO152))</f>
        <v>52889232.896398902</v>
      </c>
      <c r="CQ150" s="44">
        <f>(IF(CQ146=D148,CQ149,CP152))</f>
        <v>51787373.877723932</v>
      </c>
      <c r="CR150" s="44">
        <f>(IF(CR146=D148,CR149,CQ152))</f>
        <v>50685514.859048963</v>
      </c>
      <c r="CS150" s="44">
        <f>(IF(CS146=D148,CS149,CR152))</f>
        <v>49583655.840373993</v>
      </c>
      <c r="CT150" s="44">
        <f>(IF(CT146=D148,CT149,CS152))</f>
        <v>48481796.821699023</v>
      </c>
      <c r="CU150" s="44">
        <f>(IF(CU146=D148,CU149,CT152))</f>
        <v>47379937.803024054</v>
      </c>
      <c r="CV150" s="44">
        <f>(IF(CV146=D148,CV149,CU152))</f>
        <v>46278078.784349084</v>
      </c>
      <c r="CW150" s="44">
        <f>(IF(CW146=D148,CW149,CV152))</f>
        <v>45176219.765674114</v>
      </c>
      <c r="CX150" s="44">
        <f>(IF(CX146=D148,CX149,CW152))</f>
        <v>44074360.746999145</v>
      </c>
      <c r="CY150" s="44">
        <f>(IF(CY146=D148,CY149,CX152))</f>
        <v>42972501.728324175</v>
      </c>
      <c r="CZ150" s="44">
        <f>(IF(CZ146=D148,CZ149,CY152))</f>
        <v>41870642.709649205</v>
      </c>
      <c r="DA150" s="44">
        <f>(IF(DA146=D148,DA149,CZ152))</f>
        <v>40768783.690974236</v>
      </c>
      <c r="DB150" s="44">
        <f>(IF(DB146=D148,DB149,DA152))</f>
        <v>39666924.672299266</v>
      </c>
      <c r="DC150" s="44">
        <f>(IF(DC146=D148,DC149,DB152))</f>
        <v>38565065.653624296</v>
      </c>
      <c r="DD150" s="44">
        <f>(IF(DD146=D148,DD149,DC152))</f>
        <v>37463206.634949327</v>
      </c>
      <c r="DE150" s="44">
        <f>(IF(DE146=D148,DE149,DD152))</f>
        <v>36361347.616274357</v>
      </c>
      <c r="DF150" s="44">
        <f>(IF(DF146=D148,DF149,DE152))</f>
        <v>35259488.597599387</v>
      </c>
      <c r="DG150" s="44">
        <f>(IF(DG146=D148,DG149,DF152))</f>
        <v>34157629.578924417</v>
      </c>
      <c r="DH150" s="44">
        <f>(IF(DH146=D148,DH149,DG152))</f>
        <v>33055770.560249444</v>
      </c>
      <c r="DI150" s="44">
        <f>(IF(DI146=D148,DI149,DH152))</f>
        <v>31953911.541574471</v>
      </c>
      <c r="DJ150" s="44">
        <f>(IF(DJ146=D148,DJ149,DI152))</f>
        <v>30852052.522899497</v>
      </c>
      <c r="DK150" s="44">
        <f>(IF(DK146=D148,DK149,DJ152))</f>
        <v>29750193.504224524</v>
      </c>
      <c r="DL150" s="44">
        <f>(IF(DL146=D148,DL149,DK152))</f>
        <v>28648334.485549551</v>
      </c>
      <c r="DM150" s="44">
        <f>(IF(DM146=D148,DM149,DL152))</f>
        <v>27546475.466874577</v>
      </c>
      <c r="DN150" s="44">
        <f>(IF(DN146=D148,DN149,DM152))</f>
        <v>26444616.448199604</v>
      </c>
      <c r="DO150" s="44">
        <f>(IF(DO146=D148,DO149,DN152))</f>
        <v>25342757.42952463</v>
      </c>
      <c r="DP150" s="44">
        <f>(IF(DP146=D148,DP149,DO152))</f>
        <v>24240898.410849657</v>
      </c>
      <c r="DQ150" s="44">
        <f>(IF(DQ146=D148,DQ149,DP152))</f>
        <v>23139039.392174684</v>
      </c>
      <c r="DR150" s="44">
        <f>(IF(DR146=D148,DR149,DQ152))</f>
        <v>22037180.37349971</v>
      </c>
      <c r="DS150" s="44">
        <f>(IF(DS146=D148,DS149,DR152))</f>
        <v>20935321.354824737</v>
      </c>
      <c r="DT150" s="44">
        <f>(IF(DT146=D148,DT149,DS152))</f>
        <v>19833462.336149763</v>
      </c>
      <c r="DU150" s="44">
        <f>(IF(DU146=D148,DU149,DT152))</f>
        <v>18731603.31747479</v>
      </c>
      <c r="DV150" s="44">
        <f>(IF(DV146=D148,DV149,DU152))</f>
        <v>17629744.298799817</v>
      </c>
      <c r="DW150" s="44">
        <f>(IF(DW146=D148,DW149,DV152))</f>
        <v>16527885.280124843</v>
      </c>
      <c r="DX150" s="44">
        <f>(IF(DX146=D148,DX149,DW152))</f>
        <v>15426026.26144987</v>
      </c>
      <c r="DY150" s="44">
        <f>(IF(DY146=D148,DY149,DX152))</f>
        <v>14324167.242774896</v>
      </c>
      <c r="DZ150" s="44">
        <f>(IF(DZ146=D148,DZ149,DY152))</f>
        <v>13222308.224099923</v>
      </c>
      <c r="EA150" s="44">
        <f>(IF(EA146=D148,EA149,DZ152))</f>
        <v>12120449.20542495</v>
      </c>
      <c r="EB150" s="44">
        <f>(IF(EB146=D148,EB149,EA152))</f>
        <v>11018590.186749976</v>
      </c>
      <c r="EC150" s="44">
        <f>(IF(EC146=D148,EC149,EB152))</f>
        <v>9916731.1680750027</v>
      </c>
      <c r="ED150" s="44">
        <f>(IF(ED146=D148,ED149,EC152))</f>
        <v>8814872.1494000293</v>
      </c>
      <c r="EE150" s="44">
        <f>(IF(EE146=D148,EE149,ED152))</f>
        <v>7713013.1307250569</v>
      </c>
      <c r="EF150" s="44">
        <f>(IF(EF146=D148,EF149,EE152))</f>
        <v>6611154.1120500844</v>
      </c>
      <c r="EG150" s="44">
        <f>(IF(EG146=D148,EG149,EF152))</f>
        <v>5509295.0933751119</v>
      </c>
      <c r="EH150" s="44">
        <f>(IF(EH146=D148,EH149,EG152))</f>
        <v>4407436.0747001395</v>
      </c>
      <c r="EI150" s="44">
        <f t="shared" ref="EI150:EN150" si="308">(IF(EI146=E148,EI149,EH152))</f>
        <v>3305577.056025167</v>
      </c>
      <c r="EJ150" s="44">
        <f t="shared" si="308"/>
        <v>2203718.0373501945</v>
      </c>
      <c r="EK150" s="44">
        <f t="shared" si="308"/>
        <v>1101859.0186752218</v>
      </c>
      <c r="EL150" s="44">
        <f t="shared" si="308"/>
        <v>2.491287887096405E-7</v>
      </c>
      <c r="EM150" s="44">
        <f t="shared" si="308"/>
        <v>2.491287887096405E-7</v>
      </c>
      <c r="EN150" s="44">
        <f t="shared" si="308"/>
        <v>2.491287887096405E-7</v>
      </c>
    </row>
    <row r="151" spans="2:144" outlineLevel="1">
      <c r="B151" s="459">
        <f>SUM(H151:XX151)</f>
        <v>132223082.24099647</v>
      </c>
      <c r="C151" s="151" t="s">
        <v>24</v>
      </c>
      <c r="D151" s="467">
        <f>SUMIF($C$4:$C$18,B148,$J$4:$J$18)</f>
        <v>30</v>
      </c>
      <c r="E151" s="468">
        <f>1/D151</f>
        <v>3.3333333333333333E-2</v>
      </c>
      <c r="F151" s="44">
        <f>D149*E151</f>
        <v>4407436.0746998908</v>
      </c>
      <c r="G151" s="44"/>
      <c r="H151" s="44">
        <f>IF(H150&gt;1,$F151/4,0)</f>
        <v>0</v>
      </c>
      <c r="I151" s="44">
        <f t="shared" ref="I151:BT151" si="309">IF(I150&gt;1,$F151/4,0)</f>
        <v>0</v>
      </c>
      <c r="J151" s="44">
        <f t="shared" si="309"/>
        <v>0</v>
      </c>
      <c r="K151" s="44">
        <f t="shared" si="309"/>
        <v>0</v>
      </c>
      <c r="L151" s="44">
        <f t="shared" si="309"/>
        <v>0</v>
      </c>
      <c r="M151" s="44">
        <f t="shared" si="309"/>
        <v>0</v>
      </c>
      <c r="N151" s="44">
        <f t="shared" si="309"/>
        <v>0</v>
      </c>
      <c r="O151" s="44">
        <f t="shared" si="309"/>
        <v>0</v>
      </c>
      <c r="P151" s="44">
        <f t="shared" si="309"/>
        <v>0</v>
      </c>
      <c r="Q151" s="44">
        <f t="shared" si="309"/>
        <v>0</v>
      </c>
      <c r="R151" s="44">
        <f t="shared" si="309"/>
        <v>0</v>
      </c>
      <c r="S151" s="44">
        <f t="shared" si="309"/>
        <v>0</v>
      </c>
      <c r="T151" s="44">
        <f t="shared" si="309"/>
        <v>0</v>
      </c>
      <c r="U151" s="44">
        <f t="shared" si="309"/>
        <v>0</v>
      </c>
      <c r="V151" s="44">
        <f t="shared" si="309"/>
        <v>1101859.0186749727</v>
      </c>
      <c r="W151" s="44">
        <f t="shared" si="309"/>
        <v>1101859.0186749727</v>
      </c>
      <c r="X151" s="44">
        <f t="shared" si="309"/>
        <v>1101859.0186749727</v>
      </c>
      <c r="Y151" s="44">
        <f t="shared" si="309"/>
        <v>1101859.0186749727</v>
      </c>
      <c r="Z151" s="44">
        <f t="shared" si="309"/>
        <v>1101859.0186749727</v>
      </c>
      <c r="AA151" s="44">
        <f t="shared" si="309"/>
        <v>1101859.0186749727</v>
      </c>
      <c r="AB151" s="44">
        <f t="shared" si="309"/>
        <v>1101859.0186749727</v>
      </c>
      <c r="AC151" s="44">
        <f t="shared" si="309"/>
        <v>1101859.0186749727</v>
      </c>
      <c r="AD151" s="44">
        <f t="shared" si="309"/>
        <v>1101859.0186749727</v>
      </c>
      <c r="AE151" s="44">
        <f t="shared" si="309"/>
        <v>1101859.0186749727</v>
      </c>
      <c r="AF151" s="44">
        <f t="shared" si="309"/>
        <v>1101859.0186749727</v>
      </c>
      <c r="AG151" s="44">
        <f t="shared" si="309"/>
        <v>1101859.0186749727</v>
      </c>
      <c r="AH151" s="44">
        <f t="shared" si="309"/>
        <v>1101859.0186749727</v>
      </c>
      <c r="AI151" s="44">
        <f t="shared" si="309"/>
        <v>1101859.0186749727</v>
      </c>
      <c r="AJ151" s="44">
        <f t="shared" si="309"/>
        <v>1101859.0186749727</v>
      </c>
      <c r="AK151" s="44">
        <f t="shared" si="309"/>
        <v>1101859.0186749727</v>
      </c>
      <c r="AL151" s="44">
        <f t="shared" si="309"/>
        <v>1101859.0186749727</v>
      </c>
      <c r="AM151" s="44">
        <f t="shared" si="309"/>
        <v>1101859.0186749727</v>
      </c>
      <c r="AN151" s="44">
        <f t="shared" si="309"/>
        <v>1101859.0186749727</v>
      </c>
      <c r="AO151" s="44">
        <f t="shared" si="309"/>
        <v>1101859.0186749727</v>
      </c>
      <c r="AP151" s="44">
        <f t="shared" si="309"/>
        <v>1101859.0186749727</v>
      </c>
      <c r="AQ151" s="44">
        <f t="shared" si="309"/>
        <v>1101859.0186749727</v>
      </c>
      <c r="AR151" s="44">
        <f t="shared" si="309"/>
        <v>1101859.0186749727</v>
      </c>
      <c r="AS151" s="44">
        <f t="shared" si="309"/>
        <v>1101859.0186749727</v>
      </c>
      <c r="AT151" s="44">
        <f t="shared" si="309"/>
        <v>1101859.0186749727</v>
      </c>
      <c r="AU151" s="44">
        <f t="shared" si="309"/>
        <v>1101859.0186749727</v>
      </c>
      <c r="AV151" s="44">
        <f t="shared" si="309"/>
        <v>1101859.0186749727</v>
      </c>
      <c r="AW151" s="44">
        <f t="shared" si="309"/>
        <v>1101859.0186749727</v>
      </c>
      <c r="AX151" s="44">
        <f t="shared" si="309"/>
        <v>1101859.0186749727</v>
      </c>
      <c r="AY151" s="44">
        <f t="shared" si="309"/>
        <v>1101859.0186749727</v>
      </c>
      <c r="AZ151" s="44">
        <f t="shared" si="309"/>
        <v>1101859.0186749727</v>
      </c>
      <c r="BA151" s="44">
        <f t="shared" si="309"/>
        <v>1101859.0186749727</v>
      </c>
      <c r="BB151" s="44">
        <f t="shared" si="309"/>
        <v>1101859.0186749727</v>
      </c>
      <c r="BC151" s="44">
        <f t="shared" si="309"/>
        <v>1101859.0186749727</v>
      </c>
      <c r="BD151" s="44">
        <f t="shared" si="309"/>
        <v>1101859.0186749727</v>
      </c>
      <c r="BE151" s="44">
        <f t="shared" si="309"/>
        <v>1101859.0186749727</v>
      </c>
      <c r="BF151" s="44">
        <f t="shared" si="309"/>
        <v>1101859.0186749727</v>
      </c>
      <c r="BG151" s="44">
        <f t="shared" si="309"/>
        <v>1101859.0186749727</v>
      </c>
      <c r="BH151" s="44">
        <f t="shared" si="309"/>
        <v>1101859.0186749727</v>
      </c>
      <c r="BI151" s="44">
        <f t="shared" si="309"/>
        <v>1101859.0186749727</v>
      </c>
      <c r="BJ151" s="44">
        <f t="shared" si="309"/>
        <v>1101859.0186749727</v>
      </c>
      <c r="BK151" s="44">
        <f t="shared" si="309"/>
        <v>1101859.0186749727</v>
      </c>
      <c r="BL151" s="44">
        <f t="shared" si="309"/>
        <v>1101859.0186749727</v>
      </c>
      <c r="BM151" s="44">
        <f t="shared" si="309"/>
        <v>1101859.0186749727</v>
      </c>
      <c r="BN151" s="44">
        <f t="shared" si="309"/>
        <v>1101859.0186749727</v>
      </c>
      <c r="BO151" s="44">
        <f t="shared" si="309"/>
        <v>1101859.0186749727</v>
      </c>
      <c r="BP151" s="44">
        <f t="shared" si="309"/>
        <v>1101859.0186749727</v>
      </c>
      <c r="BQ151" s="44">
        <f t="shared" si="309"/>
        <v>1101859.0186749727</v>
      </c>
      <c r="BR151" s="44">
        <f t="shared" si="309"/>
        <v>1101859.0186749727</v>
      </c>
      <c r="BS151" s="44">
        <f t="shared" si="309"/>
        <v>1101859.0186749727</v>
      </c>
      <c r="BT151" s="44">
        <f t="shared" si="309"/>
        <v>1101859.0186749727</v>
      </c>
      <c r="BU151" s="44">
        <f t="shared" ref="BU151:EF151" si="310">IF(BU150&gt;1,$F151/4,0)</f>
        <v>1101859.0186749727</v>
      </c>
      <c r="BV151" s="44">
        <f t="shared" si="310"/>
        <v>1101859.0186749727</v>
      </c>
      <c r="BW151" s="44">
        <f t="shared" si="310"/>
        <v>1101859.0186749727</v>
      </c>
      <c r="BX151" s="44">
        <f t="shared" si="310"/>
        <v>1101859.0186749727</v>
      </c>
      <c r="BY151" s="44">
        <f t="shared" si="310"/>
        <v>1101859.0186749727</v>
      </c>
      <c r="BZ151" s="44">
        <f t="shared" si="310"/>
        <v>1101859.0186749727</v>
      </c>
      <c r="CA151" s="44">
        <f t="shared" si="310"/>
        <v>1101859.0186749727</v>
      </c>
      <c r="CB151" s="44">
        <f t="shared" si="310"/>
        <v>1101859.0186749727</v>
      </c>
      <c r="CC151" s="44">
        <f t="shared" si="310"/>
        <v>1101859.0186749727</v>
      </c>
      <c r="CD151" s="44">
        <f t="shared" si="310"/>
        <v>1101859.0186749727</v>
      </c>
      <c r="CE151" s="44">
        <f t="shared" si="310"/>
        <v>1101859.0186749727</v>
      </c>
      <c r="CF151" s="44">
        <f t="shared" si="310"/>
        <v>1101859.0186749727</v>
      </c>
      <c r="CG151" s="44">
        <f t="shared" si="310"/>
        <v>1101859.0186749727</v>
      </c>
      <c r="CH151" s="44">
        <f t="shared" si="310"/>
        <v>1101859.0186749727</v>
      </c>
      <c r="CI151" s="44">
        <f t="shared" si="310"/>
        <v>1101859.0186749727</v>
      </c>
      <c r="CJ151" s="44">
        <f t="shared" si="310"/>
        <v>1101859.0186749727</v>
      </c>
      <c r="CK151" s="44">
        <f t="shared" si="310"/>
        <v>1101859.0186749727</v>
      </c>
      <c r="CL151" s="44">
        <f t="shared" si="310"/>
        <v>1101859.0186749727</v>
      </c>
      <c r="CM151" s="44">
        <f t="shared" si="310"/>
        <v>1101859.0186749727</v>
      </c>
      <c r="CN151" s="44">
        <f t="shared" si="310"/>
        <v>1101859.0186749727</v>
      </c>
      <c r="CO151" s="44">
        <f t="shared" si="310"/>
        <v>1101859.0186749727</v>
      </c>
      <c r="CP151" s="44">
        <f t="shared" si="310"/>
        <v>1101859.0186749727</v>
      </c>
      <c r="CQ151" s="44">
        <f t="shared" si="310"/>
        <v>1101859.0186749727</v>
      </c>
      <c r="CR151" s="44">
        <f t="shared" si="310"/>
        <v>1101859.0186749727</v>
      </c>
      <c r="CS151" s="44">
        <f t="shared" si="310"/>
        <v>1101859.0186749727</v>
      </c>
      <c r="CT151" s="44">
        <f t="shared" si="310"/>
        <v>1101859.0186749727</v>
      </c>
      <c r="CU151" s="44">
        <f t="shared" si="310"/>
        <v>1101859.0186749727</v>
      </c>
      <c r="CV151" s="44">
        <f t="shared" si="310"/>
        <v>1101859.0186749727</v>
      </c>
      <c r="CW151" s="44">
        <f t="shared" si="310"/>
        <v>1101859.0186749727</v>
      </c>
      <c r="CX151" s="44">
        <f t="shared" si="310"/>
        <v>1101859.0186749727</v>
      </c>
      <c r="CY151" s="44">
        <f t="shared" si="310"/>
        <v>1101859.0186749727</v>
      </c>
      <c r="CZ151" s="44">
        <f t="shared" si="310"/>
        <v>1101859.0186749727</v>
      </c>
      <c r="DA151" s="44">
        <f t="shared" si="310"/>
        <v>1101859.0186749727</v>
      </c>
      <c r="DB151" s="44">
        <f t="shared" si="310"/>
        <v>1101859.0186749727</v>
      </c>
      <c r="DC151" s="44">
        <f t="shared" si="310"/>
        <v>1101859.0186749727</v>
      </c>
      <c r="DD151" s="44">
        <f t="shared" si="310"/>
        <v>1101859.0186749727</v>
      </c>
      <c r="DE151" s="44">
        <f t="shared" si="310"/>
        <v>1101859.0186749727</v>
      </c>
      <c r="DF151" s="44">
        <f t="shared" si="310"/>
        <v>1101859.0186749727</v>
      </c>
      <c r="DG151" s="44">
        <f t="shared" si="310"/>
        <v>1101859.0186749727</v>
      </c>
      <c r="DH151" s="44">
        <f t="shared" si="310"/>
        <v>1101859.0186749727</v>
      </c>
      <c r="DI151" s="44">
        <f t="shared" si="310"/>
        <v>1101859.0186749727</v>
      </c>
      <c r="DJ151" s="44">
        <f t="shared" si="310"/>
        <v>1101859.0186749727</v>
      </c>
      <c r="DK151" s="44">
        <f t="shared" si="310"/>
        <v>1101859.0186749727</v>
      </c>
      <c r="DL151" s="44">
        <f t="shared" si="310"/>
        <v>1101859.0186749727</v>
      </c>
      <c r="DM151" s="44">
        <f t="shared" si="310"/>
        <v>1101859.0186749727</v>
      </c>
      <c r="DN151" s="44">
        <f t="shared" si="310"/>
        <v>1101859.0186749727</v>
      </c>
      <c r="DO151" s="44">
        <f t="shared" si="310"/>
        <v>1101859.0186749727</v>
      </c>
      <c r="DP151" s="44">
        <f t="shared" si="310"/>
        <v>1101859.0186749727</v>
      </c>
      <c r="DQ151" s="44">
        <f t="shared" si="310"/>
        <v>1101859.0186749727</v>
      </c>
      <c r="DR151" s="44">
        <f t="shared" si="310"/>
        <v>1101859.0186749727</v>
      </c>
      <c r="DS151" s="44">
        <f t="shared" si="310"/>
        <v>1101859.0186749727</v>
      </c>
      <c r="DT151" s="44">
        <f t="shared" si="310"/>
        <v>1101859.0186749727</v>
      </c>
      <c r="DU151" s="44">
        <f t="shared" si="310"/>
        <v>1101859.0186749727</v>
      </c>
      <c r="DV151" s="44">
        <f t="shared" si="310"/>
        <v>1101859.0186749727</v>
      </c>
      <c r="DW151" s="44">
        <f t="shared" si="310"/>
        <v>1101859.0186749727</v>
      </c>
      <c r="DX151" s="44">
        <f t="shared" si="310"/>
        <v>1101859.0186749727</v>
      </c>
      <c r="DY151" s="44">
        <f t="shared" si="310"/>
        <v>1101859.0186749727</v>
      </c>
      <c r="DZ151" s="44">
        <f t="shared" si="310"/>
        <v>1101859.0186749727</v>
      </c>
      <c r="EA151" s="44">
        <f t="shared" si="310"/>
        <v>1101859.0186749727</v>
      </c>
      <c r="EB151" s="44">
        <f t="shared" si="310"/>
        <v>1101859.0186749727</v>
      </c>
      <c r="EC151" s="44">
        <f t="shared" si="310"/>
        <v>1101859.0186749727</v>
      </c>
      <c r="ED151" s="44">
        <f t="shared" si="310"/>
        <v>1101859.0186749727</v>
      </c>
      <c r="EE151" s="44">
        <f t="shared" si="310"/>
        <v>1101859.0186749727</v>
      </c>
      <c r="EF151" s="44">
        <f t="shared" si="310"/>
        <v>1101859.0186749727</v>
      </c>
      <c r="EG151" s="44">
        <f t="shared" ref="EG151:EN151" si="311">IF(EG150&gt;1,$F151/4,0)</f>
        <v>1101859.0186749727</v>
      </c>
      <c r="EH151" s="44">
        <f t="shared" si="311"/>
        <v>1101859.0186749727</v>
      </c>
      <c r="EI151" s="44">
        <f t="shared" si="311"/>
        <v>1101859.0186749727</v>
      </c>
      <c r="EJ151" s="44">
        <f t="shared" si="311"/>
        <v>1101859.0186749727</v>
      </c>
      <c r="EK151" s="44">
        <f t="shared" si="311"/>
        <v>1101859.0186749727</v>
      </c>
      <c r="EL151" s="44">
        <f t="shared" si="311"/>
        <v>0</v>
      </c>
      <c r="EM151" s="44">
        <f t="shared" si="311"/>
        <v>0</v>
      </c>
      <c r="EN151" s="44">
        <f t="shared" si="311"/>
        <v>0</v>
      </c>
    </row>
    <row r="152" spans="2:144" outlineLevel="1">
      <c r="B152" s="459">
        <f>D149-B151</f>
        <v>2.5331974029541016E-7</v>
      </c>
      <c r="C152" s="151" t="s">
        <v>74</v>
      </c>
      <c r="D152" s="44"/>
      <c r="E152" s="44"/>
      <c r="F152" s="44"/>
      <c r="G152" s="44"/>
      <c r="H152" s="44">
        <f>IF((H150-H151)&gt;0,(H150-H151),0)</f>
        <v>0</v>
      </c>
      <c r="I152" s="44">
        <f t="shared" ref="I152:BT152" si="312">IF((I150-I151)&gt;0,(I150-I151),0)</f>
        <v>0</v>
      </c>
      <c r="J152" s="44">
        <f t="shared" si="312"/>
        <v>0</v>
      </c>
      <c r="K152" s="44">
        <f t="shared" si="312"/>
        <v>0</v>
      </c>
      <c r="L152" s="44">
        <f t="shared" si="312"/>
        <v>0</v>
      </c>
      <c r="M152" s="44">
        <f t="shared" si="312"/>
        <v>0</v>
      </c>
      <c r="N152" s="44">
        <f t="shared" si="312"/>
        <v>0</v>
      </c>
      <c r="O152" s="44">
        <f t="shared" si="312"/>
        <v>0</v>
      </c>
      <c r="P152" s="44">
        <f t="shared" si="312"/>
        <v>0</v>
      </c>
      <c r="Q152" s="44">
        <f t="shared" si="312"/>
        <v>0</v>
      </c>
      <c r="R152" s="44">
        <f t="shared" si="312"/>
        <v>0</v>
      </c>
      <c r="S152" s="44">
        <f t="shared" si="312"/>
        <v>0</v>
      </c>
      <c r="T152" s="44">
        <f t="shared" si="312"/>
        <v>0</v>
      </c>
      <c r="U152" s="44">
        <f t="shared" si="312"/>
        <v>0</v>
      </c>
      <c r="V152" s="44">
        <f t="shared" si="312"/>
        <v>131121223.22232175</v>
      </c>
      <c r="W152" s="44">
        <f t="shared" si="312"/>
        <v>130019364.20364678</v>
      </c>
      <c r="X152" s="44">
        <f t="shared" si="312"/>
        <v>128917505.18497181</v>
      </c>
      <c r="Y152" s="44">
        <f t="shared" si="312"/>
        <v>127815646.16629684</v>
      </c>
      <c r="Z152" s="44">
        <f t="shared" si="312"/>
        <v>126713787.14762187</v>
      </c>
      <c r="AA152" s="44">
        <f t="shared" si="312"/>
        <v>125611928.1289469</v>
      </c>
      <c r="AB152" s="44">
        <f t="shared" si="312"/>
        <v>124510069.11027193</v>
      </c>
      <c r="AC152" s="44">
        <f t="shared" si="312"/>
        <v>123408210.09159696</v>
      </c>
      <c r="AD152" s="44">
        <f t="shared" si="312"/>
        <v>122306351.07292199</v>
      </c>
      <c r="AE152" s="44">
        <f t="shared" si="312"/>
        <v>121204492.05424702</v>
      </c>
      <c r="AF152" s="44">
        <f t="shared" si="312"/>
        <v>120102633.03557205</v>
      </c>
      <c r="AG152" s="44">
        <f t="shared" si="312"/>
        <v>119000774.01689708</v>
      </c>
      <c r="AH152" s="44">
        <f t="shared" si="312"/>
        <v>117898914.99822211</v>
      </c>
      <c r="AI152" s="44">
        <f t="shared" si="312"/>
        <v>116797055.97954714</v>
      </c>
      <c r="AJ152" s="44">
        <f t="shared" si="312"/>
        <v>115695196.96087217</v>
      </c>
      <c r="AK152" s="44">
        <f t="shared" si="312"/>
        <v>114593337.9421972</v>
      </c>
      <c r="AL152" s="44">
        <f t="shared" si="312"/>
        <v>113491478.92352223</v>
      </c>
      <c r="AM152" s="44">
        <f t="shared" si="312"/>
        <v>112389619.90484726</v>
      </c>
      <c r="AN152" s="44">
        <f t="shared" si="312"/>
        <v>111287760.88617229</v>
      </c>
      <c r="AO152" s="44">
        <f t="shared" si="312"/>
        <v>110185901.86749732</v>
      </c>
      <c r="AP152" s="44">
        <f t="shared" si="312"/>
        <v>109084042.84882236</v>
      </c>
      <c r="AQ152" s="44">
        <f t="shared" si="312"/>
        <v>107982183.83014739</v>
      </c>
      <c r="AR152" s="44">
        <f t="shared" si="312"/>
        <v>106880324.81147242</v>
      </c>
      <c r="AS152" s="44">
        <f t="shared" si="312"/>
        <v>105778465.79279745</v>
      </c>
      <c r="AT152" s="44">
        <f t="shared" si="312"/>
        <v>104676606.77412248</v>
      </c>
      <c r="AU152" s="44">
        <f t="shared" si="312"/>
        <v>103574747.75544751</v>
      </c>
      <c r="AV152" s="44">
        <f t="shared" si="312"/>
        <v>102472888.73677254</v>
      </c>
      <c r="AW152" s="44">
        <f t="shared" si="312"/>
        <v>101371029.71809757</v>
      </c>
      <c r="AX152" s="44">
        <f t="shared" si="312"/>
        <v>100269170.6994226</v>
      </c>
      <c r="AY152" s="44">
        <f t="shared" si="312"/>
        <v>99167311.680747628</v>
      </c>
      <c r="AZ152" s="44">
        <f t="shared" si="312"/>
        <v>98065452.662072659</v>
      </c>
      <c r="BA152" s="44">
        <f t="shared" si="312"/>
        <v>96963593.643397689</v>
      </c>
      <c r="BB152" s="44">
        <f t="shared" si="312"/>
        <v>95861734.624722719</v>
      </c>
      <c r="BC152" s="44">
        <f t="shared" si="312"/>
        <v>94759875.60604775</v>
      </c>
      <c r="BD152" s="44">
        <f t="shared" si="312"/>
        <v>93658016.58737278</v>
      </c>
      <c r="BE152" s="44">
        <f t="shared" si="312"/>
        <v>92556157.56869781</v>
      </c>
      <c r="BF152" s="44">
        <f t="shared" si="312"/>
        <v>91454298.55002284</v>
      </c>
      <c r="BG152" s="44">
        <f t="shared" si="312"/>
        <v>90352439.531347871</v>
      </c>
      <c r="BH152" s="44">
        <f t="shared" si="312"/>
        <v>89250580.512672901</v>
      </c>
      <c r="BI152" s="44">
        <f t="shared" si="312"/>
        <v>88148721.493997931</v>
      </c>
      <c r="BJ152" s="44">
        <f t="shared" si="312"/>
        <v>87046862.475322962</v>
      </c>
      <c r="BK152" s="44">
        <f t="shared" si="312"/>
        <v>85945003.456647992</v>
      </c>
      <c r="BL152" s="44">
        <f t="shared" si="312"/>
        <v>84843144.437973022</v>
      </c>
      <c r="BM152" s="44">
        <f t="shared" si="312"/>
        <v>83741285.419298053</v>
      </c>
      <c r="BN152" s="44">
        <f t="shared" si="312"/>
        <v>82639426.400623083</v>
      </c>
      <c r="BO152" s="44">
        <f t="shared" si="312"/>
        <v>81537567.381948113</v>
      </c>
      <c r="BP152" s="44">
        <f t="shared" si="312"/>
        <v>80435708.363273144</v>
      </c>
      <c r="BQ152" s="44">
        <f t="shared" si="312"/>
        <v>79333849.344598174</v>
      </c>
      <c r="BR152" s="44">
        <f t="shared" si="312"/>
        <v>78231990.325923204</v>
      </c>
      <c r="BS152" s="44">
        <f t="shared" si="312"/>
        <v>77130131.307248235</v>
      </c>
      <c r="BT152" s="44">
        <f t="shared" si="312"/>
        <v>76028272.288573265</v>
      </c>
      <c r="BU152" s="44">
        <f t="shared" ref="BU152:EF152" si="313">IF((BU150-BU151)&gt;0,(BU150-BU151),0)</f>
        <v>74926413.269898295</v>
      </c>
      <c r="BV152" s="44">
        <f t="shared" si="313"/>
        <v>73824554.251223326</v>
      </c>
      <c r="BW152" s="44">
        <f t="shared" si="313"/>
        <v>72722695.232548356</v>
      </c>
      <c r="BX152" s="44">
        <f t="shared" si="313"/>
        <v>71620836.213873386</v>
      </c>
      <c r="BY152" s="44">
        <f t="shared" si="313"/>
        <v>70518977.195198417</v>
      </c>
      <c r="BZ152" s="44">
        <f t="shared" si="313"/>
        <v>69417118.176523447</v>
      </c>
      <c r="CA152" s="44">
        <f t="shared" si="313"/>
        <v>68315259.157848477</v>
      </c>
      <c r="CB152" s="44">
        <f t="shared" si="313"/>
        <v>67213400.139173508</v>
      </c>
      <c r="CC152" s="44">
        <f t="shared" si="313"/>
        <v>66111541.120498538</v>
      </c>
      <c r="CD152" s="44">
        <f t="shared" si="313"/>
        <v>65009682.101823568</v>
      </c>
      <c r="CE152" s="44">
        <f t="shared" si="313"/>
        <v>63907823.083148599</v>
      </c>
      <c r="CF152" s="44">
        <f t="shared" si="313"/>
        <v>62805964.064473629</v>
      </c>
      <c r="CG152" s="44">
        <f t="shared" si="313"/>
        <v>61704105.045798659</v>
      </c>
      <c r="CH152" s="44">
        <f t="shared" si="313"/>
        <v>60602246.02712369</v>
      </c>
      <c r="CI152" s="44">
        <f t="shared" si="313"/>
        <v>59500387.00844872</v>
      </c>
      <c r="CJ152" s="44">
        <f t="shared" si="313"/>
        <v>58398527.98977375</v>
      </c>
      <c r="CK152" s="44">
        <f t="shared" si="313"/>
        <v>57296668.971098781</v>
      </c>
      <c r="CL152" s="44">
        <f t="shared" si="313"/>
        <v>56194809.952423811</v>
      </c>
      <c r="CM152" s="44">
        <f t="shared" si="313"/>
        <v>55092950.933748841</v>
      </c>
      <c r="CN152" s="44">
        <f t="shared" si="313"/>
        <v>53991091.915073872</v>
      </c>
      <c r="CO152" s="44">
        <f t="shared" si="313"/>
        <v>52889232.896398902</v>
      </c>
      <c r="CP152" s="44">
        <f t="shared" si="313"/>
        <v>51787373.877723932</v>
      </c>
      <c r="CQ152" s="44">
        <f t="shared" si="313"/>
        <v>50685514.859048963</v>
      </c>
      <c r="CR152" s="44">
        <f t="shared" si="313"/>
        <v>49583655.840373993</v>
      </c>
      <c r="CS152" s="44">
        <f t="shared" si="313"/>
        <v>48481796.821699023</v>
      </c>
      <c r="CT152" s="44">
        <f t="shared" si="313"/>
        <v>47379937.803024054</v>
      </c>
      <c r="CU152" s="44">
        <f t="shared" si="313"/>
        <v>46278078.784349084</v>
      </c>
      <c r="CV152" s="44">
        <f t="shared" si="313"/>
        <v>45176219.765674114</v>
      </c>
      <c r="CW152" s="44">
        <f t="shared" si="313"/>
        <v>44074360.746999145</v>
      </c>
      <c r="CX152" s="44">
        <f t="shared" si="313"/>
        <v>42972501.728324175</v>
      </c>
      <c r="CY152" s="44">
        <f t="shared" si="313"/>
        <v>41870642.709649205</v>
      </c>
      <c r="CZ152" s="44">
        <f t="shared" si="313"/>
        <v>40768783.690974236</v>
      </c>
      <c r="DA152" s="44">
        <f t="shared" si="313"/>
        <v>39666924.672299266</v>
      </c>
      <c r="DB152" s="44">
        <f t="shared" si="313"/>
        <v>38565065.653624296</v>
      </c>
      <c r="DC152" s="44">
        <f t="shared" si="313"/>
        <v>37463206.634949327</v>
      </c>
      <c r="DD152" s="44">
        <f t="shared" si="313"/>
        <v>36361347.616274357</v>
      </c>
      <c r="DE152" s="44">
        <f t="shared" si="313"/>
        <v>35259488.597599387</v>
      </c>
      <c r="DF152" s="44">
        <f t="shared" si="313"/>
        <v>34157629.578924417</v>
      </c>
      <c r="DG152" s="44">
        <f t="shared" si="313"/>
        <v>33055770.560249444</v>
      </c>
      <c r="DH152" s="44">
        <f t="shared" si="313"/>
        <v>31953911.541574471</v>
      </c>
      <c r="DI152" s="44">
        <f t="shared" si="313"/>
        <v>30852052.522899497</v>
      </c>
      <c r="DJ152" s="44">
        <f t="shared" si="313"/>
        <v>29750193.504224524</v>
      </c>
      <c r="DK152" s="44">
        <f t="shared" si="313"/>
        <v>28648334.485549551</v>
      </c>
      <c r="DL152" s="44">
        <f t="shared" si="313"/>
        <v>27546475.466874577</v>
      </c>
      <c r="DM152" s="44">
        <f t="shared" si="313"/>
        <v>26444616.448199604</v>
      </c>
      <c r="DN152" s="44">
        <f t="shared" si="313"/>
        <v>25342757.42952463</v>
      </c>
      <c r="DO152" s="44">
        <f t="shared" si="313"/>
        <v>24240898.410849657</v>
      </c>
      <c r="DP152" s="44">
        <f t="shared" si="313"/>
        <v>23139039.392174684</v>
      </c>
      <c r="DQ152" s="44">
        <f t="shared" si="313"/>
        <v>22037180.37349971</v>
      </c>
      <c r="DR152" s="44">
        <f t="shared" si="313"/>
        <v>20935321.354824737</v>
      </c>
      <c r="DS152" s="44">
        <f t="shared" si="313"/>
        <v>19833462.336149763</v>
      </c>
      <c r="DT152" s="44">
        <f t="shared" si="313"/>
        <v>18731603.31747479</v>
      </c>
      <c r="DU152" s="44">
        <f t="shared" si="313"/>
        <v>17629744.298799817</v>
      </c>
      <c r="DV152" s="44">
        <f t="shared" si="313"/>
        <v>16527885.280124843</v>
      </c>
      <c r="DW152" s="44">
        <f t="shared" si="313"/>
        <v>15426026.26144987</v>
      </c>
      <c r="DX152" s="44">
        <f t="shared" si="313"/>
        <v>14324167.242774896</v>
      </c>
      <c r="DY152" s="44">
        <f t="shared" si="313"/>
        <v>13222308.224099923</v>
      </c>
      <c r="DZ152" s="44">
        <f t="shared" si="313"/>
        <v>12120449.20542495</v>
      </c>
      <c r="EA152" s="44">
        <f t="shared" si="313"/>
        <v>11018590.186749976</v>
      </c>
      <c r="EB152" s="44">
        <f t="shared" si="313"/>
        <v>9916731.1680750027</v>
      </c>
      <c r="EC152" s="44">
        <f t="shared" si="313"/>
        <v>8814872.1494000293</v>
      </c>
      <c r="ED152" s="44">
        <f t="shared" si="313"/>
        <v>7713013.1307250569</v>
      </c>
      <c r="EE152" s="44">
        <f t="shared" si="313"/>
        <v>6611154.1120500844</v>
      </c>
      <c r="EF152" s="44">
        <f t="shared" si="313"/>
        <v>5509295.0933751119</v>
      </c>
      <c r="EG152" s="44">
        <f t="shared" ref="EG152:EN152" si="314">IF((EG150-EG151)&gt;0,(EG150-EG151),0)</f>
        <v>4407436.0747001395</v>
      </c>
      <c r="EH152" s="44">
        <f t="shared" si="314"/>
        <v>3305577.056025167</v>
      </c>
      <c r="EI152" s="44">
        <f t="shared" si="314"/>
        <v>2203718.0373501945</v>
      </c>
      <c r="EJ152" s="44">
        <f t="shared" si="314"/>
        <v>1101859.0186752218</v>
      </c>
      <c r="EK152" s="44">
        <f t="shared" si="314"/>
        <v>2.491287887096405E-7</v>
      </c>
      <c r="EL152" s="44">
        <f t="shared" si="314"/>
        <v>2.491287887096405E-7</v>
      </c>
      <c r="EM152" s="44">
        <f t="shared" si="314"/>
        <v>2.491287887096405E-7</v>
      </c>
      <c r="EN152" s="44">
        <f t="shared" si="314"/>
        <v>2.491287887096405E-7</v>
      </c>
    </row>
    <row r="153" spans="2:144" outlineLevel="1">
      <c r="B153" s="139" t="s">
        <v>43</v>
      </c>
      <c r="C153" s="151" t="s">
        <v>487</v>
      </c>
      <c r="D153" s="44"/>
      <c r="E153" s="44"/>
      <c r="F153" s="44"/>
      <c r="G153" s="44"/>
      <c r="H153" s="44">
        <f>IF(H146&gt;D148,(SUM(G152:H152)/2),IF(H146=D148,H152,0))</f>
        <v>0</v>
      </c>
      <c r="I153" s="44">
        <f>IF(I146&gt;D148,(SUM(H152:I152)/2),IF(I146=D148,I152,0))</f>
        <v>0</v>
      </c>
      <c r="J153" s="44">
        <f>IF(J146&gt;D148,(SUM(I152:J152)/2),IF(J146=D148,J152,0))</f>
        <v>0</v>
      </c>
      <c r="K153" s="44">
        <f>IF(K146&gt;D148,(SUM(J152:K152)/2),IF(K146=D148,K152,0))</f>
        <v>0</v>
      </c>
      <c r="L153" s="44">
        <f>IF(L146&gt;D148,(SUM(K152:L152)/2),IF(L146=D148,L152,0))</f>
        <v>0</v>
      </c>
      <c r="M153" s="44">
        <f>IF(M146&gt;D148,(SUM(L152:M152)/2),IF(M146=D148,M152,0))</f>
        <v>0</v>
      </c>
      <c r="N153" s="44">
        <f>IF(N146&gt;D148,(SUM(M152:N152)/2),IF(N146=D148,N152,0))</f>
        <v>0</v>
      </c>
      <c r="O153" s="44">
        <f>IF(O146&gt;D148,(SUM(N152:O152)/2),IF(O146=D148,O152,0))</f>
        <v>0</v>
      </c>
      <c r="P153" s="44">
        <f>IF(P146&gt;D148,(SUM(O152:P152)/2),IF(P146=D148,P152,0))</f>
        <v>0</v>
      </c>
      <c r="Q153" s="44">
        <f>IF(Q146&gt;D148,(SUM(P152:Q152)/2),IF(Q146=D148,Q152,0))</f>
        <v>0</v>
      </c>
      <c r="R153" s="44">
        <f>IF(R146&gt;D148,(SUM(Q152:R152)/2),IF(R146=D148,R152,0))</f>
        <v>0</v>
      </c>
      <c r="S153" s="44">
        <f>IF(S146&gt;D148,(SUM(R152:S152)/2),IF(S146=D148,S152,0))</f>
        <v>0</v>
      </c>
      <c r="T153" s="44">
        <f>IF(T146&gt;D148,(SUM(S152:T152)/2),IF(T146=D148,T152,0))</f>
        <v>0</v>
      </c>
      <c r="U153" s="44">
        <f>IF(U146&gt;D148,(SUM(T152:U152)/2),IF(U146=D148,U152,0))</f>
        <v>0</v>
      </c>
      <c r="V153" s="44">
        <f>IF(V146&gt;D148,(SUM(U152:V152)/2),IF(V146=D148,V152,0))</f>
        <v>131121223.22232175</v>
      </c>
      <c r="W153" s="44">
        <f>IF(W146&gt;D148,(SUM(V152:W152)/2),IF(W146=D148,W152,0))</f>
        <v>130570293.71298426</v>
      </c>
      <c r="X153" s="44">
        <f>IF(X146&gt;D148,(SUM(W152:X152)/2),IF(X146=D148,X152,0))</f>
        <v>129468434.69430929</v>
      </c>
      <c r="Y153" s="44">
        <f>IF(Y146&gt;D148,(SUM(X152:Y152)/2),IF(Y146=D148,Y152,0))</f>
        <v>128366575.67563432</v>
      </c>
      <c r="Z153" s="44">
        <f>IF(Z146&gt;D148,(SUM(Y152:Z152)/2),IF(Z146=D148,Z152,0))</f>
        <v>127264716.65695935</v>
      </c>
      <c r="AA153" s="44">
        <f>IF(AA146&gt;D148,(SUM(Z152:AA152)/2),IF(AA146=D148,AA152,0))</f>
        <v>126162857.63828439</v>
      </c>
      <c r="AB153" s="44">
        <f>IF(AB146&gt;D148,(SUM(AA152:AB152)/2),IF(AB146=D148,AB152,0))</f>
        <v>125060998.61960942</v>
      </c>
      <c r="AC153" s="44">
        <f>IF(AC146&gt;D148,(SUM(AB152:AC152)/2),IF(AC146=D148,AC152,0))</f>
        <v>123959139.60093445</v>
      </c>
      <c r="AD153" s="44">
        <f>IF(AD146&gt;D148,(SUM(AC152:AD152)/2),IF(AD146=D148,AD152,0))</f>
        <v>122857280.58225948</v>
      </c>
      <c r="AE153" s="44">
        <f>IF(AE146&gt;D148,(SUM(AD152:AE152)/2),IF(AE146=D148,AE152,0))</f>
        <v>121755421.56358451</v>
      </c>
      <c r="AF153" s="44">
        <f>IF(AF146&gt;D148,(SUM(AE152:AF152)/2),IF(AF146=D148,AF152,0))</f>
        <v>120653562.54490954</v>
      </c>
      <c r="AG153" s="44">
        <f>IF(AG146&gt;D148,(SUM(AF152:AG152)/2),IF(AG146=D148,AG152,0))</f>
        <v>119551703.52623457</v>
      </c>
      <c r="AH153" s="44">
        <f>IF(AH146&gt;D148,(SUM(AG152:AH152)/2),IF(AH146=D148,AH152,0))</f>
        <v>118449844.5075596</v>
      </c>
      <c r="AI153" s="44">
        <f>IF(AI146&gt;D148,(SUM(AH152:AI152)/2),IF(AI146=D148,AI152,0))</f>
        <v>117347985.48888463</v>
      </c>
      <c r="AJ153" s="44">
        <f>IF(AJ146&gt;D148,(SUM(AI152:AJ152)/2),IF(AJ146=D148,AJ152,0))</f>
        <v>116246126.47020966</v>
      </c>
      <c r="AK153" s="44">
        <f>IF(AK146&gt;D148,(SUM(AJ152:AK152)/2),IF(AK146=D148,AK152,0))</f>
        <v>115144267.45153469</v>
      </c>
      <c r="AL153" s="44">
        <f>IF(AL146&gt;D148,(SUM(AK152:AL152)/2),IF(AL146=D148,AL152,0))</f>
        <v>114042408.43285972</v>
      </c>
      <c r="AM153" s="44">
        <f>IF(AM146&gt;D148,(SUM(AL152:AM152)/2),IF(AM146=D148,AM152,0))</f>
        <v>112940549.41418475</v>
      </c>
      <c r="AN153" s="44">
        <f>IF(AN146&gt;D148,(SUM(AM152:AN152)/2),IF(AN146=D148,AN152,0))</f>
        <v>111838690.39550978</v>
      </c>
      <c r="AO153" s="44">
        <f>IF(AO146&gt;D148,(SUM(AN152:AO152)/2),IF(AO146=D148,AO152,0))</f>
        <v>110736831.37683481</v>
      </c>
      <c r="AP153" s="44">
        <f>IF(AP146&gt;D148,(SUM(AO152:AP152)/2),IF(AP146=D148,AP152,0))</f>
        <v>109634972.35815984</v>
      </c>
      <c r="AQ153" s="44">
        <f>IF(AQ146&gt;D148,(SUM(AP152:AQ152)/2),IF(AQ146=D148,AQ152,0))</f>
        <v>108533113.33948487</v>
      </c>
      <c r="AR153" s="44">
        <f>IF(AR146&gt;D148,(SUM(AQ152:AR152)/2),IF(AR146=D148,AR152,0))</f>
        <v>107431254.3208099</v>
      </c>
      <c r="AS153" s="44">
        <f>IF(AS146&gt;D148,(SUM(AR152:AS152)/2),IF(AS146=D148,AS152,0))</f>
        <v>106329395.30213493</v>
      </c>
      <c r="AT153" s="44">
        <f>IF(AT146&gt;D148,(SUM(AS152:AT152)/2),IF(AT146=D148,AT152,0))</f>
        <v>105227536.28345996</v>
      </c>
      <c r="AU153" s="44">
        <f>IF(AU146&gt;D148,(SUM(AT152:AU152)/2),IF(AU146=D148,AU152,0))</f>
        <v>104125677.26478499</v>
      </c>
      <c r="AV153" s="44">
        <f>IF(AV146&gt;D148,(SUM(AU152:AV152)/2),IF(AV146=D148,AV152,0))</f>
        <v>103023818.24611002</v>
      </c>
      <c r="AW153" s="44">
        <f>IF(AW146&gt;D148,(SUM(AV152:AW152)/2),IF(AW146=D148,AW152,0))</f>
        <v>101921959.22743505</v>
      </c>
      <c r="AX153" s="44">
        <f>IF(AX146&gt;D148,(SUM(AW152:AX152)/2),IF(AX146=D148,AX152,0))</f>
        <v>100820100.20876008</v>
      </c>
      <c r="AY153" s="44">
        <f>IF(AY146&gt;D148,(SUM(AX152:AY152)/2),IF(AY146=D148,AY152,0))</f>
        <v>99718241.190085113</v>
      </c>
      <c r="AZ153" s="44">
        <f>IF(AZ146&gt;D148,(SUM(AY152:AZ152)/2),IF(AZ146=D148,AZ152,0))</f>
        <v>98616382.171410143</v>
      </c>
      <c r="BA153" s="44">
        <f>IF(BA146&gt;D148,(SUM(AZ152:BA152)/2),IF(BA146=D148,BA152,0))</f>
        <v>97514523.152735174</v>
      </c>
      <c r="BB153" s="44">
        <f>IF(BB146&gt;D148,(SUM(BA152:BB152)/2),IF(BB146=D148,BB152,0))</f>
        <v>96412664.134060204</v>
      </c>
      <c r="BC153" s="44">
        <f>IF(BC146&gt;D148,(SUM(BB152:BC152)/2),IF(BC146=D148,BC152,0))</f>
        <v>95310805.115385234</v>
      </c>
      <c r="BD153" s="44">
        <f>IF(BD146&gt;D148,(SUM(BC152:BD152)/2),IF(BD146=D148,BD152,0))</f>
        <v>94208946.096710265</v>
      </c>
      <c r="BE153" s="44">
        <f>IF(BE146&gt;D148,(SUM(BD152:BE152)/2),IF(BE146=D148,BE152,0))</f>
        <v>93107087.078035295</v>
      </c>
      <c r="BF153" s="44">
        <f>IF(BF146&gt;D148,(SUM(BE152:BF152)/2),IF(BF146=D148,BF152,0))</f>
        <v>92005228.059360325</v>
      </c>
      <c r="BG153" s="44">
        <f>IF(BG146&gt;D148,(SUM(BF152:BG152)/2),IF(BG146=D148,BG152,0))</f>
        <v>90903369.040685356</v>
      </c>
      <c r="BH153" s="44">
        <f>IF(BH146&gt;D148,(SUM(BG152:BH152)/2),IF(BH146=D148,BH152,0))</f>
        <v>89801510.022010386</v>
      </c>
      <c r="BI153" s="44">
        <f>IF(BI146&gt;D148,(SUM(BH152:BI152)/2),IF(BI146=D148,BI152,0))</f>
        <v>88699651.003335416</v>
      </c>
      <c r="BJ153" s="44">
        <f>IF(BJ146&gt;D148,(SUM(BI152:BJ152)/2),IF(BJ146=D148,BJ152,0))</f>
        <v>87597791.984660447</v>
      </c>
      <c r="BK153" s="44">
        <f>IF(BK146&gt;D148,(SUM(BJ152:BK152)/2),IF(BK146=D148,BK152,0))</f>
        <v>86495932.965985477</v>
      </c>
      <c r="BL153" s="44">
        <f>IF(BL146&gt;D148,(SUM(BK152:BL152)/2),IF(BL146=D148,BL152,0))</f>
        <v>85394073.947310507</v>
      </c>
      <c r="BM153" s="44">
        <f>IF(BM146&gt;D148,(SUM(BL152:BM152)/2),IF(BM146=D148,BM152,0))</f>
        <v>84292214.928635538</v>
      </c>
      <c r="BN153" s="44">
        <f>IF(BN146&gt;D148,(SUM(BM152:BN152)/2),IF(BN146=D148,BN152,0))</f>
        <v>83190355.909960568</v>
      </c>
      <c r="BO153" s="44">
        <f>IF(BO146&gt;D148,(SUM(BN152:BO152)/2),IF(BO146=D148,BO152,0))</f>
        <v>82088496.891285598</v>
      </c>
      <c r="BP153" s="44">
        <f>IF(BP146&gt;D148,(SUM(BO152:BP152)/2),IF(BP146=D148,BP152,0))</f>
        <v>80986637.872610629</v>
      </c>
      <c r="BQ153" s="44">
        <f>IF(BQ146&gt;D148,(SUM(BP152:BQ152)/2),IF(BQ146=D148,BQ152,0))</f>
        <v>79884778.853935659</v>
      </c>
      <c r="BR153" s="44">
        <f>IF(BR146&gt;D148,(SUM(BQ152:BR152)/2),IF(BR146=D148,BR152,0))</f>
        <v>78782919.835260689</v>
      </c>
      <c r="BS153" s="44">
        <f>IF(BS146&gt;D148,(SUM(BR152:BS152)/2),IF(BS146=D148,BS152,0))</f>
        <v>77681060.81658572</v>
      </c>
      <c r="BT153" s="44">
        <f>IF(BT146&gt;D148,(SUM(BS152:BT152)/2),IF(BT146=D148,BT152,0))</f>
        <v>76579201.79791075</v>
      </c>
      <c r="BU153" s="44">
        <f>IF(BU146&gt;D148,(SUM(BT152:BU152)/2),IF(BU146=D148,BU152,0))</f>
        <v>75477342.77923578</v>
      </c>
      <c r="BV153" s="44">
        <f>IF(BV146&gt;D148,(SUM(BU152:BV152)/2),IF(BV146=D148,BV152,0))</f>
        <v>74375483.760560811</v>
      </c>
      <c r="BW153" s="44">
        <f>IF(BW146&gt;D148,(SUM(BV152:BW152)/2),IF(BW146=D148,BW152,0))</f>
        <v>73273624.741885841</v>
      </c>
      <c r="BX153" s="44">
        <f>IF(BX146&gt;D148,(SUM(BW152:BX152)/2),IF(BX146=D148,BX152,0))</f>
        <v>72171765.723210871</v>
      </c>
      <c r="BY153" s="44">
        <f>IF(BY146&gt;D148,(SUM(BX152:BY152)/2),IF(BY146=D148,BY152,0))</f>
        <v>71069906.704535902</v>
      </c>
      <c r="BZ153" s="44">
        <f>IF(BZ146&gt;D148,(SUM(BY152:BZ152)/2),IF(BZ146=D148,BZ152,0))</f>
        <v>69968047.685860932</v>
      </c>
      <c r="CA153" s="44">
        <f>IF(CA146&gt;D148,(SUM(BZ152:CA152)/2),IF(CA146=D148,CA152,0))</f>
        <v>68866188.667185962</v>
      </c>
      <c r="CB153" s="44">
        <f>IF(CB146&gt;D148,(SUM(CA152:CB152)/2),IF(CB146=D148,CB152,0))</f>
        <v>67764329.648510993</v>
      </c>
      <c r="CC153" s="44">
        <f>IF(CC146&gt;D148,(SUM(CB152:CC152)/2),IF(CC146=D148,CC152,0))</f>
        <v>66662470.629836023</v>
      </c>
      <c r="CD153" s="44">
        <f>IF(CD146&gt;D148,(SUM(CC152:CD152)/2),IF(CD146=D148,CD152,0))</f>
        <v>65560611.611161053</v>
      </c>
      <c r="CE153" s="44">
        <f>IF(CE146&gt;D148,(SUM(CD152:CE152)/2),IF(CE146=D148,CE152,0))</f>
        <v>64458752.592486084</v>
      </c>
      <c r="CF153" s="44">
        <f>IF(CF146&gt;D148,(SUM(CE152:CF152)/2),IF(CF146=D148,CF152,0))</f>
        <v>63356893.573811114</v>
      </c>
      <c r="CG153" s="44">
        <f>IF(CG146&gt;D148,(SUM(CF152:CG152)/2),IF(CG146=D148,CG152,0))</f>
        <v>62255034.555136144</v>
      </c>
      <c r="CH153" s="44">
        <f>IF(CH146&gt;D148,(SUM(CG152:CH152)/2),IF(CH146=D148,CH152,0))</f>
        <v>61153175.536461174</v>
      </c>
      <c r="CI153" s="44">
        <f>IF(CI146&gt;D148,(SUM(CH152:CI152)/2),IF(CI146=D148,CI152,0))</f>
        <v>60051316.517786205</v>
      </c>
      <c r="CJ153" s="44">
        <f>IF(CJ146&gt;D148,(SUM(CI152:CJ152)/2),IF(CJ146=D148,CJ152,0))</f>
        <v>58949457.499111235</v>
      </c>
      <c r="CK153" s="44">
        <f>IF(CK146&gt;D148,(SUM(CJ152:CK152)/2),IF(CK146=D148,CK152,0))</f>
        <v>57847598.480436265</v>
      </c>
      <c r="CL153" s="44">
        <f>IF(CL146&gt;D148,(SUM(CK152:CL152)/2),IF(CL146=D148,CL152,0))</f>
        <v>56745739.461761296</v>
      </c>
      <c r="CM153" s="44">
        <f>IF(CM146&gt;D148,(SUM(CL152:CM152)/2),IF(CM146=D148,CM152,0))</f>
        <v>55643880.443086326</v>
      </c>
      <c r="CN153" s="44">
        <f>IF(CN146&gt;D148,(SUM(CM152:CN152)/2),IF(CN146=D148,CN152,0))</f>
        <v>54542021.424411356</v>
      </c>
      <c r="CO153" s="44">
        <f>IF(CO146&gt;D148,(SUM(CN152:CO152)/2),IF(CO146=D148,CO152,0))</f>
        <v>53440162.405736387</v>
      </c>
      <c r="CP153" s="44">
        <f>IF(CP146&gt;D148,(SUM(CO152:CP152)/2),IF(CP146=D148,CP152,0))</f>
        <v>52338303.387061417</v>
      </c>
      <c r="CQ153" s="44">
        <f>IF(CQ146&gt;D148,(SUM(CP152:CQ152)/2),IF(CQ146=D148,CQ152,0))</f>
        <v>51236444.368386447</v>
      </c>
      <c r="CR153" s="44">
        <f>IF(CR146&gt;D148,(SUM(CQ152:CR152)/2),IF(CR146=D148,CR152,0))</f>
        <v>50134585.349711478</v>
      </c>
      <c r="CS153" s="44">
        <f>IF(CS146&gt;D148,(SUM(CR152:CS152)/2),IF(CS146=D148,CS152,0))</f>
        <v>49032726.331036508</v>
      </c>
      <c r="CT153" s="44">
        <f>IF(CT146&gt;D148,(SUM(CS152:CT152)/2),IF(CT146=D148,CT152,0))</f>
        <v>47930867.312361538</v>
      </c>
      <c r="CU153" s="44">
        <f>IF(CU146&gt;D148,(SUM(CT152:CU152)/2),IF(CU146=D148,CU152,0))</f>
        <v>46829008.293686569</v>
      </c>
      <c r="CV153" s="44">
        <f>IF(CV146&gt;D148,(SUM(CU152:CV152)/2),IF(CV146=D148,CV152,0))</f>
        <v>45727149.275011599</v>
      </c>
      <c r="CW153" s="44">
        <f>IF(CW146&gt;D148,(SUM(CV152:CW152)/2),IF(CW146=D148,CW152,0))</f>
        <v>44625290.256336629</v>
      </c>
      <c r="CX153" s="44">
        <f>IF(CX146&gt;D148,(SUM(CW152:CX152)/2),IF(CX146=D148,CX152,0))</f>
        <v>43523431.23766166</v>
      </c>
      <c r="CY153" s="44">
        <f>IF(CY146&gt;D148,(SUM(CX152:CY152)/2),IF(CY146=D148,CY152,0))</f>
        <v>42421572.21898669</v>
      </c>
      <c r="CZ153" s="44">
        <f>IF(CZ146&gt;D148,(SUM(CY152:CZ152)/2),IF(CZ146=D148,CZ152,0))</f>
        <v>41319713.20031172</v>
      </c>
      <c r="DA153" s="44">
        <f>IF(DA146&gt;D148,(SUM(CZ152:DA152)/2),IF(DA146=D148,DA152,0))</f>
        <v>40217854.181636751</v>
      </c>
      <c r="DB153" s="44">
        <f>IF(DB146&gt;D148,(SUM(DA152:DB152)/2),IF(DB146=D148,DB152,0))</f>
        <v>39115995.162961781</v>
      </c>
      <c r="DC153" s="44">
        <f>IF(DC146&gt;D148,(SUM(DB152:DC152)/2),IF(DC146=D148,DC152,0))</f>
        <v>38014136.144286811</v>
      </c>
      <c r="DD153" s="44">
        <f>IF(DD146&gt;D148,(SUM(DC152:DD152)/2),IF(DD146=D148,DD152,0))</f>
        <v>36912277.125611842</v>
      </c>
      <c r="DE153" s="44">
        <f>IF(DE146&gt;D148,(SUM(DD152:DE152)/2),IF(DE146=D148,DE152,0))</f>
        <v>35810418.106936872</v>
      </c>
      <c r="DF153" s="44">
        <f>IF(DF146&gt;D148,(SUM(DE152:DF152)/2),IF(DF146=D148,DF152,0))</f>
        <v>34708559.088261902</v>
      </c>
      <c r="DG153" s="44">
        <f>IF(DG146&gt;D148,(SUM(DF152:DG152)/2),IF(DG146=D148,DG152,0))</f>
        <v>33606700.069586933</v>
      </c>
      <c r="DH153" s="44">
        <f>IF(DH146&gt;D148,(SUM(DG152:DH152)/2),IF(DH146=D148,DH152,0))</f>
        <v>32504841.050911956</v>
      </c>
      <c r="DI153" s="44">
        <f>IF(DI146&gt;D148,(SUM(DH152:DI152)/2),IF(DI146=D148,DI152,0))</f>
        <v>31402982.032236986</v>
      </c>
      <c r="DJ153" s="44">
        <f>IF(DJ146&gt;D148,(SUM(DI152:DJ152)/2),IF(DJ146=D148,DJ152,0))</f>
        <v>30301123.013562009</v>
      </c>
      <c r="DK153" s="44">
        <f>IF(DK146&gt;D148,(SUM(DJ152:DK152)/2),IF(DK146=D148,DK152,0))</f>
        <v>29199263.994887039</v>
      </c>
      <c r="DL153" s="44">
        <f>IF(DL146&gt;D148,(SUM(DK152:DL152)/2),IF(DL146=D148,DL152,0))</f>
        <v>28097404.976212062</v>
      </c>
      <c r="DM153" s="44">
        <f>IF(DM146&gt;D148,(SUM(DL152:DM152)/2),IF(DM146=D148,DM152,0))</f>
        <v>26995545.957537092</v>
      </c>
      <c r="DN153" s="44">
        <f>IF(DN146&gt;D148,(SUM(DM152:DN152)/2),IF(DN146=D148,DN152,0))</f>
        <v>25893686.938862115</v>
      </c>
      <c r="DO153" s="44">
        <f>IF(DO146&gt;D148,(SUM(DN152:DO152)/2),IF(DO146=D148,DO152,0))</f>
        <v>24791827.920187145</v>
      </c>
      <c r="DP153" s="44">
        <f>IF(DP146&gt;D148,(SUM(DO152:DP152)/2),IF(DP146=D148,DP152,0))</f>
        <v>23689968.901512168</v>
      </c>
      <c r="DQ153" s="44">
        <f>IF(DQ146&gt;D148,(SUM(DP152:DQ152)/2),IF(DQ146=D148,DQ152,0))</f>
        <v>22588109.882837199</v>
      </c>
      <c r="DR153" s="44">
        <f>IF(DR146&gt;D148,(SUM(DQ152:DR152)/2),IF(DR146=D148,DR152,0))</f>
        <v>21486250.864162222</v>
      </c>
      <c r="DS153" s="44">
        <f>IF(DS146&gt;D148,(SUM(DR152:DS152)/2),IF(DS146=D148,DS152,0))</f>
        <v>20384391.845487252</v>
      </c>
      <c r="DT153" s="44">
        <f>IF(DT146&gt;D148,(SUM(DS152:DT152)/2),IF(DT146=D148,DT152,0))</f>
        <v>19282532.826812275</v>
      </c>
      <c r="DU153" s="44">
        <f>IF(DU146&gt;D148,(SUM(DT152:DU152)/2),IF(DU146=D148,DU152,0))</f>
        <v>18180673.808137305</v>
      </c>
      <c r="DV153" s="44">
        <f>IF(DV146&gt;D148,(SUM(DU152:DV152)/2),IF(DV146=D148,DV152,0))</f>
        <v>17078814.789462328</v>
      </c>
      <c r="DW153" s="44">
        <f>IF(DW146&gt;D148,(SUM(DV152:DW152)/2),IF(DW146=D148,DW152,0))</f>
        <v>15976955.770787356</v>
      </c>
      <c r="DX153" s="44">
        <f>IF(DX146&gt;D148,(SUM(DW152:DX152)/2),IF(DX146=D148,DX152,0))</f>
        <v>14875096.752112383</v>
      </c>
      <c r="DY153" s="44">
        <f>IF(DY146&gt;D148,(SUM(DX152:DY152)/2),IF(DY146=D148,DY152,0))</f>
        <v>13773237.73343741</v>
      </c>
      <c r="DZ153" s="44">
        <f>IF(DZ146&gt;D148,(SUM(DY152:DZ152)/2),IF(DZ146=D148,DZ152,0))</f>
        <v>12671378.714762436</v>
      </c>
      <c r="EA153" s="44">
        <f>IF(EA146&gt;D148,(SUM(DZ152:EA152)/2),IF(EA146=D148,EA152,0))</f>
        <v>11569519.696087463</v>
      </c>
      <c r="EB153" s="44">
        <f>IF(EB146&gt;D148,(SUM(EA152:EB152)/2),IF(EB146=D148,EB152,0))</f>
        <v>10467660.677412489</v>
      </c>
      <c r="EC153" s="44">
        <f>IF(EC146&gt;D148,(SUM(EB152:EC152)/2),IF(EC146=D148,EC152,0))</f>
        <v>9365801.658737516</v>
      </c>
      <c r="ED153" s="44">
        <f>IF(ED146&gt;D148,(SUM(EC152:ED152)/2),IF(ED146=D148,ED152,0))</f>
        <v>8263942.6400625426</v>
      </c>
      <c r="EE153" s="44">
        <f>IF(EE146&gt;D148,(SUM(ED152:EE152)/2),IF(EE146=D148,EE152,0))</f>
        <v>7162083.6213875711</v>
      </c>
      <c r="EF153" s="44">
        <f>IF(EF146&gt;D148,(SUM(EE152:EF152)/2),IF(EF146=D148,EF152,0))</f>
        <v>6060224.6027125977</v>
      </c>
      <c r="EG153" s="44">
        <f>IF(EG146&gt;D148,(SUM(EF152:EG152)/2),IF(EG146=D148,EG152,0))</f>
        <v>4958365.5840376262</v>
      </c>
      <c r="EH153" s="44">
        <f>IF(EH146&gt;D148,(SUM(EG152:EH152)/2),IF(EH146=D148,EH152,0))</f>
        <v>3856506.5653626532</v>
      </c>
      <c r="EI153" s="44">
        <f t="shared" ref="EI153:EN153" si="315">IF(EI146&gt;E148,(SUM(EH152:EI152)/2),IF(EI146=E148,EI152,0))</f>
        <v>2754647.5466876808</v>
      </c>
      <c r="EJ153" s="44">
        <f t="shared" si="315"/>
        <v>1652788.5280127083</v>
      </c>
      <c r="EK153" s="44">
        <f t="shared" si="315"/>
        <v>550929.50933773548</v>
      </c>
      <c r="EL153" s="44">
        <f t="shared" si="315"/>
        <v>2.491287887096405E-7</v>
      </c>
      <c r="EM153" s="44">
        <f t="shared" si="315"/>
        <v>2.491287887096405E-7</v>
      </c>
      <c r="EN153" s="44">
        <f t="shared" si="315"/>
        <v>2.491287887096405E-7</v>
      </c>
    </row>
    <row r="154" spans="2:144" outlineLevel="1">
      <c r="C154" s="43" t="s">
        <v>176</v>
      </c>
      <c r="D154" s="44"/>
      <c r="E154" s="773">
        <f>E143</f>
        <v>10</v>
      </c>
      <c r="F154" s="44"/>
      <c r="G154" s="44"/>
      <c r="H154" s="120">
        <f>IF(H145&lt;$E148,0,IF(AND(H145&gt;=$E148,H145&lt;=($E148+$E154-1)),Вводные!$D$30,Вводные!$E$30))</f>
        <v>0</v>
      </c>
      <c r="I154" s="120">
        <f>IF(I145&lt;$E148,0,IF(AND(I145&gt;=$E148,I145&lt;=($E148+$E154-1)),Вводные!$D$30,Вводные!$E$30))</f>
        <v>0</v>
      </c>
      <c r="J154" s="120">
        <f>IF(J145&lt;$E148,0,IF(AND(J145&gt;=$E148,J145&lt;=($E148+$E154-1)),Вводные!$D$30,Вводные!$E$30))</f>
        <v>0</v>
      </c>
      <c r="K154" s="120">
        <f>IF(K145&lt;$E148,0,IF(AND(K145&gt;=$E148,K145&lt;=($E148+$E154-1)),Вводные!$D$30,Вводные!$E$30))</f>
        <v>0</v>
      </c>
      <c r="L154" s="120">
        <f>IF(L145&lt;$E148,0,IF(AND(L145&gt;=$E148,L145&lt;=($E148+$E154-1)),Вводные!$D$30,Вводные!$E$30))</f>
        <v>0</v>
      </c>
      <c r="M154" s="120">
        <f>IF(M145&lt;$E148,0,IF(AND(M145&gt;=$E148,M145&lt;=($E148+$E154-1)),Вводные!$D$30,Вводные!$E$30))</f>
        <v>0</v>
      </c>
      <c r="N154" s="120">
        <f>IF(N145&lt;$E148,0,IF(AND(N145&gt;=$E148,N145&lt;=($E148+$E154-1)),Вводные!$D$30,Вводные!$E$30))</f>
        <v>0</v>
      </c>
      <c r="O154" s="120">
        <f>IF(O145&lt;$E148,0,IF(AND(O145&gt;=$E148,O145&lt;=($E148+$E154-1)),Вводные!$D$30,Вводные!$E$30))</f>
        <v>0</v>
      </c>
      <c r="P154" s="120">
        <f>IF(P145&lt;$E148,0,IF(AND(P145&gt;=$E148,P145&lt;=($E148+$E154-1)),Вводные!$D$30,Вводные!$E$30))</f>
        <v>0</v>
      </c>
      <c r="Q154" s="120">
        <f>IF(Q145&lt;$E148,0,IF(AND(Q145&gt;=$E148,Q145&lt;=($E148+$E154-1)),Вводные!$D$30,Вводные!$E$30))</f>
        <v>0</v>
      </c>
      <c r="R154" s="120">
        <f>IF(R145&lt;$E148,0,IF(AND(R145&gt;=$E148,R145&lt;=($E148+$E154-1)),Вводные!$D$30,Вводные!$E$30))</f>
        <v>0</v>
      </c>
      <c r="S154" s="120">
        <f>IF(S145&lt;$E148,0,IF(AND(S145&gt;=$E148,S145&lt;=($E148+$E154-1)),Вводные!$D$30,Вводные!$E$30))</f>
        <v>0</v>
      </c>
      <c r="T154" s="120">
        <f>IF(T145&lt;$E148,0,IF(AND(T145&gt;=$E148,T145&lt;=($E148+$E154-1)),Вводные!$D$30,Вводные!$E$30))</f>
        <v>0</v>
      </c>
      <c r="U154" s="120">
        <f>IF(U145&lt;$E148,0,IF(AND(U145&gt;=$E148,U145&lt;=($E148+$E154-1)),Вводные!$D$30,Вводные!$E$30))</f>
        <v>0</v>
      </c>
      <c r="V154" s="120">
        <f>IF(V145&lt;$E148,0,IF(AND(V145&gt;=$E148,V145&lt;=($E148+$E154-1)),Вводные!$D$30,Вводные!$E$30))</f>
        <v>0</v>
      </c>
      <c r="W154" s="120">
        <f>IF(W145&lt;$E148,0,IF(AND(W145&gt;=$E148,W145&lt;=($E148+$E154-1)),Вводные!$D$30,Вводные!$E$30))</f>
        <v>0</v>
      </c>
      <c r="X154" s="120">
        <f>IF(X145&lt;$E148,0,IF(AND(X145&gt;=$E148,X145&lt;=($E148+$E154-1)),Вводные!$D$30,Вводные!$E$30))</f>
        <v>0</v>
      </c>
      <c r="Y154" s="120">
        <f>IF(Y145&lt;$E148,0,IF(AND(Y145&gt;=$E148,Y145&lt;=($E148+$E154-1)),Вводные!$D$30,Вводные!$E$30))</f>
        <v>0</v>
      </c>
      <c r="Z154" s="120">
        <f>IF(Z145&lt;$E148,0,IF(AND(Z145&gt;=$E148,Z145&lt;=($E148+$E154-1)),Вводные!$D$30,Вводные!$E$30))</f>
        <v>0</v>
      </c>
      <c r="AA154" s="120">
        <f>IF(AA145&lt;$E148,0,IF(AND(AA145&gt;=$E148,AA145&lt;=($E148+$E154-1)),Вводные!$D$30,Вводные!$E$30))</f>
        <v>0</v>
      </c>
      <c r="AB154" s="120">
        <f>IF(AB145&lt;$E148,0,IF(AND(AB145&gt;=$E148,AB145&lt;=($E148+$E154-1)),Вводные!$D$30,Вводные!$E$30))</f>
        <v>0</v>
      </c>
      <c r="AC154" s="120">
        <f>IF(AC145&lt;$E148,0,IF(AND(AC145&gt;=$E148,AC145&lt;=($E148+$E154-1)),Вводные!$D$30,Вводные!$E$30))</f>
        <v>0</v>
      </c>
      <c r="AD154" s="120">
        <f>IF(AD145&lt;$E148,0,IF(AND(AD145&gt;=$E148,AD145&lt;=($E148+$E154-1)),Вводные!$D$30,Вводные!$E$30))</f>
        <v>0</v>
      </c>
      <c r="AE154" s="120">
        <f>IF(AE145&lt;$E148,0,IF(AND(AE145&gt;=$E148,AE145&lt;=($E148+$E154-1)),Вводные!$D$30,Вводные!$E$30))</f>
        <v>0</v>
      </c>
      <c r="AF154" s="120">
        <f>IF(AF145&lt;$E148,0,IF(AND(AF145&gt;=$E148,AF145&lt;=($E148+$E154-1)),Вводные!$D$30,Вводные!$E$30))</f>
        <v>0</v>
      </c>
      <c r="AG154" s="120">
        <f>IF(AG145&lt;$E148,0,IF(AND(AG145&gt;=$E148,AG145&lt;=($E148+$E154-1)),Вводные!$D$30,Вводные!$E$30))</f>
        <v>0</v>
      </c>
      <c r="AH154" s="120">
        <f>IF(AH145&lt;$E148,0,IF(AND(AH145&gt;=$E148,AH145&lt;=($E148+$E154-1)),Вводные!$D$30,Вводные!$E$30))</f>
        <v>0</v>
      </c>
      <c r="AI154" s="120">
        <f>IF(AI145&lt;$E148,0,IF(AND(AI145&gt;=$E148,AI145&lt;=($E148+$E154-1)),Вводные!$D$30,Вводные!$E$30))</f>
        <v>0</v>
      </c>
      <c r="AJ154" s="120">
        <f>IF(AJ145&lt;$E148,0,IF(AND(AJ145&gt;=$E148,AJ145&lt;=($E148+$E154-1)),Вводные!$D$30,Вводные!$E$30))</f>
        <v>0</v>
      </c>
      <c r="AK154" s="120">
        <f>IF(AK145&lt;$E148,0,IF(AND(AK145&gt;=$E148,AK145&lt;=($E148+$E154-1)),Вводные!$D$30,Вводные!$E$30))</f>
        <v>0</v>
      </c>
      <c r="AL154" s="120">
        <f>IF(AL145&lt;$E148,0,IF(AND(AL145&gt;=$E148,AL145&lt;=($E148+$E154-1)),Вводные!$D$30,Вводные!$E$30))</f>
        <v>0</v>
      </c>
      <c r="AM154" s="120">
        <f>IF(AM145&lt;$E148,0,IF(AND(AM145&gt;=$E148,AM145&lt;=($E148+$E154-1)),Вводные!$D$30,Вводные!$E$30))</f>
        <v>0</v>
      </c>
      <c r="AN154" s="120">
        <f>IF(AN145&lt;$E148,0,IF(AND(AN145&gt;=$E148,AN145&lt;=($E148+$E154-1)),Вводные!$D$30,Вводные!$E$30))</f>
        <v>0</v>
      </c>
      <c r="AO154" s="120">
        <f>IF(AO145&lt;$E148,0,IF(AND(AO145&gt;=$E148,AO145&lt;=($E148+$E154-1)),Вводные!$D$30,Вводные!$E$30))</f>
        <v>0</v>
      </c>
      <c r="AP154" s="120">
        <f>IF(AP145&lt;$E148,0,IF(AND(AP145&gt;=$E148,AP145&lt;=($E148+$E154-1)),Вводные!$D$30,Вводные!$E$30))</f>
        <v>0</v>
      </c>
      <c r="AQ154" s="120">
        <f>IF(AQ145&lt;$E148,0,IF(AND(AQ145&gt;=$E148,AQ145&lt;=($E148+$E154-1)),Вводные!$D$30,Вводные!$E$30))</f>
        <v>0</v>
      </c>
      <c r="AR154" s="120">
        <f>IF(AR145&lt;$E148,0,IF(AND(AR145&gt;=$E148,AR145&lt;=($E148+$E154-1)),Вводные!$D$30,Вводные!$E$30))</f>
        <v>0</v>
      </c>
      <c r="AS154" s="120">
        <f>IF(AS145&lt;$E148,0,IF(AND(AS145&gt;=$E148,AS145&lt;=($E148+$E154-1)),Вводные!$D$30,Вводные!$E$30))</f>
        <v>0</v>
      </c>
      <c r="AT154" s="120">
        <f>IF(AT145&lt;$E148,0,IF(AND(AT145&gt;=$E148,AT145&lt;=($E148+$E154-1)),Вводные!$D$30,Вводные!$E$30))</f>
        <v>0</v>
      </c>
      <c r="AU154" s="120">
        <f>IF(AU145&lt;$E148,0,IF(AND(AU145&gt;=$E148,AU145&lt;=($E148+$E154-1)),Вводные!$D$30,Вводные!$E$30))</f>
        <v>0</v>
      </c>
      <c r="AV154" s="120">
        <f>IF(AV145&lt;$E148,0,IF(AND(AV145&gt;=$E148,AV145&lt;=($E148+$E154-1)),Вводные!$D$30,Вводные!$E$30))</f>
        <v>0</v>
      </c>
      <c r="AW154" s="120">
        <f>IF(AW145&lt;$E148,0,IF(AND(AW145&gt;=$E148,AW145&lt;=($E148+$E154-1)),Вводные!$D$30,Вводные!$E$30))</f>
        <v>0</v>
      </c>
      <c r="AX154" s="120">
        <f>IF(AX145&lt;$E148,0,IF(AND(AX145&gt;=$E148,AX145&lt;=($E148+$E154-1)),Вводные!$D$30,Вводные!$E$30))</f>
        <v>0</v>
      </c>
      <c r="AY154" s="120">
        <f>IF(AY145&lt;$E148,0,IF(AND(AY145&gt;=$E148,AY145&lt;=($E148+$E154-1)),Вводные!$D$30,Вводные!$E$30))</f>
        <v>0</v>
      </c>
      <c r="AZ154" s="120">
        <f>IF(AZ145&lt;$E148,0,IF(AND(AZ145&gt;=$E148,AZ145&lt;=($E148+$E154-1)),Вводные!$D$30,Вводные!$E$30))</f>
        <v>0</v>
      </c>
      <c r="BA154" s="120">
        <f>IF(BA145&lt;$E148,0,IF(AND(BA145&gt;=$E148,BA145&lt;=($E148+$E154-1)),Вводные!$D$30,Вводные!$E$30))</f>
        <v>0</v>
      </c>
      <c r="BB154" s="120">
        <f>IF(BB145&lt;$E148,0,IF(AND(BB145&gt;=$E148,BB145&lt;=($E148+$E154-1)),Вводные!$D$30,Вводные!$E$30))</f>
        <v>0</v>
      </c>
      <c r="BC154" s="120">
        <f>IF(BC145&lt;$E148,0,IF(AND(BC145&gt;=$E148,BC145&lt;=($E148+$E154-1)),Вводные!$D$30,Вводные!$E$30))</f>
        <v>0</v>
      </c>
      <c r="BD154" s="120">
        <f>IF(BD145&lt;$E148,0,IF(AND(BD145&gt;=$E148,BD145&lt;=($E148+$E154-1)),Вводные!$D$30,Вводные!$E$30))</f>
        <v>0</v>
      </c>
      <c r="BE154" s="120">
        <f>IF(BE145&lt;$E148,0,IF(AND(BE145&gt;=$E148,BE145&lt;=($E148+$E154-1)),Вводные!$D$30,Вводные!$E$30))</f>
        <v>0</v>
      </c>
      <c r="BF154" s="120">
        <f>IF(BF145&lt;$E148,0,IF(AND(BF145&gt;=$E148,BF145&lt;=($E148+$E154-1)),Вводные!$D$30,Вводные!$E$30))</f>
        <v>0</v>
      </c>
      <c r="BG154" s="120">
        <f>IF(BG145&lt;$E148,0,IF(AND(BG145&gt;=$E148,BG145&lt;=($E148+$E154-1)),Вводные!$D$30,Вводные!$E$30))</f>
        <v>0</v>
      </c>
      <c r="BH154" s="120">
        <f>IF(BH145&lt;$E148,0,IF(AND(BH145&gt;=$E148,BH145&lt;=($E148+$E154-1)),Вводные!$D$30,Вводные!$E$30))</f>
        <v>2.1999999999999999E-2</v>
      </c>
      <c r="BI154" s="120">
        <f>IF(BI145&lt;$E148,0,IF(AND(BI145&gt;=$E148,BI145&lt;=($E148+$E154-1)),Вводные!$D$30,Вводные!$E$30))</f>
        <v>2.1999999999999999E-2</v>
      </c>
      <c r="BJ154" s="120">
        <f>IF(BJ145&lt;$E148,0,IF(AND(BJ145&gt;=$E148,BJ145&lt;=($E148+$E154-1)),Вводные!$D$30,Вводные!$E$30))</f>
        <v>2.1999999999999999E-2</v>
      </c>
      <c r="BK154" s="120">
        <f>IF(BK145&lt;$E148,0,IF(AND(BK145&gt;=$E148,BK145&lt;=($E148+$E154-1)),Вводные!$D$30,Вводные!$E$30))</f>
        <v>2.1999999999999999E-2</v>
      </c>
      <c r="BL154" s="120">
        <f>IF(BL145&lt;$E148,0,IF(AND(BL145&gt;=$E148,BL145&lt;=($E148+$E154-1)),Вводные!$D$30,Вводные!$E$30))</f>
        <v>2.1999999999999999E-2</v>
      </c>
      <c r="BM154" s="120">
        <f>IF(BM145&lt;$E148,0,IF(AND(BM145&gt;=$E148,BM145&lt;=($E148+$E154-1)),Вводные!$D$30,Вводные!$E$30))</f>
        <v>2.1999999999999999E-2</v>
      </c>
      <c r="BN154" s="120">
        <f>IF(BN145&lt;$E148,0,IF(AND(BN145&gt;=$E148,BN145&lt;=($E148+$E154-1)),Вводные!$D$30,Вводные!$E$30))</f>
        <v>2.1999999999999999E-2</v>
      </c>
      <c r="BO154" s="120">
        <f>IF(BO145&lt;$E148,0,IF(AND(BO145&gt;=$E148,BO145&lt;=($E148+$E154-1)),Вводные!$D$30,Вводные!$E$30))</f>
        <v>2.1999999999999999E-2</v>
      </c>
      <c r="BP154" s="120">
        <f>IF(BP145&lt;$E148,0,IF(AND(BP145&gt;=$E148,BP145&lt;=($E148+$E154-1)),Вводные!$D$30,Вводные!$E$30))</f>
        <v>2.1999999999999999E-2</v>
      </c>
      <c r="BQ154" s="120">
        <f>IF(BQ145&lt;$E148,0,IF(AND(BQ145&gt;=$E148,BQ145&lt;=($E148+$E154-1)),Вводные!$D$30,Вводные!$E$30))</f>
        <v>2.1999999999999999E-2</v>
      </c>
      <c r="BR154" s="120">
        <f>IF(BR145&lt;$E148,0,IF(AND(BR145&gt;=$E148,BR145&lt;=($E148+$E154-1)),Вводные!$D$30,Вводные!$E$30))</f>
        <v>2.1999999999999999E-2</v>
      </c>
      <c r="BS154" s="120">
        <f>IF(BS145&lt;$E148,0,IF(AND(BS145&gt;=$E148,BS145&lt;=($E148+$E154-1)),Вводные!$D$30,Вводные!$E$30))</f>
        <v>2.1999999999999999E-2</v>
      </c>
      <c r="BT154" s="120">
        <f>IF(BT145&lt;$E148,0,IF(AND(BT145&gt;=$E148,BT145&lt;=($E148+$E154-1)),Вводные!$D$30,Вводные!$E$30))</f>
        <v>2.1999999999999999E-2</v>
      </c>
      <c r="BU154" s="120">
        <f>IF(BU145&lt;$E148,0,IF(AND(BU145&gt;=$E148,BU145&lt;=($E148+$E154-1)),Вводные!$D$30,Вводные!$E$30))</f>
        <v>2.1999999999999999E-2</v>
      </c>
      <c r="BV154" s="120">
        <f>IF(BV145&lt;$E148,0,IF(AND(BV145&gt;=$E148,BV145&lt;=($E148+$E154-1)),Вводные!$D$30,Вводные!$E$30))</f>
        <v>2.1999999999999999E-2</v>
      </c>
      <c r="BW154" s="120">
        <f>IF(BW145&lt;$E148,0,IF(AND(BW145&gt;=$E148,BW145&lt;=($E148+$E154-1)),Вводные!$D$30,Вводные!$E$30))</f>
        <v>2.1999999999999999E-2</v>
      </c>
      <c r="BX154" s="120">
        <f>IF(BX145&lt;$E148,0,IF(AND(BX145&gt;=$E148,BX145&lt;=($E148+$E154-1)),Вводные!$D$30,Вводные!$E$30))</f>
        <v>2.1999999999999999E-2</v>
      </c>
      <c r="BY154" s="120">
        <f>IF(BY145&lt;$E148,0,IF(AND(BY145&gt;=$E148,BY145&lt;=($E148+$E154-1)),Вводные!$D$30,Вводные!$E$30))</f>
        <v>2.1999999999999999E-2</v>
      </c>
      <c r="BZ154" s="120">
        <f>IF(BZ145&lt;$E148,0,IF(AND(BZ145&gt;=$E148,BZ145&lt;=($E148+$E154-1)),Вводные!$D$30,Вводные!$E$30))</f>
        <v>2.1999999999999999E-2</v>
      </c>
      <c r="CA154" s="120">
        <f>IF(CA145&lt;$E148,0,IF(AND(CA145&gt;=$E148,CA145&lt;=($E148+$E154-1)),Вводные!$D$30,Вводные!$E$30))</f>
        <v>2.1999999999999999E-2</v>
      </c>
      <c r="CB154" s="120">
        <f>IF(CB145&lt;$E148,0,IF(AND(CB145&gt;=$E148,CB145&lt;=($E148+$E154-1)),Вводные!$D$30,Вводные!$E$30))</f>
        <v>2.1999999999999999E-2</v>
      </c>
      <c r="CC154" s="120">
        <f>IF(CC145&lt;$E148,0,IF(AND(CC145&gt;=$E148,CC145&lt;=($E148+$E154-1)),Вводные!$D$30,Вводные!$E$30))</f>
        <v>2.1999999999999999E-2</v>
      </c>
      <c r="CD154" s="120">
        <f>IF(CD145&lt;$E148,0,IF(AND(CD145&gt;=$E148,CD145&lt;=($E148+$E154-1)),Вводные!$D$30,Вводные!$E$30))</f>
        <v>2.1999999999999999E-2</v>
      </c>
      <c r="CE154" s="120">
        <f>IF(CE145&lt;$E148,0,IF(AND(CE145&gt;=$E148,CE145&lt;=($E148+$E154-1)),Вводные!$D$30,Вводные!$E$30))</f>
        <v>2.1999999999999999E-2</v>
      </c>
      <c r="CF154" s="120">
        <f>IF(CF145&lt;$E148,0,IF(AND(CF145&gt;=$E148,CF145&lt;=($E148+$E154-1)),Вводные!$D$30,Вводные!$E$30))</f>
        <v>2.1999999999999999E-2</v>
      </c>
      <c r="CG154" s="120">
        <f>IF(CG145&lt;$E148,0,IF(AND(CG145&gt;=$E148,CG145&lt;=($E148+$E154-1)),Вводные!$D$30,Вводные!$E$30))</f>
        <v>2.1999999999999999E-2</v>
      </c>
      <c r="CH154" s="120">
        <f>IF(CH145&lt;$E148,0,IF(AND(CH145&gt;=$E148,CH145&lt;=($E148+$E154-1)),Вводные!$D$30,Вводные!$E$30))</f>
        <v>2.1999999999999999E-2</v>
      </c>
      <c r="CI154" s="120">
        <f>IF(CI145&lt;$E148,0,IF(AND(CI145&gt;=$E148,CI145&lt;=($E148+$E154-1)),Вводные!$D$30,Вводные!$E$30))</f>
        <v>2.1999999999999999E-2</v>
      </c>
      <c r="CJ154" s="120">
        <f>IF(CJ145&lt;$E148,0,IF(AND(CJ145&gt;=$E148,CJ145&lt;=($E148+$E154-1)),Вводные!$D$30,Вводные!$E$30))</f>
        <v>2.1999999999999999E-2</v>
      </c>
      <c r="CK154" s="120">
        <f>IF(CK145&lt;$E148,0,IF(AND(CK145&gt;=$E148,CK145&lt;=($E148+$E154-1)),Вводные!$D$30,Вводные!$E$30))</f>
        <v>2.1999999999999999E-2</v>
      </c>
      <c r="CL154" s="120">
        <f>IF(CL145&lt;$E148,0,IF(AND(CL145&gt;=$E148,CL145&lt;=($E148+$E154-1)),Вводные!$D$30,Вводные!$E$30))</f>
        <v>2.1999999999999999E-2</v>
      </c>
      <c r="CM154" s="120">
        <f>IF(CM145&lt;$E148,0,IF(AND(CM145&gt;=$E148,CM145&lt;=($E148+$E154-1)),Вводные!$D$30,Вводные!$E$30))</f>
        <v>2.1999999999999999E-2</v>
      </c>
      <c r="CN154" s="120">
        <f>IF(CN145&lt;$E148,0,IF(AND(CN145&gt;=$E148,CN145&lt;=($E148+$E154-1)),Вводные!$D$30,Вводные!$E$30))</f>
        <v>2.1999999999999999E-2</v>
      </c>
      <c r="CO154" s="120">
        <f>IF(CO145&lt;$E148,0,IF(AND(CO145&gt;=$E148,CO145&lt;=($E148+$E154-1)),Вводные!$D$30,Вводные!$E$30))</f>
        <v>2.1999999999999999E-2</v>
      </c>
      <c r="CP154" s="120">
        <f>IF(CP145&lt;$E148,0,IF(AND(CP145&gt;=$E148,CP145&lt;=($E148+$E154-1)),Вводные!$D$30,Вводные!$E$30))</f>
        <v>2.1999999999999999E-2</v>
      </c>
      <c r="CQ154" s="120">
        <f>IF(CQ145&lt;$E148,0,IF(AND(CQ145&gt;=$E148,CQ145&lt;=($E148+$E154-1)),Вводные!$D$30,Вводные!$E$30))</f>
        <v>2.1999999999999999E-2</v>
      </c>
      <c r="CR154" s="120">
        <f>IF(CR145&lt;$E148,0,IF(AND(CR145&gt;=$E148,CR145&lt;=($E148+$E154-1)),Вводные!$D$30,Вводные!$E$30))</f>
        <v>2.1999999999999999E-2</v>
      </c>
      <c r="CS154" s="120">
        <f>IF(CS145&lt;$E148,0,IF(AND(CS145&gt;=$E148,CS145&lt;=($E148+$E154-1)),Вводные!$D$30,Вводные!$E$30))</f>
        <v>2.1999999999999999E-2</v>
      </c>
      <c r="CT154" s="120">
        <f>IF(CT145&lt;$E148,0,IF(AND(CT145&gt;=$E148,CT145&lt;=($E148+$E154-1)),Вводные!$D$30,Вводные!$E$30))</f>
        <v>2.1999999999999999E-2</v>
      </c>
      <c r="CU154" s="120">
        <f>IF(CU145&lt;$E148,0,IF(AND(CU145&gt;=$E148,CU145&lt;=($E148+$E154-1)),Вводные!$D$30,Вводные!$E$30))</f>
        <v>2.1999999999999999E-2</v>
      </c>
      <c r="CV154" s="120">
        <f>IF(CV145&lt;$E148,0,IF(AND(CV145&gt;=$E148,CV145&lt;=($E148+$E154-1)),Вводные!$D$30,Вводные!$E$30))</f>
        <v>2.1999999999999999E-2</v>
      </c>
      <c r="CW154" s="120">
        <f>IF(CW145&lt;$E148,0,IF(AND(CW145&gt;=$E148,CW145&lt;=($E148+$E154-1)),Вводные!$D$30,Вводные!$E$30))</f>
        <v>2.1999999999999999E-2</v>
      </c>
      <c r="CX154" s="120">
        <f>IF(CX145&lt;$E148,0,IF(AND(CX145&gt;=$E148,CX145&lt;=($E148+$E154-1)),Вводные!$D$30,Вводные!$E$30))</f>
        <v>2.1999999999999999E-2</v>
      </c>
      <c r="CY154" s="120">
        <f>IF(CY145&lt;$E148,0,IF(AND(CY145&gt;=$E148,CY145&lt;=($E148+$E154-1)),Вводные!$D$30,Вводные!$E$30))</f>
        <v>2.1999999999999999E-2</v>
      </c>
      <c r="CZ154" s="120">
        <f>IF(CZ145&lt;$E148,0,IF(AND(CZ145&gt;=$E148,CZ145&lt;=($E148+$E154-1)),Вводные!$D$30,Вводные!$E$30))</f>
        <v>2.1999999999999999E-2</v>
      </c>
      <c r="DA154" s="120">
        <f>IF(DA145&lt;$E148,0,IF(AND(DA145&gt;=$E148,DA145&lt;=($E148+$E154-1)),Вводные!$D$30,Вводные!$E$30))</f>
        <v>2.1999999999999999E-2</v>
      </c>
      <c r="DB154" s="120">
        <f>IF(DB145&lt;$E148,0,IF(AND(DB145&gt;=$E148,DB145&lt;=($E148+$E154-1)),Вводные!$D$30,Вводные!$E$30))</f>
        <v>2.1999999999999999E-2</v>
      </c>
      <c r="DC154" s="120">
        <f>IF(DC145&lt;$E148,0,IF(AND(DC145&gt;=$E148,DC145&lt;=($E148+$E154-1)),Вводные!$D$30,Вводные!$E$30))</f>
        <v>2.1999999999999999E-2</v>
      </c>
      <c r="DD154" s="120">
        <f>IF(DD145&lt;$E148,0,IF(AND(DD145&gt;=$E148,DD145&lt;=($E148+$E154-1)),Вводные!$D$30,Вводные!$E$30))</f>
        <v>2.1999999999999999E-2</v>
      </c>
      <c r="DE154" s="120">
        <f>IF(DE145&lt;$E148,0,IF(AND(DE145&gt;=$E148,DE145&lt;=($E148+$E154-1)),Вводные!$D$30,Вводные!$E$30))</f>
        <v>2.1999999999999999E-2</v>
      </c>
      <c r="DF154" s="120">
        <f>IF(DF145&lt;$E148,0,IF(AND(DF145&gt;=$E148,DF145&lt;=($E148+$E154-1)),Вводные!$D$30,Вводные!$E$30))</f>
        <v>2.1999999999999999E-2</v>
      </c>
      <c r="DG154" s="120">
        <f>IF(DG145&lt;$E148,0,IF(AND(DG145&gt;=$E148,DG145&lt;=($E148+$E154-1)),Вводные!$D$30,Вводные!$E$30))</f>
        <v>2.1999999999999999E-2</v>
      </c>
      <c r="DH154" s="120">
        <f>IF(DH145&lt;$E148,0,IF(AND(DH145&gt;=$E148,DH145&lt;=($E148+$E154-1)),Вводные!$D$30,Вводные!$E$30))</f>
        <v>2.1999999999999999E-2</v>
      </c>
      <c r="DI154" s="120">
        <f>IF(DI145&lt;$E148,0,IF(AND(DI145&gt;=$E148,DI145&lt;=($E148+$E154-1)),Вводные!$D$30,Вводные!$E$30))</f>
        <v>2.1999999999999999E-2</v>
      </c>
      <c r="DJ154" s="120">
        <f>IF(DJ145&lt;$E148,0,IF(AND(DJ145&gt;=$E148,DJ145&lt;=($E148+$E154-1)),Вводные!$D$30,Вводные!$E$30))</f>
        <v>2.1999999999999999E-2</v>
      </c>
      <c r="DK154" s="120">
        <f>IF(DK145&lt;$E148,0,IF(AND(DK145&gt;=$E148,DK145&lt;=($E148+$E154-1)),Вводные!$D$30,Вводные!$E$30))</f>
        <v>2.1999999999999999E-2</v>
      </c>
      <c r="DL154" s="120">
        <f>IF(DL145&lt;$E148,0,IF(AND(DL145&gt;=$E148,DL145&lt;=($E148+$E154-1)),Вводные!$D$30,Вводные!$E$30))</f>
        <v>2.1999999999999999E-2</v>
      </c>
      <c r="DM154" s="120">
        <f>IF(DM145&lt;$E148,0,IF(AND(DM145&gt;=$E148,DM145&lt;=($E148+$E154-1)),Вводные!$D$30,Вводные!$E$30))</f>
        <v>2.1999999999999999E-2</v>
      </c>
      <c r="DN154" s="120">
        <f>IF(DN145&lt;$E148,0,IF(AND(DN145&gt;=$E148,DN145&lt;=($E148+$E154-1)),Вводные!$D$30,Вводные!$E$30))</f>
        <v>2.1999999999999999E-2</v>
      </c>
      <c r="DO154" s="120">
        <f>IF(DO145&lt;$E148,0,IF(AND(DO145&gt;=$E148,DO145&lt;=($E148+$E154-1)),Вводные!$D$30,Вводные!$E$30))</f>
        <v>2.1999999999999999E-2</v>
      </c>
      <c r="DP154" s="120">
        <f>IF(DP145&lt;$E148,0,IF(AND(DP145&gt;=$E148,DP145&lt;=($E148+$E154-1)),Вводные!$D$30,Вводные!$E$30))</f>
        <v>2.1999999999999999E-2</v>
      </c>
      <c r="DQ154" s="120">
        <f>IF(DQ145&lt;$E148,0,IF(AND(DQ145&gt;=$E148,DQ145&lt;=($E148+$E154-1)),Вводные!$D$30,Вводные!$E$30))</f>
        <v>2.1999999999999999E-2</v>
      </c>
      <c r="DR154" s="120">
        <f>IF(DR145&lt;$E148,0,IF(AND(DR145&gt;=$E148,DR145&lt;=($E148+$E154-1)),Вводные!$D$30,Вводные!$E$30))</f>
        <v>2.1999999999999999E-2</v>
      </c>
      <c r="DS154" s="120">
        <f>IF(DS145&lt;$E148,0,IF(AND(DS145&gt;=$E148,DS145&lt;=($E148+$E154-1)),Вводные!$D$30,Вводные!$E$30))</f>
        <v>2.1999999999999999E-2</v>
      </c>
      <c r="DT154" s="120">
        <f>IF(DT145&lt;$E148,0,IF(AND(DT145&gt;=$E148,DT145&lt;=($E148+$E154-1)),Вводные!$D$30,Вводные!$E$30))</f>
        <v>2.1999999999999999E-2</v>
      </c>
      <c r="DU154" s="120">
        <f>IF(DU145&lt;$E148,0,IF(AND(DU145&gt;=$E148,DU145&lt;=($E148+$E154-1)),Вводные!$D$30,Вводные!$E$30))</f>
        <v>2.1999999999999999E-2</v>
      </c>
      <c r="DV154" s="120">
        <f>IF(DV145&lt;$E148,0,IF(AND(DV145&gt;=$E148,DV145&lt;=($E148+$E154-1)),Вводные!$D$30,Вводные!$E$30))</f>
        <v>2.1999999999999999E-2</v>
      </c>
      <c r="DW154" s="120">
        <f>IF(DW145&lt;$E148,0,IF(AND(DW145&gt;=$E148,DW145&lt;=($E148+$E154-1)),Вводные!$D$30,Вводные!$E$30))</f>
        <v>2.1999999999999999E-2</v>
      </c>
      <c r="DX154" s="120">
        <f>IF(DX145&lt;$E148,0,IF(AND(DX145&gt;=$E148,DX145&lt;=($E148+$E154-1)),Вводные!$D$30,Вводные!$E$30))</f>
        <v>2.1999999999999999E-2</v>
      </c>
      <c r="DY154" s="120">
        <f>IF(DY145&lt;$E148,0,IF(AND(DY145&gt;=$E148,DY145&lt;=($E148+$E154-1)),Вводные!$D$30,Вводные!$E$30))</f>
        <v>2.1999999999999999E-2</v>
      </c>
      <c r="DZ154" s="120">
        <f>IF(DZ145&lt;$E148,0,IF(AND(DZ145&gt;=$E148,DZ145&lt;=($E148+$E154-1)),Вводные!$D$30,Вводные!$E$30))</f>
        <v>2.1999999999999999E-2</v>
      </c>
      <c r="EA154" s="120">
        <f>IF(EA145&lt;$E148,0,IF(AND(EA145&gt;=$E148,EA145&lt;=($E148+$E154-1)),Вводные!$D$30,Вводные!$E$30))</f>
        <v>2.1999999999999999E-2</v>
      </c>
      <c r="EB154" s="120">
        <f>IF(EB145&lt;$E148,0,IF(AND(EB145&gt;=$E148,EB145&lt;=($E148+$E154-1)),Вводные!$D$30,Вводные!$E$30))</f>
        <v>2.1999999999999999E-2</v>
      </c>
      <c r="EC154" s="120">
        <f>IF(EC145&lt;$E148,0,IF(AND(EC145&gt;=$E148,EC145&lt;=($E148+$E154-1)),Вводные!$D$30,Вводные!$E$30))</f>
        <v>2.1999999999999999E-2</v>
      </c>
      <c r="ED154" s="120">
        <f>IF(ED145&lt;$E148,0,IF(AND(ED145&gt;=$E148,ED145&lt;=($E148+$E154-1)),Вводные!$D$30,Вводные!$E$30))</f>
        <v>2.1999999999999999E-2</v>
      </c>
      <c r="EE154" s="120">
        <f>IF(EE145&lt;$E148,0,IF(AND(EE145&gt;=$E148,EE145&lt;=($E148+$E154-1)),Вводные!$D$30,Вводные!$E$30))</f>
        <v>2.1999999999999999E-2</v>
      </c>
      <c r="EF154" s="120">
        <f>IF(EF145&lt;$E148,0,IF(AND(EF145&gt;=$E148,EF145&lt;=($E148+$E154-1)),Вводные!$D$30,Вводные!$E$30))</f>
        <v>2.1999999999999999E-2</v>
      </c>
      <c r="EG154" s="120">
        <f>IF(EG145&lt;$E148,0,IF(AND(EG145&gt;=$E148,EG145&lt;=($E148+$E154-1)),Вводные!$D$30,Вводные!$E$30))</f>
        <v>2.1999999999999999E-2</v>
      </c>
      <c r="EH154" s="120">
        <f>IF(EH145&lt;$E148,0,IF(AND(EH145&gt;=$E148,EH145&lt;=($E148+$E154-1)),Вводные!$D$30,Вводные!$E$30))</f>
        <v>2.1999999999999999E-2</v>
      </c>
      <c r="EI154" s="120">
        <f>IF(EI145&lt;$E148,0,IF(AND(EI145&gt;=$E148,EI145&lt;=($E148+$E154-1)),Вводные!$D$30,Вводные!$E$30))</f>
        <v>2.1999999999999999E-2</v>
      </c>
      <c r="EJ154" s="120">
        <f>IF(EJ145&lt;$E148,0,IF(AND(EJ145&gt;=$E148,EJ145&lt;=($E148+$E154-1)),Вводные!$D$30,Вводные!$E$30))</f>
        <v>2.1999999999999999E-2</v>
      </c>
      <c r="EK154" s="120">
        <f>IF(EK145&lt;$E148,0,IF(AND(EK145&gt;=$E148,EK145&lt;=($E148+$E154-1)),Вводные!$D$30,Вводные!$E$30))</f>
        <v>2.1999999999999999E-2</v>
      </c>
      <c r="EL154" s="120">
        <f>IF(EL145&lt;$E148,0,IF(AND(EL145&gt;=$E148,EL145&lt;=($E148+$E154-1)),Вводные!$D$30,Вводные!$E$30))</f>
        <v>2.1999999999999999E-2</v>
      </c>
      <c r="EM154" s="120">
        <f>IF(EM145&lt;$E148,0,IF(AND(EM145&gt;=$E148,EM145&lt;=($E148+$E154-1)),Вводные!$D$30,Вводные!$E$30))</f>
        <v>2.1999999999999999E-2</v>
      </c>
      <c r="EN154" s="120">
        <f>IF(EN145&lt;$E148,0,IF(AND(EN145&gt;=$E148,EN145&lt;=($E148+$E154-1)),Вводные!$D$30,Вводные!$E$30))</f>
        <v>2.1999999999999999E-2</v>
      </c>
    </row>
    <row r="155" spans="2:144" outlineLevel="1">
      <c r="C155" s="151" t="s">
        <v>22</v>
      </c>
      <c r="D155" s="44"/>
      <c r="E155" s="469"/>
      <c r="F155" s="44"/>
      <c r="G155" s="44"/>
      <c r="H155" s="44">
        <f t="shared" ref="H155:AM155" si="316">H154*H153/4</f>
        <v>0</v>
      </c>
      <c r="I155" s="44">
        <f t="shared" si="316"/>
        <v>0</v>
      </c>
      <c r="J155" s="44">
        <f t="shared" si="316"/>
        <v>0</v>
      </c>
      <c r="K155" s="44">
        <f t="shared" si="316"/>
        <v>0</v>
      </c>
      <c r="L155" s="44">
        <f t="shared" si="316"/>
        <v>0</v>
      </c>
      <c r="M155" s="44">
        <f t="shared" si="316"/>
        <v>0</v>
      </c>
      <c r="N155" s="44">
        <f t="shared" si="316"/>
        <v>0</v>
      </c>
      <c r="O155" s="44">
        <f t="shared" si="316"/>
        <v>0</v>
      </c>
      <c r="P155" s="44">
        <f t="shared" si="316"/>
        <v>0</v>
      </c>
      <c r="Q155" s="44">
        <f t="shared" si="316"/>
        <v>0</v>
      </c>
      <c r="R155" s="44">
        <f t="shared" si="316"/>
        <v>0</v>
      </c>
      <c r="S155" s="44">
        <f t="shared" si="316"/>
        <v>0</v>
      </c>
      <c r="T155" s="44">
        <f t="shared" si="316"/>
        <v>0</v>
      </c>
      <c r="U155" s="44">
        <f t="shared" si="316"/>
        <v>0</v>
      </c>
      <c r="V155" s="44">
        <f t="shared" si="316"/>
        <v>0</v>
      </c>
      <c r="W155" s="44">
        <f t="shared" si="316"/>
        <v>0</v>
      </c>
      <c r="X155" s="44">
        <f t="shared" si="316"/>
        <v>0</v>
      </c>
      <c r="Y155" s="44">
        <f t="shared" si="316"/>
        <v>0</v>
      </c>
      <c r="Z155" s="44">
        <f t="shared" si="316"/>
        <v>0</v>
      </c>
      <c r="AA155" s="44">
        <f t="shared" si="316"/>
        <v>0</v>
      </c>
      <c r="AB155" s="44">
        <f t="shared" si="316"/>
        <v>0</v>
      </c>
      <c r="AC155" s="44">
        <f t="shared" si="316"/>
        <v>0</v>
      </c>
      <c r="AD155" s="44">
        <f t="shared" si="316"/>
        <v>0</v>
      </c>
      <c r="AE155" s="44">
        <f t="shared" si="316"/>
        <v>0</v>
      </c>
      <c r="AF155" s="44">
        <f t="shared" si="316"/>
        <v>0</v>
      </c>
      <c r="AG155" s="44">
        <f t="shared" si="316"/>
        <v>0</v>
      </c>
      <c r="AH155" s="44">
        <f t="shared" si="316"/>
        <v>0</v>
      </c>
      <c r="AI155" s="44">
        <f t="shared" si="316"/>
        <v>0</v>
      </c>
      <c r="AJ155" s="44">
        <f t="shared" si="316"/>
        <v>0</v>
      </c>
      <c r="AK155" s="44">
        <f t="shared" si="316"/>
        <v>0</v>
      </c>
      <c r="AL155" s="44">
        <f t="shared" si="316"/>
        <v>0</v>
      </c>
      <c r="AM155" s="44">
        <f t="shared" si="316"/>
        <v>0</v>
      </c>
      <c r="AN155" s="44">
        <f t="shared" ref="AN155:BS155" si="317">AN154*AN153/4</f>
        <v>0</v>
      </c>
      <c r="AO155" s="44">
        <f t="shared" si="317"/>
        <v>0</v>
      </c>
      <c r="AP155" s="44">
        <f t="shared" si="317"/>
        <v>0</v>
      </c>
      <c r="AQ155" s="44">
        <f t="shared" si="317"/>
        <v>0</v>
      </c>
      <c r="AR155" s="44">
        <f t="shared" si="317"/>
        <v>0</v>
      </c>
      <c r="AS155" s="44">
        <f t="shared" si="317"/>
        <v>0</v>
      </c>
      <c r="AT155" s="44">
        <f t="shared" si="317"/>
        <v>0</v>
      </c>
      <c r="AU155" s="44">
        <f t="shared" si="317"/>
        <v>0</v>
      </c>
      <c r="AV155" s="44">
        <f t="shared" si="317"/>
        <v>0</v>
      </c>
      <c r="AW155" s="44">
        <f t="shared" si="317"/>
        <v>0</v>
      </c>
      <c r="AX155" s="44">
        <f t="shared" si="317"/>
        <v>0</v>
      </c>
      <c r="AY155" s="44">
        <f t="shared" si="317"/>
        <v>0</v>
      </c>
      <c r="AZ155" s="44">
        <f t="shared" si="317"/>
        <v>0</v>
      </c>
      <c r="BA155" s="44">
        <f t="shared" si="317"/>
        <v>0</v>
      </c>
      <c r="BB155" s="44">
        <f t="shared" si="317"/>
        <v>0</v>
      </c>
      <c r="BC155" s="44">
        <f t="shared" si="317"/>
        <v>0</v>
      </c>
      <c r="BD155" s="44">
        <f t="shared" si="317"/>
        <v>0</v>
      </c>
      <c r="BE155" s="44">
        <f t="shared" si="317"/>
        <v>0</v>
      </c>
      <c r="BF155" s="44">
        <f t="shared" si="317"/>
        <v>0</v>
      </c>
      <c r="BG155" s="44">
        <f t="shared" si="317"/>
        <v>0</v>
      </c>
      <c r="BH155" s="44">
        <f t="shared" si="317"/>
        <v>493908.30512105708</v>
      </c>
      <c r="BI155" s="44">
        <f t="shared" si="317"/>
        <v>487848.08051834477</v>
      </c>
      <c r="BJ155" s="44">
        <f t="shared" si="317"/>
        <v>481787.85591563245</v>
      </c>
      <c r="BK155" s="44">
        <f t="shared" si="317"/>
        <v>475727.63131292007</v>
      </c>
      <c r="BL155" s="44">
        <f t="shared" si="317"/>
        <v>469667.40671020775</v>
      </c>
      <c r="BM155" s="44">
        <f t="shared" si="317"/>
        <v>463607.18210749544</v>
      </c>
      <c r="BN155" s="44">
        <f t="shared" si="317"/>
        <v>457546.95750478312</v>
      </c>
      <c r="BO155" s="44">
        <f t="shared" si="317"/>
        <v>451486.73290207074</v>
      </c>
      <c r="BP155" s="44">
        <f t="shared" si="317"/>
        <v>445426.50829935842</v>
      </c>
      <c r="BQ155" s="44">
        <f t="shared" si="317"/>
        <v>439366.2836966461</v>
      </c>
      <c r="BR155" s="44">
        <f t="shared" si="317"/>
        <v>433306.05909393379</v>
      </c>
      <c r="BS155" s="44">
        <f t="shared" si="317"/>
        <v>427245.83449122141</v>
      </c>
      <c r="BT155" s="44">
        <f t="shared" ref="BT155:CY155" si="318">BT154*BT153/4</f>
        <v>421185.60988850909</v>
      </c>
      <c r="BU155" s="44">
        <f t="shared" si="318"/>
        <v>415125.38528579677</v>
      </c>
      <c r="BV155" s="44">
        <f t="shared" si="318"/>
        <v>409065.16068308445</v>
      </c>
      <c r="BW155" s="44">
        <f t="shared" si="318"/>
        <v>403004.93608037208</v>
      </c>
      <c r="BX155" s="44">
        <f t="shared" si="318"/>
        <v>396944.71147765976</v>
      </c>
      <c r="BY155" s="44">
        <f t="shared" si="318"/>
        <v>390884.48687494744</v>
      </c>
      <c r="BZ155" s="44">
        <f t="shared" si="318"/>
        <v>384824.26227223512</v>
      </c>
      <c r="CA155" s="44">
        <f t="shared" si="318"/>
        <v>378764.03766952275</v>
      </c>
      <c r="CB155" s="44">
        <f t="shared" si="318"/>
        <v>372703.81306681043</v>
      </c>
      <c r="CC155" s="44">
        <f t="shared" si="318"/>
        <v>366643.58846409811</v>
      </c>
      <c r="CD155" s="44">
        <f t="shared" si="318"/>
        <v>360583.36386138579</v>
      </c>
      <c r="CE155" s="44">
        <f t="shared" si="318"/>
        <v>354523.13925867341</v>
      </c>
      <c r="CF155" s="44">
        <f t="shared" si="318"/>
        <v>348462.9146559611</v>
      </c>
      <c r="CG155" s="44">
        <f t="shared" si="318"/>
        <v>342402.69005324878</v>
      </c>
      <c r="CH155" s="44">
        <f t="shared" si="318"/>
        <v>336342.46545053646</v>
      </c>
      <c r="CI155" s="44">
        <f t="shared" si="318"/>
        <v>330282.24084782408</v>
      </c>
      <c r="CJ155" s="44">
        <f t="shared" si="318"/>
        <v>324222.01624511176</v>
      </c>
      <c r="CK155" s="44">
        <f t="shared" si="318"/>
        <v>318161.79164239945</v>
      </c>
      <c r="CL155" s="44">
        <f t="shared" si="318"/>
        <v>312101.56703968713</v>
      </c>
      <c r="CM155" s="44">
        <f t="shared" si="318"/>
        <v>306041.34243697475</v>
      </c>
      <c r="CN155" s="44">
        <f t="shared" si="318"/>
        <v>299981.11783426243</v>
      </c>
      <c r="CO155" s="44">
        <f t="shared" si="318"/>
        <v>293920.89323155012</v>
      </c>
      <c r="CP155" s="44">
        <f t="shared" si="318"/>
        <v>287860.6686288378</v>
      </c>
      <c r="CQ155" s="44">
        <f t="shared" si="318"/>
        <v>281800.44402612542</v>
      </c>
      <c r="CR155" s="44">
        <f t="shared" si="318"/>
        <v>275740.2194234131</v>
      </c>
      <c r="CS155" s="44">
        <f t="shared" si="318"/>
        <v>269679.99482070078</v>
      </c>
      <c r="CT155" s="44">
        <f t="shared" si="318"/>
        <v>263619.77021798847</v>
      </c>
      <c r="CU155" s="44">
        <f t="shared" si="318"/>
        <v>257559.54561527612</v>
      </c>
      <c r="CV155" s="44">
        <f t="shared" si="318"/>
        <v>251499.32101256377</v>
      </c>
      <c r="CW155" s="44">
        <f t="shared" si="318"/>
        <v>245439.09640985145</v>
      </c>
      <c r="CX155" s="44">
        <f t="shared" si="318"/>
        <v>239378.8718071391</v>
      </c>
      <c r="CY155" s="44">
        <f t="shared" si="318"/>
        <v>233318.64720442679</v>
      </c>
      <c r="CZ155" s="44">
        <f t="shared" ref="CZ155:EE155" si="319">CZ154*CZ153/4</f>
        <v>227258.42260171444</v>
      </c>
      <c r="DA155" s="44">
        <f t="shared" si="319"/>
        <v>221198.19799900212</v>
      </c>
      <c r="DB155" s="44">
        <f t="shared" si="319"/>
        <v>215137.97339628977</v>
      </c>
      <c r="DC155" s="44">
        <f t="shared" si="319"/>
        <v>209077.74879357746</v>
      </c>
      <c r="DD155" s="44">
        <f t="shared" si="319"/>
        <v>203017.52419086511</v>
      </c>
      <c r="DE155" s="44">
        <f t="shared" si="319"/>
        <v>196957.29958815279</v>
      </c>
      <c r="DF155" s="44">
        <f t="shared" si="319"/>
        <v>190897.07498544044</v>
      </c>
      <c r="DG155" s="44">
        <f t="shared" si="319"/>
        <v>184836.85038272812</v>
      </c>
      <c r="DH155" s="44">
        <f t="shared" si="319"/>
        <v>178776.62578001575</v>
      </c>
      <c r="DI155" s="44">
        <f t="shared" si="319"/>
        <v>172716.4011773034</v>
      </c>
      <c r="DJ155" s="44">
        <f t="shared" si="319"/>
        <v>166656.17657459105</v>
      </c>
      <c r="DK155" s="44">
        <f t="shared" si="319"/>
        <v>160595.95197187871</v>
      </c>
      <c r="DL155" s="44">
        <f t="shared" si="319"/>
        <v>154535.72736916633</v>
      </c>
      <c r="DM155" s="44">
        <f t="shared" si="319"/>
        <v>148475.50276645401</v>
      </c>
      <c r="DN155" s="44">
        <f t="shared" si="319"/>
        <v>142415.27816374163</v>
      </c>
      <c r="DO155" s="44">
        <f t="shared" si="319"/>
        <v>136355.05356102929</v>
      </c>
      <c r="DP155" s="44">
        <f t="shared" si="319"/>
        <v>130294.82895831692</v>
      </c>
      <c r="DQ155" s="44">
        <f t="shared" si="319"/>
        <v>124234.60435560459</v>
      </c>
      <c r="DR155" s="44">
        <f t="shared" si="319"/>
        <v>118174.37975289222</v>
      </c>
      <c r="DS155" s="44">
        <f t="shared" si="319"/>
        <v>112114.15515017988</v>
      </c>
      <c r="DT155" s="44">
        <f t="shared" si="319"/>
        <v>106053.93054746751</v>
      </c>
      <c r="DU155" s="44">
        <f t="shared" si="319"/>
        <v>99993.705944755173</v>
      </c>
      <c r="DV155" s="44">
        <f t="shared" si="319"/>
        <v>93933.481342042796</v>
      </c>
      <c r="DW155" s="44">
        <f t="shared" si="319"/>
        <v>87873.256739330449</v>
      </c>
      <c r="DX155" s="44">
        <f t="shared" si="319"/>
        <v>81813.032136618102</v>
      </c>
      <c r="DY155" s="44">
        <f t="shared" si="319"/>
        <v>75752.807533905754</v>
      </c>
      <c r="DZ155" s="44">
        <f t="shared" si="319"/>
        <v>69692.582931193392</v>
      </c>
      <c r="EA155" s="44">
        <f t="shared" si="319"/>
        <v>63632.358328481045</v>
      </c>
      <c r="EB155" s="44">
        <f t="shared" si="319"/>
        <v>57572.13372576869</v>
      </c>
      <c r="EC155" s="44">
        <f t="shared" si="319"/>
        <v>51511.909123056335</v>
      </c>
      <c r="ED155" s="44">
        <f t="shared" si="319"/>
        <v>45451.684520343981</v>
      </c>
      <c r="EE155" s="44">
        <f t="shared" si="319"/>
        <v>39391.459917631641</v>
      </c>
      <c r="EF155" s="44">
        <f t="shared" ref="EF155:EN155" si="320">EF154*EF153/4</f>
        <v>33331.235314919286</v>
      </c>
      <c r="EG155" s="44">
        <f t="shared" si="320"/>
        <v>27271.010712206942</v>
      </c>
      <c r="EH155" s="44">
        <f t="shared" si="320"/>
        <v>21210.786109494591</v>
      </c>
      <c r="EI155" s="44">
        <f t="shared" si="320"/>
        <v>15150.561506782244</v>
      </c>
      <c r="EJ155" s="44">
        <f t="shared" si="320"/>
        <v>9090.3369040698944</v>
      </c>
      <c r="EK155" s="44">
        <f t="shared" si="320"/>
        <v>3030.1123013575448</v>
      </c>
      <c r="EL155" s="44">
        <f t="shared" si="320"/>
        <v>1.3702083379030227E-9</v>
      </c>
      <c r="EM155" s="44">
        <f t="shared" si="320"/>
        <v>1.3702083379030227E-9</v>
      </c>
      <c r="EN155" s="44">
        <f t="shared" si="320"/>
        <v>1.3702083379030227E-9</v>
      </c>
    </row>
    <row r="156" spans="2:144" ht="15.75">
      <c r="B156" s="40"/>
      <c r="C156" s="22"/>
      <c r="E156" s="40"/>
      <c r="F156" s="40"/>
      <c r="G156" s="40"/>
      <c r="H156" s="463">
        <f t="shared" ref="H156:BD156" si="321">YEAR(H158)</f>
        <v>2022</v>
      </c>
      <c r="I156" s="463">
        <f t="shared" si="321"/>
        <v>2022</v>
      </c>
      <c r="J156" s="463">
        <f t="shared" si="321"/>
        <v>2022</v>
      </c>
      <c r="K156" s="463">
        <f t="shared" si="321"/>
        <v>2022</v>
      </c>
      <c r="L156" s="463">
        <f t="shared" si="321"/>
        <v>2023</v>
      </c>
      <c r="M156" s="463">
        <f t="shared" si="321"/>
        <v>2023</v>
      </c>
      <c r="N156" s="463">
        <f t="shared" si="321"/>
        <v>2023</v>
      </c>
      <c r="O156" s="463">
        <f t="shared" si="321"/>
        <v>2023</v>
      </c>
      <c r="P156" s="463">
        <f t="shared" si="321"/>
        <v>2024</v>
      </c>
      <c r="Q156" s="463">
        <f t="shared" si="321"/>
        <v>2024</v>
      </c>
      <c r="R156" s="463">
        <f t="shared" si="321"/>
        <v>2024</v>
      </c>
      <c r="S156" s="463">
        <f t="shared" si="321"/>
        <v>2024</v>
      </c>
      <c r="T156" s="463">
        <f t="shared" si="321"/>
        <v>2025</v>
      </c>
      <c r="U156" s="463">
        <f t="shared" si="321"/>
        <v>2025</v>
      </c>
      <c r="V156" s="463">
        <f t="shared" si="321"/>
        <v>2025</v>
      </c>
      <c r="W156" s="463">
        <f t="shared" si="321"/>
        <v>2025</v>
      </c>
      <c r="X156" s="463">
        <f t="shared" si="321"/>
        <v>2026</v>
      </c>
      <c r="Y156" s="463">
        <f t="shared" si="321"/>
        <v>2026</v>
      </c>
      <c r="Z156" s="463">
        <f t="shared" si="321"/>
        <v>2026</v>
      </c>
      <c r="AA156" s="463">
        <f t="shared" si="321"/>
        <v>2026</v>
      </c>
      <c r="AB156" s="463">
        <f t="shared" si="321"/>
        <v>2027</v>
      </c>
      <c r="AC156" s="463">
        <f t="shared" si="321"/>
        <v>2027</v>
      </c>
      <c r="AD156" s="463">
        <f t="shared" si="321"/>
        <v>2027</v>
      </c>
      <c r="AE156" s="463">
        <f t="shared" si="321"/>
        <v>2027</v>
      </c>
      <c r="AF156" s="463">
        <f t="shared" si="321"/>
        <v>2028</v>
      </c>
      <c r="AG156" s="463">
        <f t="shared" si="321"/>
        <v>2028</v>
      </c>
      <c r="AH156" s="463">
        <f t="shared" si="321"/>
        <v>2028</v>
      </c>
      <c r="AI156" s="463">
        <f t="shared" si="321"/>
        <v>2028</v>
      </c>
      <c r="AJ156" s="463">
        <f t="shared" si="321"/>
        <v>2029</v>
      </c>
      <c r="AK156" s="463">
        <f t="shared" si="321"/>
        <v>2029</v>
      </c>
      <c r="AL156" s="463">
        <f t="shared" si="321"/>
        <v>2029</v>
      </c>
      <c r="AM156" s="463">
        <f t="shared" si="321"/>
        <v>2029</v>
      </c>
      <c r="AN156" s="463">
        <f t="shared" si="321"/>
        <v>2030</v>
      </c>
      <c r="AO156" s="463">
        <f t="shared" si="321"/>
        <v>2030</v>
      </c>
      <c r="AP156" s="463">
        <f t="shared" si="321"/>
        <v>2030</v>
      </c>
      <c r="AQ156" s="463">
        <f t="shared" si="321"/>
        <v>2030</v>
      </c>
      <c r="AR156" s="463">
        <f t="shared" si="321"/>
        <v>2031</v>
      </c>
      <c r="AS156" s="463">
        <f t="shared" si="321"/>
        <v>2031</v>
      </c>
      <c r="AT156" s="463">
        <f t="shared" si="321"/>
        <v>2031</v>
      </c>
      <c r="AU156" s="463">
        <f t="shared" si="321"/>
        <v>2031</v>
      </c>
      <c r="AV156" s="463">
        <f t="shared" si="321"/>
        <v>2032</v>
      </c>
      <c r="AW156" s="463">
        <f t="shared" si="321"/>
        <v>2032</v>
      </c>
      <c r="AX156" s="463">
        <f t="shared" si="321"/>
        <v>2032</v>
      </c>
      <c r="AY156" s="463">
        <f t="shared" si="321"/>
        <v>2032</v>
      </c>
      <c r="AZ156" s="463">
        <f t="shared" si="321"/>
        <v>2033</v>
      </c>
      <c r="BA156" s="463">
        <f t="shared" si="321"/>
        <v>2033</v>
      </c>
      <c r="BB156" s="463">
        <f t="shared" si="321"/>
        <v>2033</v>
      </c>
      <c r="BC156" s="463">
        <f t="shared" si="321"/>
        <v>2033</v>
      </c>
      <c r="BD156" s="463">
        <f t="shared" si="321"/>
        <v>2034</v>
      </c>
      <c r="BE156" s="463">
        <f>YEAR(BE158)</f>
        <v>2034</v>
      </c>
      <c r="BF156" s="463">
        <f>YEAR(BF158)</f>
        <v>2034</v>
      </c>
      <c r="BG156" s="463">
        <f t="shared" ref="BG156:DR156" si="322">YEAR(BG158)</f>
        <v>2034</v>
      </c>
      <c r="BH156" s="463">
        <f t="shared" si="322"/>
        <v>2035</v>
      </c>
      <c r="BI156" s="463">
        <f t="shared" si="322"/>
        <v>2035</v>
      </c>
      <c r="BJ156" s="463">
        <f t="shared" si="322"/>
        <v>2035</v>
      </c>
      <c r="BK156" s="463">
        <f t="shared" si="322"/>
        <v>2035</v>
      </c>
      <c r="BL156" s="463">
        <f t="shared" si="322"/>
        <v>2036</v>
      </c>
      <c r="BM156" s="463">
        <f t="shared" si="322"/>
        <v>2036</v>
      </c>
      <c r="BN156" s="463">
        <f t="shared" si="322"/>
        <v>2036</v>
      </c>
      <c r="BO156" s="463">
        <f t="shared" si="322"/>
        <v>2036</v>
      </c>
      <c r="BP156" s="463">
        <f t="shared" si="322"/>
        <v>2037</v>
      </c>
      <c r="BQ156" s="463">
        <f t="shared" si="322"/>
        <v>2037</v>
      </c>
      <c r="BR156" s="463">
        <f t="shared" si="322"/>
        <v>2037</v>
      </c>
      <c r="BS156" s="463">
        <f t="shared" si="322"/>
        <v>2037</v>
      </c>
      <c r="BT156" s="463">
        <f t="shared" si="322"/>
        <v>2038</v>
      </c>
      <c r="BU156" s="463">
        <f t="shared" si="322"/>
        <v>2038</v>
      </c>
      <c r="BV156" s="463">
        <f t="shared" si="322"/>
        <v>2038</v>
      </c>
      <c r="BW156" s="463">
        <f t="shared" si="322"/>
        <v>2038</v>
      </c>
      <c r="BX156" s="463">
        <f t="shared" si="322"/>
        <v>2039</v>
      </c>
      <c r="BY156" s="463">
        <f t="shared" si="322"/>
        <v>2039</v>
      </c>
      <c r="BZ156" s="463">
        <f t="shared" si="322"/>
        <v>2039</v>
      </c>
      <c r="CA156" s="463">
        <f t="shared" si="322"/>
        <v>2039</v>
      </c>
      <c r="CB156" s="463">
        <f t="shared" si="322"/>
        <v>2040</v>
      </c>
      <c r="CC156" s="463">
        <f t="shared" si="322"/>
        <v>2040</v>
      </c>
      <c r="CD156" s="463">
        <f t="shared" si="322"/>
        <v>2040</v>
      </c>
      <c r="CE156" s="463">
        <f t="shared" si="322"/>
        <v>2040</v>
      </c>
      <c r="CF156" s="463">
        <f t="shared" si="322"/>
        <v>2041</v>
      </c>
      <c r="CG156" s="463">
        <f t="shared" si="322"/>
        <v>2041</v>
      </c>
      <c r="CH156" s="463">
        <f t="shared" si="322"/>
        <v>2041</v>
      </c>
      <c r="CI156" s="463">
        <f t="shared" si="322"/>
        <v>2041</v>
      </c>
      <c r="CJ156" s="463">
        <f t="shared" si="322"/>
        <v>2042</v>
      </c>
      <c r="CK156" s="463">
        <f t="shared" si="322"/>
        <v>2042</v>
      </c>
      <c r="CL156" s="463">
        <f t="shared" si="322"/>
        <v>2042</v>
      </c>
      <c r="CM156" s="463">
        <f t="shared" si="322"/>
        <v>2042</v>
      </c>
      <c r="CN156" s="463">
        <f t="shared" si="322"/>
        <v>2043</v>
      </c>
      <c r="CO156" s="463">
        <f t="shared" si="322"/>
        <v>2043</v>
      </c>
      <c r="CP156" s="463">
        <f t="shared" si="322"/>
        <v>2043</v>
      </c>
      <c r="CQ156" s="463">
        <f t="shared" si="322"/>
        <v>2043</v>
      </c>
      <c r="CR156" s="463">
        <f t="shared" si="322"/>
        <v>2044</v>
      </c>
      <c r="CS156" s="463">
        <f t="shared" si="322"/>
        <v>2044</v>
      </c>
      <c r="CT156" s="463">
        <f t="shared" si="322"/>
        <v>2044</v>
      </c>
      <c r="CU156" s="463">
        <f t="shared" si="322"/>
        <v>2044</v>
      </c>
      <c r="CV156" s="463">
        <f t="shared" si="322"/>
        <v>2045</v>
      </c>
      <c r="CW156" s="463">
        <f t="shared" si="322"/>
        <v>2045</v>
      </c>
      <c r="CX156" s="463">
        <f t="shared" si="322"/>
        <v>2045</v>
      </c>
      <c r="CY156" s="463">
        <f t="shared" si="322"/>
        <v>2045</v>
      </c>
      <c r="CZ156" s="463">
        <f t="shared" si="322"/>
        <v>2046</v>
      </c>
      <c r="DA156" s="463">
        <f t="shared" si="322"/>
        <v>2046</v>
      </c>
      <c r="DB156" s="463">
        <f t="shared" si="322"/>
        <v>2046</v>
      </c>
      <c r="DC156" s="463">
        <f t="shared" si="322"/>
        <v>2046</v>
      </c>
      <c r="DD156" s="463">
        <f t="shared" si="322"/>
        <v>2047</v>
      </c>
      <c r="DE156" s="463">
        <f t="shared" si="322"/>
        <v>2047</v>
      </c>
      <c r="DF156" s="463">
        <f t="shared" si="322"/>
        <v>2047</v>
      </c>
      <c r="DG156" s="463">
        <f t="shared" si="322"/>
        <v>2047</v>
      </c>
      <c r="DH156" s="463">
        <f t="shared" si="322"/>
        <v>2048</v>
      </c>
      <c r="DI156" s="463">
        <f t="shared" si="322"/>
        <v>2048</v>
      </c>
      <c r="DJ156" s="463">
        <f t="shared" si="322"/>
        <v>2048</v>
      </c>
      <c r="DK156" s="463">
        <f t="shared" si="322"/>
        <v>2048</v>
      </c>
      <c r="DL156" s="463">
        <f t="shared" si="322"/>
        <v>2049</v>
      </c>
      <c r="DM156" s="463">
        <f t="shared" si="322"/>
        <v>2049</v>
      </c>
      <c r="DN156" s="463">
        <f t="shared" si="322"/>
        <v>2049</v>
      </c>
      <c r="DO156" s="463">
        <f t="shared" si="322"/>
        <v>2049</v>
      </c>
      <c r="DP156" s="463">
        <f t="shared" si="322"/>
        <v>2050</v>
      </c>
      <c r="DQ156" s="463">
        <f t="shared" si="322"/>
        <v>2050</v>
      </c>
      <c r="DR156" s="463">
        <f t="shared" si="322"/>
        <v>2050</v>
      </c>
      <c r="DS156" s="463">
        <f t="shared" ref="DS156:EN156" si="323">YEAR(DS158)</f>
        <v>2050</v>
      </c>
      <c r="DT156" s="463">
        <f t="shared" si="323"/>
        <v>2051</v>
      </c>
      <c r="DU156" s="463">
        <f t="shared" si="323"/>
        <v>2051</v>
      </c>
      <c r="DV156" s="463">
        <f t="shared" si="323"/>
        <v>2051</v>
      </c>
      <c r="DW156" s="463">
        <f t="shared" si="323"/>
        <v>2051</v>
      </c>
      <c r="DX156" s="463">
        <f t="shared" si="323"/>
        <v>2052</v>
      </c>
      <c r="DY156" s="463">
        <f t="shared" si="323"/>
        <v>2052</v>
      </c>
      <c r="DZ156" s="463">
        <f t="shared" si="323"/>
        <v>2052</v>
      </c>
      <c r="EA156" s="463">
        <f t="shared" si="323"/>
        <v>2052</v>
      </c>
      <c r="EB156" s="463">
        <f t="shared" si="323"/>
        <v>2053</v>
      </c>
      <c r="EC156" s="463">
        <f t="shared" si="323"/>
        <v>2053</v>
      </c>
      <c r="ED156" s="463">
        <f t="shared" si="323"/>
        <v>2053</v>
      </c>
      <c r="EE156" s="463">
        <f t="shared" si="323"/>
        <v>2053</v>
      </c>
      <c r="EF156" s="463">
        <f t="shared" si="323"/>
        <v>2054</v>
      </c>
      <c r="EG156" s="463">
        <f t="shared" si="323"/>
        <v>2054</v>
      </c>
      <c r="EH156" s="463">
        <f t="shared" si="323"/>
        <v>2054</v>
      </c>
      <c r="EI156" s="463">
        <f t="shared" si="323"/>
        <v>2054</v>
      </c>
      <c r="EJ156" s="463">
        <f t="shared" si="323"/>
        <v>2055</v>
      </c>
      <c r="EK156" s="463">
        <f t="shared" si="323"/>
        <v>2055</v>
      </c>
      <c r="EL156" s="463">
        <f t="shared" si="323"/>
        <v>2055</v>
      </c>
      <c r="EM156" s="463">
        <f t="shared" si="323"/>
        <v>2055</v>
      </c>
      <c r="EN156" s="463">
        <f t="shared" si="323"/>
        <v>2056</v>
      </c>
    </row>
    <row r="157" spans="2:144" ht="15.75">
      <c r="B157" s="40"/>
      <c r="C157" s="22"/>
      <c r="E157" s="40"/>
      <c r="F157" s="40"/>
      <c r="G157" s="40"/>
      <c r="H157" s="464">
        <f t="shared" ref="H157:AM157" si="324">H146</f>
        <v>44593</v>
      </c>
      <c r="I157" s="464">
        <f t="shared" si="324"/>
        <v>44652</v>
      </c>
      <c r="J157" s="464">
        <f t="shared" si="324"/>
        <v>44743</v>
      </c>
      <c r="K157" s="464">
        <f t="shared" si="324"/>
        <v>44835</v>
      </c>
      <c r="L157" s="464">
        <f t="shared" si="324"/>
        <v>44927</v>
      </c>
      <c r="M157" s="464">
        <f t="shared" si="324"/>
        <v>45017</v>
      </c>
      <c r="N157" s="464">
        <f t="shared" si="324"/>
        <v>45108</v>
      </c>
      <c r="O157" s="464">
        <f t="shared" si="324"/>
        <v>45200</v>
      </c>
      <c r="P157" s="464">
        <f t="shared" si="324"/>
        <v>45292</v>
      </c>
      <c r="Q157" s="464">
        <f t="shared" si="324"/>
        <v>45383</v>
      </c>
      <c r="R157" s="464">
        <f t="shared" si="324"/>
        <v>45474</v>
      </c>
      <c r="S157" s="464">
        <f t="shared" si="324"/>
        <v>45566</v>
      </c>
      <c r="T157" s="464">
        <f t="shared" si="324"/>
        <v>45658</v>
      </c>
      <c r="U157" s="464">
        <f t="shared" si="324"/>
        <v>45748</v>
      </c>
      <c r="V157" s="464">
        <f t="shared" si="324"/>
        <v>45839</v>
      </c>
      <c r="W157" s="464">
        <f t="shared" si="324"/>
        <v>45931</v>
      </c>
      <c r="X157" s="464">
        <f t="shared" si="324"/>
        <v>46023</v>
      </c>
      <c r="Y157" s="464">
        <f t="shared" si="324"/>
        <v>46113</v>
      </c>
      <c r="Z157" s="464">
        <f t="shared" si="324"/>
        <v>46204</v>
      </c>
      <c r="AA157" s="464">
        <f t="shared" si="324"/>
        <v>46296</v>
      </c>
      <c r="AB157" s="464">
        <f t="shared" si="324"/>
        <v>46388</v>
      </c>
      <c r="AC157" s="464">
        <f t="shared" si="324"/>
        <v>46478</v>
      </c>
      <c r="AD157" s="464">
        <f t="shared" si="324"/>
        <v>46569</v>
      </c>
      <c r="AE157" s="464">
        <f t="shared" si="324"/>
        <v>46661</v>
      </c>
      <c r="AF157" s="464">
        <f t="shared" si="324"/>
        <v>46753</v>
      </c>
      <c r="AG157" s="464">
        <f t="shared" si="324"/>
        <v>46844</v>
      </c>
      <c r="AH157" s="464">
        <f t="shared" si="324"/>
        <v>46935</v>
      </c>
      <c r="AI157" s="464">
        <f t="shared" si="324"/>
        <v>47027</v>
      </c>
      <c r="AJ157" s="464">
        <f t="shared" si="324"/>
        <v>47119</v>
      </c>
      <c r="AK157" s="464">
        <f t="shared" si="324"/>
        <v>47209</v>
      </c>
      <c r="AL157" s="464">
        <f t="shared" si="324"/>
        <v>47300</v>
      </c>
      <c r="AM157" s="464">
        <f t="shared" si="324"/>
        <v>47392</v>
      </c>
      <c r="AN157" s="464">
        <f t="shared" ref="AN157:BS157" si="325">AN146</f>
        <v>47484</v>
      </c>
      <c r="AO157" s="464">
        <f t="shared" si="325"/>
        <v>47574</v>
      </c>
      <c r="AP157" s="464">
        <f t="shared" si="325"/>
        <v>47665</v>
      </c>
      <c r="AQ157" s="464">
        <f t="shared" si="325"/>
        <v>47757</v>
      </c>
      <c r="AR157" s="464">
        <f t="shared" si="325"/>
        <v>47849</v>
      </c>
      <c r="AS157" s="464">
        <f t="shared" si="325"/>
        <v>47939</v>
      </c>
      <c r="AT157" s="464">
        <f t="shared" si="325"/>
        <v>48030</v>
      </c>
      <c r="AU157" s="464">
        <f t="shared" si="325"/>
        <v>48122</v>
      </c>
      <c r="AV157" s="464">
        <f t="shared" si="325"/>
        <v>48214</v>
      </c>
      <c r="AW157" s="464">
        <f t="shared" si="325"/>
        <v>48305</v>
      </c>
      <c r="AX157" s="464">
        <f t="shared" si="325"/>
        <v>48396</v>
      </c>
      <c r="AY157" s="464">
        <f t="shared" si="325"/>
        <v>48488</v>
      </c>
      <c r="AZ157" s="464">
        <f t="shared" si="325"/>
        <v>48580</v>
      </c>
      <c r="BA157" s="464">
        <f t="shared" si="325"/>
        <v>48670</v>
      </c>
      <c r="BB157" s="464">
        <f t="shared" si="325"/>
        <v>48761</v>
      </c>
      <c r="BC157" s="464">
        <f t="shared" si="325"/>
        <v>48853</v>
      </c>
      <c r="BD157" s="464">
        <f t="shared" si="325"/>
        <v>48945</v>
      </c>
      <c r="BE157" s="464">
        <f t="shared" si="325"/>
        <v>49035</v>
      </c>
      <c r="BF157" s="464">
        <f t="shared" si="325"/>
        <v>49126</v>
      </c>
      <c r="BG157" s="464">
        <f t="shared" si="325"/>
        <v>49218</v>
      </c>
      <c r="BH157" s="464">
        <f t="shared" si="325"/>
        <v>49310</v>
      </c>
      <c r="BI157" s="464">
        <f t="shared" si="325"/>
        <v>49400</v>
      </c>
      <c r="BJ157" s="464">
        <f t="shared" si="325"/>
        <v>49491</v>
      </c>
      <c r="BK157" s="464">
        <f t="shared" si="325"/>
        <v>49583</v>
      </c>
      <c r="BL157" s="464">
        <f t="shared" si="325"/>
        <v>49675</v>
      </c>
      <c r="BM157" s="464">
        <f t="shared" si="325"/>
        <v>49766</v>
      </c>
      <c r="BN157" s="464">
        <f t="shared" si="325"/>
        <v>49857</v>
      </c>
      <c r="BO157" s="464">
        <f t="shared" si="325"/>
        <v>49949</v>
      </c>
      <c r="BP157" s="464">
        <f t="shared" si="325"/>
        <v>50041</v>
      </c>
      <c r="BQ157" s="464">
        <f t="shared" si="325"/>
        <v>50131</v>
      </c>
      <c r="BR157" s="464">
        <f t="shared" si="325"/>
        <v>50222</v>
      </c>
      <c r="BS157" s="464">
        <f t="shared" si="325"/>
        <v>50314</v>
      </c>
      <c r="BT157" s="464">
        <f t="shared" ref="BT157:CY157" si="326">BT146</f>
        <v>50406</v>
      </c>
      <c r="BU157" s="464">
        <f t="shared" si="326"/>
        <v>50496</v>
      </c>
      <c r="BV157" s="464">
        <f t="shared" si="326"/>
        <v>50587</v>
      </c>
      <c r="BW157" s="464">
        <f t="shared" si="326"/>
        <v>50679</v>
      </c>
      <c r="BX157" s="464">
        <f t="shared" si="326"/>
        <v>50771</v>
      </c>
      <c r="BY157" s="464">
        <f t="shared" si="326"/>
        <v>50861</v>
      </c>
      <c r="BZ157" s="464">
        <f t="shared" si="326"/>
        <v>50952</v>
      </c>
      <c r="CA157" s="464">
        <f t="shared" si="326"/>
        <v>51044</v>
      </c>
      <c r="CB157" s="464">
        <f t="shared" si="326"/>
        <v>51136</v>
      </c>
      <c r="CC157" s="464">
        <f t="shared" si="326"/>
        <v>51227</v>
      </c>
      <c r="CD157" s="464">
        <f t="shared" si="326"/>
        <v>51318</v>
      </c>
      <c r="CE157" s="464">
        <f t="shared" si="326"/>
        <v>51410</v>
      </c>
      <c r="CF157" s="464">
        <f t="shared" si="326"/>
        <v>51502</v>
      </c>
      <c r="CG157" s="464">
        <f t="shared" si="326"/>
        <v>51592</v>
      </c>
      <c r="CH157" s="464">
        <f t="shared" si="326"/>
        <v>51683</v>
      </c>
      <c r="CI157" s="464">
        <f t="shared" si="326"/>
        <v>51775</v>
      </c>
      <c r="CJ157" s="464">
        <f t="shared" si="326"/>
        <v>51867</v>
      </c>
      <c r="CK157" s="464">
        <f t="shared" si="326"/>
        <v>51957</v>
      </c>
      <c r="CL157" s="464">
        <f t="shared" si="326"/>
        <v>52048</v>
      </c>
      <c r="CM157" s="464">
        <f t="shared" si="326"/>
        <v>52140</v>
      </c>
      <c r="CN157" s="464">
        <f t="shared" si="326"/>
        <v>52232</v>
      </c>
      <c r="CO157" s="464">
        <f t="shared" si="326"/>
        <v>52322</v>
      </c>
      <c r="CP157" s="464">
        <f t="shared" si="326"/>
        <v>52413</v>
      </c>
      <c r="CQ157" s="464">
        <f t="shared" si="326"/>
        <v>52505</v>
      </c>
      <c r="CR157" s="464">
        <f t="shared" si="326"/>
        <v>52597</v>
      </c>
      <c r="CS157" s="464">
        <f t="shared" si="326"/>
        <v>52688</v>
      </c>
      <c r="CT157" s="464">
        <f t="shared" si="326"/>
        <v>52779</v>
      </c>
      <c r="CU157" s="464">
        <f t="shared" si="326"/>
        <v>52871</v>
      </c>
      <c r="CV157" s="464">
        <f t="shared" si="326"/>
        <v>52963</v>
      </c>
      <c r="CW157" s="464">
        <f t="shared" si="326"/>
        <v>53053</v>
      </c>
      <c r="CX157" s="464">
        <f t="shared" si="326"/>
        <v>53144</v>
      </c>
      <c r="CY157" s="464">
        <f t="shared" si="326"/>
        <v>53236</v>
      </c>
      <c r="CZ157" s="464">
        <f t="shared" ref="CZ157:EE157" si="327">CZ146</f>
        <v>53328</v>
      </c>
      <c r="DA157" s="464">
        <f t="shared" si="327"/>
        <v>53418</v>
      </c>
      <c r="DB157" s="464">
        <f t="shared" si="327"/>
        <v>53509</v>
      </c>
      <c r="DC157" s="464">
        <f t="shared" si="327"/>
        <v>53601</v>
      </c>
      <c r="DD157" s="464">
        <f t="shared" si="327"/>
        <v>53693</v>
      </c>
      <c r="DE157" s="464">
        <f t="shared" si="327"/>
        <v>53783</v>
      </c>
      <c r="DF157" s="464">
        <f t="shared" si="327"/>
        <v>53874</v>
      </c>
      <c r="DG157" s="464">
        <f t="shared" si="327"/>
        <v>53966</v>
      </c>
      <c r="DH157" s="464">
        <f t="shared" si="327"/>
        <v>54058</v>
      </c>
      <c r="DI157" s="464">
        <f t="shared" si="327"/>
        <v>54149</v>
      </c>
      <c r="DJ157" s="464">
        <f t="shared" si="327"/>
        <v>54240</v>
      </c>
      <c r="DK157" s="464">
        <f t="shared" si="327"/>
        <v>54332</v>
      </c>
      <c r="DL157" s="464">
        <f t="shared" si="327"/>
        <v>54424</v>
      </c>
      <c r="DM157" s="464">
        <f t="shared" si="327"/>
        <v>54514</v>
      </c>
      <c r="DN157" s="464">
        <f t="shared" si="327"/>
        <v>54605</v>
      </c>
      <c r="DO157" s="464">
        <f t="shared" si="327"/>
        <v>54697</v>
      </c>
      <c r="DP157" s="464">
        <f t="shared" si="327"/>
        <v>54789</v>
      </c>
      <c r="DQ157" s="464">
        <f t="shared" si="327"/>
        <v>54879</v>
      </c>
      <c r="DR157" s="464">
        <f t="shared" si="327"/>
        <v>54970</v>
      </c>
      <c r="DS157" s="464">
        <f t="shared" si="327"/>
        <v>55062</v>
      </c>
      <c r="DT157" s="464">
        <f t="shared" si="327"/>
        <v>55154</v>
      </c>
      <c r="DU157" s="464">
        <f t="shared" si="327"/>
        <v>55244</v>
      </c>
      <c r="DV157" s="464">
        <f t="shared" si="327"/>
        <v>55335</v>
      </c>
      <c r="DW157" s="464">
        <f t="shared" si="327"/>
        <v>55427</v>
      </c>
      <c r="DX157" s="464">
        <f t="shared" si="327"/>
        <v>55519</v>
      </c>
      <c r="DY157" s="464">
        <f t="shared" si="327"/>
        <v>55610</v>
      </c>
      <c r="DZ157" s="464">
        <f t="shared" si="327"/>
        <v>55701</v>
      </c>
      <c r="EA157" s="464">
        <f t="shared" si="327"/>
        <v>55793</v>
      </c>
      <c r="EB157" s="464">
        <f t="shared" si="327"/>
        <v>55885</v>
      </c>
      <c r="EC157" s="464">
        <f t="shared" si="327"/>
        <v>55975</v>
      </c>
      <c r="ED157" s="464">
        <f t="shared" si="327"/>
        <v>56066</v>
      </c>
      <c r="EE157" s="464">
        <f t="shared" si="327"/>
        <v>56158</v>
      </c>
      <c r="EF157" s="464">
        <f t="shared" ref="EF157:EN157" si="328">EF146</f>
        <v>56250</v>
      </c>
      <c r="EG157" s="464">
        <f t="shared" si="328"/>
        <v>56340</v>
      </c>
      <c r="EH157" s="464">
        <f t="shared" si="328"/>
        <v>56431</v>
      </c>
      <c r="EI157" s="464">
        <f t="shared" si="328"/>
        <v>56523</v>
      </c>
      <c r="EJ157" s="464">
        <f t="shared" si="328"/>
        <v>56615</v>
      </c>
      <c r="EK157" s="464">
        <f t="shared" si="328"/>
        <v>56705</v>
      </c>
      <c r="EL157" s="464">
        <f t="shared" si="328"/>
        <v>56796</v>
      </c>
      <c r="EM157" s="464">
        <f t="shared" si="328"/>
        <v>56888</v>
      </c>
      <c r="EN157" s="464">
        <f t="shared" si="328"/>
        <v>56980</v>
      </c>
    </row>
    <row r="158" spans="2:144" ht="15.75">
      <c r="C158" s="22"/>
      <c r="E158" s="42"/>
      <c r="F158" s="42"/>
      <c r="G158" s="42"/>
      <c r="H158" s="464">
        <f t="shared" ref="H158:AM158" si="329">H147</f>
        <v>44651</v>
      </c>
      <c r="I158" s="464">
        <f t="shared" si="329"/>
        <v>44742</v>
      </c>
      <c r="J158" s="464">
        <f t="shared" si="329"/>
        <v>44834</v>
      </c>
      <c r="K158" s="464">
        <f t="shared" si="329"/>
        <v>44926</v>
      </c>
      <c r="L158" s="464">
        <f t="shared" si="329"/>
        <v>45016</v>
      </c>
      <c r="M158" s="464">
        <f t="shared" si="329"/>
        <v>45107</v>
      </c>
      <c r="N158" s="464">
        <f t="shared" si="329"/>
        <v>45199</v>
      </c>
      <c r="O158" s="464">
        <f t="shared" si="329"/>
        <v>45291</v>
      </c>
      <c r="P158" s="464">
        <f t="shared" si="329"/>
        <v>45382</v>
      </c>
      <c r="Q158" s="464">
        <f t="shared" si="329"/>
        <v>45473</v>
      </c>
      <c r="R158" s="464">
        <f t="shared" si="329"/>
        <v>45565</v>
      </c>
      <c r="S158" s="464">
        <f t="shared" si="329"/>
        <v>45657</v>
      </c>
      <c r="T158" s="464">
        <f t="shared" si="329"/>
        <v>45747</v>
      </c>
      <c r="U158" s="464">
        <f t="shared" si="329"/>
        <v>45838</v>
      </c>
      <c r="V158" s="464">
        <f t="shared" si="329"/>
        <v>45930</v>
      </c>
      <c r="W158" s="464">
        <f t="shared" si="329"/>
        <v>46022</v>
      </c>
      <c r="X158" s="464">
        <f t="shared" si="329"/>
        <v>46112</v>
      </c>
      <c r="Y158" s="464">
        <f t="shared" si="329"/>
        <v>46203</v>
      </c>
      <c r="Z158" s="464">
        <f t="shared" si="329"/>
        <v>46295</v>
      </c>
      <c r="AA158" s="464">
        <f t="shared" si="329"/>
        <v>46387</v>
      </c>
      <c r="AB158" s="464">
        <f t="shared" si="329"/>
        <v>46477</v>
      </c>
      <c r="AC158" s="464">
        <f t="shared" si="329"/>
        <v>46568</v>
      </c>
      <c r="AD158" s="464">
        <f t="shared" si="329"/>
        <v>46660</v>
      </c>
      <c r="AE158" s="464">
        <f t="shared" si="329"/>
        <v>46752</v>
      </c>
      <c r="AF158" s="464">
        <f t="shared" si="329"/>
        <v>46843</v>
      </c>
      <c r="AG158" s="464">
        <f t="shared" si="329"/>
        <v>46934</v>
      </c>
      <c r="AH158" s="464">
        <f t="shared" si="329"/>
        <v>47026</v>
      </c>
      <c r="AI158" s="464">
        <f t="shared" si="329"/>
        <v>47118</v>
      </c>
      <c r="AJ158" s="464">
        <f t="shared" si="329"/>
        <v>47208</v>
      </c>
      <c r="AK158" s="464">
        <f t="shared" si="329"/>
        <v>47299</v>
      </c>
      <c r="AL158" s="464">
        <f t="shared" si="329"/>
        <v>47391</v>
      </c>
      <c r="AM158" s="464">
        <f t="shared" si="329"/>
        <v>47483</v>
      </c>
      <c r="AN158" s="464">
        <f t="shared" ref="AN158:BS158" si="330">AN147</f>
        <v>47573</v>
      </c>
      <c r="AO158" s="464">
        <f t="shared" si="330"/>
        <v>47664</v>
      </c>
      <c r="AP158" s="464">
        <f t="shared" si="330"/>
        <v>47756</v>
      </c>
      <c r="AQ158" s="464">
        <f t="shared" si="330"/>
        <v>47848</v>
      </c>
      <c r="AR158" s="464">
        <f t="shared" si="330"/>
        <v>47938</v>
      </c>
      <c r="AS158" s="464">
        <f t="shared" si="330"/>
        <v>48029</v>
      </c>
      <c r="AT158" s="464">
        <f t="shared" si="330"/>
        <v>48121</v>
      </c>
      <c r="AU158" s="464">
        <f t="shared" si="330"/>
        <v>48213</v>
      </c>
      <c r="AV158" s="464">
        <f t="shared" si="330"/>
        <v>48304</v>
      </c>
      <c r="AW158" s="464">
        <f t="shared" si="330"/>
        <v>48395</v>
      </c>
      <c r="AX158" s="464">
        <f t="shared" si="330"/>
        <v>48487</v>
      </c>
      <c r="AY158" s="464">
        <f t="shared" si="330"/>
        <v>48579</v>
      </c>
      <c r="AZ158" s="464">
        <f t="shared" si="330"/>
        <v>48669</v>
      </c>
      <c r="BA158" s="464">
        <f t="shared" si="330"/>
        <v>48760</v>
      </c>
      <c r="BB158" s="464">
        <f t="shared" si="330"/>
        <v>48852</v>
      </c>
      <c r="BC158" s="464">
        <f t="shared" si="330"/>
        <v>48944</v>
      </c>
      <c r="BD158" s="464">
        <f t="shared" si="330"/>
        <v>49034</v>
      </c>
      <c r="BE158" s="464">
        <f t="shared" si="330"/>
        <v>49125</v>
      </c>
      <c r="BF158" s="464">
        <f t="shared" si="330"/>
        <v>49217</v>
      </c>
      <c r="BG158" s="464">
        <f t="shared" si="330"/>
        <v>49309</v>
      </c>
      <c r="BH158" s="464">
        <f t="shared" si="330"/>
        <v>49399</v>
      </c>
      <c r="BI158" s="464">
        <f t="shared" si="330"/>
        <v>49490</v>
      </c>
      <c r="BJ158" s="464">
        <f t="shared" si="330"/>
        <v>49582</v>
      </c>
      <c r="BK158" s="464">
        <f t="shared" si="330"/>
        <v>49674</v>
      </c>
      <c r="BL158" s="464">
        <f t="shared" si="330"/>
        <v>49765</v>
      </c>
      <c r="BM158" s="464">
        <f t="shared" si="330"/>
        <v>49856</v>
      </c>
      <c r="BN158" s="464">
        <f t="shared" si="330"/>
        <v>49948</v>
      </c>
      <c r="BO158" s="464">
        <f t="shared" si="330"/>
        <v>50040</v>
      </c>
      <c r="BP158" s="464">
        <f t="shared" si="330"/>
        <v>50130</v>
      </c>
      <c r="BQ158" s="464">
        <f t="shared" si="330"/>
        <v>50221</v>
      </c>
      <c r="BR158" s="464">
        <f t="shared" si="330"/>
        <v>50313</v>
      </c>
      <c r="BS158" s="464">
        <f t="shared" si="330"/>
        <v>50405</v>
      </c>
      <c r="BT158" s="464">
        <f t="shared" ref="BT158:CY158" si="331">BT147</f>
        <v>50495</v>
      </c>
      <c r="BU158" s="464">
        <f t="shared" si="331"/>
        <v>50586</v>
      </c>
      <c r="BV158" s="464">
        <f t="shared" si="331"/>
        <v>50678</v>
      </c>
      <c r="BW158" s="464">
        <f t="shared" si="331"/>
        <v>50770</v>
      </c>
      <c r="BX158" s="464">
        <f t="shared" si="331"/>
        <v>50860</v>
      </c>
      <c r="BY158" s="464">
        <f t="shared" si="331"/>
        <v>50951</v>
      </c>
      <c r="BZ158" s="464">
        <f t="shared" si="331"/>
        <v>51043</v>
      </c>
      <c r="CA158" s="464">
        <f t="shared" si="331"/>
        <v>51135</v>
      </c>
      <c r="CB158" s="464">
        <f t="shared" si="331"/>
        <v>51226</v>
      </c>
      <c r="CC158" s="464">
        <f t="shared" si="331"/>
        <v>51317</v>
      </c>
      <c r="CD158" s="464">
        <f t="shared" si="331"/>
        <v>51409</v>
      </c>
      <c r="CE158" s="464">
        <f t="shared" si="331"/>
        <v>51501</v>
      </c>
      <c r="CF158" s="464">
        <f t="shared" si="331"/>
        <v>51591</v>
      </c>
      <c r="CG158" s="464">
        <f t="shared" si="331"/>
        <v>51682</v>
      </c>
      <c r="CH158" s="464">
        <f t="shared" si="331"/>
        <v>51774</v>
      </c>
      <c r="CI158" s="464">
        <f t="shared" si="331"/>
        <v>51866</v>
      </c>
      <c r="CJ158" s="464">
        <f t="shared" si="331"/>
        <v>51956</v>
      </c>
      <c r="CK158" s="464">
        <f t="shared" si="331"/>
        <v>52047</v>
      </c>
      <c r="CL158" s="464">
        <f t="shared" si="331"/>
        <v>52139</v>
      </c>
      <c r="CM158" s="464">
        <f t="shared" si="331"/>
        <v>52231</v>
      </c>
      <c r="CN158" s="464">
        <f t="shared" si="331"/>
        <v>52321</v>
      </c>
      <c r="CO158" s="464">
        <f t="shared" si="331"/>
        <v>52412</v>
      </c>
      <c r="CP158" s="464">
        <f t="shared" si="331"/>
        <v>52504</v>
      </c>
      <c r="CQ158" s="464">
        <f t="shared" si="331"/>
        <v>52596</v>
      </c>
      <c r="CR158" s="464">
        <f t="shared" si="331"/>
        <v>52687</v>
      </c>
      <c r="CS158" s="464">
        <f t="shared" si="331"/>
        <v>52778</v>
      </c>
      <c r="CT158" s="464">
        <f t="shared" si="331"/>
        <v>52870</v>
      </c>
      <c r="CU158" s="464">
        <f t="shared" si="331"/>
        <v>52962</v>
      </c>
      <c r="CV158" s="464">
        <f t="shared" si="331"/>
        <v>53052</v>
      </c>
      <c r="CW158" s="464">
        <f t="shared" si="331"/>
        <v>53143</v>
      </c>
      <c r="CX158" s="464">
        <f t="shared" si="331"/>
        <v>53235</v>
      </c>
      <c r="CY158" s="464">
        <f t="shared" si="331"/>
        <v>53327</v>
      </c>
      <c r="CZ158" s="464">
        <f t="shared" ref="CZ158:EE158" si="332">CZ147</f>
        <v>53417</v>
      </c>
      <c r="DA158" s="464">
        <f t="shared" si="332"/>
        <v>53508</v>
      </c>
      <c r="DB158" s="464">
        <f t="shared" si="332"/>
        <v>53600</v>
      </c>
      <c r="DC158" s="464">
        <f t="shared" si="332"/>
        <v>53692</v>
      </c>
      <c r="DD158" s="464">
        <f t="shared" si="332"/>
        <v>53782</v>
      </c>
      <c r="DE158" s="464">
        <f t="shared" si="332"/>
        <v>53873</v>
      </c>
      <c r="DF158" s="464">
        <f t="shared" si="332"/>
        <v>53965</v>
      </c>
      <c r="DG158" s="464">
        <f t="shared" si="332"/>
        <v>54057</v>
      </c>
      <c r="DH158" s="464">
        <f t="shared" si="332"/>
        <v>54148</v>
      </c>
      <c r="DI158" s="464">
        <f t="shared" si="332"/>
        <v>54239</v>
      </c>
      <c r="DJ158" s="464">
        <f t="shared" si="332"/>
        <v>54331</v>
      </c>
      <c r="DK158" s="464">
        <f t="shared" si="332"/>
        <v>54423</v>
      </c>
      <c r="DL158" s="464">
        <f t="shared" si="332"/>
        <v>54513</v>
      </c>
      <c r="DM158" s="464">
        <f t="shared" si="332"/>
        <v>54604</v>
      </c>
      <c r="DN158" s="464">
        <f t="shared" si="332"/>
        <v>54696</v>
      </c>
      <c r="DO158" s="464">
        <f t="shared" si="332"/>
        <v>54788</v>
      </c>
      <c r="DP158" s="464">
        <f t="shared" si="332"/>
        <v>54878</v>
      </c>
      <c r="DQ158" s="464">
        <f t="shared" si="332"/>
        <v>54969</v>
      </c>
      <c r="DR158" s="464">
        <f t="shared" si="332"/>
        <v>55061</v>
      </c>
      <c r="DS158" s="464">
        <f t="shared" si="332"/>
        <v>55153</v>
      </c>
      <c r="DT158" s="464">
        <f t="shared" si="332"/>
        <v>55243</v>
      </c>
      <c r="DU158" s="464">
        <f t="shared" si="332"/>
        <v>55334</v>
      </c>
      <c r="DV158" s="464">
        <f t="shared" si="332"/>
        <v>55426</v>
      </c>
      <c r="DW158" s="464">
        <f t="shared" si="332"/>
        <v>55518</v>
      </c>
      <c r="DX158" s="464">
        <f t="shared" si="332"/>
        <v>55609</v>
      </c>
      <c r="DY158" s="464">
        <f t="shared" si="332"/>
        <v>55700</v>
      </c>
      <c r="DZ158" s="464">
        <f t="shared" si="332"/>
        <v>55792</v>
      </c>
      <c r="EA158" s="464">
        <f t="shared" si="332"/>
        <v>55884</v>
      </c>
      <c r="EB158" s="464">
        <f t="shared" si="332"/>
        <v>55974</v>
      </c>
      <c r="EC158" s="464">
        <f t="shared" si="332"/>
        <v>56065</v>
      </c>
      <c r="ED158" s="464">
        <f t="shared" si="332"/>
        <v>56157</v>
      </c>
      <c r="EE158" s="464">
        <f t="shared" si="332"/>
        <v>56249</v>
      </c>
      <c r="EF158" s="464">
        <f t="shared" ref="EF158:EN158" si="333">EF147</f>
        <v>56339</v>
      </c>
      <c r="EG158" s="464">
        <f t="shared" si="333"/>
        <v>56430</v>
      </c>
      <c r="EH158" s="464">
        <f t="shared" si="333"/>
        <v>56522</v>
      </c>
      <c r="EI158" s="464">
        <f t="shared" si="333"/>
        <v>56614</v>
      </c>
      <c r="EJ158" s="464">
        <f t="shared" si="333"/>
        <v>56704</v>
      </c>
      <c r="EK158" s="464">
        <f t="shared" si="333"/>
        <v>56795</v>
      </c>
      <c r="EL158" s="464">
        <f t="shared" si="333"/>
        <v>56887</v>
      </c>
      <c r="EM158" s="464">
        <f t="shared" si="333"/>
        <v>56979</v>
      </c>
      <c r="EN158" s="464">
        <f t="shared" si="333"/>
        <v>57070</v>
      </c>
    </row>
    <row r="159" spans="2:144">
      <c r="B159" s="776" t="str">
        <f>C16</f>
        <v>Трансформаторная подстанция</v>
      </c>
      <c r="C159" s="465"/>
      <c r="D159" s="430">
        <f>SUMIF($C$4:$C$18,B159,$I$4:$I$18)</f>
        <v>45839</v>
      </c>
      <c r="E159" s="772">
        <f>YEAR(D159)</f>
        <v>2025</v>
      </c>
      <c r="F159" s="466"/>
      <c r="G159" s="466"/>
      <c r="H159" s="466"/>
      <c r="I159" s="466"/>
      <c r="J159" s="466"/>
      <c r="K159" s="466"/>
      <c r="L159" s="466"/>
      <c r="M159" s="466"/>
      <c r="N159" s="466"/>
      <c r="O159" s="466"/>
      <c r="P159" s="466"/>
      <c r="Q159" s="466"/>
      <c r="R159" s="466"/>
      <c r="S159" s="466"/>
      <c r="T159" s="466"/>
      <c r="U159" s="466"/>
      <c r="V159" s="466"/>
      <c r="W159" s="466"/>
      <c r="X159" s="466"/>
      <c r="Y159" s="466"/>
      <c r="Z159" s="466"/>
      <c r="AA159" s="466"/>
      <c r="AB159" s="466"/>
      <c r="AC159" s="466"/>
      <c r="AD159" s="466"/>
      <c r="AE159" s="466"/>
      <c r="AF159" s="466"/>
      <c r="AG159" s="466"/>
      <c r="AH159" s="466"/>
      <c r="AI159" s="466"/>
      <c r="AJ159" s="466"/>
      <c r="AK159" s="466"/>
      <c r="AL159" s="466"/>
      <c r="AM159" s="466"/>
      <c r="AN159" s="466"/>
      <c r="AO159" s="466"/>
      <c r="AP159" s="466"/>
      <c r="AQ159" s="466"/>
      <c r="AR159" s="466"/>
      <c r="AS159" s="466"/>
      <c r="AT159" s="466"/>
      <c r="AU159" s="466"/>
      <c r="AV159" s="466"/>
      <c r="AW159" s="466"/>
      <c r="AX159" s="466"/>
      <c r="AY159" s="466"/>
      <c r="AZ159" s="466"/>
      <c r="BA159" s="466"/>
      <c r="BB159" s="466"/>
      <c r="BC159" s="466"/>
      <c r="BD159" s="466"/>
      <c r="BE159" s="466"/>
      <c r="BF159" s="466"/>
      <c r="BG159" s="466"/>
      <c r="BH159" s="466"/>
      <c r="BI159" s="466"/>
      <c r="BJ159" s="466"/>
      <c r="BK159" s="466"/>
      <c r="BL159" s="466"/>
      <c r="BM159" s="466"/>
      <c r="BN159" s="466"/>
      <c r="BO159" s="466"/>
      <c r="BP159" s="466"/>
      <c r="BQ159" s="466"/>
      <c r="BR159" s="466"/>
      <c r="BS159" s="466"/>
      <c r="BT159" s="466"/>
      <c r="BU159" s="466"/>
      <c r="BV159" s="466"/>
      <c r="BW159" s="466"/>
      <c r="BX159" s="466"/>
      <c r="BY159" s="466"/>
      <c r="BZ159" s="466"/>
      <c r="CA159" s="466"/>
      <c r="CB159" s="466"/>
      <c r="CC159" s="466"/>
      <c r="CD159" s="466"/>
      <c r="CE159" s="466"/>
      <c r="CF159" s="466"/>
      <c r="CG159" s="466"/>
      <c r="CH159" s="466"/>
      <c r="CI159" s="466"/>
      <c r="CJ159" s="466"/>
      <c r="CK159" s="466"/>
      <c r="CL159" s="466"/>
      <c r="CM159" s="466"/>
      <c r="CN159" s="466"/>
      <c r="CO159" s="466"/>
      <c r="CP159" s="466"/>
      <c r="CQ159" s="466"/>
      <c r="CR159" s="466"/>
      <c r="CS159" s="466"/>
      <c r="CT159" s="466"/>
      <c r="CU159" s="466"/>
      <c r="CV159" s="466"/>
      <c r="CW159" s="466"/>
      <c r="CX159" s="466"/>
      <c r="CY159" s="466"/>
      <c r="CZ159" s="466"/>
      <c r="DA159" s="466"/>
      <c r="DB159" s="466"/>
      <c r="DC159" s="466"/>
      <c r="DD159" s="466"/>
      <c r="DE159" s="466"/>
      <c r="DF159" s="466"/>
      <c r="DG159" s="466"/>
      <c r="DH159" s="466"/>
      <c r="DI159" s="466"/>
      <c r="DJ159" s="466"/>
      <c r="DK159" s="466"/>
      <c r="DL159" s="466"/>
      <c r="DM159" s="466"/>
      <c r="DN159" s="466"/>
      <c r="DO159" s="466"/>
      <c r="DP159" s="466"/>
      <c r="DQ159" s="466"/>
      <c r="DR159" s="466"/>
      <c r="DS159" s="466"/>
      <c r="DT159" s="466"/>
      <c r="DU159" s="466"/>
      <c r="DV159" s="466"/>
      <c r="DW159" s="466"/>
      <c r="DX159" s="466"/>
      <c r="DY159" s="466"/>
      <c r="DZ159" s="466"/>
      <c r="EA159" s="466"/>
      <c r="EB159" s="466"/>
      <c r="EC159" s="466"/>
      <c r="ED159" s="466"/>
      <c r="EE159" s="466"/>
      <c r="EF159" s="466"/>
      <c r="EG159" s="466"/>
      <c r="EH159" s="466"/>
      <c r="EI159" s="466"/>
      <c r="EJ159" s="466"/>
      <c r="EK159" s="466"/>
      <c r="EL159" s="466"/>
      <c r="EM159" s="466"/>
      <c r="EN159" s="466"/>
    </row>
    <row r="160" spans="2:144" outlineLevel="1">
      <c r="C160" s="151" t="s">
        <v>72</v>
      </c>
      <c r="D160" s="771">
        <f>SUMIF($C$4:$C$18,B159,$H$4:$H$18)</f>
        <v>13222308.224099673</v>
      </c>
      <c r="E160" s="44"/>
      <c r="F160" s="44"/>
      <c r="G160" s="44"/>
      <c r="H160" s="44">
        <f>IF(H157=D159,D160,0)</f>
        <v>0</v>
      </c>
      <c r="I160" s="44">
        <f>IF(I157=D159,D160,0)</f>
        <v>0</v>
      </c>
      <c r="J160" s="44">
        <f>IF(J157=D159,D160,0)</f>
        <v>0</v>
      </c>
      <c r="K160" s="44">
        <f>IF(K157=D159,D160,0)</f>
        <v>0</v>
      </c>
      <c r="L160" s="44">
        <f>IF(L157=D159,D160,0)</f>
        <v>0</v>
      </c>
      <c r="M160" s="44">
        <f>IF(M157=D159,D160,0)</f>
        <v>0</v>
      </c>
      <c r="N160" s="44">
        <f>IF(N157=D159,D160,0)</f>
        <v>0</v>
      </c>
      <c r="O160" s="44">
        <f>IF(O157=D159,D160,0)</f>
        <v>0</v>
      </c>
      <c r="P160" s="44">
        <f>IF(P157=D159,D160,0)</f>
        <v>0</v>
      </c>
      <c r="Q160" s="44">
        <f>IF(Q157=D159,D160,0)</f>
        <v>0</v>
      </c>
      <c r="R160" s="44">
        <f>IF(R157=D159,D160,0)</f>
        <v>0</v>
      </c>
      <c r="S160" s="44">
        <f>IF(S157=D159,D160,0)</f>
        <v>0</v>
      </c>
      <c r="T160" s="44">
        <f>IF(T157=D159,D160,0)</f>
        <v>0</v>
      </c>
      <c r="U160" s="44">
        <f>IF(U157=D159,D160,0)</f>
        <v>0</v>
      </c>
      <c r="V160" s="44">
        <f>IF(V157=D159,D160,0)</f>
        <v>13222308.224099673</v>
      </c>
      <c r="W160" s="44">
        <f>IF(W157=D159,D160,0)</f>
        <v>0</v>
      </c>
      <c r="X160" s="44">
        <f>IF(X157=D159,D160,0)</f>
        <v>0</v>
      </c>
      <c r="Y160" s="44">
        <f>IF(Y157=D159,D160,0)</f>
        <v>0</v>
      </c>
      <c r="Z160" s="44">
        <f>IF(Z157=D159,D160,0)</f>
        <v>0</v>
      </c>
      <c r="AA160" s="44">
        <f>IF(AA157=D159,D160,0)</f>
        <v>0</v>
      </c>
      <c r="AB160" s="44">
        <f>IF(AB157=D159,D160,0)</f>
        <v>0</v>
      </c>
      <c r="AC160" s="44">
        <f>IF(AC157=D159,D160,0)</f>
        <v>0</v>
      </c>
      <c r="AD160" s="44">
        <f>IF(AD157=D159,D160,0)</f>
        <v>0</v>
      </c>
      <c r="AE160" s="44">
        <f>IF(AE157=D159,D160,0)</f>
        <v>0</v>
      </c>
      <c r="AF160" s="44">
        <f>IF(AF157=D159,D160,0)</f>
        <v>0</v>
      </c>
      <c r="AG160" s="44">
        <f>IF(AG157=D159,D160,0)</f>
        <v>0</v>
      </c>
      <c r="AH160" s="44">
        <f>IF(AH157=D159,D160,0)</f>
        <v>0</v>
      </c>
      <c r="AI160" s="44">
        <f>IF(AI157=D159,D160,0)</f>
        <v>0</v>
      </c>
      <c r="AJ160" s="44">
        <f>IF(AJ157=D159,D160,0)</f>
        <v>0</v>
      </c>
      <c r="AK160" s="44">
        <f>IF(AK157=D159,D160,0)</f>
        <v>0</v>
      </c>
      <c r="AL160" s="44">
        <f>IF(AL157=D159,D160,0)</f>
        <v>0</v>
      </c>
      <c r="AM160" s="44">
        <f>IF(AM157=D159,D160,0)</f>
        <v>0</v>
      </c>
      <c r="AN160" s="44">
        <f>IF(AN157=D159,D160,0)</f>
        <v>0</v>
      </c>
      <c r="AO160" s="44">
        <f>IF(AO157=D159,D160,0)</f>
        <v>0</v>
      </c>
      <c r="AP160" s="44">
        <f>IF(AP157=D159,D160,0)</f>
        <v>0</v>
      </c>
      <c r="AQ160" s="44">
        <f>IF(AQ157=D159,D160,0)</f>
        <v>0</v>
      </c>
      <c r="AR160" s="44">
        <f>IF(AR157=D159,D160,0)</f>
        <v>0</v>
      </c>
      <c r="AS160" s="44">
        <f>IF(AS157=D159,D160,0)</f>
        <v>0</v>
      </c>
      <c r="AT160" s="44">
        <f>IF(AT157=D159,D160,0)</f>
        <v>0</v>
      </c>
      <c r="AU160" s="44">
        <f>IF(AU157=D159,D160,0)</f>
        <v>0</v>
      </c>
      <c r="AV160" s="44">
        <f>IF(AV157=D159,D160,0)</f>
        <v>0</v>
      </c>
      <c r="AW160" s="44">
        <f>IF(AW157=D159,D160,0)</f>
        <v>0</v>
      </c>
      <c r="AX160" s="44">
        <f>IF(AX157=D159,D160,0)</f>
        <v>0</v>
      </c>
      <c r="AY160" s="44">
        <f>IF(AY157=D159,D160,0)</f>
        <v>0</v>
      </c>
      <c r="AZ160" s="44">
        <f>IF(AZ157=D159,D160,0)</f>
        <v>0</v>
      </c>
      <c r="BA160" s="44">
        <f>IF(BA157=D159,D160,0)</f>
        <v>0</v>
      </c>
      <c r="BB160" s="44">
        <f>IF(BB157=D159,D160,0)</f>
        <v>0</v>
      </c>
      <c r="BC160" s="44">
        <f>IF(BC157=D159,D160,0)</f>
        <v>0</v>
      </c>
      <c r="BD160" s="44">
        <f>IF(BD157=D159,D160,0)</f>
        <v>0</v>
      </c>
      <c r="BE160" s="44">
        <f>IF(BE157=D159,D160,0)</f>
        <v>0</v>
      </c>
      <c r="BF160" s="44">
        <f>IF(BF157=D159,D160,0)</f>
        <v>0</v>
      </c>
      <c r="BG160" s="44">
        <f>IF(BG157=D159,D160,0)</f>
        <v>0</v>
      </c>
      <c r="BH160" s="44">
        <f>IF(BH157=D159,D160,0)</f>
        <v>0</v>
      </c>
      <c r="BI160" s="44">
        <f>IF(BI157=D159,D160,0)</f>
        <v>0</v>
      </c>
      <c r="BJ160" s="44">
        <f>IF(BJ157=D159,D160,0)</f>
        <v>0</v>
      </c>
      <c r="BK160" s="44">
        <f>IF(BK157=D159,D160,0)</f>
        <v>0</v>
      </c>
      <c r="BL160" s="44">
        <f>IF(BL157=D159,D160,0)</f>
        <v>0</v>
      </c>
      <c r="BM160" s="44">
        <f>IF(BM157=D159,D160,0)</f>
        <v>0</v>
      </c>
      <c r="BN160" s="44">
        <f>IF(BN157=D159,D160,0)</f>
        <v>0</v>
      </c>
      <c r="BO160" s="44">
        <f>IF(BO157=D159,D160,0)</f>
        <v>0</v>
      </c>
      <c r="BP160" s="44">
        <f>IF(BP157=D159,D160,0)</f>
        <v>0</v>
      </c>
      <c r="BQ160" s="44">
        <f>IF(BQ157=D159,D160,0)</f>
        <v>0</v>
      </c>
      <c r="BR160" s="44">
        <f>IF(BR157=D159,D160,0)</f>
        <v>0</v>
      </c>
      <c r="BS160" s="44">
        <f>IF(BS157=D159,D160,0)</f>
        <v>0</v>
      </c>
      <c r="BT160" s="44">
        <f>IF(BT157=D159,D160,0)</f>
        <v>0</v>
      </c>
      <c r="BU160" s="44">
        <f>IF(BU157=D159,D160,0)</f>
        <v>0</v>
      </c>
      <c r="BV160" s="44">
        <f>IF(BV157=D159,D160,0)</f>
        <v>0</v>
      </c>
      <c r="BW160" s="44">
        <f>IF(BW157=D159,D160,0)</f>
        <v>0</v>
      </c>
      <c r="BX160" s="44">
        <f>IF(BX157=D159,D160,0)</f>
        <v>0</v>
      </c>
      <c r="BY160" s="44">
        <f>IF(BY157=D159,D160,0)</f>
        <v>0</v>
      </c>
      <c r="BZ160" s="44">
        <f>IF(BZ157=D159,D160,0)</f>
        <v>0</v>
      </c>
      <c r="CA160" s="44">
        <f>IF(CA157=D159,D160,0)</f>
        <v>0</v>
      </c>
      <c r="CB160" s="44">
        <f>IF(CB157=D159,D160,0)</f>
        <v>0</v>
      </c>
      <c r="CC160" s="44">
        <f>IF(CC157=D159,D160,0)</f>
        <v>0</v>
      </c>
      <c r="CD160" s="44">
        <f>IF(CD157=D159,D160,0)</f>
        <v>0</v>
      </c>
      <c r="CE160" s="44">
        <f>IF(CE157=D159,D160,0)</f>
        <v>0</v>
      </c>
      <c r="CF160" s="44">
        <f>IF(CF157=D159,D160,0)</f>
        <v>0</v>
      </c>
      <c r="CG160" s="44">
        <f>IF(CG157=D159,D160,0)</f>
        <v>0</v>
      </c>
      <c r="CH160" s="44">
        <f>IF(CH157=D159,D160,0)</f>
        <v>0</v>
      </c>
      <c r="CI160" s="44">
        <f>IF(CI157=D159,D160,0)</f>
        <v>0</v>
      </c>
      <c r="CJ160" s="44">
        <f>IF(CJ157=D159,D160,0)</f>
        <v>0</v>
      </c>
      <c r="CK160" s="44">
        <f>IF(CK157=D159,D160,0)</f>
        <v>0</v>
      </c>
      <c r="CL160" s="44">
        <f>IF(CL157=D159,D160,0)</f>
        <v>0</v>
      </c>
      <c r="CM160" s="44">
        <f>IF(CM157=D159,D160,0)</f>
        <v>0</v>
      </c>
      <c r="CN160" s="44">
        <f>IF(CN157=D159,D160,0)</f>
        <v>0</v>
      </c>
      <c r="CO160" s="44">
        <f>IF(CO157=D159,D160,0)</f>
        <v>0</v>
      </c>
      <c r="CP160" s="44">
        <f>IF(CP157=D159,D160,0)</f>
        <v>0</v>
      </c>
      <c r="CQ160" s="44">
        <f>IF(CQ157=D159,D160,0)</f>
        <v>0</v>
      </c>
      <c r="CR160" s="44">
        <f>IF(CR157=D159,D160,0)</f>
        <v>0</v>
      </c>
      <c r="CS160" s="44">
        <f>IF(CS157=D159,D160,0)</f>
        <v>0</v>
      </c>
      <c r="CT160" s="44">
        <f>IF(CT157=D159,D160,0)</f>
        <v>0</v>
      </c>
      <c r="CU160" s="44">
        <f>IF(CU157=D159,D160,0)</f>
        <v>0</v>
      </c>
      <c r="CV160" s="44">
        <f>IF(CV157=D159,D160,0)</f>
        <v>0</v>
      </c>
      <c r="CW160" s="44">
        <f>IF(CW157=D159,D160,0)</f>
        <v>0</v>
      </c>
      <c r="CX160" s="44">
        <f>IF(CX157=D159,D160,0)</f>
        <v>0</v>
      </c>
      <c r="CY160" s="44">
        <f>IF(CY157=D159,D160,0)</f>
        <v>0</v>
      </c>
      <c r="CZ160" s="44">
        <f>IF(CZ157=D159,D160,0)</f>
        <v>0</v>
      </c>
      <c r="DA160" s="44">
        <f>IF(DA157=D159,D160,0)</f>
        <v>0</v>
      </c>
      <c r="DB160" s="44">
        <f>IF(DB157=D159,D160,0)</f>
        <v>0</v>
      </c>
      <c r="DC160" s="44">
        <f>IF(DC157=D159,D160,0)</f>
        <v>0</v>
      </c>
      <c r="DD160" s="44">
        <f>IF(DD157=D159,D160,0)</f>
        <v>0</v>
      </c>
      <c r="DE160" s="44">
        <f>IF(DE157=D159,D160,0)</f>
        <v>0</v>
      </c>
      <c r="DF160" s="44">
        <f>IF(DF157=D159,D160,0)</f>
        <v>0</v>
      </c>
      <c r="DG160" s="44">
        <f>IF(DG157=D159,D160,0)</f>
        <v>0</v>
      </c>
      <c r="DH160" s="44">
        <f>IF(DH157=D159,D160,0)</f>
        <v>0</v>
      </c>
      <c r="DI160" s="44">
        <f>IF(DI157=D159,D160,0)</f>
        <v>0</v>
      </c>
      <c r="DJ160" s="44">
        <f>IF(DJ157=D159,D160,0)</f>
        <v>0</v>
      </c>
      <c r="DK160" s="44">
        <f>IF(DK157=D159,D160,0)</f>
        <v>0</v>
      </c>
      <c r="DL160" s="44">
        <f>IF(DL157=D159,D160,0)</f>
        <v>0</v>
      </c>
      <c r="DM160" s="44">
        <f>IF(DM157=D159,D160,0)</f>
        <v>0</v>
      </c>
      <c r="DN160" s="44">
        <f>IF(DN157=D159,D160,0)</f>
        <v>0</v>
      </c>
      <c r="DO160" s="44">
        <f>IF(DO157=D159,D160,0)</f>
        <v>0</v>
      </c>
      <c r="DP160" s="44">
        <f>IF(DP157=D159,D160,0)</f>
        <v>0</v>
      </c>
      <c r="DQ160" s="44">
        <f>IF(DQ157=D159,D160,0)</f>
        <v>0</v>
      </c>
      <c r="DR160" s="44">
        <f>IF(DR157=D159,D160,0)</f>
        <v>0</v>
      </c>
      <c r="DS160" s="44">
        <f>IF(DS157=D159,D160,0)</f>
        <v>0</v>
      </c>
      <c r="DT160" s="44">
        <f>IF(DT157=D159,D160,0)</f>
        <v>0</v>
      </c>
      <c r="DU160" s="44">
        <f>IF(DU157=D159,D160,0)</f>
        <v>0</v>
      </c>
      <c r="DV160" s="44">
        <f>IF(DV157=D159,D160,0)</f>
        <v>0</v>
      </c>
      <c r="DW160" s="44">
        <f>IF(DW157=D159,D160,0)</f>
        <v>0</v>
      </c>
      <c r="DX160" s="44">
        <f>IF(DX157=D159,D160,0)</f>
        <v>0</v>
      </c>
      <c r="DY160" s="44">
        <f>IF(DY157=D159,D160,0)</f>
        <v>0</v>
      </c>
      <c r="DZ160" s="44">
        <f>IF(DZ157=D159,D160,0)</f>
        <v>0</v>
      </c>
      <c r="EA160" s="44">
        <f>IF(EA157=D159,D160,0)</f>
        <v>0</v>
      </c>
      <c r="EB160" s="44">
        <f>IF(EB157=D159,D160,0)</f>
        <v>0</v>
      </c>
      <c r="EC160" s="44">
        <f>IF(EC157=D159,D160,0)</f>
        <v>0</v>
      </c>
      <c r="ED160" s="44">
        <f>IF(ED157=D159,D160,0)</f>
        <v>0</v>
      </c>
      <c r="EE160" s="44">
        <f>IF(EE157=D159,D160,0)</f>
        <v>0</v>
      </c>
      <c r="EF160" s="44">
        <f>IF(EF157=D159,D160,0)</f>
        <v>0</v>
      </c>
      <c r="EG160" s="44">
        <f>IF(EG157=D159,D160,0)</f>
        <v>0</v>
      </c>
      <c r="EH160" s="44">
        <f>IF(EH157=D159,D160,0)</f>
        <v>0</v>
      </c>
      <c r="EI160" s="44">
        <f t="shared" ref="EI160:EN160" si="334">IF(EI157=E159,E160,0)</f>
        <v>0</v>
      </c>
      <c r="EJ160" s="44">
        <f t="shared" si="334"/>
        <v>0</v>
      </c>
      <c r="EK160" s="44">
        <f t="shared" si="334"/>
        <v>0</v>
      </c>
      <c r="EL160" s="44">
        <f t="shared" si="334"/>
        <v>0</v>
      </c>
      <c r="EM160" s="44">
        <f t="shared" si="334"/>
        <v>0</v>
      </c>
      <c r="EN160" s="44">
        <f t="shared" si="334"/>
        <v>0</v>
      </c>
    </row>
    <row r="161" spans="2:144" outlineLevel="1">
      <c r="C161" s="151" t="s">
        <v>73</v>
      </c>
      <c r="D161" s="45"/>
      <c r="E161" s="44"/>
      <c r="F161" s="44"/>
      <c r="G161" s="44"/>
      <c r="H161" s="44">
        <f>(IF(H157=D159,H160,G163))</f>
        <v>0</v>
      </c>
      <c r="I161" s="44">
        <f>(IF(I157=D159,I160,H163))</f>
        <v>0</v>
      </c>
      <c r="J161" s="44">
        <f>(IF(J157=D159,J160,I163))</f>
        <v>0</v>
      </c>
      <c r="K161" s="44">
        <f>(IF(K157=D159,K160,J163))</f>
        <v>0</v>
      </c>
      <c r="L161" s="44">
        <f>(IF(L157=D159,L160,K163))</f>
        <v>0</v>
      </c>
      <c r="M161" s="44">
        <f>(IF(M157=D159,M160,L163))</f>
        <v>0</v>
      </c>
      <c r="N161" s="44">
        <f>(IF(N157=D159,N160,M163))</f>
        <v>0</v>
      </c>
      <c r="O161" s="44">
        <f>(IF(O157=D159,O160,N163))</f>
        <v>0</v>
      </c>
      <c r="P161" s="44">
        <f>(IF(P157=D159,P160,O163))</f>
        <v>0</v>
      </c>
      <c r="Q161" s="44">
        <f>(IF(Q157=D159,Q160,P163))</f>
        <v>0</v>
      </c>
      <c r="R161" s="44">
        <f>(IF(R157=D159,R160,Q163))</f>
        <v>0</v>
      </c>
      <c r="S161" s="44">
        <f>(IF(S157=D159,S160,R163))</f>
        <v>0</v>
      </c>
      <c r="T161" s="44">
        <f>(IF(T157=D159,T160,S163))</f>
        <v>0</v>
      </c>
      <c r="U161" s="44">
        <f>(IF(U157=D159,U160,T163))</f>
        <v>0</v>
      </c>
      <c r="V161" s="44">
        <f>(IF(V157=D159,V160,U163))</f>
        <v>13222308.224099673</v>
      </c>
      <c r="W161" s="44">
        <f>(IF(W157=D159,W160,V163))</f>
        <v>13112122.322232176</v>
      </c>
      <c r="X161" s="44">
        <f>(IF(X157=D159,X160,W163))</f>
        <v>13001936.420364678</v>
      </c>
      <c r="Y161" s="44">
        <f>(IF(Y157=D159,Y160,X163))</f>
        <v>12891750.51849718</v>
      </c>
      <c r="Z161" s="44">
        <f>(IF(Z157=D159,Z160,Y163))</f>
        <v>12781564.616629682</v>
      </c>
      <c r="AA161" s="44">
        <f>(IF(AA157=D159,AA160,Z163))</f>
        <v>12671378.714762185</v>
      </c>
      <c r="AB161" s="44">
        <f>(IF(AB157=D159,AB160,AA163))</f>
        <v>12561192.812894687</v>
      </c>
      <c r="AC161" s="44">
        <f>(IF(AC157=D159,AC160,AB163))</f>
        <v>12451006.911027189</v>
      </c>
      <c r="AD161" s="44">
        <f>(IF(AD157=D159,AD160,AC163))</f>
        <v>12340821.009159692</v>
      </c>
      <c r="AE161" s="44">
        <f>(IF(AE157=D159,AE160,AD163))</f>
        <v>12230635.107292194</v>
      </c>
      <c r="AF161" s="44">
        <f>(IF(AF157=D159,AF160,AE163))</f>
        <v>12120449.205424696</v>
      </c>
      <c r="AG161" s="44">
        <f>(IF(AG157=D159,AG160,AF163))</f>
        <v>12010263.303557198</v>
      </c>
      <c r="AH161" s="44">
        <f>(IF(AH157=D159,AH160,AG163))</f>
        <v>11900077.401689701</v>
      </c>
      <c r="AI161" s="44">
        <f>(IF(AI157=D159,AI160,AH163))</f>
        <v>11789891.499822203</v>
      </c>
      <c r="AJ161" s="44">
        <f>(IF(AJ157=D159,AJ160,AI163))</f>
        <v>11679705.597954705</v>
      </c>
      <c r="AK161" s="44">
        <f>(IF(AK157=D159,AK160,AJ163))</f>
        <v>11569519.696087208</v>
      </c>
      <c r="AL161" s="44">
        <f>(IF(AL157=D159,AL160,AK163))</f>
        <v>11459333.79421971</v>
      </c>
      <c r="AM161" s="44">
        <f>(IF(AM157=D159,AM160,AL163))</f>
        <v>11349147.892352212</v>
      </c>
      <c r="AN161" s="44">
        <f>(IF(AN157=D159,AN160,AM163))</f>
        <v>11238961.990484715</v>
      </c>
      <c r="AO161" s="44">
        <f>(IF(AO157=D159,AO160,AN163))</f>
        <v>11128776.088617217</v>
      </c>
      <c r="AP161" s="44">
        <f>(IF(AP157=D159,AP160,AO163))</f>
        <v>11018590.186749719</v>
      </c>
      <c r="AQ161" s="44">
        <f>(IF(AQ157=D159,AQ160,AP163))</f>
        <v>10908404.284882221</v>
      </c>
      <c r="AR161" s="44">
        <f>(IF(AR157=D159,AR160,AQ163))</f>
        <v>10798218.383014724</v>
      </c>
      <c r="AS161" s="44">
        <f>(IF(AS157=D159,AS160,AR163))</f>
        <v>10688032.481147226</v>
      </c>
      <c r="AT161" s="44">
        <f>(IF(AT157=D159,AT160,AS163))</f>
        <v>10577846.579279728</v>
      </c>
      <c r="AU161" s="44">
        <f>(IF(AU157=D159,AU160,AT163))</f>
        <v>10467660.677412231</v>
      </c>
      <c r="AV161" s="44">
        <f>(IF(AV157=D159,AV160,AU163))</f>
        <v>10357474.775544733</v>
      </c>
      <c r="AW161" s="44">
        <f>(IF(AW157=D159,AW160,AV163))</f>
        <v>10247288.873677235</v>
      </c>
      <c r="AX161" s="44">
        <f>(IF(AX157=D159,AX160,AW163))</f>
        <v>10137102.971809737</v>
      </c>
      <c r="AY161" s="44">
        <f>(IF(AY157=D159,AY160,AX163))</f>
        <v>10026917.06994224</v>
      </c>
      <c r="AZ161" s="44">
        <f>(IF(AZ157=D159,AZ160,AY163))</f>
        <v>9916731.168074742</v>
      </c>
      <c r="BA161" s="44">
        <f>(IF(BA157=D159,BA160,AZ163))</f>
        <v>9806545.2662072442</v>
      </c>
      <c r="BB161" s="44">
        <f>(IF(BB157=D159,BB160,BA163))</f>
        <v>9696359.3643397465</v>
      </c>
      <c r="BC161" s="44">
        <f>(IF(BC157=D159,BC160,BB163))</f>
        <v>9586173.4624722488</v>
      </c>
      <c r="BD161" s="44">
        <f>(IF(BD157=D159,BD160,BC163))</f>
        <v>9475987.5606047511</v>
      </c>
      <c r="BE161" s="44">
        <f>(IF(BE157=D159,BE160,BD163))</f>
        <v>9365801.6587372534</v>
      </c>
      <c r="BF161" s="44">
        <f>(IF(BF157=D159,BF160,BE163))</f>
        <v>9255615.7568697557</v>
      </c>
      <c r="BG161" s="44">
        <f>(IF(BG157=D159,BG160,BF163))</f>
        <v>9145429.855002258</v>
      </c>
      <c r="BH161" s="44">
        <f>(IF(BH157=D159,BH160,BG163))</f>
        <v>9035243.9531347603</v>
      </c>
      <c r="BI161" s="44">
        <f>(IF(BI157=D159,BI160,BH163))</f>
        <v>8925058.0512672625</v>
      </c>
      <c r="BJ161" s="44">
        <f>(IF(BJ157=D159,BJ160,BI163))</f>
        <v>8814872.1493997648</v>
      </c>
      <c r="BK161" s="44">
        <f>(IF(BK157=D159,BK160,BJ163))</f>
        <v>8704686.2475322671</v>
      </c>
      <c r="BL161" s="44">
        <f>(IF(BL157=D159,BL160,BK163))</f>
        <v>8594500.3456647694</v>
      </c>
      <c r="BM161" s="44">
        <f>(IF(BM157=D159,BM160,BL163))</f>
        <v>8484314.4437972717</v>
      </c>
      <c r="BN161" s="44">
        <f>(IF(BN157=D159,BN160,BM163))</f>
        <v>8374128.541929774</v>
      </c>
      <c r="BO161" s="44">
        <f>(IF(BO157=D159,BO160,BN163))</f>
        <v>8263942.6400622763</v>
      </c>
      <c r="BP161" s="44">
        <f>(IF(BP157=D159,BP160,BO163))</f>
        <v>8153756.7381947786</v>
      </c>
      <c r="BQ161" s="44">
        <f>(IF(BQ157=D159,BQ160,BP163))</f>
        <v>8043570.8363272808</v>
      </c>
      <c r="BR161" s="44">
        <f>(IF(BR157=D159,BR160,BQ163))</f>
        <v>7933384.9344597831</v>
      </c>
      <c r="BS161" s="44">
        <f>(IF(BS157=D159,BS160,BR163))</f>
        <v>7823199.0325922854</v>
      </c>
      <c r="BT161" s="44">
        <f>(IF(BT157=D159,BT160,BS163))</f>
        <v>7713013.1307247877</v>
      </c>
      <c r="BU161" s="44">
        <f>(IF(BU157=D159,BU160,BT163))</f>
        <v>7602827.22885729</v>
      </c>
      <c r="BV161" s="44">
        <f>(IF(BV157=D159,BV160,BU163))</f>
        <v>7492641.3269897923</v>
      </c>
      <c r="BW161" s="44">
        <f>(IF(BW157=D159,BW160,BV163))</f>
        <v>7382455.4251222946</v>
      </c>
      <c r="BX161" s="44">
        <f>(IF(BX157=D159,BX160,BW163))</f>
        <v>7272269.5232547969</v>
      </c>
      <c r="BY161" s="44">
        <f>(IF(BY157=D159,BY160,BX163))</f>
        <v>7162083.6213872992</v>
      </c>
      <c r="BZ161" s="44">
        <f>(IF(BZ157=D159,BZ160,BY163))</f>
        <v>7051897.7195198014</v>
      </c>
      <c r="CA161" s="44">
        <f>(IF(CA157=D159,CA160,BZ163))</f>
        <v>6941711.8176523037</v>
      </c>
      <c r="CB161" s="44">
        <f>(IF(CB157=D159,CB160,CA163))</f>
        <v>6831525.915784806</v>
      </c>
      <c r="CC161" s="44">
        <f>(IF(CC157=D159,CC160,CB163))</f>
        <v>6721340.0139173083</v>
      </c>
      <c r="CD161" s="44">
        <f>(IF(CD157=D159,CD160,CC163))</f>
        <v>6611154.1120498106</v>
      </c>
      <c r="CE161" s="44">
        <f>(IF(CE157=D159,CE160,CD163))</f>
        <v>6500968.2101823129</v>
      </c>
      <c r="CF161" s="44">
        <f>(IF(CF157=D159,CF160,CE163))</f>
        <v>6390782.3083148152</v>
      </c>
      <c r="CG161" s="44">
        <f>(IF(CG157=D159,CG160,CF163))</f>
        <v>6280596.4064473175</v>
      </c>
      <c r="CH161" s="44">
        <f>(IF(CH157=D159,CH160,CG163))</f>
        <v>6170410.5045798197</v>
      </c>
      <c r="CI161" s="44">
        <f>(IF(CI157=D159,CI160,CH163))</f>
        <v>6060224.602712322</v>
      </c>
      <c r="CJ161" s="44">
        <f>(IF(CJ157=D159,CJ160,CI163))</f>
        <v>5950038.7008448243</v>
      </c>
      <c r="CK161" s="44">
        <f>(IF(CK157=D159,CK160,CJ163))</f>
        <v>5839852.7989773266</v>
      </c>
      <c r="CL161" s="44">
        <f>(IF(CL157=D159,CL160,CK163))</f>
        <v>5729666.8971098289</v>
      </c>
      <c r="CM161" s="44">
        <f>(IF(CM157=D159,CM160,CL163))</f>
        <v>5619480.9952423312</v>
      </c>
      <c r="CN161" s="44">
        <f>(IF(CN157=D159,CN160,CM163))</f>
        <v>5509295.0933748335</v>
      </c>
      <c r="CO161" s="44">
        <f>(IF(CO157=D159,CO160,CN163))</f>
        <v>5399109.1915073358</v>
      </c>
      <c r="CP161" s="44">
        <f>(IF(CP157=D159,CP160,CO163))</f>
        <v>5288923.289639838</v>
      </c>
      <c r="CQ161" s="44">
        <f>(IF(CQ157=D159,CQ160,CP163))</f>
        <v>5178737.3877723403</v>
      </c>
      <c r="CR161" s="44">
        <f>(IF(CR157=D159,CR160,CQ163))</f>
        <v>5068551.4859048426</v>
      </c>
      <c r="CS161" s="44">
        <f>(IF(CS157=D159,CS160,CR163))</f>
        <v>4958365.5840373449</v>
      </c>
      <c r="CT161" s="44">
        <f>(IF(CT157=D159,CT160,CS163))</f>
        <v>4848179.6821698472</v>
      </c>
      <c r="CU161" s="44">
        <f>(IF(CU157=D159,CU160,CT163))</f>
        <v>4737993.7803023495</v>
      </c>
      <c r="CV161" s="44">
        <f>(IF(CV157=D159,CV160,CU163))</f>
        <v>4627807.8784348518</v>
      </c>
      <c r="CW161" s="44">
        <f>(IF(CW157=D159,CW160,CV163))</f>
        <v>4517621.9765673541</v>
      </c>
      <c r="CX161" s="44">
        <f>(IF(CX157=D159,CX160,CW163))</f>
        <v>4407436.0746998563</v>
      </c>
      <c r="CY161" s="44">
        <f>(IF(CY157=D159,CY160,CX163))</f>
        <v>4297250.1728323586</v>
      </c>
      <c r="CZ161" s="44">
        <f>(IF(CZ157=D159,CZ160,CY163))</f>
        <v>4187064.2709648614</v>
      </c>
      <c r="DA161" s="44">
        <f>(IF(DA157=D159,DA160,CZ163))</f>
        <v>4076878.3690973641</v>
      </c>
      <c r="DB161" s="44">
        <f>(IF(DB157=D159,DB160,DA163))</f>
        <v>3966692.4672298669</v>
      </c>
      <c r="DC161" s="44">
        <f>(IF(DC157=D159,DC160,DB163))</f>
        <v>3856506.5653623696</v>
      </c>
      <c r="DD161" s="44">
        <f>(IF(DD157=D159,DD160,DC163))</f>
        <v>3746320.6634948724</v>
      </c>
      <c r="DE161" s="44">
        <f>(IF(DE157=D159,DE160,DD163))</f>
        <v>3636134.7616273751</v>
      </c>
      <c r="DF161" s="44">
        <f>(IF(DF157=D159,DF160,DE163))</f>
        <v>3525948.8597598779</v>
      </c>
      <c r="DG161" s="44">
        <f>(IF(DG157=D159,DG160,DF163))</f>
        <v>3415762.9578923807</v>
      </c>
      <c r="DH161" s="44">
        <f>(IF(DH157=D159,DH160,DG163))</f>
        <v>3305577.0560248834</v>
      </c>
      <c r="DI161" s="44">
        <f>(IF(DI157=D159,DI160,DH163))</f>
        <v>3195391.1541573862</v>
      </c>
      <c r="DJ161" s="44">
        <f>(IF(DJ157=D159,DJ160,DI163))</f>
        <v>3085205.2522898889</v>
      </c>
      <c r="DK161" s="44">
        <f>(IF(DK157=D159,DK160,DJ163))</f>
        <v>2975019.3504223917</v>
      </c>
      <c r="DL161" s="44">
        <f>(IF(DL157=D159,DL160,DK163))</f>
        <v>2864833.4485548944</v>
      </c>
      <c r="DM161" s="44">
        <f>(IF(DM157=D159,DM160,DL163))</f>
        <v>2754647.5466873972</v>
      </c>
      <c r="DN161" s="44">
        <f>(IF(DN157=D159,DN160,DM163))</f>
        <v>2644461.6448198999</v>
      </c>
      <c r="DO161" s="44">
        <f>(IF(DO157=D159,DO160,DN163))</f>
        <v>2534275.7429524027</v>
      </c>
      <c r="DP161" s="44">
        <f>(IF(DP157=D159,DP160,DO163))</f>
        <v>2424089.8410849054</v>
      </c>
      <c r="DQ161" s="44">
        <f>(IF(DQ157=D159,DQ160,DP163))</f>
        <v>2313903.9392174082</v>
      </c>
      <c r="DR161" s="44">
        <f>(IF(DR157=D159,DR160,DQ163))</f>
        <v>2203718.0373499109</v>
      </c>
      <c r="DS161" s="44">
        <f>(IF(DS157=D159,DS160,DR163))</f>
        <v>2093532.1354824137</v>
      </c>
      <c r="DT161" s="44">
        <f>(IF(DT157=D159,DT160,DS163))</f>
        <v>1983346.2336149164</v>
      </c>
      <c r="DU161" s="44">
        <f>(IF(DU157=D159,DU160,DT163))</f>
        <v>1873160.3317474192</v>
      </c>
      <c r="DV161" s="44">
        <f>(IF(DV157=D159,DV160,DU163))</f>
        <v>1762974.429879922</v>
      </c>
      <c r="DW161" s="44">
        <f>(IF(DW157=D159,DW160,DV163))</f>
        <v>1652788.5280124247</v>
      </c>
      <c r="DX161" s="44">
        <f>(IF(DX157=D159,DX160,DW163))</f>
        <v>1542602.6261449275</v>
      </c>
      <c r="DY161" s="44">
        <f>(IF(DY157=D159,DY160,DX163))</f>
        <v>1432416.7242774302</v>
      </c>
      <c r="DZ161" s="44">
        <f>(IF(DZ157=D159,DZ160,DY163))</f>
        <v>1322230.822409933</v>
      </c>
      <c r="EA161" s="44">
        <f>(IF(EA157=D159,EA160,DZ163))</f>
        <v>1212044.9205424357</v>
      </c>
      <c r="EB161" s="44">
        <f>(IF(EB157=D159,EB160,EA163))</f>
        <v>1101859.0186749385</v>
      </c>
      <c r="EC161" s="44">
        <f>(IF(EC157=D159,EC160,EB163))</f>
        <v>991673.11680744123</v>
      </c>
      <c r="ED161" s="44">
        <f>(IF(ED157=D159,ED160,EC163))</f>
        <v>881487.21493994398</v>
      </c>
      <c r="EE161" s="44">
        <f>(IF(EE157=D159,EE160,ED163))</f>
        <v>771301.31307244673</v>
      </c>
      <c r="EF161" s="44">
        <f>(IF(EF157=D159,EF160,EE163))</f>
        <v>661115.41120494949</v>
      </c>
      <c r="EG161" s="44">
        <f>(IF(EG157=D159,EG160,EF163))</f>
        <v>550929.50933745224</v>
      </c>
      <c r="EH161" s="44">
        <f>(IF(EH157=D159,EH160,EG163))</f>
        <v>440743.60746995499</v>
      </c>
      <c r="EI161" s="44">
        <f t="shared" ref="EI161:EN161" si="335">(IF(EI157=E159,EI160,EH163))</f>
        <v>330557.70560245775</v>
      </c>
      <c r="EJ161" s="44">
        <f t="shared" si="335"/>
        <v>220371.80373496047</v>
      </c>
      <c r="EK161" s="44">
        <f t="shared" si="335"/>
        <v>110185.9018674632</v>
      </c>
      <c r="EL161" s="44">
        <f t="shared" si="335"/>
        <v>0</v>
      </c>
      <c r="EM161" s="44">
        <f t="shared" si="335"/>
        <v>0</v>
      </c>
      <c r="EN161" s="44">
        <f t="shared" si="335"/>
        <v>0</v>
      </c>
    </row>
    <row r="162" spans="2:144" outlineLevel="1">
      <c r="B162" s="459">
        <f>SUM(H162:XX162)</f>
        <v>13222308.224099707</v>
      </c>
      <c r="C162" s="151" t="s">
        <v>24</v>
      </c>
      <c r="D162" s="467">
        <f>SUMIF($C$4:$C$18,B159,$J$4:$J$18)</f>
        <v>30</v>
      </c>
      <c r="E162" s="468">
        <f>1/D162</f>
        <v>3.3333333333333333E-2</v>
      </c>
      <c r="F162" s="44">
        <f>D160*E162</f>
        <v>440743.6074699891</v>
      </c>
      <c r="G162" s="44"/>
      <c r="H162" s="44">
        <f>IF(H161&gt;1,$F162/4,0)</f>
        <v>0</v>
      </c>
      <c r="I162" s="44">
        <f t="shared" ref="I162:BT162" si="336">IF(I161&gt;1,$F162/4,0)</f>
        <v>0</v>
      </c>
      <c r="J162" s="44">
        <f t="shared" si="336"/>
        <v>0</v>
      </c>
      <c r="K162" s="44">
        <f t="shared" si="336"/>
        <v>0</v>
      </c>
      <c r="L162" s="44">
        <f t="shared" si="336"/>
        <v>0</v>
      </c>
      <c r="M162" s="44">
        <f t="shared" si="336"/>
        <v>0</v>
      </c>
      <c r="N162" s="44">
        <f t="shared" si="336"/>
        <v>0</v>
      </c>
      <c r="O162" s="44">
        <f t="shared" si="336"/>
        <v>0</v>
      </c>
      <c r="P162" s="44">
        <f t="shared" si="336"/>
        <v>0</v>
      </c>
      <c r="Q162" s="44">
        <f t="shared" si="336"/>
        <v>0</v>
      </c>
      <c r="R162" s="44">
        <f t="shared" si="336"/>
        <v>0</v>
      </c>
      <c r="S162" s="44">
        <f t="shared" si="336"/>
        <v>0</v>
      </c>
      <c r="T162" s="44">
        <f t="shared" si="336"/>
        <v>0</v>
      </c>
      <c r="U162" s="44">
        <f t="shared" si="336"/>
        <v>0</v>
      </c>
      <c r="V162" s="44">
        <f t="shared" si="336"/>
        <v>110185.90186749728</v>
      </c>
      <c r="W162" s="44">
        <f t="shared" si="336"/>
        <v>110185.90186749728</v>
      </c>
      <c r="X162" s="44">
        <f t="shared" si="336"/>
        <v>110185.90186749728</v>
      </c>
      <c r="Y162" s="44">
        <f t="shared" si="336"/>
        <v>110185.90186749728</v>
      </c>
      <c r="Z162" s="44">
        <f t="shared" si="336"/>
        <v>110185.90186749728</v>
      </c>
      <c r="AA162" s="44">
        <f t="shared" si="336"/>
        <v>110185.90186749728</v>
      </c>
      <c r="AB162" s="44">
        <f t="shared" si="336"/>
        <v>110185.90186749728</v>
      </c>
      <c r="AC162" s="44">
        <f t="shared" si="336"/>
        <v>110185.90186749728</v>
      </c>
      <c r="AD162" s="44">
        <f t="shared" si="336"/>
        <v>110185.90186749728</v>
      </c>
      <c r="AE162" s="44">
        <f t="shared" si="336"/>
        <v>110185.90186749728</v>
      </c>
      <c r="AF162" s="44">
        <f t="shared" si="336"/>
        <v>110185.90186749728</v>
      </c>
      <c r="AG162" s="44">
        <f t="shared" si="336"/>
        <v>110185.90186749728</v>
      </c>
      <c r="AH162" s="44">
        <f t="shared" si="336"/>
        <v>110185.90186749728</v>
      </c>
      <c r="AI162" s="44">
        <f t="shared" si="336"/>
        <v>110185.90186749728</v>
      </c>
      <c r="AJ162" s="44">
        <f t="shared" si="336"/>
        <v>110185.90186749728</v>
      </c>
      <c r="AK162" s="44">
        <f t="shared" si="336"/>
        <v>110185.90186749728</v>
      </c>
      <c r="AL162" s="44">
        <f t="shared" si="336"/>
        <v>110185.90186749728</v>
      </c>
      <c r="AM162" s="44">
        <f t="shared" si="336"/>
        <v>110185.90186749728</v>
      </c>
      <c r="AN162" s="44">
        <f t="shared" si="336"/>
        <v>110185.90186749728</v>
      </c>
      <c r="AO162" s="44">
        <f t="shared" si="336"/>
        <v>110185.90186749728</v>
      </c>
      <c r="AP162" s="44">
        <f t="shared" si="336"/>
        <v>110185.90186749728</v>
      </c>
      <c r="AQ162" s="44">
        <f t="shared" si="336"/>
        <v>110185.90186749728</v>
      </c>
      <c r="AR162" s="44">
        <f t="shared" si="336"/>
        <v>110185.90186749728</v>
      </c>
      <c r="AS162" s="44">
        <f t="shared" si="336"/>
        <v>110185.90186749728</v>
      </c>
      <c r="AT162" s="44">
        <f t="shared" si="336"/>
        <v>110185.90186749728</v>
      </c>
      <c r="AU162" s="44">
        <f t="shared" si="336"/>
        <v>110185.90186749728</v>
      </c>
      <c r="AV162" s="44">
        <f t="shared" si="336"/>
        <v>110185.90186749728</v>
      </c>
      <c r="AW162" s="44">
        <f t="shared" si="336"/>
        <v>110185.90186749728</v>
      </c>
      <c r="AX162" s="44">
        <f t="shared" si="336"/>
        <v>110185.90186749728</v>
      </c>
      <c r="AY162" s="44">
        <f t="shared" si="336"/>
        <v>110185.90186749728</v>
      </c>
      <c r="AZ162" s="44">
        <f t="shared" si="336"/>
        <v>110185.90186749728</v>
      </c>
      <c r="BA162" s="44">
        <f t="shared" si="336"/>
        <v>110185.90186749728</v>
      </c>
      <c r="BB162" s="44">
        <f t="shared" si="336"/>
        <v>110185.90186749728</v>
      </c>
      <c r="BC162" s="44">
        <f t="shared" si="336"/>
        <v>110185.90186749728</v>
      </c>
      <c r="BD162" s="44">
        <f t="shared" si="336"/>
        <v>110185.90186749728</v>
      </c>
      <c r="BE162" s="44">
        <f t="shared" si="336"/>
        <v>110185.90186749728</v>
      </c>
      <c r="BF162" s="44">
        <f t="shared" si="336"/>
        <v>110185.90186749728</v>
      </c>
      <c r="BG162" s="44">
        <f t="shared" si="336"/>
        <v>110185.90186749728</v>
      </c>
      <c r="BH162" s="44">
        <f t="shared" si="336"/>
        <v>110185.90186749728</v>
      </c>
      <c r="BI162" s="44">
        <f t="shared" si="336"/>
        <v>110185.90186749728</v>
      </c>
      <c r="BJ162" s="44">
        <f t="shared" si="336"/>
        <v>110185.90186749728</v>
      </c>
      <c r="BK162" s="44">
        <f t="shared" si="336"/>
        <v>110185.90186749728</v>
      </c>
      <c r="BL162" s="44">
        <f t="shared" si="336"/>
        <v>110185.90186749728</v>
      </c>
      <c r="BM162" s="44">
        <f t="shared" si="336"/>
        <v>110185.90186749728</v>
      </c>
      <c r="BN162" s="44">
        <f t="shared" si="336"/>
        <v>110185.90186749728</v>
      </c>
      <c r="BO162" s="44">
        <f t="shared" si="336"/>
        <v>110185.90186749728</v>
      </c>
      <c r="BP162" s="44">
        <f t="shared" si="336"/>
        <v>110185.90186749728</v>
      </c>
      <c r="BQ162" s="44">
        <f t="shared" si="336"/>
        <v>110185.90186749728</v>
      </c>
      <c r="BR162" s="44">
        <f t="shared" si="336"/>
        <v>110185.90186749728</v>
      </c>
      <c r="BS162" s="44">
        <f t="shared" si="336"/>
        <v>110185.90186749728</v>
      </c>
      <c r="BT162" s="44">
        <f t="shared" si="336"/>
        <v>110185.90186749728</v>
      </c>
      <c r="BU162" s="44">
        <f t="shared" ref="BU162:EF162" si="337">IF(BU161&gt;1,$F162/4,0)</f>
        <v>110185.90186749728</v>
      </c>
      <c r="BV162" s="44">
        <f t="shared" si="337"/>
        <v>110185.90186749728</v>
      </c>
      <c r="BW162" s="44">
        <f t="shared" si="337"/>
        <v>110185.90186749728</v>
      </c>
      <c r="BX162" s="44">
        <f t="shared" si="337"/>
        <v>110185.90186749728</v>
      </c>
      <c r="BY162" s="44">
        <f t="shared" si="337"/>
        <v>110185.90186749728</v>
      </c>
      <c r="BZ162" s="44">
        <f t="shared" si="337"/>
        <v>110185.90186749728</v>
      </c>
      <c r="CA162" s="44">
        <f t="shared" si="337"/>
        <v>110185.90186749728</v>
      </c>
      <c r="CB162" s="44">
        <f t="shared" si="337"/>
        <v>110185.90186749728</v>
      </c>
      <c r="CC162" s="44">
        <f t="shared" si="337"/>
        <v>110185.90186749728</v>
      </c>
      <c r="CD162" s="44">
        <f t="shared" si="337"/>
        <v>110185.90186749728</v>
      </c>
      <c r="CE162" s="44">
        <f t="shared" si="337"/>
        <v>110185.90186749728</v>
      </c>
      <c r="CF162" s="44">
        <f t="shared" si="337"/>
        <v>110185.90186749728</v>
      </c>
      <c r="CG162" s="44">
        <f t="shared" si="337"/>
        <v>110185.90186749728</v>
      </c>
      <c r="CH162" s="44">
        <f t="shared" si="337"/>
        <v>110185.90186749728</v>
      </c>
      <c r="CI162" s="44">
        <f t="shared" si="337"/>
        <v>110185.90186749728</v>
      </c>
      <c r="CJ162" s="44">
        <f t="shared" si="337"/>
        <v>110185.90186749728</v>
      </c>
      <c r="CK162" s="44">
        <f t="shared" si="337"/>
        <v>110185.90186749728</v>
      </c>
      <c r="CL162" s="44">
        <f t="shared" si="337"/>
        <v>110185.90186749728</v>
      </c>
      <c r="CM162" s="44">
        <f t="shared" si="337"/>
        <v>110185.90186749728</v>
      </c>
      <c r="CN162" s="44">
        <f t="shared" si="337"/>
        <v>110185.90186749728</v>
      </c>
      <c r="CO162" s="44">
        <f t="shared" si="337"/>
        <v>110185.90186749728</v>
      </c>
      <c r="CP162" s="44">
        <f t="shared" si="337"/>
        <v>110185.90186749728</v>
      </c>
      <c r="CQ162" s="44">
        <f t="shared" si="337"/>
        <v>110185.90186749728</v>
      </c>
      <c r="CR162" s="44">
        <f t="shared" si="337"/>
        <v>110185.90186749728</v>
      </c>
      <c r="CS162" s="44">
        <f t="shared" si="337"/>
        <v>110185.90186749728</v>
      </c>
      <c r="CT162" s="44">
        <f t="shared" si="337"/>
        <v>110185.90186749728</v>
      </c>
      <c r="CU162" s="44">
        <f t="shared" si="337"/>
        <v>110185.90186749728</v>
      </c>
      <c r="CV162" s="44">
        <f t="shared" si="337"/>
        <v>110185.90186749728</v>
      </c>
      <c r="CW162" s="44">
        <f t="shared" si="337"/>
        <v>110185.90186749728</v>
      </c>
      <c r="CX162" s="44">
        <f t="shared" si="337"/>
        <v>110185.90186749728</v>
      </c>
      <c r="CY162" s="44">
        <f t="shared" si="337"/>
        <v>110185.90186749728</v>
      </c>
      <c r="CZ162" s="44">
        <f t="shared" si="337"/>
        <v>110185.90186749728</v>
      </c>
      <c r="DA162" s="44">
        <f t="shared" si="337"/>
        <v>110185.90186749728</v>
      </c>
      <c r="DB162" s="44">
        <f t="shared" si="337"/>
        <v>110185.90186749728</v>
      </c>
      <c r="DC162" s="44">
        <f t="shared" si="337"/>
        <v>110185.90186749728</v>
      </c>
      <c r="DD162" s="44">
        <f t="shared" si="337"/>
        <v>110185.90186749728</v>
      </c>
      <c r="DE162" s="44">
        <f t="shared" si="337"/>
        <v>110185.90186749728</v>
      </c>
      <c r="DF162" s="44">
        <f t="shared" si="337"/>
        <v>110185.90186749728</v>
      </c>
      <c r="DG162" s="44">
        <f t="shared" si="337"/>
        <v>110185.90186749728</v>
      </c>
      <c r="DH162" s="44">
        <f t="shared" si="337"/>
        <v>110185.90186749728</v>
      </c>
      <c r="DI162" s="44">
        <f t="shared" si="337"/>
        <v>110185.90186749728</v>
      </c>
      <c r="DJ162" s="44">
        <f t="shared" si="337"/>
        <v>110185.90186749728</v>
      </c>
      <c r="DK162" s="44">
        <f t="shared" si="337"/>
        <v>110185.90186749728</v>
      </c>
      <c r="DL162" s="44">
        <f t="shared" si="337"/>
        <v>110185.90186749728</v>
      </c>
      <c r="DM162" s="44">
        <f t="shared" si="337"/>
        <v>110185.90186749728</v>
      </c>
      <c r="DN162" s="44">
        <f t="shared" si="337"/>
        <v>110185.90186749728</v>
      </c>
      <c r="DO162" s="44">
        <f t="shared" si="337"/>
        <v>110185.90186749728</v>
      </c>
      <c r="DP162" s="44">
        <f t="shared" si="337"/>
        <v>110185.90186749728</v>
      </c>
      <c r="DQ162" s="44">
        <f t="shared" si="337"/>
        <v>110185.90186749728</v>
      </c>
      <c r="DR162" s="44">
        <f t="shared" si="337"/>
        <v>110185.90186749728</v>
      </c>
      <c r="DS162" s="44">
        <f t="shared" si="337"/>
        <v>110185.90186749728</v>
      </c>
      <c r="DT162" s="44">
        <f t="shared" si="337"/>
        <v>110185.90186749728</v>
      </c>
      <c r="DU162" s="44">
        <f t="shared" si="337"/>
        <v>110185.90186749728</v>
      </c>
      <c r="DV162" s="44">
        <f t="shared" si="337"/>
        <v>110185.90186749728</v>
      </c>
      <c r="DW162" s="44">
        <f t="shared" si="337"/>
        <v>110185.90186749728</v>
      </c>
      <c r="DX162" s="44">
        <f t="shared" si="337"/>
        <v>110185.90186749728</v>
      </c>
      <c r="DY162" s="44">
        <f t="shared" si="337"/>
        <v>110185.90186749728</v>
      </c>
      <c r="DZ162" s="44">
        <f t="shared" si="337"/>
        <v>110185.90186749728</v>
      </c>
      <c r="EA162" s="44">
        <f t="shared" si="337"/>
        <v>110185.90186749728</v>
      </c>
      <c r="EB162" s="44">
        <f t="shared" si="337"/>
        <v>110185.90186749728</v>
      </c>
      <c r="EC162" s="44">
        <f t="shared" si="337"/>
        <v>110185.90186749728</v>
      </c>
      <c r="ED162" s="44">
        <f t="shared" si="337"/>
        <v>110185.90186749728</v>
      </c>
      <c r="EE162" s="44">
        <f t="shared" si="337"/>
        <v>110185.90186749728</v>
      </c>
      <c r="EF162" s="44">
        <f t="shared" si="337"/>
        <v>110185.90186749728</v>
      </c>
      <c r="EG162" s="44">
        <f t="shared" ref="EG162:EN162" si="338">IF(EG161&gt;1,$F162/4,0)</f>
        <v>110185.90186749728</v>
      </c>
      <c r="EH162" s="44">
        <f t="shared" si="338"/>
        <v>110185.90186749728</v>
      </c>
      <c r="EI162" s="44">
        <f t="shared" si="338"/>
        <v>110185.90186749728</v>
      </c>
      <c r="EJ162" s="44">
        <f t="shared" si="338"/>
        <v>110185.90186749728</v>
      </c>
      <c r="EK162" s="44">
        <f t="shared" si="338"/>
        <v>110185.90186749728</v>
      </c>
      <c r="EL162" s="44">
        <f t="shared" si="338"/>
        <v>0</v>
      </c>
      <c r="EM162" s="44">
        <f t="shared" si="338"/>
        <v>0</v>
      </c>
      <c r="EN162" s="44">
        <f t="shared" si="338"/>
        <v>0</v>
      </c>
    </row>
    <row r="163" spans="2:144" outlineLevel="1">
      <c r="B163" s="459">
        <f>D160-B162</f>
        <v>-3.3527612686157227E-8</v>
      </c>
      <c r="C163" s="151" t="s">
        <v>74</v>
      </c>
      <c r="D163" s="44"/>
      <c r="E163" s="44"/>
      <c r="F163" s="44"/>
      <c r="G163" s="44"/>
      <c r="H163" s="44">
        <f>IF((H161-H162)&gt;0,(H161-H162),0)</f>
        <v>0</v>
      </c>
      <c r="I163" s="44">
        <f t="shared" ref="I163:BT163" si="339">IF((I161-I162)&gt;0,(I161-I162),0)</f>
        <v>0</v>
      </c>
      <c r="J163" s="44">
        <f t="shared" si="339"/>
        <v>0</v>
      </c>
      <c r="K163" s="44">
        <f t="shared" si="339"/>
        <v>0</v>
      </c>
      <c r="L163" s="44">
        <f t="shared" si="339"/>
        <v>0</v>
      </c>
      <c r="M163" s="44">
        <f t="shared" si="339"/>
        <v>0</v>
      </c>
      <c r="N163" s="44">
        <f t="shared" si="339"/>
        <v>0</v>
      </c>
      <c r="O163" s="44">
        <f t="shared" si="339"/>
        <v>0</v>
      </c>
      <c r="P163" s="44">
        <f t="shared" si="339"/>
        <v>0</v>
      </c>
      <c r="Q163" s="44">
        <f t="shared" si="339"/>
        <v>0</v>
      </c>
      <c r="R163" s="44">
        <f t="shared" si="339"/>
        <v>0</v>
      </c>
      <c r="S163" s="44">
        <f t="shared" si="339"/>
        <v>0</v>
      </c>
      <c r="T163" s="44">
        <f t="shared" si="339"/>
        <v>0</v>
      </c>
      <c r="U163" s="44">
        <f t="shared" si="339"/>
        <v>0</v>
      </c>
      <c r="V163" s="44">
        <f t="shared" si="339"/>
        <v>13112122.322232176</v>
      </c>
      <c r="W163" s="44">
        <f t="shared" si="339"/>
        <v>13001936.420364678</v>
      </c>
      <c r="X163" s="44">
        <f t="shared" si="339"/>
        <v>12891750.51849718</v>
      </c>
      <c r="Y163" s="44">
        <f t="shared" si="339"/>
        <v>12781564.616629682</v>
      </c>
      <c r="Z163" s="44">
        <f t="shared" si="339"/>
        <v>12671378.714762185</v>
      </c>
      <c r="AA163" s="44">
        <f t="shared" si="339"/>
        <v>12561192.812894687</v>
      </c>
      <c r="AB163" s="44">
        <f t="shared" si="339"/>
        <v>12451006.911027189</v>
      </c>
      <c r="AC163" s="44">
        <f t="shared" si="339"/>
        <v>12340821.009159692</v>
      </c>
      <c r="AD163" s="44">
        <f t="shared" si="339"/>
        <v>12230635.107292194</v>
      </c>
      <c r="AE163" s="44">
        <f t="shared" si="339"/>
        <v>12120449.205424696</v>
      </c>
      <c r="AF163" s="44">
        <f t="shared" si="339"/>
        <v>12010263.303557198</v>
      </c>
      <c r="AG163" s="44">
        <f t="shared" si="339"/>
        <v>11900077.401689701</v>
      </c>
      <c r="AH163" s="44">
        <f t="shared" si="339"/>
        <v>11789891.499822203</v>
      </c>
      <c r="AI163" s="44">
        <f t="shared" si="339"/>
        <v>11679705.597954705</v>
      </c>
      <c r="AJ163" s="44">
        <f t="shared" si="339"/>
        <v>11569519.696087208</v>
      </c>
      <c r="AK163" s="44">
        <f t="shared" si="339"/>
        <v>11459333.79421971</v>
      </c>
      <c r="AL163" s="44">
        <f t="shared" si="339"/>
        <v>11349147.892352212</v>
      </c>
      <c r="AM163" s="44">
        <f t="shared" si="339"/>
        <v>11238961.990484715</v>
      </c>
      <c r="AN163" s="44">
        <f t="shared" si="339"/>
        <v>11128776.088617217</v>
      </c>
      <c r="AO163" s="44">
        <f t="shared" si="339"/>
        <v>11018590.186749719</v>
      </c>
      <c r="AP163" s="44">
        <f t="shared" si="339"/>
        <v>10908404.284882221</v>
      </c>
      <c r="AQ163" s="44">
        <f t="shared" si="339"/>
        <v>10798218.383014724</v>
      </c>
      <c r="AR163" s="44">
        <f t="shared" si="339"/>
        <v>10688032.481147226</v>
      </c>
      <c r="AS163" s="44">
        <f t="shared" si="339"/>
        <v>10577846.579279728</v>
      </c>
      <c r="AT163" s="44">
        <f t="shared" si="339"/>
        <v>10467660.677412231</v>
      </c>
      <c r="AU163" s="44">
        <f t="shared" si="339"/>
        <v>10357474.775544733</v>
      </c>
      <c r="AV163" s="44">
        <f t="shared" si="339"/>
        <v>10247288.873677235</v>
      </c>
      <c r="AW163" s="44">
        <f t="shared" si="339"/>
        <v>10137102.971809737</v>
      </c>
      <c r="AX163" s="44">
        <f t="shared" si="339"/>
        <v>10026917.06994224</v>
      </c>
      <c r="AY163" s="44">
        <f t="shared" si="339"/>
        <v>9916731.168074742</v>
      </c>
      <c r="AZ163" s="44">
        <f t="shared" si="339"/>
        <v>9806545.2662072442</v>
      </c>
      <c r="BA163" s="44">
        <f t="shared" si="339"/>
        <v>9696359.3643397465</v>
      </c>
      <c r="BB163" s="44">
        <f t="shared" si="339"/>
        <v>9586173.4624722488</v>
      </c>
      <c r="BC163" s="44">
        <f t="shared" si="339"/>
        <v>9475987.5606047511</v>
      </c>
      <c r="BD163" s="44">
        <f t="shared" si="339"/>
        <v>9365801.6587372534</v>
      </c>
      <c r="BE163" s="44">
        <f t="shared" si="339"/>
        <v>9255615.7568697557</v>
      </c>
      <c r="BF163" s="44">
        <f t="shared" si="339"/>
        <v>9145429.855002258</v>
      </c>
      <c r="BG163" s="44">
        <f t="shared" si="339"/>
        <v>9035243.9531347603</v>
      </c>
      <c r="BH163" s="44">
        <f t="shared" si="339"/>
        <v>8925058.0512672625</v>
      </c>
      <c r="BI163" s="44">
        <f t="shared" si="339"/>
        <v>8814872.1493997648</v>
      </c>
      <c r="BJ163" s="44">
        <f t="shared" si="339"/>
        <v>8704686.2475322671</v>
      </c>
      <c r="BK163" s="44">
        <f t="shared" si="339"/>
        <v>8594500.3456647694</v>
      </c>
      <c r="BL163" s="44">
        <f t="shared" si="339"/>
        <v>8484314.4437972717</v>
      </c>
      <c r="BM163" s="44">
        <f t="shared" si="339"/>
        <v>8374128.541929774</v>
      </c>
      <c r="BN163" s="44">
        <f t="shared" si="339"/>
        <v>8263942.6400622763</v>
      </c>
      <c r="BO163" s="44">
        <f t="shared" si="339"/>
        <v>8153756.7381947786</v>
      </c>
      <c r="BP163" s="44">
        <f t="shared" si="339"/>
        <v>8043570.8363272808</v>
      </c>
      <c r="BQ163" s="44">
        <f t="shared" si="339"/>
        <v>7933384.9344597831</v>
      </c>
      <c r="BR163" s="44">
        <f t="shared" si="339"/>
        <v>7823199.0325922854</v>
      </c>
      <c r="BS163" s="44">
        <f t="shared" si="339"/>
        <v>7713013.1307247877</v>
      </c>
      <c r="BT163" s="44">
        <f t="shared" si="339"/>
        <v>7602827.22885729</v>
      </c>
      <c r="BU163" s="44">
        <f t="shared" ref="BU163:EF163" si="340">IF((BU161-BU162)&gt;0,(BU161-BU162),0)</f>
        <v>7492641.3269897923</v>
      </c>
      <c r="BV163" s="44">
        <f t="shared" si="340"/>
        <v>7382455.4251222946</v>
      </c>
      <c r="BW163" s="44">
        <f t="shared" si="340"/>
        <v>7272269.5232547969</v>
      </c>
      <c r="BX163" s="44">
        <f t="shared" si="340"/>
        <v>7162083.6213872992</v>
      </c>
      <c r="BY163" s="44">
        <f t="shared" si="340"/>
        <v>7051897.7195198014</v>
      </c>
      <c r="BZ163" s="44">
        <f t="shared" si="340"/>
        <v>6941711.8176523037</v>
      </c>
      <c r="CA163" s="44">
        <f t="shared" si="340"/>
        <v>6831525.915784806</v>
      </c>
      <c r="CB163" s="44">
        <f t="shared" si="340"/>
        <v>6721340.0139173083</v>
      </c>
      <c r="CC163" s="44">
        <f t="shared" si="340"/>
        <v>6611154.1120498106</v>
      </c>
      <c r="CD163" s="44">
        <f t="shared" si="340"/>
        <v>6500968.2101823129</v>
      </c>
      <c r="CE163" s="44">
        <f t="shared" si="340"/>
        <v>6390782.3083148152</v>
      </c>
      <c r="CF163" s="44">
        <f t="shared" si="340"/>
        <v>6280596.4064473175</v>
      </c>
      <c r="CG163" s="44">
        <f t="shared" si="340"/>
        <v>6170410.5045798197</v>
      </c>
      <c r="CH163" s="44">
        <f t="shared" si="340"/>
        <v>6060224.602712322</v>
      </c>
      <c r="CI163" s="44">
        <f t="shared" si="340"/>
        <v>5950038.7008448243</v>
      </c>
      <c r="CJ163" s="44">
        <f t="shared" si="340"/>
        <v>5839852.7989773266</v>
      </c>
      <c r="CK163" s="44">
        <f t="shared" si="340"/>
        <v>5729666.8971098289</v>
      </c>
      <c r="CL163" s="44">
        <f t="shared" si="340"/>
        <v>5619480.9952423312</v>
      </c>
      <c r="CM163" s="44">
        <f t="shared" si="340"/>
        <v>5509295.0933748335</v>
      </c>
      <c r="CN163" s="44">
        <f t="shared" si="340"/>
        <v>5399109.1915073358</v>
      </c>
      <c r="CO163" s="44">
        <f t="shared" si="340"/>
        <v>5288923.289639838</v>
      </c>
      <c r="CP163" s="44">
        <f t="shared" si="340"/>
        <v>5178737.3877723403</v>
      </c>
      <c r="CQ163" s="44">
        <f t="shared" si="340"/>
        <v>5068551.4859048426</v>
      </c>
      <c r="CR163" s="44">
        <f t="shared" si="340"/>
        <v>4958365.5840373449</v>
      </c>
      <c r="CS163" s="44">
        <f t="shared" si="340"/>
        <v>4848179.6821698472</v>
      </c>
      <c r="CT163" s="44">
        <f t="shared" si="340"/>
        <v>4737993.7803023495</v>
      </c>
      <c r="CU163" s="44">
        <f t="shared" si="340"/>
        <v>4627807.8784348518</v>
      </c>
      <c r="CV163" s="44">
        <f t="shared" si="340"/>
        <v>4517621.9765673541</v>
      </c>
      <c r="CW163" s="44">
        <f t="shared" si="340"/>
        <v>4407436.0746998563</v>
      </c>
      <c r="CX163" s="44">
        <f t="shared" si="340"/>
        <v>4297250.1728323586</v>
      </c>
      <c r="CY163" s="44">
        <f t="shared" si="340"/>
        <v>4187064.2709648614</v>
      </c>
      <c r="CZ163" s="44">
        <f t="shared" si="340"/>
        <v>4076878.3690973641</v>
      </c>
      <c r="DA163" s="44">
        <f t="shared" si="340"/>
        <v>3966692.4672298669</v>
      </c>
      <c r="DB163" s="44">
        <f t="shared" si="340"/>
        <v>3856506.5653623696</v>
      </c>
      <c r="DC163" s="44">
        <f t="shared" si="340"/>
        <v>3746320.6634948724</v>
      </c>
      <c r="DD163" s="44">
        <f t="shared" si="340"/>
        <v>3636134.7616273751</v>
      </c>
      <c r="DE163" s="44">
        <f t="shared" si="340"/>
        <v>3525948.8597598779</v>
      </c>
      <c r="DF163" s="44">
        <f t="shared" si="340"/>
        <v>3415762.9578923807</v>
      </c>
      <c r="DG163" s="44">
        <f t="shared" si="340"/>
        <v>3305577.0560248834</v>
      </c>
      <c r="DH163" s="44">
        <f t="shared" si="340"/>
        <v>3195391.1541573862</v>
      </c>
      <c r="DI163" s="44">
        <f t="shared" si="340"/>
        <v>3085205.2522898889</v>
      </c>
      <c r="DJ163" s="44">
        <f t="shared" si="340"/>
        <v>2975019.3504223917</v>
      </c>
      <c r="DK163" s="44">
        <f t="shared" si="340"/>
        <v>2864833.4485548944</v>
      </c>
      <c r="DL163" s="44">
        <f t="shared" si="340"/>
        <v>2754647.5466873972</v>
      </c>
      <c r="DM163" s="44">
        <f t="shared" si="340"/>
        <v>2644461.6448198999</v>
      </c>
      <c r="DN163" s="44">
        <f t="shared" si="340"/>
        <v>2534275.7429524027</v>
      </c>
      <c r="DO163" s="44">
        <f t="shared" si="340"/>
        <v>2424089.8410849054</v>
      </c>
      <c r="DP163" s="44">
        <f t="shared" si="340"/>
        <v>2313903.9392174082</v>
      </c>
      <c r="DQ163" s="44">
        <f t="shared" si="340"/>
        <v>2203718.0373499109</v>
      </c>
      <c r="DR163" s="44">
        <f t="shared" si="340"/>
        <v>2093532.1354824137</v>
      </c>
      <c r="DS163" s="44">
        <f t="shared" si="340"/>
        <v>1983346.2336149164</v>
      </c>
      <c r="DT163" s="44">
        <f t="shared" si="340"/>
        <v>1873160.3317474192</v>
      </c>
      <c r="DU163" s="44">
        <f t="shared" si="340"/>
        <v>1762974.429879922</v>
      </c>
      <c r="DV163" s="44">
        <f t="shared" si="340"/>
        <v>1652788.5280124247</v>
      </c>
      <c r="DW163" s="44">
        <f t="shared" si="340"/>
        <v>1542602.6261449275</v>
      </c>
      <c r="DX163" s="44">
        <f t="shared" si="340"/>
        <v>1432416.7242774302</v>
      </c>
      <c r="DY163" s="44">
        <f t="shared" si="340"/>
        <v>1322230.822409933</v>
      </c>
      <c r="DZ163" s="44">
        <f t="shared" si="340"/>
        <v>1212044.9205424357</v>
      </c>
      <c r="EA163" s="44">
        <f t="shared" si="340"/>
        <v>1101859.0186749385</v>
      </c>
      <c r="EB163" s="44">
        <f t="shared" si="340"/>
        <v>991673.11680744123</v>
      </c>
      <c r="EC163" s="44">
        <f t="shared" si="340"/>
        <v>881487.21493994398</v>
      </c>
      <c r="ED163" s="44">
        <f t="shared" si="340"/>
        <v>771301.31307244673</v>
      </c>
      <c r="EE163" s="44">
        <f t="shared" si="340"/>
        <v>661115.41120494949</v>
      </c>
      <c r="EF163" s="44">
        <f t="shared" si="340"/>
        <v>550929.50933745224</v>
      </c>
      <c r="EG163" s="44">
        <f t="shared" ref="EG163:EN163" si="341">IF((EG161-EG162)&gt;0,(EG161-EG162),0)</f>
        <v>440743.60746995499</v>
      </c>
      <c r="EH163" s="44">
        <f t="shared" si="341"/>
        <v>330557.70560245775</v>
      </c>
      <c r="EI163" s="44">
        <f t="shared" si="341"/>
        <v>220371.80373496047</v>
      </c>
      <c r="EJ163" s="44">
        <f t="shared" si="341"/>
        <v>110185.9018674632</v>
      </c>
      <c r="EK163" s="44">
        <f t="shared" si="341"/>
        <v>0</v>
      </c>
      <c r="EL163" s="44">
        <f t="shared" si="341"/>
        <v>0</v>
      </c>
      <c r="EM163" s="44">
        <f t="shared" si="341"/>
        <v>0</v>
      </c>
      <c r="EN163" s="44">
        <f t="shared" si="341"/>
        <v>0</v>
      </c>
    </row>
    <row r="164" spans="2:144" outlineLevel="1">
      <c r="B164" s="139" t="s">
        <v>43</v>
      </c>
      <c r="C164" s="151" t="s">
        <v>487</v>
      </c>
      <c r="D164" s="44"/>
      <c r="E164" s="44"/>
      <c r="F164" s="44"/>
      <c r="G164" s="44"/>
      <c r="H164" s="44">
        <f>IF(H157&gt;D159,(SUM(G163:H163)/2),IF(H157=D159,H163,0))</f>
        <v>0</v>
      </c>
      <c r="I164" s="44">
        <f>IF(I157&gt;D159,(SUM(H163:I163)/2),IF(I157=D159,I163,0))</f>
        <v>0</v>
      </c>
      <c r="J164" s="44">
        <f>IF(J157&gt;D159,(SUM(I163:J163)/2),IF(J157=D159,J163,0))</f>
        <v>0</v>
      </c>
      <c r="K164" s="44">
        <f>IF(K157&gt;D159,(SUM(J163:K163)/2),IF(K157=D159,K163,0))</f>
        <v>0</v>
      </c>
      <c r="L164" s="44">
        <f>IF(L157&gt;D159,(SUM(K163:L163)/2),IF(L157=D159,L163,0))</f>
        <v>0</v>
      </c>
      <c r="M164" s="44">
        <f>IF(M157&gt;D159,(SUM(L163:M163)/2),IF(M157=D159,M163,0))</f>
        <v>0</v>
      </c>
      <c r="N164" s="44">
        <f>IF(N157&gt;D159,(SUM(M163:N163)/2),IF(N157=D159,N163,0))</f>
        <v>0</v>
      </c>
      <c r="O164" s="44">
        <f>IF(O157&gt;D159,(SUM(N163:O163)/2),IF(O157=D159,O163,0))</f>
        <v>0</v>
      </c>
      <c r="P164" s="44">
        <f>IF(P157&gt;D159,(SUM(O163:P163)/2),IF(P157=D159,P163,0))</f>
        <v>0</v>
      </c>
      <c r="Q164" s="44">
        <f>IF(Q157&gt;D159,(SUM(P163:Q163)/2),IF(Q157=D159,Q163,0))</f>
        <v>0</v>
      </c>
      <c r="R164" s="44">
        <f>IF(R157&gt;D159,(SUM(Q163:R163)/2),IF(R157=D159,R163,0))</f>
        <v>0</v>
      </c>
      <c r="S164" s="44">
        <f>IF(S157&gt;D159,(SUM(R163:S163)/2),IF(S157=D159,S163,0))</f>
        <v>0</v>
      </c>
      <c r="T164" s="44">
        <f>IF(T157&gt;D159,(SUM(S163:T163)/2),IF(T157=D159,T163,0))</f>
        <v>0</v>
      </c>
      <c r="U164" s="44">
        <f>IF(U157&gt;D159,(SUM(T163:U163)/2),IF(U157=D159,U163,0))</f>
        <v>0</v>
      </c>
      <c r="V164" s="44">
        <f>IF(V157&gt;D159,(SUM(U163:V163)/2),IF(V157=D159,V163,0))</f>
        <v>13112122.322232176</v>
      </c>
      <c r="W164" s="44">
        <f>IF(W157&gt;D159,(SUM(V163:W163)/2),IF(W157=D159,W163,0))</f>
        <v>13057029.371298427</v>
      </c>
      <c r="X164" s="44">
        <f>IF(X157&gt;D159,(SUM(W163:X163)/2),IF(X157=D159,X163,0))</f>
        <v>12946843.469430929</v>
      </c>
      <c r="Y164" s="44">
        <f>IF(Y157&gt;D159,(SUM(X163:Y163)/2),IF(Y157=D159,Y163,0))</f>
        <v>12836657.567563431</v>
      </c>
      <c r="Z164" s="44">
        <f>IF(Z157&gt;D159,(SUM(Y163:Z163)/2),IF(Z157=D159,Z163,0))</f>
        <v>12726471.665695934</v>
      </c>
      <c r="AA164" s="44">
        <f>IF(AA157&gt;D159,(SUM(Z163:AA163)/2),IF(AA157=D159,AA163,0))</f>
        <v>12616285.763828436</v>
      </c>
      <c r="AB164" s="44">
        <f>IF(AB157&gt;D159,(SUM(AA163:AB163)/2),IF(AB157=D159,AB163,0))</f>
        <v>12506099.861960938</v>
      </c>
      <c r="AC164" s="44">
        <f>IF(AC157&gt;D159,(SUM(AB163:AC163)/2),IF(AC157=D159,AC163,0))</f>
        <v>12395913.96009344</v>
      </c>
      <c r="AD164" s="44">
        <f>IF(AD157&gt;D159,(SUM(AC163:AD163)/2),IF(AD157=D159,AD163,0))</f>
        <v>12285728.058225943</v>
      </c>
      <c r="AE164" s="44">
        <f>IF(AE157&gt;D159,(SUM(AD163:AE163)/2),IF(AE157=D159,AE163,0))</f>
        <v>12175542.156358445</v>
      </c>
      <c r="AF164" s="44">
        <f>IF(AF157&gt;D159,(SUM(AE163:AF163)/2),IF(AF157=D159,AF163,0))</f>
        <v>12065356.254490947</v>
      </c>
      <c r="AG164" s="44">
        <f>IF(AG157&gt;D159,(SUM(AF163:AG163)/2),IF(AG157=D159,AG163,0))</f>
        <v>11955170.35262345</v>
      </c>
      <c r="AH164" s="44">
        <f>IF(AH157&gt;D159,(SUM(AG163:AH163)/2),IF(AH157=D159,AH163,0))</f>
        <v>11844984.450755952</v>
      </c>
      <c r="AI164" s="44">
        <f>IF(AI157&gt;D159,(SUM(AH163:AI163)/2),IF(AI157=D159,AI163,0))</f>
        <v>11734798.548888454</v>
      </c>
      <c r="AJ164" s="44">
        <f>IF(AJ157&gt;D159,(SUM(AI163:AJ163)/2),IF(AJ157=D159,AJ163,0))</f>
        <v>11624612.647020957</v>
      </c>
      <c r="AK164" s="44">
        <f>IF(AK157&gt;D159,(SUM(AJ163:AK163)/2),IF(AK157=D159,AK163,0))</f>
        <v>11514426.745153459</v>
      </c>
      <c r="AL164" s="44">
        <f>IF(AL157&gt;D159,(SUM(AK163:AL163)/2),IF(AL157=D159,AL163,0))</f>
        <v>11404240.843285961</v>
      </c>
      <c r="AM164" s="44">
        <f>IF(AM157&gt;D159,(SUM(AL163:AM163)/2),IF(AM157=D159,AM163,0))</f>
        <v>11294054.941418463</v>
      </c>
      <c r="AN164" s="44">
        <f>IF(AN157&gt;D159,(SUM(AM163:AN163)/2),IF(AN157=D159,AN163,0))</f>
        <v>11183869.039550966</v>
      </c>
      <c r="AO164" s="44">
        <f>IF(AO157&gt;D159,(SUM(AN163:AO163)/2),IF(AO157=D159,AO163,0))</f>
        <v>11073683.137683468</v>
      </c>
      <c r="AP164" s="44">
        <f>IF(AP157&gt;D159,(SUM(AO163:AP163)/2),IF(AP157=D159,AP163,0))</f>
        <v>10963497.23581597</v>
      </c>
      <c r="AQ164" s="44">
        <f>IF(AQ157&gt;D159,(SUM(AP163:AQ163)/2),IF(AQ157=D159,AQ163,0))</f>
        <v>10853311.333948473</v>
      </c>
      <c r="AR164" s="44">
        <f>IF(AR157&gt;D159,(SUM(AQ163:AR163)/2),IF(AR157=D159,AR163,0))</f>
        <v>10743125.432080975</v>
      </c>
      <c r="AS164" s="44">
        <f>IF(AS157&gt;D159,(SUM(AR163:AS163)/2),IF(AS157=D159,AS163,0))</f>
        <v>10632939.530213477</v>
      </c>
      <c r="AT164" s="44">
        <f>IF(AT157&gt;D159,(SUM(AS163:AT163)/2),IF(AT157=D159,AT163,0))</f>
        <v>10522753.628345979</v>
      </c>
      <c r="AU164" s="44">
        <f>IF(AU157&gt;D159,(SUM(AT163:AU163)/2),IF(AU157=D159,AU163,0))</f>
        <v>10412567.726478482</v>
      </c>
      <c r="AV164" s="44">
        <f>IF(AV157&gt;D159,(SUM(AU163:AV163)/2),IF(AV157=D159,AV163,0))</f>
        <v>10302381.824610984</v>
      </c>
      <c r="AW164" s="44">
        <f>IF(AW157&gt;D159,(SUM(AV163:AW163)/2),IF(AW157=D159,AW163,0))</f>
        <v>10192195.922743486</v>
      </c>
      <c r="AX164" s="44">
        <f>IF(AX157&gt;D159,(SUM(AW163:AX163)/2),IF(AX157=D159,AX163,0))</f>
        <v>10082010.020875989</v>
      </c>
      <c r="AY164" s="44">
        <f>IF(AY157&gt;D159,(SUM(AX163:AY163)/2),IF(AY157=D159,AY163,0))</f>
        <v>9971824.1190084908</v>
      </c>
      <c r="AZ164" s="44">
        <f>IF(AZ157&gt;D159,(SUM(AY163:AZ163)/2),IF(AZ157=D159,AZ163,0))</f>
        <v>9861638.2171409931</v>
      </c>
      <c r="BA164" s="44">
        <f>IF(BA157&gt;D159,(SUM(AZ163:BA163)/2),IF(BA157=D159,BA163,0))</f>
        <v>9751452.3152734954</v>
      </c>
      <c r="BB164" s="44">
        <f>IF(BB157&gt;D159,(SUM(BA163:BB163)/2),IF(BB157=D159,BB163,0))</f>
        <v>9641266.4134059977</v>
      </c>
      <c r="BC164" s="44">
        <f>IF(BC157&gt;D159,(SUM(BB163:BC163)/2),IF(BC157=D159,BC163,0))</f>
        <v>9531080.5115385</v>
      </c>
      <c r="BD164" s="44">
        <f>IF(BD157&gt;D159,(SUM(BC163:BD163)/2),IF(BD157=D159,BD163,0))</f>
        <v>9420894.6096710023</v>
      </c>
      <c r="BE164" s="44">
        <f>IF(BE157&gt;D159,(SUM(BD163:BE163)/2),IF(BE157=D159,BE163,0))</f>
        <v>9310708.7078035045</v>
      </c>
      <c r="BF164" s="44">
        <f>IF(BF157&gt;D159,(SUM(BE163:BF163)/2),IF(BF157=D159,BF163,0))</f>
        <v>9200522.8059360068</v>
      </c>
      <c r="BG164" s="44">
        <f>IF(BG157&gt;D159,(SUM(BF163:BG163)/2),IF(BG157=D159,BG163,0))</f>
        <v>9090336.9040685091</v>
      </c>
      <c r="BH164" s="44">
        <f>IF(BH157&gt;D159,(SUM(BG163:BH163)/2),IF(BH157=D159,BH163,0))</f>
        <v>8980151.0022010114</v>
      </c>
      <c r="BI164" s="44">
        <f>IF(BI157&gt;D159,(SUM(BH163:BI163)/2),IF(BI157=D159,BI163,0))</f>
        <v>8869965.1003335137</v>
      </c>
      <c r="BJ164" s="44">
        <f>IF(BJ157&gt;D159,(SUM(BI163:BJ163)/2),IF(BJ157=D159,BJ163,0))</f>
        <v>8759779.198466016</v>
      </c>
      <c r="BK164" s="44">
        <f>IF(BK157&gt;D159,(SUM(BJ163:BK163)/2),IF(BK157=D159,BK163,0))</f>
        <v>8649593.2965985183</v>
      </c>
      <c r="BL164" s="44">
        <f>IF(BL157&gt;D159,(SUM(BK163:BL163)/2),IF(BL157=D159,BL163,0))</f>
        <v>8539407.3947310206</v>
      </c>
      <c r="BM164" s="44">
        <f>IF(BM157&gt;D159,(SUM(BL163:BM163)/2),IF(BM157=D159,BM163,0))</f>
        <v>8429221.4928635228</v>
      </c>
      <c r="BN164" s="44">
        <f>IF(BN157&gt;D159,(SUM(BM163:BN163)/2),IF(BN157=D159,BN163,0))</f>
        <v>8319035.5909960251</v>
      </c>
      <c r="BO164" s="44">
        <f>IF(BO157&gt;D159,(SUM(BN163:BO163)/2),IF(BO157=D159,BO163,0))</f>
        <v>8208849.6891285274</v>
      </c>
      <c r="BP164" s="44">
        <f>IF(BP157&gt;D159,(SUM(BO163:BP163)/2),IF(BP157=D159,BP163,0))</f>
        <v>8098663.7872610297</v>
      </c>
      <c r="BQ164" s="44">
        <f>IF(BQ157&gt;D159,(SUM(BP163:BQ163)/2),IF(BQ157=D159,BQ163,0))</f>
        <v>7988477.885393532</v>
      </c>
      <c r="BR164" s="44">
        <f>IF(BR157&gt;D159,(SUM(BQ163:BR163)/2),IF(BR157=D159,BR163,0))</f>
        <v>7878291.9835260343</v>
      </c>
      <c r="BS164" s="44">
        <f>IF(BS157&gt;D159,(SUM(BR163:BS163)/2),IF(BS157=D159,BS163,0))</f>
        <v>7768106.0816585366</v>
      </c>
      <c r="BT164" s="44">
        <f>IF(BT157&gt;D159,(SUM(BS163:BT163)/2),IF(BT157=D159,BT163,0))</f>
        <v>7657920.1797910389</v>
      </c>
      <c r="BU164" s="44">
        <f>IF(BU157&gt;D159,(SUM(BT163:BU163)/2),IF(BU157=D159,BU163,0))</f>
        <v>7547734.2779235411</v>
      </c>
      <c r="BV164" s="44">
        <f>IF(BV157&gt;D159,(SUM(BU163:BV163)/2),IF(BV157=D159,BV163,0))</f>
        <v>7437548.3760560434</v>
      </c>
      <c r="BW164" s="44">
        <f>IF(BW157&gt;D159,(SUM(BV163:BW163)/2),IF(BW157=D159,BW163,0))</f>
        <v>7327362.4741885457</v>
      </c>
      <c r="BX164" s="44">
        <f>IF(BX157&gt;D159,(SUM(BW163:BX163)/2),IF(BX157=D159,BX163,0))</f>
        <v>7217176.572321048</v>
      </c>
      <c r="BY164" s="44">
        <f>IF(BY157&gt;D159,(SUM(BX163:BY163)/2),IF(BY157=D159,BY163,0))</f>
        <v>7106990.6704535503</v>
      </c>
      <c r="BZ164" s="44">
        <f>IF(BZ157&gt;D159,(SUM(BY163:BZ163)/2),IF(BZ157=D159,BZ163,0))</f>
        <v>6996804.7685860526</v>
      </c>
      <c r="CA164" s="44">
        <f>IF(CA157&gt;D159,(SUM(BZ163:CA163)/2),IF(CA157=D159,CA163,0))</f>
        <v>6886618.8667185549</v>
      </c>
      <c r="CB164" s="44">
        <f>IF(CB157&gt;D159,(SUM(CA163:CB163)/2),IF(CB157=D159,CB163,0))</f>
        <v>6776432.9648510572</v>
      </c>
      <c r="CC164" s="44">
        <f>IF(CC157&gt;D159,(SUM(CB163:CC163)/2),IF(CC157=D159,CC163,0))</f>
        <v>6666247.0629835594</v>
      </c>
      <c r="CD164" s="44">
        <f>IF(CD157&gt;D159,(SUM(CC163:CD163)/2),IF(CD157=D159,CD163,0))</f>
        <v>6556061.1611160617</v>
      </c>
      <c r="CE164" s="44">
        <f>IF(CE157&gt;D159,(SUM(CD163:CE163)/2),IF(CE157=D159,CE163,0))</f>
        <v>6445875.259248564</v>
      </c>
      <c r="CF164" s="44">
        <f>IF(CF157&gt;D159,(SUM(CE163:CF163)/2),IF(CF157=D159,CF163,0))</f>
        <v>6335689.3573810663</v>
      </c>
      <c r="CG164" s="44">
        <f>IF(CG157&gt;D159,(SUM(CF163:CG163)/2),IF(CG157=D159,CG163,0))</f>
        <v>6225503.4555135686</v>
      </c>
      <c r="CH164" s="44">
        <f>IF(CH157&gt;D159,(SUM(CG163:CH163)/2),IF(CH157=D159,CH163,0))</f>
        <v>6115317.5536460709</v>
      </c>
      <c r="CI164" s="44">
        <f>IF(CI157&gt;D159,(SUM(CH163:CI163)/2),IF(CI157=D159,CI163,0))</f>
        <v>6005131.6517785732</v>
      </c>
      <c r="CJ164" s="44">
        <f>IF(CJ157&gt;D159,(SUM(CI163:CJ163)/2),IF(CJ157=D159,CJ163,0))</f>
        <v>5894945.7499110755</v>
      </c>
      <c r="CK164" s="44">
        <f>IF(CK157&gt;D159,(SUM(CJ163:CK163)/2),IF(CK157=D159,CK163,0))</f>
        <v>5784759.8480435777</v>
      </c>
      <c r="CL164" s="44">
        <f>IF(CL157&gt;D159,(SUM(CK163:CL163)/2),IF(CL157=D159,CL163,0))</f>
        <v>5674573.94617608</v>
      </c>
      <c r="CM164" s="44">
        <f>IF(CM157&gt;D159,(SUM(CL163:CM163)/2),IF(CM157=D159,CM163,0))</f>
        <v>5564388.0443085823</v>
      </c>
      <c r="CN164" s="44">
        <f>IF(CN157&gt;D159,(SUM(CM163:CN163)/2),IF(CN157=D159,CN163,0))</f>
        <v>5454202.1424410846</v>
      </c>
      <c r="CO164" s="44">
        <f>IF(CO157&gt;D159,(SUM(CN163:CO163)/2),IF(CO157=D159,CO163,0))</f>
        <v>5344016.2405735869</v>
      </c>
      <c r="CP164" s="44">
        <f>IF(CP157&gt;D159,(SUM(CO163:CP163)/2),IF(CP157=D159,CP163,0))</f>
        <v>5233830.3387060892</v>
      </c>
      <c r="CQ164" s="44">
        <f>IF(CQ157&gt;D159,(SUM(CP163:CQ163)/2),IF(CQ157=D159,CQ163,0))</f>
        <v>5123644.4368385915</v>
      </c>
      <c r="CR164" s="44">
        <f>IF(CR157&gt;D159,(SUM(CQ163:CR163)/2),IF(CR157=D159,CR163,0))</f>
        <v>5013458.5349710938</v>
      </c>
      <c r="CS164" s="44">
        <f>IF(CS157&gt;D159,(SUM(CR163:CS163)/2),IF(CS157=D159,CS163,0))</f>
        <v>4903272.633103596</v>
      </c>
      <c r="CT164" s="44">
        <f>IF(CT157&gt;D159,(SUM(CS163:CT163)/2),IF(CT157=D159,CT163,0))</f>
        <v>4793086.7312360983</v>
      </c>
      <c r="CU164" s="44">
        <f>IF(CU157&gt;D159,(SUM(CT163:CU163)/2),IF(CU157=D159,CU163,0))</f>
        <v>4682900.8293686006</v>
      </c>
      <c r="CV164" s="44">
        <f>IF(CV157&gt;D159,(SUM(CU163:CV163)/2),IF(CV157=D159,CV163,0))</f>
        <v>4572714.9275011029</v>
      </c>
      <c r="CW164" s="44">
        <f>IF(CW157&gt;D159,(SUM(CV163:CW163)/2),IF(CW157=D159,CW163,0))</f>
        <v>4462529.0256336052</v>
      </c>
      <c r="CX164" s="44">
        <f>IF(CX157&gt;D159,(SUM(CW163:CX163)/2),IF(CX157=D159,CX163,0))</f>
        <v>4352343.1237661075</v>
      </c>
      <c r="CY164" s="44">
        <f>IF(CY157&gt;D159,(SUM(CX163:CY163)/2),IF(CY157=D159,CY163,0))</f>
        <v>4242157.2218986098</v>
      </c>
      <c r="CZ164" s="44">
        <f>IF(CZ157&gt;D159,(SUM(CY163:CZ163)/2),IF(CZ157=D159,CZ163,0))</f>
        <v>4131971.320031113</v>
      </c>
      <c r="DA164" s="44">
        <f>IF(DA157&gt;D159,(SUM(CZ163:DA163)/2),IF(DA157=D159,DA163,0))</f>
        <v>4021785.4181636153</v>
      </c>
      <c r="DB164" s="44">
        <f>IF(DB157&gt;D159,(SUM(DA163:DB163)/2),IF(DB157=D159,DB163,0))</f>
        <v>3911599.5162961185</v>
      </c>
      <c r="DC164" s="44">
        <f>IF(DC157&gt;D159,(SUM(DB163:DC163)/2),IF(DC157=D159,DC163,0))</f>
        <v>3801413.6144286208</v>
      </c>
      <c r="DD164" s="44">
        <f>IF(DD157&gt;D159,(SUM(DC163:DD163)/2),IF(DD157=D159,DD163,0))</f>
        <v>3691227.712561124</v>
      </c>
      <c r="DE164" s="44">
        <f>IF(DE157&gt;D159,(SUM(DD163:DE163)/2),IF(DE157=D159,DE163,0))</f>
        <v>3581041.8106936263</v>
      </c>
      <c r="DF164" s="44">
        <f>IF(DF157&gt;D159,(SUM(DE163:DF163)/2),IF(DF157=D159,DF163,0))</f>
        <v>3470855.9088261295</v>
      </c>
      <c r="DG164" s="44">
        <f>IF(DG157&gt;D159,(SUM(DF163:DG163)/2),IF(DG157=D159,DG163,0))</f>
        <v>3360670.0069586318</v>
      </c>
      <c r="DH164" s="44">
        <f>IF(DH157&gt;D159,(SUM(DG163:DH163)/2),IF(DH157=D159,DH163,0))</f>
        <v>3250484.105091135</v>
      </c>
      <c r="DI164" s="44">
        <f>IF(DI157&gt;D159,(SUM(DH163:DI163)/2),IF(DI157=D159,DI163,0))</f>
        <v>3140298.2032236373</v>
      </c>
      <c r="DJ164" s="44">
        <f>IF(DJ157&gt;D159,(SUM(DI163:DJ163)/2),IF(DJ157=D159,DJ163,0))</f>
        <v>3030112.3013561405</v>
      </c>
      <c r="DK164" s="44">
        <f>IF(DK157&gt;D159,(SUM(DJ163:DK163)/2),IF(DK157=D159,DK163,0))</f>
        <v>2919926.3994886428</v>
      </c>
      <c r="DL164" s="44">
        <f>IF(DL157&gt;D159,(SUM(DK163:DL163)/2),IF(DL157=D159,DL163,0))</f>
        <v>2809740.497621146</v>
      </c>
      <c r="DM164" s="44">
        <f>IF(DM157&gt;D159,(SUM(DL163:DM163)/2),IF(DM157=D159,DM163,0))</f>
        <v>2699554.5957536483</v>
      </c>
      <c r="DN164" s="44">
        <f>IF(DN157&gt;D159,(SUM(DM163:DN163)/2),IF(DN157=D159,DN163,0))</f>
        <v>2589368.6938861515</v>
      </c>
      <c r="DO164" s="44">
        <f>IF(DO157&gt;D159,(SUM(DN163:DO163)/2),IF(DO157=D159,DO163,0))</f>
        <v>2479182.7920186538</v>
      </c>
      <c r="DP164" s="44">
        <f>IF(DP157&gt;D159,(SUM(DO163:DP163)/2),IF(DP157=D159,DP163,0))</f>
        <v>2368996.890151157</v>
      </c>
      <c r="DQ164" s="44">
        <f>IF(DQ157&gt;D159,(SUM(DP163:DQ163)/2),IF(DQ157=D159,DQ163,0))</f>
        <v>2258810.9882836593</v>
      </c>
      <c r="DR164" s="44">
        <f>IF(DR157&gt;D159,(SUM(DQ163:DR163)/2),IF(DR157=D159,DR163,0))</f>
        <v>2148625.0864161626</v>
      </c>
      <c r="DS164" s="44">
        <f>IF(DS157&gt;D159,(SUM(DR163:DS163)/2),IF(DS157=D159,DS163,0))</f>
        <v>2038439.1845486651</v>
      </c>
      <c r="DT164" s="44">
        <f>IF(DT157&gt;D159,(SUM(DS163:DT163)/2),IF(DT157=D159,DT163,0))</f>
        <v>1928253.2826811678</v>
      </c>
      <c r="DU164" s="44">
        <f>IF(DU157&gt;D159,(SUM(DT163:DU163)/2),IF(DU157=D159,DU163,0))</f>
        <v>1818067.3808136706</v>
      </c>
      <c r="DV164" s="44">
        <f>IF(DV157&gt;D159,(SUM(DU163:DV163)/2),IF(DV157=D159,DV163,0))</f>
        <v>1707881.4789461733</v>
      </c>
      <c r="DW164" s="44">
        <f>IF(DW157&gt;D159,(SUM(DV163:DW163)/2),IF(DW157=D159,DW163,0))</f>
        <v>1597695.5770786761</v>
      </c>
      <c r="DX164" s="44">
        <f>IF(DX157&gt;D159,(SUM(DW163:DX163)/2),IF(DX157=D159,DX163,0))</f>
        <v>1487509.6752111788</v>
      </c>
      <c r="DY164" s="44">
        <f>IF(DY157&gt;D159,(SUM(DX163:DY163)/2),IF(DY157=D159,DY163,0))</f>
        <v>1377323.7733436816</v>
      </c>
      <c r="DZ164" s="44">
        <f>IF(DZ157&gt;D159,(SUM(DY163:DZ163)/2),IF(DZ157=D159,DZ163,0))</f>
        <v>1267137.8714761843</v>
      </c>
      <c r="EA164" s="44">
        <f>IF(EA157&gt;D159,(SUM(DZ163:EA163)/2),IF(EA157=D159,EA163,0))</f>
        <v>1156951.9696086871</v>
      </c>
      <c r="EB164" s="44">
        <f>IF(EB157&gt;D159,(SUM(EA163:EB163)/2),IF(EB157=D159,EB163,0))</f>
        <v>1046766.0677411899</v>
      </c>
      <c r="EC164" s="44">
        <f>IF(EC157&gt;D159,(SUM(EB163:EC163)/2),IF(EC157=D159,EC163,0))</f>
        <v>936580.1658736926</v>
      </c>
      <c r="ED164" s="44">
        <f>IF(ED157&gt;D159,(SUM(EC163:ED163)/2),IF(ED157=D159,ED163,0))</f>
        <v>826394.26400619536</v>
      </c>
      <c r="EE164" s="44">
        <f>IF(EE157&gt;D159,(SUM(ED163:EE163)/2),IF(EE157=D159,EE163,0))</f>
        <v>716208.36213869811</v>
      </c>
      <c r="EF164" s="44">
        <f>IF(EF157&gt;D159,(SUM(EE163:EF163)/2),IF(EF157=D159,EF163,0))</f>
        <v>606022.46027120086</v>
      </c>
      <c r="EG164" s="44">
        <f>IF(EG157&gt;D159,(SUM(EF163:EG163)/2),IF(EG157=D159,EG163,0))</f>
        <v>495836.55840370362</v>
      </c>
      <c r="EH164" s="44">
        <f>IF(EH157&gt;D159,(SUM(EG163:EH163)/2),IF(EH157=D159,EH163,0))</f>
        <v>385650.65653620637</v>
      </c>
      <c r="EI164" s="44">
        <f t="shared" ref="EI164:EN164" si="342">IF(EI157&gt;E159,(SUM(EH163:EI163)/2),IF(EI157=E159,EI163,0))</f>
        <v>275464.75466870912</v>
      </c>
      <c r="EJ164" s="44">
        <f t="shared" si="342"/>
        <v>165278.85280121182</v>
      </c>
      <c r="EK164" s="44">
        <f t="shared" si="342"/>
        <v>55092.950933731598</v>
      </c>
      <c r="EL164" s="44">
        <f t="shared" si="342"/>
        <v>0</v>
      </c>
      <c r="EM164" s="44">
        <f t="shared" si="342"/>
        <v>0</v>
      </c>
      <c r="EN164" s="44">
        <f t="shared" si="342"/>
        <v>0</v>
      </c>
    </row>
    <row r="165" spans="2:144" outlineLevel="1">
      <c r="C165" s="43" t="s">
        <v>176</v>
      </c>
      <c r="D165" s="44"/>
      <c r="E165" s="773">
        <f>E154</f>
        <v>10</v>
      </c>
      <c r="F165" s="44"/>
      <c r="G165" s="44"/>
      <c r="H165" s="120">
        <f>IF(H156&lt;$E159,0,IF(AND(H156&gt;=$E159,H156&lt;=($E159+$E165-1)),Вводные!$D$30,Вводные!$E$30))</f>
        <v>0</v>
      </c>
      <c r="I165" s="120">
        <f>IF(I156&lt;$E159,0,IF(AND(I156&gt;=$E159,I156&lt;=($E159+$E165-1)),Вводные!$D$30,Вводные!$E$30))</f>
        <v>0</v>
      </c>
      <c r="J165" s="120">
        <f>IF(J156&lt;$E159,0,IF(AND(J156&gt;=$E159,J156&lt;=($E159+$E165-1)),Вводные!$D$30,Вводные!$E$30))</f>
        <v>0</v>
      </c>
      <c r="K165" s="120">
        <f>IF(K156&lt;$E159,0,IF(AND(K156&gt;=$E159,K156&lt;=($E159+$E165-1)),Вводные!$D$30,Вводные!$E$30))</f>
        <v>0</v>
      </c>
      <c r="L165" s="120">
        <f>IF(L156&lt;$E159,0,IF(AND(L156&gt;=$E159,L156&lt;=($E159+$E165-1)),Вводные!$D$30,Вводные!$E$30))</f>
        <v>0</v>
      </c>
      <c r="M165" s="120">
        <f>IF(M156&lt;$E159,0,IF(AND(M156&gt;=$E159,M156&lt;=($E159+$E165-1)),Вводные!$D$30,Вводные!$E$30))</f>
        <v>0</v>
      </c>
      <c r="N165" s="120">
        <f>IF(N156&lt;$E159,0,IF(AND(N156&gt;=$E159,N156&lt;=($E159+$E165-1)),Вводные!$D$30,Вводные!$E$30))</f>
        <v>0</v>
      </c>
      <c r="O165" s="120">
        <f>IF(O156&lt;$E159,0,IF(AND(O156&gt;=$E159,O156&lt;=($E159+$E165-1)),Вводные!$D$30,Вводные!$E$30))</f>
        <v>0</v>
      </c>
      <c r="P165" s="120">
        <f>IF(P156&lt;$E159,0,IF(AND(P156&gt;=$E159,P156&lt;=($E159+$E165-1)),Вводные!$D$30,Вводные!$E$30))</f>
        <v>0</v>
      </c>
      <c r="Q165" s="120">
        <f>IF(Q156&lt;$E159,0,IF(AND(Q156&gt;=$E159,Q156&lt;=($E159+$E165-1)),Вводные!$D$30,Вводные!$E$30))</f>
        <v>0</v>
      </c>
      <c r="R165" s="120">
        <f>IF(R156&lt;$E159,0,IF(AND(R156&gt;=$E159,R156&lt;=($E159+$E165-1)),Вводные!$D$30,Вводные!$E$30))</f>
        <v>0</v>
      </c>
      <c r="S165" s="120">
        <f>IF(S156&lt;$E159,0,IF(AND(S156&gt;=$E159,S156&lt;=($E159+$E165-1)),Вводные!$D$30,Вводные!$E$30))</f>
        <v>0</v>
      </c>
      <c r="T165" s="120">
        <f>IF(T156&lt;$E159,0,IF(AND(T156&gt;=$E159,T156&lt;=($E159+$E165-1)),Вводные!$D$30,Вводные!$E$30))</f>
        <v>0</v>
      </c>
      <c r="U165" s="120">
        <f>IF(U156&lt;$E159,0,IF(AND(U156&gt;=$E159,U156&lt;=($E159+$E165-1)),Вводные!$D$30,Вводные!$E$30))</f>
        <v>0</v>
      </c>
      <c r="V165" s="120">
        <f>IF(V156&lt;$E159,0,IF(AND(V156&gt;=$E159,V156&lt;=($E159+$E165-1)),Вводные!$D$30,Вводные!$E$30))</f>
        <v>0</v>
      </c>
      <c r="W165" s="120">
        <f>IF(W156&lt;$E159,0,IF(AND(W156&gt;=$E159,W156&lt;=($E159+$E165-1)),Вводные!$D$30,Вводные!$E$30))</f>
        <v>0</v>
      </c>
      <c r="X165" s="120">
        <f>IF(X156&lt;$E159,0,IF(AND(X156&gt;=$E159,X156&lt;=($E159+$E165-1)),Вводные!$D$30,Вводные!$E$30))</f>
        <v>0</v>
      </c>
      <c r="Y165" s="120">
        <f>IF(Y156&lt;$E159,0,IF(AND(Y156&gt;=$E159,Y156&lt;=($E159+$E165-1)),Вводные!$D$30,Вводные!$E$30))</f>
        <v>0</v>
      </c>
      <c r="Z165" s="120">
        <f>IF(Z156&lt;$E159,0,IF(AND(Z156&gt;=$E159,Z156&lt;=($E159+$E165-1)),Вводные!$D$30,Вводные!$E$30))</f>
        <v>0</v>
      </c>
      <c r="AA165" s="120">
        <f>IF(AA156&lt;$E159,0,IF(AND(AA156&gt;=$E159,AA156&lt;=($E159+$E165-1)),Вводные!$D$30,Вводные!$E$30))</f>
        <v>0</v>
      </c>
      <c r="AB165" s="120">
        <f>IF(AB156&lt;$E159,0,IF(AND(AB156&gt;=$E159,AB156&lt;=($E159+$E165-1)),Вводные!$D$30,Вводные!$E$30))</f>
        <v>0</v>
      </c>
      <c r="AC165" s="120">
        <f>IF(AC156&lt;$E159,0,IF(AND(AC156&gt;=$E159,AC156&lt;=($E159+$E165-1)),Вводные!$D$30,Вводные!$E$30))</f>
        <v>0</v>
      </c>
      <c r="AD165" s="120">
        <f>IF(AD156&lt;$E159,0,IF(AND(AD156&gt;=$E159,AD156&lt;=($E159+$E165-1)),Вводные!$D$30,Вводные!$E$30))</f>
        <v>0</v>
      </c>
      <c r="AE165" s="120">
        <f>IF(AE156&lt;$E159,0,IF(AND(AE156&gt;=$E159,AE156&lt;=($E159+$E165-1)),Вводные!$D$30,Вводные!$E$30))</f>
        <v>0</v>
      </c>
      <c r="AF165" s="120">
        <f>IF(AF156&lt;$E159,0,IF(AND(AF156&gt;=$E159,AF156&lt;=($E159+$E165-1)),Вводные!$D$30,Вводные!$E$30))</f>
        <v>0</v>
      </c>
      <c r="AG165" s="120">
        <f>IF(AG156&lt;$E159,0,IF(AND(AG156&gt;=$E159,AG156&lt;=($E159+$E165-1)),Вводные!$D$30,Вводные!$E$30))</f>
        <v>0</v>
      </c>
      <c r="AH165" s="120">
        <f>IF(AH156&lt;$E159,0,IF(AND(AH156&gt;=$E159,AH156&lt;=($E159+$E165-1)),Вводные!$D$30,Вводные!$E$30))</f>
        <v>0</v>
      </c>
      <c r="AI165" s="120">
        <f>IF(AI156&lt;$E159,0,IF(AND(AI156&gt;=$E159,AI156&lt;=($E159+$E165-1)),Вводные!$D$30,Вводные!$E$30))</f>
        <v>0</v>
      </c>
      <c r="AJ165" s="120">
        <f>IF(AJ156&lt;$E159,0,IF(AND(AJ156&gt;=$E159,AJ156&lt;=($E159+$E165-1)),Вводные!$D$30,Вводные!$E$30))</f>
        <v>0</v>
      </c>
      <c r="AK165" s="120">
        <f>IF(AK156&lt;$E159,0,IF(AND(AK156&gt;=$E159,AK156&lt;=($E159+$E165-1)),Вводные!$D$30,Вводные!$E$30))</f>
        <v>0</v>
      </c>
      <c r="AL165" s="120">
        <f>IF(AL156&lt;$E159,0,IF(AND(AL156&gt;=$E159,AL156&lt;=($E159+$E165-1)),Вводные!$D$30,Вводные!$E$30))</f>
        <v>0</v>
      </c>
      <c r="AM165" s="120">
        <f>IF(AM156&lt;$E159,0,IF(AND(AM156&gt;=$E159,AM156&lt;=($E159+$E165-1)),Вводные!$D$30,Вводные!$E$30))</f>
        <v>0</v>
      </c>
      <c r="AN165" s="120">
        <f>IF(AN156&lt;$E159,0,IF(AND(AN156&gt;=$E159,AN156&lt;=($E159+$E165-1)),Вводные!$D$30,Вводные!$E$30))</f>
        <v>0</v>
      </c>
      <c r="AO165" s="120">
        <f>IF(AO156&lt;$E159,0,IF(AND(AO156&gt;=$E159,AO156&lt;=($E159+$E165-1)),Вводные!$D$30,Вводные!$E$30))</f>
        <v>0</v>
      </c>
      <c r="AP165" s="120">
        <f>IF(AP156&lt;$E159,0,IF(AND(AP156&gt;=$E159,AP156&lt;=($E159+$E165-1)),Вводные!$D$30,Вводные!$E$30))</f>
        <v>0</v>
      </c>
      <c r="AQ165" s="120">
        <f>IF(AQ156&lt;$E159,0,IF(AND(AQ156&gt;=$E159,AQ156&lt;=($E159+$E165-1)),Вводные!$D$30,Вводные!$E$30))</f>
        <v>0</v>
      </c>
      <c r="AR165" s="120">
        <f>IF(AR156&lt;$E159,0,IF(AND(AR156&gt;=$E159,AR156&lt;=($E159+$E165-1)),Вводные!$D$30,Вводные!$E$30))</f>
        <v>0</v>
      </c>
      <c r="AS165" s="120">
        <f>IF(AS156&lt;$E159,0,IF(AND(AS156&gt;=$E159,AS156&lt;=($E159+$E165-1)),Вводные!$D$30,Вводные!$E$30))</f>
        <v>0</v>
      </c>
      <c r="AT165" s="120">
        <f>IF(AT156&lt;$E159,0,IF(AND(AT156&gt;=$E159,AT156&lt;=($E159+$E165-1)),Вводные!$D$30,Вводные!$E$30))</f>
        <v>0</v>
      </c>
      <c r="AU165" s="120">
        <f>IF(AU156&lt;$E159,0,IF(AND(AU156&gt;=$E159,AU156&lt;=($E159+$E165-1)),Вводные!$D$30,Вводные!$E$30))</f>
        <v>0</v>
      </c>
      <c r="AV165" s="120">
        <f>IF(AV156&lt;$E159,0,IF(AND(AV156&gt;=$E159,AV156&lt;=($E159+$E165-1)),Вводные!$D$30,Вводные!$E$30))</f>
        <v>0</v>
      </c>
      <c r="AW165" s="120">
        <f>IF(AW156&lt;$E159,0,IF(AND(AW156&gt;=$E159,AW156&lt;=($E159+$E165-1)),Вводные!$D$30,Вводные!$E$30))</f>
        <v>0</v>
      </c>
      <c r="AX165" s="120">
        <f>IF(AX156&lt;$E159,0,IF(AND(AX156&gt;=$E159,AX156&lt;=($E159+$E165-1)),Вводные!$D$30,Вводные!$E$30))</f>
        <v>0</v>
      </c>
      <c r="AY165" s="120">
        <f>IF(AY156&lt;$E159,0,IF(AND(AY156&gt;=$E159,AY156&lt;=($E159+$E165-1)),Вводные!$D$30,Вводные!$E$30))</f>
        <v>0</v>
      </c>
      <c r="AZ165" s="120">
        <f>IF(AZ156&lt;$E159,0,IF(AND(AZ156&gt;=$E159,AZ156&lt;=($E159+$E165-1)),Вводные!$D$30,Вводные!$E$30))</f>
        <v>0</v>
      </c>
      <c r="BA165" s="120">
        <f>IF(BA156&lt;$E159,0,IF(AND(BA156&gt;=$E159,BA156&lt;=($E159+$E165-1)),Вводные!$D$30,Вводные!$E$30))</f>
        <v>0</v>
      </c>
      <c r="BB165" s="120">
        <f>IF(BB156&lt;$E159,0,IF(AND(BB156&gt;=$E159,BB156&lt;=($E159+$E165-1)),Вводные!$D$30,Вводные!$E$30))</f>
        <v>0</v>
      </c>
      <c r="BC165" s="120">
        <f>IF(BC156&lt;$E159,0,IF(AND(BC156&gt;=$E159,BC156&lt;=($E159+$E165-1)),Вводные!$D$30,Вводные!$E$30))</f>
        <v>0</v>
      </c>
      <c r="BD165" s="120">
        <f>IF(BD156&lt;$E159,0,IF(AND(BD156&gt;=$E159,BD156&lt;=($E159+$E165-1)),Вводные!$D$30,Вводные!$E$30))</f>
        <v>0</v>
      </c>
      <c r="BE165" s="120">
        <f>IF(BE156&lt;$E159,0,IF(AND(BE156&gt;=$E159,BE156&lt;=($E159+$E165-1)),Вводные!$D$30,Вводные!$E$30))</f>
        <v>0</v>
      </c>
      <c r="BF165" s="120">
        <f>IF(BF156&lt;$E159,0,IF(AND(BF156&gt;=$E159,BF156&lt;=($E159+$E165-1)),Вводные!$D$30,Вводные!$E$30))</f>
        <v>0</v>
      </c>
      <c r="BG165" s="120">
        <f>IF(BG156&lt;$E159,0,IF(AND(BG156&gt;=$E159,BG156&lt;=($E159+$E165-1)),Вводные!$D$30,Вводные!$E$30))</f>
        <v>0</v>
      </c>
      <c r="BH165" s="120">
        <f>IF(BH156&lt;$E159,0,IF(AND(BH156&gt;=$E159,BH156&lt;=($E159+$E165-1)),Вводные!$D$30,Вводные!$E$30))</f>
        <v>2.1999999999999999E-2</v>
      </c>
      <c r="BI165" s="120">
        <f>IF(BI156&lt;$E159,0,IF(AND(BI156&gt;=$E159,BI156&lt;=($E159+$E165-1)),Вводные!$D$30,Вводные!$E$30))</f>
        <v>2.1999999999999999E-2</v>
      </c>
      <c r="BJ165" s="120">
        <f>IF(BJ156&lt;$E159,0,IF(AND(BJ156&gt;=$E159,BJ156&lt;=($E159+$E165-1)),Вводные!$D$30,Вводные!$E$30))</f>
        <v>2.1999999999999999E-2</v>
      </c>
      <c r="BK165" s="120">
        <f>IF(BK156&lt;$E159,0,IF(AND(BK156&gt;=$E159,BK156&lt;=($E159+$E165-1)),Вводные!$D$30,Вводные!$E$30))</f>
        <v>2.1999999999999999E-2</v>
      </c>
      <c r="BL165" s="120">
        <f>IF(BL156&lt;$E159,0,IF(AND(BL156&gt;=$E159,BL156&lt;=($E159+$E165-1)),Вводные!$D$30,Вводные!$E$30))</f>
        <v>2.1999999999999999E-2</v>
      </c>
      <c r="BM165" s="120">
        <f>IF(BM156&lt;$E159,0,IF(AND(BM156&gt;=$E159,BM156&lt;=($E159+$E165-1)),Вводные!$D$30,Вводные!$E$30))</f>
        <v>2.1999999999999999E-2</v>
      </c>
      <c r="BN165" s="120">
        <f>IF(BN156&lt;$E159,0,IF(AND(BN156&gt;=$E159,BN156&lt;=($E159+$E165-1)),Вводные!$D$30,Вводные!$E$30))</f>
        <v>2.1999999999999999E-2</v>
      </c>
      <c r="BO165" s="120">
        <f>IF(BO156&lt;$E159,0,IF(AND(BO156&gt;=$E159,BO156&lt;=($E159+$E165-1)),Вводные!$D$30,Вводные!$E$30))</f>
        <v>2.1999999999999999E-2</v>
      </c>
      <c r="BP165" s="120">
        <f>IF(BP156&lt;$E159,0,IF(AND(BP156&gt;=$E159,BP156&lt;=($E159+$E165-1)),Вводные!$D$30,Вводные!$E$30))</f>
        <v>2.1999999999999999E-2</v>
      </c>
      <c r="BQ165" s="120">
        <f>IF(BQ156&lt;$E159,0,IF(AND(BQ156&gt;=$E159,BQ156&lt;=($E159+$E165-1)),Вводные!$D$30,Вводные!$E$30))</f>
        <v>2.1999999999999999E-2</v>
      </c>
      <c r="BR165" s="120">
        <f>IF(BR156&lt;$E159,0,IF(AND(BR156&gt;=$E159,BR156&lt;=($E159+$E165-1)),Вводные!$D$30,Вводные!$E$30))</f>
        <v>2.1999999999999999E-2</v>
      </c>
      <c r="BS165" s="120">
        <f>IF(BS156&lt;$E159,0,IF(AND(BS156&gt;=$E159,BS156&lt;=($E159+$E165-1)),Вводные!$D$30,Вводные!$E$30))</f>
        <v>2.1999999999999999E-2</v>
      </c>
      <c r="BT165" s="120">
        <f>IF(BT156&lt;$E159,0,IF(AND(BT156&gt;=$E159,BT156&lt;=($E159+$E165-1)),Вводные!$D$30,Вводные!$E$30))</f>
        <v>2.1999999999999999E-2</v>
      </c>
      <c r="BU165" s="120">
        <f>IF(BU156&lt;$E159,0,IF(AND(BU156&gt;=$E159,BU156&lt;=($E159+$E165-1)),Вводные!$D$30,Вводные!$E$30))</f>
        <v>2.1999999999999999E-2</v>
      </c>
      <c r="BV165" s="120">
        <f>IF(BV156&lt;$E159,0,IF(AND(BV156&gt;=$E159,BV156&lt;=($E159+$E165-1)),Вводные!$D$30,Вводные!$E$30))</f>
        <v>2.1999999999999999E-2</v>
      </c>
      <c r="BW165" s="120">
        <f>IF(BW156&lt;$E159,0,IF(AND(BW156&gt;=$E159,BW156&lt;=($E159+$E165-1)),Вводные!$D$30,Вводные!$E$30))</f>
        <v>2.1999999999999999E-2</v>
      </c>
      <c r="BX165" s="120">
        <f>IF(BX156&lt;$E159,0,IF(AND(BX156&gt;=$E159,BX156&lt;=($E159+$E165-1)),Вводные!$D$30,Вводные!$E$30))</f>
        <v>2.1999999999999999E-2</v>
      </c>
      <c r="BY165" s="120">
        <f>IF(BY156&lt;$E159,0,IF(AND(BY156&gt;=$E159,BY156&lt;=($E159+$E165-1)),Вводные!$D$30,Вводные!$E$30))</f>
        <v>2.1999999999999999E-2</v>
      </c>
      <c r="BZ165" s="120">
        <f>IF(BZ156&lt;$E159,0,IF(AND(BZ156&gt;=$E159,BZ156&lt;=($E159+$E165-1)),Вводные!$D$30,Вводные!$E$30))</f>
        <v>2.1999999999999999E-2</v>
      </c>
      <c r="CA165" s="120">
        <f>IF(CA156&lt;$E159,0,IF(AND(CA156&gt;=$E159,CA156&lt;=($E159+$E165-1)),Вводные!$D$30,Вводные!$E$30))</f>
        <v>2.1999999999999999E-2</v>
      </c>
      <c r="CB165" s="120">
        <f>IF(CB156&lt;$E159,0,IF(AND(CB156&gt;=$E159,CB156&lt;=($E159+$E165-1)),Вводные!$D$30,Вводные!$E$30))</f>
        <v>2.1999999999999999E-2</v>
      </c>
      <c r="CC165" s="120">
        <f>IF(CC156&lt;$E159,0,IF(AND(CC156&gt;=$E159,CC156&lt;=($E159+$E165-1)),Вводные!$D$30,Вводные!$E$30))</f>
        <v>2.1999999999999999E-2</v>
      </c>
      <c r="CD165" s="120">
        <f>IF(CD156&lt;$E159,0,IF(AND(CD156&gt;=$E159,CD156&lt;=($E159+$E165-1)),Вводные!$D$30,Вводные!$E$30))</f>
        <v>2.1999999999999999E-2</v>
      </c>
      <c r="CE165" s="120">
        <f>IF(CE156&lt;$E159,0,IF(AND(CE156&gt;=$E159,CE156&lt;=($E159+$E165-1)),Вводные!$D$30,Вводные!$E$30))</f>
        <v>2.1999999999999999E-2</v>
      </c>
      <c r="CF165" s="120">
        <f>IF(CF156&lt;$E159,0,IF(AND(CF156&gt;=$E159,CF156&lt;=($E159+$E165-1)),Вводные!$D$30,Вводные!$E$30))</f>
        <v>2.1999999999999999E-2</v>
      </c>
      <c r="CG165" s="120">
        <f>IF(CG156&lt;$E159,0,IF(AND(CG156&gt;=$E159,CG156&lt;=($E159+$E165-1)),Вводные!$D$30,Вводные!$E$30))</f>
        <v>2.1999999999999999E-2</v>
      </c>
      <c r="CH165" s="120">
        <f>IF(CH156&lt;$E159,0,IF(AND(CH156&gt;=$E159,CH156&lt;=($E159+$E165-1)),Вводные!$D$30,Вводные!$E$30))</f>
        <v>2.1999999999999999E-2</v>
      </c>
      <c r="CI165" s="120">
        <f>IF(CI156&lt;$E159,0,IF(AND(CI156&gt;=$E159,CI156&lt;=($E159+$E165-1)),Вводные!$D$30,Вводные!$E$30))</f>
        <v>2.1999999999999999E-2</v>
      </c>
      <c r="CJ165" s="120">
        <f>IF(CJ156&lt;$E159,0,IF(AND(CJ156&gt;=$E159,CJ156&lt;=($E159+$E165-1)),Вводные!$D$30,Вводные!$E$30))</f>
        <v>2.1999999999999999E-2</v>
      </c>
      <c r="CK165" s="120">
        <f>IF(CK156&lt;$E159,0,IF(AND(CK156&gt;=$E159,CK156&lt;=($E159+$E165-1)),Вводные!$D$30,Вводные!$E$30))</f>
        <v>2.1999999999999999E-2</v>
      </c>
      <c r="CL165" s="120">
        <f>IF(CL156&lt;$E159,0,IF(AND(CL156&gt;=$E159,CL156&lt;=($E159+$E165-1)),Вводные!$D$30,Вводные!$E$30))</f>
        <v>2.1999999999999999E-2</v>
      </c>
      <c r="CM165" s="120">
        <f>IF(CM156&lt;$E159,0,IF(AND(CM156&gt;=$E159,CM156&lt;=($E159+$E165-1)),Вводные!$D$30,Вводные!$E$30))</f>
        <v>2.1999999999999999E-2</v>
      </c>
      <c r="CN165" s="120">
        <f>IF(CN156&lt;$E159,0,IF(AND(CN156&gt;=$E159,CN156&lt;=($E159+$E165-1)),Вводные!$D$30,Вводные!$E$30))</f>
        <v>2.1999999999999999E-2</v>
      </c>
      <c r="CO165" s="120">
        <f>IF(CO156&lt;$E159,0,IF(AND(CO156&gt;=$E159,CO156&lt;=($E159+$E165-1)),Вводные!$D$30,Вводные!$E$30))</f>
        <v>2.1999999999999999E-2</v>
      </c>
      <c r="CP165" s="120">
        <f>IF(CP156&lt;$E159,0,IF(AND(CP156&gt;=$E159,CP156&lt;=($E159+$E165-1)),Вводные!$D$30,Вводные!$E$30))</f>
        <v>2.1999999999999999E-2</v>
      </c>
      <c r="CQ165" s="120">
        <f>IF(CQ156&lt;$E159,0,IF(AND(CQ156&gt;=$E159,CQ156&lt;=($E159+$E165-1)),Вводные!$D$30,Вводные!$E$30))</f>
        <v>2.1999999999999999E-2</v>
      </c>
      <c r="CR165" s="120">
        <f>IF(CR156&lt;$E159,0,IF(AND(CR156&gt;=$E159,CR156&lt;=($E159+$E165-1)),Вводные!$D$30,Вводные!$E$30))</f>
        <v>2.1999999999999999E-2</v>
      </c>
      <c r="CS165" s="120">
        <f>IF(CS156&lt;$E159,0,IF(AND(CS156&gt;=$E159,CS156&lt;=($E159+$E165-1)),Вводные!$D$30,Вводные!$E$30))</f>
        <v>2.1999999999999999E-2</v>
      </c>
      <c r="CT165" s="120">
        <f>IF(CT156&lt;$E159,0,IF(AND(CT156&gt;=$E159,CT156&lt;=($E159+$E165-1)),Вводные!$D$30,Вводные!$E$30))</f>
        <v>2.1999999999999999E-2</v>
      </c>
      <c r="CU165" s="120">
        <f>IF(CU156&lt;$E159,0,IF(AND(CU156&gt;=$E159,CU156&lt;=($E159+$E165-1)),Вводные!$D$30,Вводные!$E$30))</f>
        <v>2.1999999999999999E-2</v>
      </c>
      <c r="CV165" s="120">
        <f>IF(CV156&lt;$E159,0,IF(AND(CV156&gt;=$E159,CV156&lt;=($E159+$E165-1)),Вводные!$D$30,Вводные!$E$30))</f>
        <v>2.1999999999999999E-2</v>
      </c>
      <c r="CW165" s="120">
        <f>IF(CW156&lt;$E159,0,IF(AND(CW156&gt;=$E159,CW156&lt;=($E159+$E165-1)),Вводные!$D$30,Вводные!$E$30))</f>
        <v>2.1999999999999999E-2</v>
      </c>
      <c r="CX165" s="120">
        <f>IF(CX156&lt;$E159,0,IF(AND(CX156&gt;=$E159,CX156&lt;=($E159+$E165-1)),Вводные!$D$30,Вводные!$E$30))</f>
        <v>2.1999999999999999E-2</v>
      </c>
      <c r="CY165" s="120">
        <f>IF(CY156&lt;$E159,0,IF(AND(CY156&gt;=$E159,CY156&lt;=($E159+$E165-1)),Вводные!$D$30,Вводные!$E$30))</f>
        <v>2.1999999999999999E-2</v>
      </c>
      <c r="CZ165" s="120">
        <f>IF(CZ156&lt;$E159,0,IF(AND(CZ156&gt;=$E159,CZ156&lt;=($E159+$E165-1)),Вводные!$D$30,Вводные!$E$30))</f>
        <v>2.1999999999999999E-2</v>
      </c>
      <c r="DA165" s="120">
        <f>IF(DA156&lt;$E159,0,IF(AND(DA156&gt;=$E159,DA156&lt;=($E159+$E165-1)),Вводные!$D$30,Вводные!$E$30))</f>
        <v>2.1999999999999999E-2</v>
      </c>
      <c r="DB165" s="120">
        <f>IF(DB156&lt;$E159,0,IF(AND(DB156&gt;=$E159,DB156&lt;=($E159+$E165-1)),Вводные!$D$30,Вводные!$E$30))</f>
        <v>2.1999999999999999E-2</v>
      </c>
      <c r="DC165" s="120">
        <f>IF(DC156&lt;$E159,0,IF(AND(DC156&gt;=$E159,DC156&lt;=($E159+$E165-1)),Вводные!$D$30,Вводные!$E$30))</f>
        <v>2.1999999999999999E-2</v>
      </c>
      <c r="DD165" s="120">
        <f>IF(DD156&lt;$E159,0,IF(AND(DD156&gt;=$E159,DD156&lt;=($E159+$E165-1)),Вводные!$D$30,Вводные!$E$30))</f>
        <v>2.1999999999999999E-2</v>
      </c>
      <c r="DE165" s="120">
        <f>IF(DE156&lt;$E159,0,IF(AND(DE156&gt;=$E159,DE156&lt;=($E159+$E165-1)),Вводные!$D$30,Вводные!$E$30))</f>
        <v>2.1999999999999999E-2</v>
      </c>
      <c r="DF165" s="120">
        <f>IF(DF156&lt;$E159,0,IF(AND(DF156&gt;=$E159,DF156&lt;=($E159+$E165-1)),Вводные!$D$30,Вводные!$E$30))</f>
        <v>2.1999999999999999E-2</v>
      </c>
      <c r="DG165" s="120">
        <f>IF(DG156&lt;$E159,0,IF(AND(DG156&gt;=$E159,DG156&lt;=($E159+$E165-1)),Вводные!$D$30,Вводные!$E$30))</f>
        <v>2.1999999999999999E-2</v>
      </c>
      <c r="DH165" s="120">
        <f>IF(DH156&lt;$E159,0,IF(AND(DH156&gt;=$E159,DH156&lt;=($E159+$E165-1)),Вводные!$D$30,Вводные!$E$30))</f>
        <v>2.1999999999999999E-2</v>
      </c>
      <c r="DI165" s="120">
        <f>IF(DI156&lt;$E159,0,IF(AND(DI156&gt;=$E159,DI156&lt;=($E159+$E165-1)),Вводные!$D$30,Вводные!$E$30))</f>
        <v>2.1999999999999999E-2</v>
      </c>
      <c r="DJ165" s="120">
        <f>IF(DJ156&lt;$E159,0,IF(AND(DJ156&gt;=$E159,DJ156&lt;=($E159+$E165-1)),Вводные!$D$30,Вводные!$E$30))</f>
        <v>2.1999999999999999E-2</v>
      </c>
      <c r="DK165" s="120">
        <f>IF(DK156&lt;$E159,0,IF(AND(DK156&gt;=$E159,DK156&lt;=($E159+$E165-1)),Вводные!$D$30,Вводные!$E$30))</f>
        <v>2.1999999999999999E-2</v>
      </c>
      <c r="DL165" s="120">
        <f>IF(DL156&lt;$E159,0,IF(AND(DL156&gt;=$E159,DL156&lt;=($E159+$E165-1)),Вводные!$D$30,Вводные!$E$30))</f>
        <v>2.1999999999999999E-2</v>
      </c>
      <c r="DM165" s="120">
        <f>IF(DM156&lt;$E159,0,IF(AND(DM156&gt;=$E159,DM156&lt;=($E159+$E165-1)),Вводные!$D$30,Вводные!$E$30))</f>
        <v>2.1999999999999999E-2</v>
      </c>
      <c r="DN165" s="120">
        <f>IF(DN156&lt;$E159,0,IF(AND(DN156&gt;=$E159,DN156&lt;=($E159+$E165-1)),Вводные!$D$30,Вводные!$E$30))</f>
        <v>2.1999999999999999E-2</v>
      </c>
      <c r="DO165" s="120">
        <f>IF(DO156&lt;$E159,0,IF(AND(DO156&gt;=$E159,DO156&lt;=($E159+$E165-1)),Вводные!$D$30,Вводные!$E$30))</f>
        <v>2.1999999999999999E-2</v>
      </c>
      <c r="DP165" s="120">
        <f>IF(DP156&lt;$E159,0,IF(AND(DP156&gt;=$E159,DP156&lt;=($E159+$E165-1)),Вводные!$D$30,Вводные!$E$30))</f>
        <v>2.1999999999999999E-2</v>
      </c>
      <c r="DQ165" s="120">
        <f>IF(DQ156&lt;$E159,0,IF(AND(DQ156&gt;=$E159,DQ156&lt;=($E159+$E165-1)),Вводные!$D$30,Вводные!$E$30))</f>
        <v>2.1999999999999999E-2</v>
      </c>
      <c r="DR165" s="120">
        <f>IF(DR156&lt;$E159,0,IF(AND(DR156&gt;=$E159,DR156&lt;=($E159+$E165-1)),Вводные!$D$30,Вводные!$E$30))</f>
        <v>2.1999999999999999E-2</v>
      </c>
      <c r="DS165" s="120">
        <f>IF(DS156&lt;$E159,0,IF(AND(DS156&gt;=$E159,DS156&lt;=($E159+$E165-1)),Вводные!$D$30,Вводные!$E$30))</f>
        <v>2.1999999999999999E-2</v>
      </c>
      <c r="DT165" s="120">
        <f>IF(DT156&lt;$E159,0,IF(AND(DT156&gt;=$E159,DT156&lt;=($E159+$E165-1)),Вводные!$D$30,Вводные!$E$30))</f>
        <v>2.1999999999999999E-2</v>
      </c>
      <c r="DU165" s="120">
        <f>IF(DU156&lt;$E159,0,IF(AND(DU156&gt;=$E159,DU156&lt;=($E159+$E165-1)),Вводные!$D$30,Вводные!$E$30))</f>
        <v>2.1999999999999999E-2</v>
      </c>
      <c r="DV165" s="120">
        <f>IF(DV156&lt;$E159,0,IF(AND(DV156&gt;=$E159,DV156&lt;=($E159+$E165-1)),Вводные!$D$30,Вводные!$E$30))</f>
        <v>2.1999999999999999E-2</v>
      </c>
      <c r="DW165" s="120">
        <f>IF(DW156&lt;$E159,0,IF(AND(DW156&gt;=$E159,DW156&lt;=($E159+$E165-1)),Вводные!$D$30,Вводные!$E$30))</f>
        <v>2.1999999999999999E-2</v>
      </c>
      <c r="DX165" s="120">
        <f>IF(DX156&lt;$E159,0,IF(AND(DX156&gt;=$E159,DX156&lt;=($E159+$E165-1)),Вводные!$D$30,Вводные!$E$30))</f>
        <v>2.1999999999999999E-2</v>
      </c>
      <c r="DY165" s="120">
        <f>IF(DY156&lt;$E159,0,IF(AND(DY156&gt;=$E159,DY156&lt;=($E159+$E165-1)),Вводные!$D$30,Вводные!$E$30))</f>
        <v>2.1999999999999999E-2</v>
      </c>
      <c r="DZ165" s="120">
        <f>IF(DZ156&lt;$E159,0,IF(AND(DZ156&gt;=$E159,DZ156&lt;=($E159+$E165-1)),Вводные!$D$30,Вводные!$E$30))</f>
        <v>2.1999999999999999E-2</v>
      </c>
      <c r="EA165" s="120">
        <f>IF(EA156&lt;$E159,0,IF(AND(EA156&gt;=$E159,EA156&lt;=($E159+$E165-1)),Вводные!$D$30,Вводные!$E$30))</f>
        <v>2.1999999999999999E-2</v>
      </c>
      <c r="EB165" s="120">
        <f>IF(EB156&lt;$E159,0,IF(AND(EB156&gt;=$E159,EB156&lt;=($E159+$E165-1)),Вводные!$D$30,Вводные!$E$30))</f>
        <v>2.1999999999999999E-2</v>
      </c>
      <c r="EC165" s="120">
        <f>IF(EC156&lt;$E159,0,IF(AND(EC156&gt;=$E159,EC156&lt;=($E159+$E165-1)),Вводные!$D$30,Вводные!$E$30))</f>
        <v>2.1999999999999999E-2</v>
      </c>
      <c r="ED165" s="120">
        <f>IF(ED156&lt;$E159,0,IF(AND(ED156&gt;=$E159,ED156&lt;=($E159+$E165-1)),Вводные!$D$30,Вводные!$E$30))</f>
        <v>2.1999999999999999E-2</v>
      </c>
      <c r="EE165" s="120">
        <f>IF(EE156&lt;$E159,0,IF(AND(EE156&gt;=$E159,EE156&lt;=($E159+$E165-1)),Вводные!$D$30,Вводные!$E$30))</f>
        <v>2.1999999999999999E-2</v>
      </c>
      <c r="EF165" s="120">
        <f>IF(EF156&lt;$E159,0,IF(AND(EF156&gt;=$E159,EF156&lt;=($E159+$E165-1)),Вводные!$D$30,Вводные!$E$30))</f>
        <v>2.1999999999999999E-2</v>
      </c>
      <c r="EG165" s="120">
        <f>IF(EG156&lt;$E159,0,IF(AND(EG156&gt;=$E159,EG156&lt;=($E159+$E165-1)),Вводные!$D$30,Вводные!$E$30))</f>
        <v>2.1999999999999999E-2</v>
      </c>
      <c r="EH165" s="120">
        <f>IF(EH156&lt;$E159,0,IF(AND(EH156&gt;=$E159,EH156&lt;=($E159+$E165-1)),Вводные!$D$30,Вводные!$E$30))</f>
        <v>2.1999999999999999E-2</v>
      </c>
      <c r="EI165" s="120">
        <f>IF(EI156&lt;$E159,0,IF(AND(EI156&gt;=$E159,EI156&lt;=($E159+$E165-1)),Вводные!$D$30,Вводные!$E$30))</f>
        <v>2.1999999999999999E-2</v>
      </c>
      <c r="EJ165" s="120">
        <f>IF(EJ156&lt;$E159,0,IF(AND(EJ156&gt;=$E159,EJ156&lt;=($E159+$E165-1)),Вводные!$D$30,Вводные!$E$30))</f>
        <v>2.1999999999999999E-2</v>
      </c>
      <c r="EK165" s="120">
        <f>IF(EK156&lt;$E159,0,IF(AND(EK156&gt;=$E159,EK156&lt;=($E159+$E165-1)),Вводные!$D$30,Вводные!$E$30))</f>
        <v>2.1999999999999999E-2</v>
      </c>
      <c r="EL165" s="120">
        <f>IF(EL156&lt;$E159,0,IF(AND(EL156&gt;=$E159,EL156&lt;=($E159+$E165-1)),Вводные!$D$30,Вводные!$E$30))</f>
        <v>2.1999999999999999E-2</v>
      </c>
      <c r="EM165" s="120">
        <f>IF(EM156&lt;$E159,0,IF(AND(EM156&gt;=$E159,EM156&lt;=($E159+$E165-1)),Вводные!$D$30,Вводные!$E$30))</f>
        <v>2.1999999999999999E-2</v>
      </c>
      <c r="EN165" s="120">
        <f>IF(EN156&lt;$E159,0,IF(AND(EN156&gt;=$E159,EN156&lt;=($E159+$E165-1)),Вводные!$D$30,Вводные!$E$30))</f>
        <v>2.1999999999999999E-2</v>
      </c>
    </row>
    <row r="166" spans="2:144" outlineLevel="1">
      <c r="C166" s="151" t="s">
        <v>22</v>
      </c>
      <c r="D166" s="44"/>
      <c r="E166" s="469"/>
      <c r="F166" s="44"/>
      <c r="G166" s="44"/>
      <c r="H166" s="44">
        <f t="shared" ref="H166:AM166" si="343">H165*H164/4</f>
        <v>0</v>
      </c>
      <c r="I166" s="44">
        <f t="shared" si="343"/>
        <v>0</v>
      </c>
      <c r="J166" s="44">
        <f t="shared" si="343"/>
        <v>0</v>
      </c>
      <c r="K166" s="44">
        <f t="shared" si="343"/>
        <v>0</v>
      </c>
      <c r="L166" s="44">
        <f t="shared" si="343"/>
        <v>0</v>
      </c>
      <c r="M166" s="44">
        <f t="shared" si="343"/>
        <v>0</v>
      </c>
      <c r="N166" s="44">
        <f t="shared" si="343"/>
        <v>0</v>
      </c>
      <c r="O166" s="44">
        <f t="shared" si="343"/>
        <v>0</v>
      </c>
      <c r="P166" s="44">
        <f t="shared" si="343"/>
        <v>0</v>
      </c>
      <c r="Q166" s="44">
        <f t="shared" si="343"/>
        <v>0</v>
      </c>
      <c r="R166" s="44">
        <f t="shared" si="343"/>
        <v>0</v>
      </c>
      <c r="S166" s="44">
        <f t="shared" si="343"/>
        <v>0</v>
      </c>
      <c r="T166" s="44">
        <f t="shared" si="343"/>
        <v>0</v>
      </c>
      <c r="U166" s="44">
        <f t="shared" si="343"/>
        <v>0</v>
      </c>
      <c r="V166" s="44">
        <f t="shared" si="343"/>
        <v>0</v>
      </c>
      <c r="W166" s="44">
        <f t="shared" si="343"/>
        <v>0</v>
      </c>
      <c r="X166" s="44">
        <f t="shared" si="343"/>
        <v>0</v>
      </c>
      <c r="Y166" s="44">
        <f t="shared" si="343"/>
        <v>0</v>
      </c>
      <c r="Z166" s="44">
        <f t="shared" si="343"/>
        <v>0</v>
      </c>
      <c r="AA166" s="44">
        <f t="shared" si="343"/>
        <v>0</v>
      </c>
      <c r="AB166" s="44">
        <f t="shared" si="343"/>
        <v>0</v>
      </c>
      <c r="AC166" s="44">
        <f t="shared" si="343"/>
        <v>0</v>
      </c>
      <c r="AD166" s="44">
        <f t="shared" si="343"/>
        <v>0</v>
      </c>
      <c r="AE166" s="44">
        <f t="shared" si="343"/>
        <v>0</v>
      </c>
      <c r="AF166" s="44">
        <f t="shared" si="343"/>
        <v>0</v>
      </c>
      <c r="AG166" s="44">
        <f t="shared" si="343"/>
        <v>0</v>
      </c>
      <c r="AH166" s="44">
        <f t="shared" si="343"/>
        <v>0</v>
      </c>
      <c r="AI166" s="44">
        <f t="shared" si="343"/>
        <v>0</v>
      </c>
      <c r="AJ166" s="44">
        <f t="shared" si="343"/>
        <v>0</v>
      </c>
      <c r="AK166" s="44">
        <f t="shared" si="343"/>
        <v>0</v>
      </c>
      <c r="AL166" s="44">
        <f t="shared" si="343"/>
        <v>0</v>
      </c>
      <c r="AM166" s="44">
        <f t="shared" si="343"/>
        <v>0</v>
      </c>
      <c r="AN166" s="44">
        <f t="shared" ref="AN166:BS166" si="344">AN165*AN164/4</f>
        <v>0</v>
      </c>
      <c r="AO166" s="44">
        <f t="shared" si="344"/>
        <v>0</v>
      </c>
      <c r="AP166" s="44">
        <f t="shared" si="344"/>
        <v>0</v>
      </c>
      <c r="AQ166" s="44">
        <f t="shared" si="344"/>
        <v>0</v>
      </c>
      <c r="AR166" s="44">
        <f t="shared" si="344"/>
        <v>0</v>
      </c>
      <c r="AS166" s="44">
        <f t="shared" si="344"/>
        <v>0</v>
      </c>
      <c r="AT166" s="44">
        <f t="shared" si="344"/>
        <v>0</v>
      </c>
      <c r="AU166" s="44">
        <f t="shared" si="344"/>
        <v>0</v>
      </c>
      <c r="AV166" s="44">
        <f t="shared" si="344"/>
        <v>0</v>
      </c>
      <c r="AW166" s="44">
        <f t="shared" si="344"/>
        <v>0</v>
      </c>
      <c r="AX166" s="44">
        <f t="shared" si="344"/>
        <v>0</v>
      </c>
      <c r="AY166" s="44">
        <f t="shared" si="344"/>
        <v>0</v>
      </c>
      <c r="AZ166" s="44">
        <f t="shared" si="344"/>
        <v>0</v>
      </c>
      <c r="BA166" s="44">
        <f t="shared" si="344"/>
        <v>0</v>
      </c>
      <c r="BB166" s="44">
        <f t="shared" si="344"/>
        <v>0</v>
      </c>
      <c r="BC166" s="44">
        <f t="shared" si="344"/>
        <v>0</v>
      </c>
      <c r="BD166" s="44">
        <f t="shared" si="344"/>
        <v>0</v>
      </c>
      <c r="BE166" s="44">
        <f t="shared" si="344"/>
        <v>0</v>
      </c>
      <c r="BF166" s="44">
        <f t="shared" si="344"/>
        <v>0</v>
      </c>
      <c r="BG166" s="44">
        <f t="shared" si="344"/>
        <v>0</v>
      </c>
      <c r="BH166" s="44">
        <f t="shared" si="344"/>
        <v>49390.83051210556</v>
      </c>
      <c r="BI166" s="44">
        <f t="shared" si="344"/>
        <v>48784.808051834319</v>
      </c>
      <c r="BJ166" s="44">
        <f t="shared" si="344"/>
        <v>48178.785591563086</v>
      </c>
      <c r="BK166" s="44">
        <f t="shared" si="344"/>
        <v>47572.763131291846</v>
      </c>
      <c r="BL166" s="44">
        <f t="shared" si="344"/>
        <v>46966.740671020612</v>
      </c>
      <c r="BM166" s="44">
        <f t="shared" si="344"/>
        <v>46360.718210749372</v>
      </c>
      <c r="BN166" s="44">
        <f t="shared" si="344"/>
        <v>45754.695750478139</v>
      </c>
      <c r="BO166" s="44">
        <f t="shared" si="344"/>
        <v>45148.673290206898</v>
      </c>
      <c r="BP166" s="44">
        <f t="shared" si="344"/>
        <v>44542.650829935657</v>
      </c>
      <c r="BQ166" s="44">
        <f t="shared" si="344"/>
        <v>43936.628369664424</v>
      </c>
      <c r="BR166" s="44">
        <f t="shared" si="344"/>
        <v>43330.605909393184</v>
      </c>
      <c r="BS166" s="44">
        <f t="shared" si="344"/>
        <v>42724.58344912195</v>
      </c>
      <c r="BT166" s="44">
        <f t="shared" ref="BT166:CY166" si="345">BT165*BT164/4</f>
        <v>42118.56098885071</v>
      </c>
      <c r="BU166" s="44">
        <f t="shared" si="345"/>
        <v>41512.538528579476</v>
      </c>
      <c r="BV166" s="44">
        <f t="shared" si="345"/>
        <v>40906.516068308236</v>
      </c>
      <c r="BW166" s="44">
        <f t="shared" si="345"/>
        <v>40300.493608037003</v>
      </c>
      <c r="BX166" s="44">
        <f t="shared" si="345"/>
        <v>39694.471147765762</v>
      </c>
      <c r="BY166" s="44">
        <f t="shared" si="345"/>
        <v>39088.448687494521</v>
      </c>
      <c r="BZ166" s="44">
        <f t="shared" si="345"/>
        <v>38482.426227223288</v>
      </c>
      <c r="CA166" s="44">
        <f t="shared" si="345"/>
        <v>37876.403766952048</v>
      </c>
      <c r="CB166" s="44">
        <f t="shared" si="345"/>
        <v>37270.381306680814</v>
      </c>
      <c r="CC166" s="44">
        <f t="shared" si="345"/>
        <v>36664.358846409574</v>
      </c>
      <c r="CD166" s="44">
        <f t="shared" si="345"/>
        <v>36058.33638613834</v>
      </c>
      <c r="CE166" s="44">
        <f t="shared" si="345"/>
        <v>35452.3139258671</v>
      </c>
      <c r="CF166" s="44">
        <f t="shared" si="345"/>
        <v>34846.291465595859</v>
      </c>
      <c r="CG166" s="44">
        <f t="shared" si="345"/>
        <v>34240.269005324626</v>
      </c>
      <c r="CH166" s="44">
        <f t="shared" si="345"/>
        <v>33634.246545053385</v>
      </c>
      <c r="CI166" s="44">
        <f t="shared" si="345"/>
        <v>33028.224084782152</v>
      </c>
      <c r="CJ166" s="44">
        <f t="shared" si="345"/>
        <v>32422.201624510912</v>
      </c>
      <c r="CK166" s="44">
        <f t="shared" si="345"/>
        <v>31816.179164239675</v>
      </c>
      <c r="CL166" s="44">
        <f t="shared" si="345"/>
        <v>31210.156703968438</v>
      </c>
      <c r="CM166" s="44">
        <f t="shared" si="345"/>
        <v>30604.134243697201</v>
      </c>
      <c r="CN166" s="44">
        <f t="shared" si="345"/>
        <v>29998.111783425964</v>
      </c>
      <c r="CO166" s="44">
        <f t="shared" si="345"/>
        <v>29392.089323154727</v>
      </c>
      <c r="CP166" s="44">
        <f t="shared" si="345"/>
        <v>28786.06686288349</v>
      </c>
      <c r="CQ166" s="44">
        <f t="shared" si="345"/>
        <v>28180.044402612253</v>
      </c>
      <c r="CR166" s="44">
        <f t="shared" si="345"/>
        <v>27574.021942341013</v>
      </c>
      <c r="CS166" s="44">
        <f t="shared" si="345"/>
        <v>26967.999482069776</v>
      </c>
      <c r="CT166" s="44">
        <f t="shared" si="345"/>
        <v>26361.977021798539</v>
      </c>
      <c r="CU166" s="44">
        <f t="shared" si="345"/>
        <v>25755.954561527302</v>
      </c>
      <c r="CV166" s="44">
        <f t="shared" si="345"/>
        <v>25149.932101256065</v>
      </c>
      <c r="CW166" s="44">
        <f t="shared" si="345"/>
        <v>24543.909640984828</v>
      </c>
      <c r="CX166" s="44">
        <f t="shared" si="345"/>
        <v>23937.887180713591</v>
      </c>
      <c r="CY166" s="44">
        <f t="shared" si="345"/>
        <v>23331.864720442354</v>
      </c>
      <c r="CZ166" s="44">
        <f t="shared" ref="CZ166:EE166" si="346">CZ165*CZ164/4</f>
        <v>22725.842260171121</v>
      </c>
      <c r="DA166" s="44">
        <f t="shared" si="346"/>
        <v>22119.819799899884</v>
      </c>
      <c r="DB166" s="44">
        <f t="shared" si="346"/>
        <v>21513.797339628651</v>
      </c>
      <c r="DC166" s="44">
        <f t="shared" si="346"/>
        <v>20907.774879357414</v>
      </c>
      <c r="DD166" s="44">
        <f t="shared" si="346"/>
        <v>20301.75241908618</v>
      </c>
      <c r="DE166" s="44">
        <f t="shared" si="346"/>
        <v>19695.729958814944</v>
      </c>
      <c r="DF166" s="44">
        <f t="shared" si="346"/>
        <v>19089.70749854371</v>
      </c>
      <c r="DG166" s="44">
        <f t="shared" si="346"/>
        <v>18483.685038272473</v>
      </c>
      <c r="DH166" s="44">
        <f t="shared" si="346"/>
        <v>17877.66257800124</v>
      </c>
      <c r="DI166" s="44">
        <f t="shared" si="346"/>
        <v>17271.640117730003</v>
      </c>
      <c r="DJ166" s="44">
        <f t="shared" si="346"/>
        <v>16665.617657458773</v>
      </c>
      <c r="DK166" s="44">
        <f t="shared" si="346"/>
        <v>16059.595197187535</v>
      </c>
      <c r="DL166" s="44">
        <f t="shared" si="346"/>
        <v>15453.572736916301</v>
      </c>
      <c r="DM166" s="44">
        <f t="shared" si="346"/>
        <v>14847.550276645065</v>
      </c>
      <c r="DN166" s="44">
        <f t="shared" si="346"/>
        <v>14241.527816373833</v>
      </c>
      <c r="DO166" s="44">
        <f t="shared" si="346"/>
        <v>13635.505356102596</v>
      </c>
      <c r="DP166" s="44">
        <f t="shared" si="346"/>
        <v>13029.482895831363</v>
      </c>
      <c r="DQ166" s="44">
        <f t="shared" si="346"/>
        <v>12423.460435560126</v>
      </c>
      <c r="DR166" s="44">
        <f t="shared" si="346"/>
        <v>11817.437975288893</v>
      </c>
      <c r="DS166" s="44">
        <f t="shared" si="346"/>
        <v>11211.415515017658</v>
      </c>
      <c r="DT166" s="44">
        <f t="shared" si="346"/>
        <v>10605.393054746422</v>
      </c>
      <c r="DU166" s="44">
        <f t="shared" si="346"/>
        <v>9999.3705944751873</v>
      </c>
      <c r="DV166" s="44">
        <f t="shared" si="346"/>
        <v>9393.3481342039522</v>
      </c>
      <c r="DW166" s="44">
        <f t="shared" si="346"/>
        <v>8787.3256739327171</v>
      </c>
      <c r="DX166" s="44">
        <f t="shared" si="346"/>
        <v>8181.3032136614829</v>
      </c>
      <c r="DY166" s="44">
        <f t="shared" si="346"/>
        <v>7575.2807533902487</v>
      </c>
      <c r="DZ166" s="44">
        <f t="shared" si="346"/>
        <v>6969.2582931190136</v>
      </c>
      <c r="EA166" s="44">
        <f t="shared" si="346"/>
        <v>6363.2358328477785</v>
      </c>
      <c r="EB166" s="44">
        <f t="shared" si="346"/>
        <v>5757.2133725765434</v>
      </c>
      <c r="EC166" s="44">
        <f t="shared" si="346"/>
        <v>5151.1909123053092</v>
      </c>
      <c r="ED166" s="44">
        <f t="shared" si="346"/>
        <v>4545.1684520340741</v>
      </c>
      <c r="EE166" s="44">
        <f t="shared" si="346"/>
        <v>3939.1459917628395</v>
      </c>
      <c r="EF166" s="44">
        <f t="shared" ref="EF166:EN166" si="347">EF165*EF164/4</f>
        <v>3333.1235314916044</v>
      </c>
      <c r="EG166" s="44">
        <f t="shared" si="347"/>
        <v>2727.1010712203697</v>
      </c>
      <c r="EH166" s="44">
        <f t="shared" si="347"/>
        <v>2121.0786109491351</v>
      </c>
      <c r="EI166" s="44">
        <f t="shared" si="347"/>
        <v>1515.0561506779002</v>
      </c>
      <c r="EJ166" s="44">
        <f t="shared" si="347"/>
        <v>909.03369040666496</v>
      </c>
      <c r="EK166" s="44">
        <f t="shared" si="347"/>
        <v>303.01123013552376</v>
      </c>
      <c r="EL166" s="44">
        <f t="shared" si="347"/>
        <v>0</v>
      </c>
      <c r="EM166" s="44">
        <f t="shared" si="347"/>
        <v>0</v>
      </c>
      <c r="EN166" s="44">
        <f t="shared" si="347"/>
        <v>0</v>
      </c>
    </row>
    <row r="167" spans="2:144" ht="15.75">
      <c r="B167" s="40"/>
      <c r="C167" s="22"/>
      <c r="E167" s="40"/>
      <c r="F167" s="40"/>
      <c r="G167" s="40"/>
      <c r="H167" s="463">
        <f t="shared" ref="H167:BD167" si="348">YEAR(H169)</f>
        <v>2022</v>
      </c>
      <c r="I167" s="463">
        <f t="shared" si="348"/>
        <v>2022</v>
      </c>
      <c r="J167" s="463">
        <f t="shared" si="348"/>
        <v>2022</v>
      </c>
      <c r="K167" s="463">
        <f t="shared" si="348"/>
        <v>2022</v>
      </c>
      <c r="L167" s="463">
        <f t="shared" si="348"/>
        <v>2023</v>
      </c>
      <c r="M167" s="463">
        <f t="shared" si="348"/>
        <v>2023</v>
      </c>
      <c r="N167" s="463">
        <f t="shared" si="348"/>
        <v>2023</v>
      </c>
      <c r="O167" s="463">
        <f t="shared" si="348"/>
        <v>2023</v>
      </c>
      <c r="P167" s="463">
        <f t="shared" si="348"/>
        <v>2024</v>
      </c>
      <c r="Q167" s="463">
        <f t="shared" si="348"/>
        <v>2024</v>
      </c>
      <c r="R167" s="463">
        <f t="shared" si="348"/>
        <v>2024</v>
      </c>
      <c r="S167" s="463">
        <f t="shared" si="348"/>
        <v>2024</v>
      </c>
      <c r="T167" s="463">
        <f t="shared" si="348"/>
        <v>2025</v>
      </c>
      <c r="U167" s="463">
        <f t="shared" si="348"/>
        <v>2025</v>
      </c>
      <c r="V167" s="463">
        <f t="shared" si="348"/>
        <v>2025</v>
      </c>
      <c r="W167" s="463">
        <f t="shared" si="348"/>
        <v>2025</v>
      </c>
      <c r="X167" s="463">
        <f t="shared" si="348"/>
        <v>2026</v>
      </c>
      <c r="Y167" s="463">
        <f t="shared" si="348"/>
        <v>2026</v>
      </c>
      <c r="Z167" s="463">
        <f t="shared" si="348"/>
        <v>2026</v>
      </c>
      <c r="AA167" s="463">
        <f t="shared" si="348"/>
        <v>2026</v>
      </c>
      <c r="AB167" s="463">
        <f t="shared" si="348"/>
        <v>2027</v>
      </c>
      <c r="AC167" s="463">
        <f t="shared" si="348"/>
        <v>2027</v>
      </c>
      <c r="AD167" s="463">
        <f t="shared" si="348"/>
        <v>2027</v>
      </c>
      <c r="AE167" s="463">
        <f t="shared" si="348"/>
        <v>2027</v>
      </c>
      <c r="AF167" s="463">
        <f t="shared" si="348"/>
        <v>2028</v>
      </c>
      <c r="AG167" s="463">
        <f t="shared" si="348"/>
        <v>2028</v>
      </c>
      <c r="AH167" s="463">
        <f t="shared" si="348"/>
        <v>2028</v>
      </c>
      <c r="AI167" s="463">
        <f t="shared" si="348"/>
        <v>2028</v>
      </c>
      <c r="AJ167" s="463">
        <f t="shared" si="348"/>
        <v>2029</v>
      </c>
      <c r="AK167" s="463">
        <f t="shared" si="348"/>
        <v>2029</v>
      </c>
      <c r="AL167" s="463">
        <f t="shared" si="348"/>
        <v>2029</v>
      </c>
      <c r="AM167" s="463">
        <f t="shared" si="348"/>
        <v>2029</v>
      </c>
      <c r="AN167" s="463">
        <f t="shared" si="348"/>
        <v>2030</v>
      </c>
      <c r="AO167" s="463">
        <f t="shared" si="348"/>
        <v>2030</v>
      </c>
      <c r="AP167" s="463">
        <f t="shared" si="348"/>
        <v>2030</v>
      </c>
      <c r="AQ167" s="463">
        <f t="shared" si="348"/>
        <v>2030</v>
      </c>
      <c r="AR167" s="463">
        <f t="shared" si="348"/>
        <v>2031</v>
      </c>
      <c r="AS167" s="463">
        <f t="shared" si="348"/>
        <v>2031</v>
      </c>
      <c r="AT167" s="463">
        <f t="shared" si="348"/>
        <v>2031</v>
      </c>
      <c r="AU167" s="463">
        <f t="shared" si="348"/>
        <v>2031</v>
      </c>
      <c r="AV167" s="463">
        <f t="shared" si="348"/>
        <v>2032</v>
      </c>
      <c r="AW167" s="463">
        <f t="shared" si="348"/>
        <v>2032</v>
      </c>
      <c r="AX167" s="463">
        <f t="shared" si="348"/>
        <v>2032</v>
      </c>
      <c r="AY167" s="463">
        <f t="shared" si="348"/>
        <v>2032</v>
      </c>
      <c r="AZ167" s="463">
        <f t="shared" si="348"/>
        <v>2033</v>
      </c>
      <c r="BA167" s="463">
        <f t="shared" si="348"/>
        <v>2033</v>
      </c>
      <c r="BB167" s="463">
        <f t="shared" si="348"/>
        <v>2033</v>
      </c>
      <c r="BC167" s="463">
        <f t="shared" si="348"/>
        <v>2033</v>
      </c>
      <c r="BD167" s="463">
        <f t="shared" si="348"/>
        <v>2034</v>
      </c>
      <c r="BE167" s="463">
        <f>YEAR(BE169)</f>
        <v>2034</v>
      </c>
      <c r="BF167" s="463">
        <f>YEAR(BF169)</f>
        <v>2034</v>
      </c>
      <c r="BG167" s="463">
        <f t="shared" ref="BG167:DR167" si="349">YEAR(BG169)</f>
        <v>2034</v>
      </c>
      <c r="BH167" s="463">
        <f t="shared" si="349"/>
        <v>2035</v>
      </c>
      <c r="BI167" s="463">
        <f t="shared" si="349"/>
        <v>2035</v>
      </c>
      <c r="BJ167" s="463">
        <f t="shared" si="349"/>
        <v>2035</v>
      </c>
      <c r="BK167" s="463">
        <f t="shared" si="349"/>
        <v>2035</v>
      </c>
      <c r="BL167" s="463">
        <f t="shared" si="349"/>
        <v>2036</v>
      </c>
      <c r="BM167" s="463">
        <f t="shared" si="349"/>
        <v>2036</v>
      </c>
      <c r="BN167" s="463">
        <f t="shared" si="349"/>
        <v>2036</v>
      </c>
      <c r="BO167" s="463">
        <f t="shared" si="349"/>
        <v>2036</v>
      </c>
      <c r="BP167" s="463">
        <f t="shared" si="349"/>
        <v>2037</v>
      </c>
      <c r="BQ167" s="463">
        <f t="shared" si="349"/>
        <v>2037</v>
      </c>
      <c r="BR167" s="463">
        <f t="shared" si="349"/>
        <v>2037</v>
      </c>
      <c r="BS167" s="463">
        <f t="shared" si="349"/>
        <v>2037</v>
      </c>
      <c r="BT167" s="463">
        <f t="shared" si="349"/>
        <v>2038</v>
      </c>
      <c r="BU167" s="463">
        <f t="shared" si="349"/>
        <v>2038</v>
      </c>
      <c r="BV167" s="463">
        <f t="shared" si="349"/>
        <v>2038</v>
      </c>
      <c r="BW167" s="463">
        <f t="shared" si="349"/>
        <v>2038</v>
      </c>
      <c r="BX167" s="463">
        <f t="shared" si="349"/>
        <v>2039</v>
      </c>
      <c r="BY167" s="463">
        <f t="shared" si="349"/>
        <v>2039</v>
      </c>
      <c r="BZ167" s="463">
        <f t="shared" si="349"/>
        <v>2039</v>
      </c>
      <c r="CA167" s="463">
        <f t="shared" si="349"/>
        <v>2039</v>
      </c>
      <c r="CB167" s="463">
        <f t="shared" si="349"/>
        <v>2040</v>
      </c>
      <c r="CC167" s="463">
        <f t="shared" si="349"/>
        <v>2040</v>
      </c>
      <c r="CD167" s="463">
        <f t="shared" si="349"/>
        <v>2040</v>
      </c>
      <c r="CE167" s="463">
        <f t="shared" si="349"/>
        <v>2040</v>
      </c>
      <c r="CF167" s="463">
        <f t="shared" si="349"/>
        <v>2041</v>
      </c>
      <c r="CG167" s="463">
        <f t="shared" si="349"/>
        <v>2041</v>
      </c>
      <c r="CH167" s="463">
        <f t="shared" si="349"/>
        <v>2041</v>
      </c>
      <c r="CI167" s="463">
        <f t="shared" si="349"/>
        <v>2041</v>
      </c>
      <c r="CJ167" s="463">
        <f t="shared" si="349"/>
        <v>2042</v>
      </c>
      <c r="CK167" s="463">
        <f t="shared" si="349"/>
        <v>2042</v>
      </c>
      <c r="CL167" s="463">
        <f t="shared" si="349"/>
        <v>2042</v>
      </c>
      <c r="CM167" s="463">
        <f t="shared" si="349"/>
        <v>2042</v>
      </c>
      <c r="CN167" s="463">
        <f t="shared" si="349"/>
        <v>2043</v>
      </c>
      <c r="CO167" s="463">
        <f t="shared" si="349"/>
        <v>2043</v>
      </c>
      <c r="CP167" s="463">
        <f t="shared" si="349"/>
        <v>2043</v>
      </c>
      <c r="CQ167" s="463">
        <f t="shared" si="349"/>
        <v>2043</v>
      </c>
      <c r="CR167" s="463">
        <f t="shared" si="349"/>
        <v>2044</v>
      </c>
      <c r="CS167" s="463">
        <f t="shared" si="349"/>
        <v>2044</v>
      </c>
      <c r="CT167" s="463">
        <f t="shared" si="349"/>
        <v>2044</v>
      </c>
      <c r="CU167" s="463">
        <f t="shared" si="349"/>
        <v>2044</v>
      </c>
      <c r="CV167" s="463">
        <f t="shared" si="349"/>
        <v>2045</v>
      </c>
      <c r="CW167" s="463">
        <f t="shared" si="349"/>
        <v>2045</v>
      </c>
      <c r="CX167" s="463">
        <f t="shared" si="349"/>
        <v>2045</v>
      </c>
      <c r="CY167" s="463">
        <f t="shared" si="349"/>
        <v>2045</v>
      </c>
      <c r="CZ167" s="463">
        <f t="shared" si="349"/>
        <v>2046</v>
      </c>
      <c r="DA167" s="463">
        <f t="shared" si="349"/>
        <v>2046</v>
      </c>
      <c r="DB167" s="463">
        <f t="shared" si="349"/>
        <v>2046</v>
      </c>
      <c r="DC167" s="463">
        <f t="shared" si="349"/>
        <v>2046</v>
      </c>
      <c r="DD167" s="463">
        <f t="shared" si="349"/>
        <v>2047</v>
      </c>
      <c r="DE167" s="463">
        <f t="shared" si="349"/>
        <v>2047</v>
      </c>
      <c r="DF167" s="463">
        <f t="shared" si="349"/>
        <v>2047</v>
      </c>
      <c r="DG167" s="463">
        <f t="shared" si="349"/>
        <v>2047</v>
      </c>
      <c r="DH167" s="463">
        <f t="shared" si="349"/>
        <v>2048</v>
      </c>
      <c r="DI167" s="463">
        <f t="shared" si="349"/>
        <v>2048</v>
      </c>
      <c r="DJ167" s="463">
        <f t="shared" si="349"/>
        <v>2048</v>
      </c>
      <c r="DK167" s="463">
        <f t="shared" si="349"/>
        <v>2048</v>
      </c>
      <c r="DL167" s="463">
        <f t="shared" si="349"/>
        <v>2049</v>
      </c>
      <c r="DM167" s="463">
        <f t="shared" si="349"/>
        <v>2049</v>
      </c>
      <c r="DN167" s="463">
        <f t="shared" si="349"/>
        <v>2049</v>
      </c>
      <c r="DO167" s="463">
        <f t="shared" si="349"/>
        <v>2049</v>
      </c>
      <c r="DP167" s="463">
        <f t="shared" si="349"/>
        <v>2050</v>
      </c>
      <c r="DQ167" s="463">
        <f t="shared" si="349"/>
        <v>2050</v>
      </c>
      <c r="DR167" s="463">
        <f t="shared" si="349"/>
        <v>2050</v>
      </c>
      <c r="DS167" s="463">
        <f t="shared" ref="DS167:EN167" si="350">YEAR(DS169)</f>
        <v>2050</v>
      </c>
      <c r="DT167" s="463">
        <f t="shared" si="350"/>
        <v>2051</v>
      </c>
      <c r="DU167" s="463">
        <f t="shared" si="350"/>
        <v>2051</v>
      </c>
      <c r="DV167" s="463">
        <f t="shared" si="350"/>
        <v>2051</v>
      </c>
      <c r="DW167" s="463">
        <f t="shared" si="350"/>
        <v>2051</v>
      </c>
      <c r="DX167" s="463">
        <f t="shared" si="350"/>
        <v>2052</v>
      </c>
      <c r="DY167" s="463">
        <f t="shared" si="350"/>
        <v>2052</v>
      </c>
      <c r="DZ167" s="463">
        <f t="shared" si="350"/>
        <v>2052</v>
      </c>
      <c r="EA167" s="463">
        <f t="shared" si="350"/>
        <v>2052</v>
      </c>
      <c r="EB167" s="463">
        <f t="shared" si="350"/>
        <v>2053</v>
      </c>
      <c r="EC167" s="463">
        <f t="shared" si="350"/>
        <v>2053</v>
      </c>
      <c r="ED167" s="463">
        <f t="shared" si="350"/>
        <v>2053</v>
      </c>
      <c r="EE167" s="463">
        <f t="shared" si="350"/>
        <v>2053</v>
      </c>
      <c r="EF167" s="463">
        <f t="shared" si="350"/>
        <v>2054</v>
      </c>
      <c r="EG167" s="463">
        <f t="shared" si="350"/>
        <v>2054</v>
      </c>
      <c r="EH167" s="463">
        <f t="shared" si="350"/>
        <v>2054</v>
      </c>
      <c r="EI167" s="463">
        <f t="shared" si="350"/>
        <v>2054</v>
      </c>
      <c r="EJ167" s="463">
        <f t="shared" si="350"/>
        <v>2055</v>
      </c>
      <c r="EK167" s="463">
        <f t="shared" si="350"/>
        <v>2055</v>
      </c>
      <c r="EL167" s="463">
        <f t="shared" si="350"/>
        <v>2055</v>
      </c>
      <c r="EM167" s="463">
        <f t="shared" si="350"/>
        <v>2055</v>
      </c>
      <c r="EN167" s="463">
        <f t="shared" si="350"/>
        <v>2056</v>
      </c>
    </row>
    <row r="168" spans="2:144" ht="15.75">
      <c r="B168" s="40"/>
      <c r="C168" s="22"/>
      <c r="E168" s="40"/>
      <c r="F168" s="40"/>
      <c r="G168" s="40"/>
      <c r="H168" s="464">
        <f t="shared" ref="H168:AM168" si="351">H157</f>
        <v>44593</v>
      </c>
      <c r="I168" s="464">
        <f t="shared" si="351"/>
        <v>44652</v>
      </c>
      <c r="J168" s="464">
        <f t="shared" si="351"/>
        <v>44743</v>
      </c>
      <c r="K168" s="464">
        <f t="shared" si="351"/>
        <v>44835</v>
      </c>
      <c r="L168" s="464">
        <f t="shared" si="351"/>
        <v>44927</v>
      </c>
      <c r="M168" s="464">
        <f t="shared" si="351"/>
        <v>45017</v>
      </c>
      <c r="N168" s="464">
        <f t="shared" si="351"/>
        <v>45108</v>
      </c>
      <c r="O168" s="464">
        <f t="shared" si="351"/>
        <v>45200</v>
      </c>
      <c r="P168" s="464">
        <f t="shared" si="351"/>
        <v>45292</v>
      </c>
      <c r="Q168" s="464">
        <f t="shared" si="351"/>
        <v>45383</v>
      </c>
      <c r="R168" s="464">
        <f t="shared" si="351"/>
        <v>45474</v>
      </c>
      <c r="S168" s="464">
        <f t="shared" si="351"/>
        <v>45566</v>
      </c>
      <c r="T168" s="464">
        <f t="shared" si="351"/>
        <v>45658</v>
      </c>
      <c r="U168" s="464">
        <f t="shared" si="351"/>
        <v>45748</v>
      </c>
      <c r="V168" s="464">
        <f t="shared" si="351"/>
        <v>45839</v>
      </c>
      <c r="W168" s="464">
        <f t="shared" si="351"/>
        <v>45931</v>
      </c>
      <c r="X168" s="464">
        <f t="shared" si="351"/>
        <v>46023</v>
      </c>
      <c r="Y168" s="464">
        <f t="shared" si="351"/>
        <v>46113</v>
      </c>
      <c r="Z168" s="464">
        <f t="shared" si="351"/>
        <v>46204</v>
      </c>
      <c r="AA168" s="464">
        <f t="shared" si="351"/>
        <v>46296</v>
      </c>
      <c r="AB168" s="464">
        <f t="shared" si="351"/>
        <v>46388</v>
      </c>
      <c r="AC168" s="464">
        <f t="shared" si="351"/>
        <v>46478</v>
      </c>
      <c r="AD168" s="464">
        <f t="shared" si="351"/>
        <v>46569</v>
      </c>
      <c r="AE168" s="464">
        <f t="shared" si="351"/>
        <v>46661</v>
      </c>
      <c r="AF168" s="464">
        <f t="shared" si="351"/>
        <v>46753</v>
      </c>
      <c r="AG168" s="464">
        <f t="shared" si="351"/>
        <v>46844</v>
      </c>
      <c r="AH168" s="464">
        <f t="shared" si="351"/>
        <v>46935</v>
      </c>
      <c r="AI168" s="464">
        <f t="shared" si="351"/>
        <v>47027</v>
      </c>
      <c r="AJ168" s="464">
        <f t="shared" si="351"/>
        <v>47119</v>
      </c>
      <c r="AK168" s="464">
        <f t="shared" si="351"/>
        <v>47209</v>
      </c>
      <c r="AL168" s="464">
        <f t="shared" si="351"/>
        <v>47300</v>
      </c>
      <c r="AM168" s="464">
        <f t="shared" si="351"/>
        <v>47392</v>
      </c>
      <c r="AN168" s="464">
        <f t="shared" ref="AN168:BS168" si="352">AN157</f>
        <v>47484</v>
      </c>
      <c r="AO168" s="464">
        <f t="shared" si="352"/>
        <v>47574</v>
      </c>
      <c r="AP168" s="464">
        <f t="shared" si="352"/>
        <v>47665</v>
      </c>
      <c r="AQ168" s="464">
        <f t="shared" si="352"/>
        <v>47757</v>
      </c>
      <c r="AR168" s="464">
        <f t="shared" si="352"/>
        <v>47849</v>
      </c>
      <c r="AS168" s="464">
        <f t="shared" si="352"/>
        <v>47939</v>
      </c>
      <c r="AT168" s="464">
        <f t="shared" si="352"/>
        <v>48030</v>
      </c>
      <c r="AU168" s="464">
        <f t="shared" si="352"/>
        <v>48122</v>
      </c>
      <c r="AV168" s="464">
        <f t="shared" si="352"/>
        <v>48214</v>
      </c>
      <c r="AW168" s="464">
        <f t="shared" si="352"/>
        <v>48305</v>
      </c>
      <c r="AX168" s="464">
        <f t="shared" si="352"/>
        <v>48396</v>
      </c>
      <c r="AY168" s="464">
        <f t="shared" si="352"/>
        <v>48488</v>
      </c>
      <c r="AZ168" s="464">
        <f t="shared" si="352"/>
        <v>48580</v>
      </c>
      <c r="BA168" s="464">
        <f t="shared" si="352"/>
        <v>48670</v>
      </c>
      <c r="BB168" s="464">
        <f t="shared" si="352"/>
        <v>48761</v>
      </c>
      <c r="BC168" s="464">
        <f t="shared" si="352"/>
        <v>48853</v>
      </c>
      <c r="BD168" s="464">
        <f t="shared" si="352"/>
        <v>48945</v>
      </c>
      <c r="BE168" s="464">
        <f t="shared" si="352"/>
        <v>49035</v>
      </c>
      <c r="BF168" s="464">
        <f t="shared" si="352"/>
        <v>49126</v>
      </c>
      <c r="BG168" s="464">
        <f t="shared" si="352"/>
        <v>49218</v>
      </c>
      <c r="BH168" s="464">
        <f t="shared" si="352"/>
        <v>49310</v>
      </c>
      <c r="BI168" s="464">
        <f t="shared" si="352"/>
        <v>49400</v>
      </c>
      <c r="BJ168" s="464">
        <f t="shared" si="352"/>
        <v>49491</v>
      </c>
      <c r="BK168" s="464">
        <f t="shared" si="352"/>
        <v>49583</v>
      </c>
      <c r="BL168" s="464">
        <f t="shared" si="352"/>
        <v>49675</v>
      </c>
      <c r="BM168" s="464">
        <f t="shared" si="352"/>
        <v>49766</v>
      </c>
      <c r="BN168" s="464">
        <f t="shared" si="352"/>
        <v>49857</v>
      </c>
      <c r="BO168" s="464">
        <f t="shared" si="352"/>
        <v>49949</v>
      </c>
      <c r="BP168" s="464">
        <f t="shared" si="352"/>
        <v>50041</v>
      </c>
      <c r="BQ168" s="464">
        <f t="shared" si="352"/>
        <v>50131</v>
      </c>
      <c r="BR168" s="464">
        <f t="shared" si="352"/>
        <v>50222</v>
      </c>
      <c r="BS168" s="464">
        <f t="shared" si="352"/>
        <v>50314</v>
      </c>
      <c r="BT168" s="464">
        <f t="shared" ref="BT168:CY168" si="353">BT157</f>
        <v>50406</v>
      </c>
      <c r="BU168" s="464">
        <f t="shared" si="353"/>
        <v>50496</v>
      </c>
      <c r="BV168" s="464">
        <f t="shared" si="353"/>
        <v>50587</v>
      </c>
      <c r="BW168" s="464">
        <f t="shared" si="353"/>
        <v>50679</v>
      </c>
      <c r="BX168" s="464">
        <f t="shared" si="353"/>
        <v>50771</v>
      </c>
      <c r="BY168" s="464">
        <f t="shared" si="353"/>
        <v>50861</v>
      </c>
      <c r="BZ168" s="464">
        <f t="shared" si="353"/>
        <v>50952</v>
      </c>
      <c r="CA168" s="464">
        <f t="shared" si="353"/>
        <v>51044</v>
      </c>
      <c r="CB168" s="464">
        <f t="shared" si="353"/>
        <v>51136</v>
      </c>
      <c r="CC168" s="464">
        <f t="shared" si="353"/>
        <v>51227</v>
      </c>
      <c r="CD168" s="464">
        <f t="shared" si="353"/>
        <v>51318</v>
      </c>
      <c r="CE168" s="464">
        <f t="shared" si="353"/>
        <v>51410</v>
      </c>
      <c r="CF168" s="464">
        <f t="shared" si="353"/>
        <v>51502</v>
      </c>
      <c r="CG168" s="464">
        <f t="shared" si="353"/>
        <v>51592</v>
      </c>
      <c r="CH168" s="464">
        <f t="shared" si="353"/>
        <v>51683</v>
      </c>
      <c r="CI168" s="464">
        <f t="shared" si="353"/>
        <v>51775</v>
      </c>
      <c r="CJ168" s="464">
        <f t="shared" si="353"/>
        <v>51867</v>
      </c>
      <c r="CK168" s="464">
        <f t="shared" si="353"/>
        <v>51957</v>
      </c>
      <c r="CL168" s="464">
        <f t="shared" si="353"/>
        <v>52048</v>
      </c>
      <c r="CM168" s="464">
        <f t="shared" si="353"/>
        <v>52140</v>
      </c>
      <c r="CN168" s="464">
        <f t="shared" si="353"/>
        <v>52232</v>
      </c>
      <c r="CO168" s="464">
        <f t="shared" si="353"/>
        <v>52322</v>
      </c>
      <c r="CP168" s="464">
        <f t="shared" si="353"/>
        <v>52413</v>
      </c>
      <c r="CQ168" s="464">
        <f t="shared" si="353"/>
        <v>52505</v>
      </c>
      <c r="CR168" s="464">
        <f t="shared" si="353"/>
        <v>52597</v>
      </c>
      <c r="CS168" s="464">
        <f t="shared" si="353"/>
        <v>52688</v>
      </c>
      <c r="CT168" s="464">
        <f t="shared" si="353"/>
        <v>52779</v>
      </c>
      <c r="CU168" s="464">
        <f t="shared" si="353"/>
        <v>52871</v>
      </c>
      <c r="CV168" s="464">
        <f t="shared" si="353"/>
        <v>52963</v>
      </c>
      <c r="CW168" s="464">
        <f t="shared" si="353"/>
        <v>53053</v>
      </c>
      <c r="CX168" s="464">
        <f t="shared" si="353"/>
        <v>53144</v>
      </c>
      <c r="CY168" s="464">
        <f t="shared" si="353"/>
        <v>53236</v>
      </c>
      <c r="CZ168" s="464">
        <f t="shared" ref="CZ168:EE168" si="354">CZ157</f>
        <v>53328</v>
      </c>
      <c r="DA168" s="464">
        <f t="shared" si="354"/>
        <v>53418</v>
      </c>
      <c r="DB168" s="464">
        <f t="shared" si="354"/>
        <v>53509</v>
      </c>
      <c r="DC168" s="464">
        <f t="shared" si="354"/>
        <v>53601</v>
      </c>
      <c r="DD168" s="464">
        <f t="shared" si="354"/>
        <v>53693</v>
      </c>
      <c r="DE168" s="464">
        <f t="shared" si="354"/>
        <v>53783</v>
      </c>
      <c r="DF168" s="464">
        <f t="shared" si="354"/>
        <v>53874</v>
      </c>
      <c r="DG168" s="464">
        <f t="shared" si="354"/>
        <v>53966</v>
      </c>
      <c r="DH168" s="464">
        <f t="shared" si="354"/>
        <v>54058</v>
      </c>
      <c r="DI168" s="464">
        <f t="shared" si="354"/>
        <v>54149</v>
      </c>
      <c r="DJ168" s="464">
        <f t="shared" si="354"/>
        <v>54240</v>
      </c>
      <c r="DK168" s="464">
        <f t="shared" si="354"/>
        <v>54332</v>
      </c>
      <c r="DL168" s="464">
        <f t="shared" si="354"/>
        <v>54424</v>
      </c>
      <c r="DM168" s="464">
        <f t="shared" si="354"/>
        <v>54514</v>
      </c>
      <c r="DN168" s="464">
        <f t="shared" si="354"/>
        <v>54605</v>
      </c>
      <c r="DO168" s="464">
        <f t="shared" si="354"/>
        <v>54697</v>
      </c>
      <c r="DP168" s="464">
        <f t="shared" si="354"/>
        <v>54789</v>
      </c>
      <c r="DQ168" s="464">
        <f t="shared" si="354"/>
        <v>54879</v>
      </c>
      <c r="DR168" s="464">
        <f t="shared" si="354"/>
        <v>54970</v>
      </c>
      <c r="DS168" s="464">
        <f t="shared" si="354"/>
        <v>55062</v>
      </c>
      <c r="DT168" s="464">
        <f t="shared" si="354"/>
        <v>55154</v>
      </c>
      <c r="DU168" s="464">
        <f t="shared" si="354"/>
        <v>55244</v>
      </c>
      <c r="DV168" s="464">
        <f t="shared" si="354"/>
        <v>55335</v>
      </c>
      <c r="DW168" s="464">
        <f t="shared" si="354"/>
        <v>55427</v>
      </c>
      <c r="DX168" s="464">
        <f t="shared" si="354"/>
        <v>55519</v>
      </c>
      <c r="DY168" s="464">
        <f t="shared" si="354"/>
        <v>55610</v>
      </c>
      <c r="DZ168" s="464">
        <f t="shared" si="354"/>
        <v>55701</v>
      </c>
      <c r="EA168" s="464">
        <f t="shared" si="354"/>
        <v>55793</v>
      </c>
      <c r="EB168" s="464">
        <f t="shared" si="354"/>
        <v>55885</v>
      </c>
      <c r="EC168" s="464">
        <f t="shared" si="354"/>
        <v>55975</v>
      </c>
      <c r="ED168" s="464">
        <f t="shared" si="354"/>
        <v>56066</v>
      </c>
      <c r="EE168" s="464">
        <f t="shared" si="354"/>
        <v>56158</v>
      </c>
      <c r="EF168" s="464">
        <f t="shared" ref="EF168:EN168" si="355">EF157</f>
        <v>56250</v>
      </c>
      <c r="EG168" s="464">
        <f t="shared" si="355"/>
        <v>56340</v>
      </c>
      <c r="EH168" s="464">
        <f t="shared" si="355"/>
        <v>56431</v>
      </c>
      <c r="EI168" s="464">
        <f t="shared" si="355"/>
        <v>56523</v>
      </c>
      <c r="EJ168" s="464">
        <f t="shared" si="355"/>
        <v>56615</v>
      </c>
      <c r="EK168" s="464">
        <f t="shared" si="355"/>
        <v>56705</v>
      </c>
      <c r="EL168" s="464">
        <f t="shared" si="355"/>
        <v>56796</v>
      </c>
      <c r="EM168" s="464">
        <f t="shared" si="355"/>
        <v>56888</v>
      </c>
      <c r="EN168" s="464">
        <f t="shared" si="355"/>
        <v>56980</v>
      </c>
    </row>
    <row r="169" spans="2:144" ht="15.75">
      <c r="C169" s="22"/>
      <c r="E169" s="42"/>
      <c r="F169" s="42"/>
      <c r="G169" s="42"/>
      <c r="H169" s="464">
        <f t="shared" ref="H169:AM169" si="356">H158</f>
        <v>44651</v>
      </c>
      <c r="I169" s="464">
        <f t="shared" si="356"/>
        <v>44742</v>
      </c>
      <c r="J169" s="464">
        <f t="shared" si="356"/>
        <v>44834</v>
      </c>
      <c r="K169" s="464">
        <f t="shared" si="356"/>
        <v>44926</v>
      </c>
      <c r="L169" s="464">
        <f t="shared" si="356"/>
        <v>45016</v>
      </c>
      <c r="M169" s="464">
        <f t="shared" si="356"/>
        <v>45107</v>
      </c>
      <c r="N169" s="464">
        <f t="shared" si="356"/>
        <v>45199</v>
      </c>
      <c r="O169" s="464">
        <f t="shared" si="356"/>
        <v>45291</v>
      </c>
      <c r="P169" s="464">
        <f t="shared" si="356"/>
        <v>45382</v>
      </c>
      <c r="Q169" s="464">
        <f t="shared" si="356"/>
        <v>45473</v>
      </c>
      <c r="R169" s="464">
        <f t="shared" si="356"/>
        <v>45565</v>
      </c>
      <c r="S169" s="464">
        <f t="shared" si="356"/>
        <v>45657</v>
      </c>
      <c r="T169" s="464">
        <f t="shared" si="356"/>
        <v>45747</v>
      </c>
      <c r="U169" s="464">
        <f t="shared" si="356"/>
        <v>45838</v>
      </c>
      <c r="V169" s="464">
        <f t="shared" si="356"/>
        <v>45930</v>
      </c>
      <c r="W169" s="464">
        <f t="shared" si="356"/>
        <v>46022</v>
      </c>
      <c r="X169" s="464">
        <f t="shared" si="356"/>
        <v>46112</v>
      </c>
      <c r="Y169" s="464">
        <f t="shared" si="356"/>
        <v>46203</v>
      </c>
      <c r="Z169" s="464">
        <f t="shared" si="356"/>
        <v>46295</v>
      </c>
      <c r="AA169" s="464">
        <f t="shared" si="356"/>
        <v>46387</v>
      </c>
      <c r="AB169" s="464">
        <f t="shared" si="356"/>
        <v>46477</v>
      </c>
      <c r="AC169" s="464">
        <f t="shared" si="356"/>
        <v>46568</v>
      </c>
      <c r="AD169" s="464">
        <f t="shared" si="356"/>
        <v>46660</v>
      </c>
      <c r="AE169" s="464">
        <f t="shared" si="356"/>
        <v>46752</v>
      </c>
      <c r="AF169" s="464">
        <f t="shared" si="356"/>
        <v>46843</v>
      </c>
      <c r="AG169" s="464">
        <f t="shared" si="356"/>
        <v>46934</v>
      </c>
      <c r="AH169" s="464">
        <f t="shared" si="356"/>
        <v>47026</v>
      </c>
      <c r="AI169" s="464">
        <f t="shared" si="356"/>
        <v>47118</v>
      </c>
      <c r="AJ169" s="464">
        <f t="shared" si="356"/>
        <v>47208</v>
      </c>
      <c r="AK169" s="464">
        <f t="shared" si="356"/>
        <v>47299</v>
      </c>
      <c r="AL169" s="464">
        <f t="shared" si="356"/>
        <v>47391</v>
      </c>
      <c r="AM169" s="464">
        <f t="shared" si="356"/>
        <v>47483</v>
      </c>
      <c r="AN169" s="464">
        <f t="shared" ref="AN169:BS169" si="357">AN158</f>
        <v>47573</v>
      </c>
      <c r="AO169" s="464">
        <f t="shared" si="357"/>
        <v>47664</v>
      </c>
      <c r="AP169" s="464">
        <f t="shared" si="357"/>
        <v>47756</v>
      </c>
      <c r="AQ169" s="464">
        <f t="shared" si="357"/>
        <v>47848</v>
      </c>
      <c r="AR169" s="464">
        <f t="shared" si="357"/>
        <v>47938</v>
      </c>
      <c r="AS169" s="464">
        <f t="shared" si="357"/>
        <v>48029</v>
      </c>
      <c r="AT169" s="464">
        <f t="shared" si="357"/>
        <v>48121</v>
      </c>
      <c r="AU169" s="464">
        <f t="shared" si="357"/>
        <v>48213</v>
      </c>
      <c r="AV169" s="464">
        <f t="shared" si="357"/>
        <v>48304</v>
      </c>
      <c r="AW169" s="464">
        <f t="shared" si="357"/>
        <v>48395</v>
      </c>
      <c r="AX169" s="464">
        <f t="shared" si="357"/>
        <v>48487</v>
      </c>
      <c r="AY169" s="464">
        <f t="shared" si="357"/>
        <v>48579</v>
      </c>
      <c r="AZ169" s="464">
        <f t="shared" si="357"/>
        <v>48669</v>
      </c>
      <c r="BA169" s="464">
        <f t="shared" si="357"/>
        <v>48760</v>
      </c>
      <c r="BB169" s="464">
        <f t="shared" si="357"/>
        <v>48852</v>
      </c>
      <c r="BC169" s="464">
        <f t="shared" si="357"/>
        <v>48944</v>
      </c>
      <c r="BD169" s="464">
        <f t="shared" si="357"/>
        <v>49034</v>
      </c>
      <c r="BE169" s="464">
        <f t="shared" si="357"/>
        <v>49125</v>
      </c>
      <c r="BF169" s="464">
        <f t="shared" si="357"/>
        <v>49217</v>
      </c>
      <c r="BG169" s="464">
        <f t="shared" si="357"/>
        <v>49309</v>
      </c>
      <c r="BH169" s="464">
        <f t="shared" si="357"/>
        <v>49399</v>
      </c>
      <c r="BI169" s="464">
        <f t="shared" si="357"/>
        <v>49490</v>
      </c>
      <c r="BJ169" s="464">
        <f t="shared" si="357"/>
        <v>49582</v>
      </c>
      <c r="BK169" s="464">
        <f t="shared" si="357"/>
        <v>49674</v>
      </c>
      <c r="BL169" s="464">
        <f t="shared" si="357"/>
        <v>49765</v>
      </c>
      <c r="BM169" s="464">
        <f t="shared" si="357"/>
        <v>49856</v>
      </c>
      <c r="BN169" s="464">
        <f t="shared" si="357"/>
        <v>49948</v>
      </c>
      <c r="BO169" s="464">
        <f t="shared" si="357"/>
        <v>50040</v>
      </c>
      <c r="BP169" s="464">
        <f t="shared" si="357"/>
        <v>50130</v>
      </c>
      <c r="BQ169" s="464">
        <f t="shared" si="357"/>
        <v>50221</v>
      </c>
      <c r="BR169" s="464">
        <f t="shared" si="357"/>
        <v>50313</v>
      </c>
      <c r="BS169" s="464">
        <f t="shared" si="357"/>
        <v>50405</v>
      </c>
      <c r="BT169" s="464">
        <f t="shared" ref="BT169:CY169" si="358">BT158</f>
        <v>50495</v>
      </c>
      <c r="BU169" s="464">
        <f t="shared" si="358"/>
        <v>50586</v>
      </c>
      <c r="BV169" s="464">
        <f t="shared" si="358"/>
        <v>50678</v>
      </c>
      <c r="BW169" s="464">
        <f t="shared" si="358"/>
        <v>50770</v>
      </c>
      <c r="BX169" s="464">
        <f t="shared" si="358"/>
        <v>50860</v>
      </c>
      <c r="BY169" s="464">
        <f t="shared" si="358"/>
        <v>50951</v>
      </c>
      <c r="BZ169" s="464">
        <f t="shared" si="358"/>
        <v>51043</v>
      </c>
      <c r="CA169" s="464">
        <f t="shared" si="358"/>
        <v>51135</v>
      </c>
      <c r="CB169" s="464">
        <f t="shared" si="358"/>
        <v>51226</v>
      </c>
      <c r="CC169" s="464">
        <f t="shared" si="358"/>
        <v>51317</v>
      </c>
      <c r="CD169" s="464">
        <f t="shared" si="358"/>
        <v>51409</v>
      </c>
      <c r="CE169" s="464">
        <f t="shared" si="358"/>
        <v>51501</v>
      </c>
      <c r="CF169" s="464">
        <f t="shared" si="358"/>
        <v>51591</v>
      </c>
      <c r="CG169" s="464">
        <f t="shared" si="358"/>
        <v>51682</v>
      </c>
      <c r="CH169" s="464">
        <f t="shared" si="358"/>
        <v>51774</v>
      </c>
      <c r="CI169" s="464">
        <f t="shared" si="358"/>
        <v>51866</v>
      </c>
      <c r="CJ169" s="464">
        <f t="shared" si="358"/>
        <v>51956</v>
      </c>
      <c r="CK169" s="464">
        <f t="shared" si="358"/>
        <v>52047</v>
      </c>
      <c r="CL169" s="464">
        <f t="shared" si="358"/>
        <v>52139</v>
      </c>
      <c r="CM169" s="464">
        <f t="shared" si="358"/>
        <v>52231</v>
      </c>
      <c r="CN169" s="464">
        <f t="shared" si="358"/>
        <v>52321</v>
      </c>
      <c r="CO169" s="464">
        <f t="shared" si="358"/>
        <v>52412</v>
      </c>
      <c r="CP169" s="464">
        <f t="shared" si="358"/>
        <v>52504</v>
      </c>
      <c r="CQ169" s="464">
        <f t="shared" si="358"/>
        <v>52596</v>
      </c>
      <c r="CR169" s="464">
        <f t="shared" si="358"/>
        <v>52687</v>
      </c>
      <c r="CS169" s="464">
        <f t="shared" si="358"/>
        <v>52778</v>
      </c>
      <c r="CT169" s="464">
        <f t="shared" si="358"/>
        <v>52870</v>
      </c>
      <c r="CU169" s="464">
        <f t="shared" si="358"/>
        <v>52962</v>
      </c>
      <c r="CV169" s="464">
        <f t="shared" si="358"/>
        <v>53052</v>
      </c>
      <c r="CW169" s="464">
        <f t="shared" si="358"/>
        <v>53143</v>
      </c>
      <c r="CX169" s="464">
        <f t="shared" si="358"/>
        <v>53235</v>
      </c>
      <c r="CY169" s="464">
        <f t="shared" si="358"/>
        <v>53327</v>
      </c>
      <c r="CZ169" s="464">
        <f t="shared" ref="CZ169:EE169" si="359">CZ158</f>
        <v>53417</v>
      </c>
      <c r="DA169" s="464">
        <f t="shared" si="359"/>
        <v>53508</v>
      </c>
      <c r="DB169" s="464">
        <f t="shared" si="359"/>
        <v>53600</v>
      </c>
      <c r="DC169" s="464">
        <f t="shared" si="359"/>
        <v>53692</v>
      </c>
      <c r="DD169" s="464">
        <f t="shared" si="359"/>
        <v>53782</v>
      </c>
      <c r="DE169" s="464">
        <f t="shared" si="359"/>
        <v>53873</v>
      </c>
      <c r="DF169" s="464">
        <f t="shared" si="359"/>
        <v>53965</v>
      </c>
      <c r="DG169" s="464">
        <f t="shared" si="359"/>
        <v>54057</v>
      </c>
      <c r="DH169" s="464">
        <f t="shared" si="359"/>
        <v>54148</v>
      </c>
      <c r="DI169" s="464">
        <f t="shared" si="359"/>
        <v>54239</v>
      </c>
      <c r="DJ169" s="464">
        <f t="shared" si="359"/>
        <v>54331</v>
      </c>
      <c r="DK169" s="464">
        <f t="shared" si="359"/>
        <v>54423</v>
      </c>
      <c r="DL169" s="464">
        <f t="shared" si="359"/>
        <v>54513</v>
      </c>
      <c r="DM169" s="464">
        <f t="shared" si="359"/>
        <v>54604</v>
      </c>
      <c r="DN169" s="464">
        <f t="shared" si="359"/>
        <v>54696</v>
      </c>
      <c r="DO169" s="464">
        <f t="shared" si="359"/>
        <v>54788</v>
      </c>
      <c r="DP169" s="464">
        <f t="shared" si="359"/>
        <v>54878</v>
      </c>
      <c r="DQ169" s="464">
        <f t="shared" si="359"/>
        <v>54969</v>
      </c>
      <c r="DR169" s="464">
        <f t="shared" si="359"/>
        <v>55061</v>
      </c>
      <c r="DS169" s="464">
        <f t="shared" si="359"/>
        <v>55153</v>
      </c>
      <c r="DT169" s="464">
        <f t="shared" si="359"/>
        <v>55243</v>
      </c>
      <c r="DU169" s="464">
        <f t="shared" si="359"/>
        <v>55334</v>
      </c>
      <c r="DV169" s="464">
        <f t="shared" si="359"/>
        <v>55426</v>
      </c>
      <c r="DW169" s="464">
        <f t="shared" si="359"/>
        <v>55518</v>
      </c>
      <c r="DX169" s="464">
        <f t="shared" si="359"/>
        <v>55609</v>
      </c>
      <c r="DY169" s="464">
        <f t="shared" si="359"/>
        <v>55700</v>
      </c>
      <c r="DZ169" s="464">
        <f t="shared" si="359"/>
        <v>55792</v>
      </c>
      <c r="EA169" s="464">
        <f t="shared" si="359"/>
        <v>55884</v>
      </c>
      <c r="EB169" s="464">
        <f t="shared" si="359"/>
        <v>55974</v>
      </c>
      <c r="EC169" s="464">
        <f t="shared" si="359"/>
        <v>56065</v>
      </c>
      <c r="ED169" s="464">
        <f t="shared" si="359"/>
        <v>56157</v>
      </c>
      <c r="EE169" s="464">
        <f t="shared" si="359"/>
        <v>56249</v>
      </c>
      <c r="EF169" s="464">
        <f t="shared" ref="EF169:EN169" si="360">EF158</f>
        <v>56339</v>
      </c>
      <c r="EG169" s="464">
        <f t="shared" si="360"/>
        <v>56430</v>
      </c>
      <c r="EH169" s="464">
        <f t="shared" si="360"/>
        <v>56522</v>
      </c>
      <c r="EI169" s="464">
        <f t="shared" si="360"/>
        <v>56614</v>
      </c>
      <c r="EJ169" s="464">
        <f t="shared" si="360"/>
        <v>56704</v>
      </c>
      <c r="EK169" s="464">
        <f t="shared" si="360"/>
        <v>56795</v>
      </c>
      <c r="EL169" s="464">
        <f t="shared" si="360"/>
        <v>56887</v>
      </c>
      <c r="EM169" s="464">
        <f t="shared" si="360"/>
        <v>56979</v>
      </c>
      <c r="EN169" s="464">
        <f t="shared" si="360"/>
        <v>57070</v>
      </c>
    </row>
    <row r="170" spans="2:144">
      <c r="B170" s="776" t="str">
        <f>C17</f>
        <v>Канализационная насосная станция</v>
      </c>
      <c r="C170" s="465"/>
      <c r="D170" s="430">
        <f>SUMIF($C$4:$C$18,B170,$I$4:$I$18)</f>
        <v>45839</v>
      </c>
      <c r="E170" s="772">
        <f>YEAR(D170)</f>
        <v>2025</v>
      </c>
      <c r="F170" s="466"/>
      <c r="G170" s="466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466"/>
      <c r="Y170" s="466"/>
      <c r="Z170" s="466"/>
      <c r="AA170" s="466"/>
      <c r="AB170" s="466"/>
      <c r="AC170" s="466"/>
      <c r="AD170" s="466"/>
      <c r="AE170" s="466"/>
      <c r="AF170" s="466"/>
      <c r="AG170" s="466"/>
      <c r="AH170" s="466"/>
      <c r="AI170" s="466"/>
      <c r="AJ170" s="466"/>
      <c r="AK170" s="466"/>
      <c r="AL170" s="466"/>
      <c r="AM170" s="466"/>
      <c r="AN170" s="466"/>
      <c r="AO170" s="466"/>
      <c r="AP170" s="466"/>
      <c r="AQ170" s="466"/>
      <c r="AR170" s="466"/>
      <c r="AS170" s="466"/>
      <c r="AT170" s="466"/>
      <c r="AU170" s="466"/>
      <c r="AV170" s="466"/>
      <c r="AW170" s="466"/>
      <c r="AX170" s="466"/>
      <c r="AY170" s="466"/>
      <c r="AZ170" s="466"/>
      <c r="BA170" s="466"/>
      <c r="BB170" s="466"/>
      <c r="BC170" s="466"/>
      <c r="BD170" s="466"/>
      <c r="BE170" s="466"/>
      <c r="BF170" s="466"/>
      <c r="BG170" s="466"/>
      <c r="BH170" s="466"/>
      <c r="BI170" s="466"/>
      <c r="BJ170" s="466"/>
      <c r="BK170" s="466"/>
      <c r="BL170" s="466"/>
      <c r="BM170" s="466"/>
      <c r="BN170" s="466"/>
      <c r="BO170" s="466"/>
      <c r="BP170" s="466"/>
      <c r="BQ170" s="466"/>
      <c r="BR170" s="466"/>
      <c r="BS170" s="466"/>
      <c r="BT170" s="466"/>
      <c r="BU170" s="466"/>
      <c r="BV170" s="466"/>
      <c r="BW170" s="466"/>
      <c r="BX170" s="466"/>
      <c r="BY170" s="466"/>
      <c r="BZ170" s="466"/>
      <c r="CA170" s="466"/>
      <c r="CB170" s="466"/>
      <c r="CC170" s="466"/>
      <c r="CD170" s="466"/>
      <c r="CE170" s="466"/>
      <c r="CF170" s="466"/>
      <c r="CG170" s="466"/>
      <c r="CH170" s="466"/>
      <c r="CI170" s="466"/>
      <c r="CJ170" s="466"/>
      <c r="CK170" s="466"/>
      <c r="CL170" s="466"/>
      <c r="CM170" s="466"/>
      <c r="CN170" s="466"/>
      <c r="CO170" s="466"/>
      <c r="CP170" s="466"/>
      <c r="CQ170" s="466"/>
      <c r="CR170" s="466"/>
      <c r="CS170" s="466"/>
      <c r="CT170" s="466"/>
      <c r="CU170" s="466"/>
      <c r="CV170" s="466"/>
      <c r="CW170" s="466"/>
      <c r="CX170" s="466"/>
      <c r="CY170" s="466"/>
      <c r="CZ170" s="466"/>
      <c r="DA170" s="466"/>
      <c r="DB170" s="466"/>
      <c r="DC170" s="466"/>
      <c r="DD170" s="466"/>
      <c r="DE170" s="466"/>
      <c r="DF170" s="466"/>
      <c r="DG170" s="466"/>
      <c r="DH170" s="466"/>
      <c r="DI170" s="466"/>
      <c r="DJ170" s="466"/>
      <c r="DK170" s="466"/>
      <c r="DL170" s="466"/>
      <c r="DM170" s="466"/>
      <c r="DN170" s="466"/>
      <c r="DO170" s="466"/>
      <c r="DP170" s="466"/>
      <c r="DQ170" s="466"/>
      <c r="DR170" s="466"/>
      <c r="DS170" s="466"/>
      <c r="DT170" s="466"/>
      <c r="DU170" s="466"/>
      <c r="DV170" s="466"/>
      <c r="DW170" s="466"/>
      <c r="DX170" s="466"/>
      <c r="DY170" s="466"/>
      <c r="DZ170" s="466"/>
      <c r="EA170" s="466"/>
      <c r="EB170" s="466"/>
      <c r="EC170" s="466"/>
      <c r="ED170" s="466"/>
      <c r="EE170" s="466"/>
      <c r="EF170" s="466"/>
      <c r="EG170" s="466"/>
      <c r="EH170" s="466"/>
      <c r="EI170" s="466"/>
      <c r="EJ170" s="466"/>
      <c r="EK170" s="466"/>
      <c r="EL170" s="466"/>
      <c r="EM170" s="466"/>
      <c r="EN170" s="466"/>
    </row>
    <row r="171" spans="2:144" outlineLevel="1">
      <c r="C171" s="151" t="s">
        <v>72</v>
      </c>
      <c r="D171" s="771">
        <f>SUMIF($C$4:$C$18,B170,$H$4:$H$18)</f>
        <v>5024477.1251578759</v>
      </c>
      <c r="E171" s="44"/>
      <c r="F171" s="44"/>
      <c r="G171" s="44"/>
      <c r="H171" s="44">
        <f>IF(H168=D170,D171,0)</f>
        <v>0</v>
      </c>
      <c r="I171" s="44">
        <f>IF(I168=D170,D171,0)</f>
        <v>0</v>
      </c>
      <c r="J171" s="44">
        <f>IF(J168=D170,D171,0)</f>
        <v>0</v>
      </c>
      <c r="K171" s="44">
        <f>IF(K168=D170,D171,0)</f>
        <v>0</v>
      </c>
      <c r="L171" s="44">
        <f>IF(L168=D170,D171,0)</f>
        <v>0</v>
      </c>
      <c r="M171" s="44">
        <f>IF(M168=D170,D171,0)</f>
        <v>0</v>
      </c>
      <c r="N171" s="44">
        <f>IF(N168=D170,D171,0)</f>
        <v>0</v>
      </c>
      <c r="O171" s="44">
        <f>IF(O168=D170,D171,0)</f>
        <v>0</v>
      </c>
      <c r="P171" s="44">
        <f>IF(P168=D170,D171,0)</f>
        <v>0</v>
      </c>
      <c r="Q171" s="44">
        <f>IF(Q168=D170,D171,0)</f>
        <v>0</v>
      </c>
      <c r="R171" s="44">
        <f>IF(R168=D170,D171,0)</f>
        <v>0</v>
      </c>
      <c r="S171" s="44">
        <f>IF(S168=D170,D171,0)</f>
        <v>0</v>
      </c>
      <c r="T171" s="44">
        <f>IF(T168=D170,D171,0)</f>
        <v>0</v>
      </c>
      <c r="U171" s="44">
        <f>IF(U168=D170,D171,0)</f>
        <v>0</v>
      </c>
      <c r="V171" s="44">
        <f>IF(V168=D170,D171,0)</f>
        <v>5024477.1251578759</v>
      </c>
      <c r="W171" s="44">
        <f>IF(W168=D170,D171,0)</f>
        <v>0</v>
      </c>
      <c r="X171" s="44">
        <f>IF(X168=D170,D171,0)</f>
        <v>0</v>
      </c>
      <c r="Y171" s="44">
        <f>IF(Y168=D170,D171,0)</f>
        <v>0</v>
      </c>
      <c r="Z171" s="44">
        <f>IF(Z168=D170,D171,0)</f>
        <v>0</v>
      </c>
      <c r="AA171" s="44">
        <f>IF(AA168=D170,D171,0)</f>
        <v>0</v>
      </c>
      <c r="AB171" s="44">
        <f>IF(AB168=D170,D171,0)</f>
        <v>0</v>
      </c>
      <c r="AC171" s="44">
        <f>IF(AC168=D170,D171,0)</f>
        <v>0</v>
      </c>
      <c r="AD171" s="44">
        <f>IF(AD168=D170,D171,0)</f>
        <v>0</v>
      </c>
      <c r="AE171" s="44">
        <f>IF(AE168=D170,D171,0)</f>
        <v>0</v>
      </c>
      <c r="AF171" s="44">
        <f>IF(AF168=D170,D171,0)</f>
        <v>0</v>
      </c>
      <c r="AG171" s="44">
        <f>IF(AG168=D170,D171,0)</f>
        <v>0</v>
      </c>
      <c r="AH171" s="44">
        <f>IF(AH168=D170,D171,0)</f>
        <v>0</v>
      </c>
      <c r="AI171" s="44">
        <f>IF(AI168=D170,D171,0)</f>
        <v>0</v>
      </c>
      <c r="AJ171" s="44">
        <f>IF(AJ168=D170,D171,0)</f>
        <v>0</v>
      </c>
      <c r="AK171" s="44">
        <f>IF(AK168=D170,D171,0)</f>
        <v>0</v>
      </c>
      <c r="AL171" s="44">
        <f>IF(AL168=D170,D171,0)</f>
        <v>0</v>
      </c>
      <c r="AM171" s="44">
        <f>IF(AM168=D170,D171,0)</f>
        <v>0</v>
      </c>
      <c r="AN171" s="44">
        <f>IF(AN168=D170,D171,0)</f>
        <v>0</v>
      </c>
      <c r="AO171" s="44">
        <f>IF(AO168=D170,D171,0)</f>
        <v>0</v>
      </c>
      <c r="AP171" s="44">
        <f>IF(AP168=D170,D171,0)</f>
        <v>0</v>
      </c>
      <c r="AQ171" s="44">
        <f>IF(AQ168=D170,D171,0)</f>
        <v>0</v>
      </c>
      <c r="AR171" s="44">
        <f>IF(AR168=D170,D171,0)</f>
        <v>0</v>
      </c>
      <c r="AS171" s="44">
        <f>IF(AS168=D170,D171,0)</f>
        <v>0</v>
      </c>
      <c r="AT171" s="44">
        <f>IF(AT168=D170,D171,0)</f>
        <v>0</v>
      </c>
      <c r="AU171" s="44">
        <f>IF(AU168=D170,D171,0)</f>
        <v>0</v>
      </c>
      <c r="AV171" s="44">
        <f>IF(AV168=D170,D171,0)</f>
        <v>0</v>
      </c>
      <c r="AW171" s="44">
        <f>IF(AW168=D170,D171,0)</f>
        <v>0</v>
      </c>
      <c r="AX171" s="44">
        <f>IF(AX168=D170,D171,0)</f>
        <v>0</v>
      </c>
      <c r="AY171" s="44">
        <f>IF(AY168=D170,D171,0)</f>
        <v>0</v>
      </c>
      <c r="AZ171" s="44">
        <f>IF(AZ168=D170,D171,0)</f>
        <v>0</v>
      </c>
      <c r="BA171" s="44">
        <f>IF(BA168=D170,D171,0)</f>
        <v>0</v>
      </c>
      <c r="BB171" s="44">
        <f>IF(BB168=D170,D171,0)</f>
        <v>0</v>
      </c>
      <c r="BC171" s="44">
        <f>IF(BC168=D170,D171,0)</f>
        <v>0</v>
      </c>
      <c r="BD171" s="44">
        <f>IF(BD168=D170,D171,0)</f>
        <v>0</v>
      </c>
      <c r="BE171" s="44">
        <f>IF(BE168=D170,D171,0)</f>
        <v>0</v>
      </c>
      <c r="BF171" s="44">
        <f>IF(BF168=D170,D171,0)</f>
        <v>0</v>
      </c>
      <c r="BG171" s="44">
        <f>IF(BG168=D170,D171,0)</f>
        <v>0</v>
      </c>
      <c r="BH171" s="44">
        <f>IF(BH168=D170,D171,0)</f>
        <v>0</v>
      </c>
      <c r="BI171" s="44">
        <f>IF(BI168=D170,D171,0)</f>
        <v>0</v>
      </c>
      <c r="BJ171" s="44">
        <f>IF(BJ168=D170,D171,0)</f>
        <v>0</v>
      </c>
      <c r="BK171" s="44">
        <f>IF(BK168=D170,D171,0)</f>
        <v>0</v>
      </c>
      <c r="BL171" s="44">
        <f>IF(BL168=D170,D171,0)</f>
        <v>0</v>
      </c>
      <c r="BM171" s="44">
        <f>IF(BM168=D170,D171,0)</f>
        <v>0</v>
      </c>
      <c r="BN171" s="44">
        <f>IF(BN168=D170,D171,0)</f>
        <v>0</v>
      </c>
      <c r="BO171" s="44">
        <f>IF(BO168=D170,D171,0)</f>
        <v>0</v>
      </c>
      <c r="BP171" s="44">
        <f>IF(BP168=D170,D171,0)</f>
        <v>0</v>
      </c>
      <c r="BQ171" s="44">
        <f>IF(BQ168=D170,D171,0)</f>
        <v>0</v>
      </c>
      <c r="BR171" s="44">
        <f>IF(BR168=D170,D171,0)</f>
        <v>0</v>
      </c>
      <c r="BS171" s="44">
        <f>IF(BS168=D170,D171,0)</f>
        <v>0</v>
      </c>
      <c r="BT171" s="44">
        <f>IF(BT168=D170,D171,0)</f>
        <v>0</v>
      </c>
      <c r="BU171" s="44">
        <f>IF(BU168=D170,D171,0)</f>
        <v>0</v>
      </c>
      <c r="BV171" s="44">
        <f>IF(BV168=D170,D171,0)</f>
        <v>0</v>
      </c>
      <c r="BW171" s="44">
        <f>IF(BW168=D170,D171,0)</f>
        <v>0</v>
      </c>
      <c r="BX171" s="44">
        <f>IF(BX168=D170,D171,0)</f>
        <v>0</v>
      </c>
      <c r="BY171" s="44">
        <f>IF(BY168=D170,D171,0)</f>
        <v>0</v>
      </c>
      <c r="BZ171" s="44">
        <f>IF(BZ168=D170,D171,0)</f>
        <v>0</v>
      </c>
      <c r="CA171" s="44">
        <f>IF(CA168=D170,D171,0)</f>
        <v>0</v>
      </c>
      <c r="CB171" s="44">
        <f>IF(CB168=D170,D171,0)</f>
        <v>0</v>
      </c>
      <c r="CC171" s="44">
        <f>IF(CC168=D170,D171,0)</f>
        <v>0</v>
      </c>
      <c r="CD171" s="44">
        <f>IF(CD168=D170,D171,0)</f>
        <v>0</v>
      </c>
      <c r="CE171" s="44">
        <f>IF(CE168=D170,D171,0)</f>
        <v>0</v>
      </c>
      <c r="CF171" s="44">
        <f>IF(CF168=D170,D171,0)</f>
        <v>0</v>
      </c>
      <c r="CG171" s="44">
        <f>IF(CG168=D170,D171,0)</f>
        <v>0</v>
      </c>
      <c r="CH171" s="44">
        <f>IF(CH168=D170,D171,0)</f>
        <v>0</v>
      </c>
      <c r="CI171" s="44">
        <f>IF(CI168=D170,D171,0)</f>
        <v>0</v>
      </c>
      <c r="CJ171" s="44">
        <f>IF(CJ168=D170,D171,0)</f>
        <v>0</v>
      </c>
      <c r="CK171" s="44">
        <f>IF(CK168=D170,D171,0)</f>
        <v>0</v>
      </c>
      <c r="CL171" s="44">
        <f>IF(CL168=D170,D171,0)</f>
        <v>0</v>
      </c>
      <c r="CM171" s="44">
        <f>IF(CM168=D170,D171,0)</f>
        <v>0</v>
      </c>
      <c r="CN171" s="44">
        <f>IF(CN168=D170,D171,0)</f>
        <v>0</v>
      </c>
      <c r="CO171" s="44">
        <f>IF(CO168=D170,D171,0)</f>
        <v>0</v>
      </c>
      <c r="CP171" s="44">
        <f>IF(CP168=D170,D171,0)</f>
        <v>0</v>
      </c>
      <c r="CQ171" s="44">
        <f>IF(CQ168=D170,D171,0)</f>
        <v>0</v>
      </c>
      <c r="CR171" s="44">
        <f>IF(CR168=D170,D171,0)</f>
        <v>0</v>
      </c>
      <c r="CS171" s="44">
        <f>IF(CS168=D170,D171,0)</f>
        <v>0</v>
      </c>
      <c r="CT171" s="44">
        <f>IF(CT168=D170,D171,0)</f>
        <v>0</v>
      </c>
      <c r="CU171" s="44">
        <f>IF(CU168=D170,D171,0)</f>
        <v>0</v>
      </c>
      <c r="CV171" s="44">
        <f>IF(CV168=D170,D171,0)</f>
        <v>0</v>
      </c>
      <c r="CW171" s="44">
        <f>IF(CW168=D170,D171,0)</f>
        <v>0</v>
      </c>
      <c r="CX171" s="44">
        <f>IF(CX168=D170,D171,0)</f>
        <v>0</v>
      </c>
      <c r="CY171" s="44">
        <f>IF(CY168=D170,D171,0)</f>
        <v>0</v>
      </c>
      <c r="CZ171" s="44">
        <f>IF(CZ168=D170,D171,0)</f>
        <v>0</v>
      </c>
      <c r="DA171" s="44">
        <f>IF(DA168=D170,D171,0)</f>
        <v>0</v>
      </c>
      <c r="DB171" s="44">
        <f>IF(DB168=D170,D171,0)</f>
        <v>0</v>
      </c>
      <c r="DC171" s="44">
        <f>IF(DC168=D170,D171,0)</f>
        <v>0</v>
      </c>
      <c r="DD171" s="44">
        <f>IF(DD168=D170,D171,0)</f>
        <v>0</v>
      </c>
      <c r="DE171" s="44">
        <f>IF(DE168=D170,D171,0)</f>
        <v>0</v>
      </c>
      <c r="DF171" s="44">
        <f>IF(DF168=D170,D171,0)</f>
        <v>0</v>
      </c>
      <c r="DG171" s="44">
        <f>IF(DG168=D170,D171,0)</f>
        <v>0</v>
      </c>
      <c r="DH171" s="44">
        <f>IF(DH168=D170,D171,0)</f>
        <v>0</v>
      </c>
      <c r="DI171" s="44">
        <f>IF(DI168=D170,D171,0)</f>
        <v>0</v>
      </c>
      <c r="DJ171" s="44">
        <f>IF(DJ168=D170,D171,0)</f>
        <v>0</v>
      </c>
      <c r="DK171" s="44">
        <f>IF(DK168=D170,D171,0)</f>
        <v>0</v>
      </c>
      <c r="DL171" s="44">
        <f>IF(DL168=D170,D171,0)</f>
        <v>0</v>
      </c>
      <c r="DM171" s="44">
        <f>IF(DM168=D170,D171,0)</f>
        <v>0</v>
      </c>
      <c r="DN171" s="44">
        <f>IF(DN168=D170,D171,0)</f>
        <v>0</v>
      </c>
      <c r="DO171" s="44">
        <f>IF(DO168=D170,D171,0)</f>
        <v>0</v>
      </c>
      <c r="DP171" s="44">
        <f>IF(DP168=D170,D171,0)</f>
        <v>0</v>
      </c>
      <c r="DQ171" s="44">
        <f>IF(DQ168=D170,D171,0)</f>
        <v>0</v>
      </c>
      <c r="DR171" s="44">
        <f>IF(DR168=D170,D171,0)</f>
        <v>0</v>
      </c>
      <c r="DS171" s="44">
        <f>IF(DS168=D170,D171,0)</f>
        <v>0</v>
      </c>
      <c r="DT171" s="44">
        <f>IF(DT168=D170,D171,0)</f>
        <v>0</v>
      </c>
      <c r="DU171" s="44">
        <f>IF(DU168=D170,D171,0)</f>
        <v>0</v>
      </c>
      <c r="DV171" s="44">
        <f>IF(DV168=D170,D171,0)</f>
        <v>0</v>
      </c>
      <c r="DW171" s="44">
        <f>IF(DW168=D170,D171,0)</f>
        <v>0</v>
      </c>
      <c r="DX171" s="44">
        <f>IF(DX168=D170,D171,0)</f>
        <v>0</v>
      </c>
      <c r="DY171" s="44">
        <f>IF(DY168=D170,D171,0)</f>
        <v>0</v>
      </c>
      <c r="DZ171" s="44">
        <f>IF(DZ168=D170,D171,0)</f>
        <v>0</v>
      </c>
      <c r="EA171" s="44">
        <f>IF(EA168=D170,D171,0)</f>
        <v>0</v>
      </c>
      <c r="EB171" s="44">
        <f>IF(EB168=D170,D171,0)</f>
        <v>0</v>
      </c>
      <c r="EC171" s="44">
        <f>IF(EC168=D170,D171,0)</f>
        <v>0</v>
      </c>
      <c r="ED171" s="44">
        <f>IF(ED168=D170,D171,0)</f>
        <v>0</v>
      </c>
      <c r="EE171" s="44">
        <f>IF(EE168=D170,D171,0)</f>
        <v>0</v>
      </c>
      <c r="EF171" s="44">
        <f>IF(EF168=D170,D171,0)</f>
        <v>0</v>
      </c>
      <c r="EG171" s="44">
        <f>IF(EG168=D170,D171,0)</f>
        <v>0</v>
      </c>
      <c r="EH171" s="44">
        <f>IF(EH168=D170,D171,0)</f>
        <v>0</v>
      </c>
      <c r="EI171" s="44">
        <f t="shared" ref="EI171:EN171" si="361">IF(EI168=E170,E171,0)</f>
        <v>0</v>
      </c>
      <c r="EJ171" s="44">
        <f t="shared" si="361"/>
        <v>0</v>
      </c>
      <c r="EK171" s="44">
        <f t="shared" si="361"/>
        <v>0</v>
      </c>
      <c r="EL171" s="44">
        <f t="shared" si="361"/>
        <v>0</v>
      </c>
      <c r="EM171" s="44">
        <f t="shared" si="361"/>
        <v>0</v>
      </c>
      <c r="EN171" s="44">
        <f t="shared" si="361"/>
        <v>0</v>
      </c>
    </row>
    <row r="172" spans="2:144" outlineLevel="1">
      <c r="C172" s="151" t="s">
        <v>73</v>
      </c>
      <c r="D172" s="45"/>
      <c r="E172" s="44"/>
      <c r="F172" s="44"/>
      <c r="G172" s="44"/>
      <c r="H172" s="44">
        <f>(IF(H168=D170,H171,G174))</f>
        <v>0</v>
      </c>
      <c r="I172" s="44">
        <f>(IF(I168=D170,I171,H174))</f>
        <v>0</v>
      </c>
      <c r="J172" s="44">
        <f>(IF(J168=D170,J171,I174))</f>
        <v>0</v>
      </c>
      <c r="K172" s="44">
        <f>(IF(K168=D170,K171,J174))</f>
        <v>0</v>
      </c>
      <c r="L172" s="44">
        <f>(IF(L168=D170,L171,K174))</f>
        <v>0</v>
      </c>
      <c r="M172" s="44">
        <f>(IF(M168=D170,M171,L174))</f>
        <v>0</v>
      </c>
      <c r="N172" s="44">
        <f>(IF(N168=D170,N171,M174))</f>
        <v>0</v>
      </c>
      <c r="O172" s="44">
        <f>(IF(O168=D170,O171,N174))</f>
        <v>0</v>
      </c>
      <c r="P172" s="44">
        <f>(IF(P168=D170,P171,O174))</f>
        <v>0</v>
      </c>
      <c r="Q172" s="44">
        <f>(IF(Q168=D170,Q171,P174))</f>
        <v>0</v>
      </c>
      <c r="R172" s="44">
        <f>(IF(R168=D170,R171,Q174))</f>
        <v>0</v>
      </c>
      <c r="S172" s="44">
        <f>(IF(S168=D170,S171,R174))</f>
        <v>0</v>
      </c>
      <c r="T172" s="44">
        <f>(IF(T168=D170,T171,S174))</f>
        <v>0</v>
      </c>
      <c r="U172" s="44">
        <f>(IF(U168=D170,U171,T174))</f>
        <v>0</v>
      </c>
      <c r="V172" s="44">
        <f>(IF(V168=D170,V171,U174))</f>
        <v>5024477.1251578759</v>
      </c>
      <c r="W172" s="44">
        <f>(IF(W168=D170,W171,V174))</f>
        <v>4982606.4824482268</v>
      </c>
      <c r="X172" s="44">
        <f>(IF(X168=D170,X171,W174))</f>
        <v>4940735.8397385776</v>
      </c>
      <c r="Y172" s="44">
        <f>(IF(Y168=D170,Y171,X174))</f>
        <v>4898865.1970289284</v>
      </c>
      <c r="Z172" s="44">
        <f>(IF(Z168=D170,Z171,Y174))</f>
        <v>4856994.5543192793</v>
      </c>
      <c r="AA172" s="44">
        <f>(IF(AA168=D170,AA171,Z174))</f>
        <v>4815123.9116096301</v>
      </c>
      <c r="AB172" s="44">
        <f>(IF(AB168=D170,AB171,AA174))</f>
        <v>4773253.2688999809</v>
      </c>
      <c r="AC172" s="44">
        <f>(IF(AC168=D170,AC171,AB174))</f>
        <v>4731382.6261903318</v>
      </c>
      <c r="AD172" s="44">
        <f>(IF(AD168=D170,AD171,AC174))</f>
        <v>4689511.9834806826</v>
      </c>
      <c r="AE172" s="44">
        <f>(IF(AE168=D170,AE171,AD174))</f>
        <v>4647641.3407710334</v>
      </c>
      <c r="AF172" s="44">
        <f>(IF(AF168=D170,AF171,AE174))</f>
        <v>4605770.6980613843</v>
      </c>
      <c r="AG172" s="44">
        <f>(IF(AG168=D170,AG171,AF174))</f>
        <v>4563900.0553517351</v>
      </c>
      <c r="AH172" s="44">
        <f>(IF(AH168=D170,AH171,AG174))</f>
        <v>4522029.4126420859</v>
      </c>
      <c r="AI172" s="44">
        <f>(IF(AI168=D170,AI171,AH174))</f>
        <v>4480158.7699324368</v>
      </c>
      <c r="AJ172" s="44">
        <f>(IF(AJ168=D170,AJ171,AI174))</f>
        <v>4438288.1272227876</v>
      </c>
      <c r="AK172" s="44">
        <f>(IF(AK168=D170,AK171,AJ174))</f>
        <v>4396417.4845131384</v>
      </c>
      <c r="AL172" s="44">
        <f>(IF(AL168=D170,AL171,AK174))</f>
        <v>4354546.8418034893</v>
      </c>
      <c r="AM172" s="44">
        <f>(IF(AM168=D170,AM171,AL174))</f>
        <v>4312676.1990938401</v>
      </c>
      <c r="AN172" s="44">
        <f>(IF(AN168=D170,AN171,AM174))</f>
        <v>4270805.5563841909</v>
      </c>
      <c r="AO172" s="44">
        <f>(IF(AO168=D170,AO171,AN174))</f>
        <v>4228934.9136745417</v>
      </c>
      <c r="AP172" s="44">
        <f>(IF(AP168=D170,AP171,AO174))</f>
        <v>4187064.2709648926</v>
      </c>
      <c r="AQ172" s="44">
        <f>(IF(AQ168=D170,AQ171,AP174))</f>
        <v>4145193.6282552434</v>
      </c>
      <c r="AR172" s="44">
        <f>(IF(AR168=D170,AR171,AQ174))</f>
        <v>4103322.9855455942</v>
      </c>
      <c r="AS172" s="44">
        <f>(IF(AS168=D170,AS171,AR174))</f>
        <v>4061452.3428359451</v>
      </c>
      <c r="AT172" s="44">
        <f>(IF(AT168=D170,AT171,AS174))</f>
        <v>4019581.7001262959</v>
      </c>
      <c r="AU172" s="44">
        <f>(IF(AU168=D170,AU171,AT174))</f>
        <v>3977711.0574166467</v>
      </c>
      <c r="AV172" s="44">
        <f>(IF(AV168=D170,AV171,AU174))</f>
        <v>3935840.4147069976</v>
      </c>
      <c r="AW172" s="44">
        <f>(IF(AW168=D170,AW171,AV174))</f>
        <v>3893969.7719973484</v>
      </c>
      <c r="AX172" s="44">
        <f>(IF(AX168=D170,AX171,AW174))</f>
        <v>3852099.1292876992</v>
      </c>
      <c r="AY172" s="44">
        <f>(IF(AY168=D170,AY171,AX174))</f>
        <v>3810228.4865780501</v>
      </c>
      <c r="AZ172" s="44">
        <f>(IF(AZ168=D170,AZ171,AY174))</f>
        <v>3768357.8438684009</v>
      </c>
      <c r="BA172" s="44">
        <f>(IF(BA168=D170,BA171,AZ174))</f>
        <v>3726487.2011587517</v>
      </c>
      <c r="BB172" s="44">
        <f>(IF(BB168=D170,BB171,BA174))</f>
        <v>3684616.5584491026</v>
      </c>
      <c r="BC172" s="44">
        <f>(IF(BC168=D170,BC171,BB174))</f>
        <v>3642745.9157394534</v>
      </c>
      <c r="BD172" s="44">
        <f>(IF(BD168=D170,BD171,BC174))</f>
        <v>3600875.2730298042</v>
      </c>
      <c r="BE172" s="44">
        <f>(IF(BE168=D170,BE171,BD174))</f>
        <v>3559004.6303201551</v>
      </c>
      <c r="BF172" s="44">
        <f>(IF(BF168=D170,BF171,BE174))</f>
        <v>3517133.9876105059</v>
      </c>
      <c r="BG172" s="44">
        <f>(IF(BG168=D170,BG171,BF174))</f>
        <v>3475263.3449008567</v>
      </c>
      <c r="BH172" s="44">
        <f>(IF(BH168=D170,BH171,BG174))</f>
        <v>3433392.7021912076</v>
      </c>
      <c r="BI172" s="44">
        <f>(IF(BI168=D170,BI171,BH174))</f>
        <v>3391522.0594815584</v>
      </c>
      <c r="BJ172" s="44">
        <f>(IF(BJ168=D170,BJ171,BI174))</f>
        <v>3349651.4167719092</v>
      </c>
      <c r="BK172" s="44">
        <f>(IF(BK168=D170,BK171,BJ174))</f>
        <v>3307780.7740622601</v>
      </c>
      <c r="BL172" s="44">
        <f>(IF(BL168=D170,BL171,BK174))</f>
        <v>3265910.1313526109</v>
      </c>
      <c r="BM172" s="44">
        <f>(IF(BM168=D170,BM171,BL174))</f>
        <v>3224039.4886429617</v>
      </c>
      <c r="BN172" s="44">
        <f>(IF(BN168=D170,BN171,BM174))</f>
        <v>3182168.8459333126</v>
      </c>
      <c r="BO172" s="44">
        <f>(IF(BO168=D170,BO171,BN174))</f>
        <v>3140298.2032236634</v>
      </c>
      <c r="BP172" s="44">
        <f>(IF(BP168=D170,BP171,BO174))</f>
        <v>3098427.5605140142</v>
      </c>
      <c r="BQ172" s="44">
        <f>(IF(BQ168=D170,BQ171,BP174))</f>
        <v>3056556.917804365</v>
      </c>
      <c r="BR172" s="44">
        <f>(IF(BR168=D170,BR171,BQ174))</f>
        <v>3014686.2750947159</v>
      </c>
      <c r="BS172" s="44">
        <f>(IF(BS168=D170,BS171,BR174))</f>
        <v>2972815.6323850667</v>
      </c>
      <c r="BT172" s="44">
        <f>(IF(BT168=D170,BT171,BS174))</f>
        <v>2930944.9896754175</v>
      </c>
      <c r="BU172" s="44">
        <f>(IF(BU168=D170,BU171,BT174))</f>
        <v>2889074.3469657684</v>
      </c>
      <c r="BV172" s="44">
        <f>(IF(BV168=D170,BV171,BU174))</f>
        <v>2847203.7042561192</v>
      </c>
      <c r="BW172" s="44">
        <f>(IF(BW168=D170,BW171,BV174))</f>
        <v>2805333.06154647</v>
      </c>
      <c r="BX172" s="44">
        <f>(IF(BX168=D170,BX171,BW174))</f>
        <v>2763462.4188368209</v>
      </c>
      <c r="BY172" s="44">
        <f>(IF(BY168=D170,BY171,BX174))</f>
        <v>2721591.7761271717</v>
      </c>
      <c r="BZ172" s="44">
        <f>(IF(BZ168=D170,BZ171,BY174))</f>
        <v>2679721.1334175225</v>
      </c>
      <c r="CA172" s="44">
        <f>(IF(CA168=D170,CA171,BZ174))</f>
        <v>2637850.4907078734</v>
      </c>
      <c r="CB172" s="44">
        <f>(IF(CB168=D170,CB171,CA174))</f>
        <v>2595979.8479982242</v>
      </c>
      <c r="CC172" s="44">
        <f>(IF(CC168=D170,CC171,CB174))</f>
        <v>2554109.205288575</v>
      </c>
      <c r="CD172" s="44">
        <f>(IF(CD168=D170,CD171,CC174))</f>
        <v>2512238.5625789259</v>
      </c>
      <c r="CE172" s="44">
        <f>(IF(CE168=D170,CE171,CD174))</f>
        <v>2470367.9198692767</v>
      </c>
      <c r="CF172" s="44">
        <f>(IF(CF168=D170,CF171,CE174))</f>
        <v>2428497.2771596275</v>
      </c>
      <c r="CG172" s="44">
        <f>(IF(CG168=D170,CG171,CF174))</f>
        <v>2386626.6344499784</v>
      </c>
      <c r="CH172" s="44">
        <f>(IF(CH168=D170,CH171,CG174))</f>
        <v>2344755.9917403292</v>
      </c>
      <c r="CI172" s="44">
        <f>(IF(CI168=D170,CI171,CH174))</f>
        <v>2302885.34903068</v>
      </c>
      <c r="CJ172" s="44">
        <f>(IF(CJ168=D170,CJ171,CI174))</f>
        <v>2261014.7063210309</v>
      </c>
      <c r="CK172" s="44">
        <f>(IF(CK168=D170,CK171,CJ174))</f>
        <v>2219144.0636113817</v>
      </c>
      <c r="CL172" s="44">
        <f>(IF(CL168=D170,CL171,CK174))</f>
        <v>2177273.4209017325</v>
      </c>
      <c r="CM172" s="44">
        <f>(IF(CM168=D170,CM171,CL174))</f>
        <v>2135402.7781920834</v>
      </c>
      <c r="CN172" s="44">
        <f>(IF(CN168=D170,CN171,CM174))</f>
        <v>2093532.1354824344</v>
      </c>
      <c r="CO172" s="44">
        <f>(IF(CO168=D170,CO171,CN174))</f>
        <v>2051661.4927727855</v>
      </c>
      <c r="CP172" s="44">
        <f>(IF(CP168=D170,CP171,CO174))</f>
        <v>2009790.8500631365</v>
      </c>
      <c r="CQ172" s="44">
        <f>(IF(CQ168=D170,CQ171,CP174))</f>
        <v>1967920.2073534876</v>
      </c>
      <c r="CR172" s="44">
        <f>(IF(CR168=D170,CR171,CQ174))</f>
        <v>1926049.5646438387</v>
      </c>
      <c r="CS172" s="44">
        <f>(IF(CS168=D170,CS171,CR174))</f>
        <v>1884178.9219341897</v>
      </c>
      <c r="CT172" s="44">
        <f>(IF(CT168=D170,CT171,CS174))</f>
        <v>1842308.2792245408</v>
      </c>
      <c r="CU172" s="44">
        <f>(IF(CU168=D170,CU171,CT174))</f>
        <v>1800437.6365148919</v>
      </c>
      <c r="CV172" s="44">
        <f>(IF(CV168=D170,CV171,CU174))</f>
        <v>1758566.9938052429</v>
      </c>
      <c r="CW172" s="44">
        <f>(IF(CW168=D170,CW171,CV174))</f>
        <v>1716696.351095594</v>
      </c>
      <c r="CX172" s="44">
        <f>(IF(CX168=D170,CX171,CW174))</f>
        <v>1674825.7083859451</v>
      </c>
      <c r="CY172" s="44">
        <f>(IF(CY168=D170,CY171,CX174))</f>
        <v>1632955.0656762961</v>
      </c>
      <c r="CZ172" s="44">
        <f>(IF(CZ168=D170,CZ171,CY174))</f>
        <v>1591084.4229666472</v>
      </c>
      <c r="DA172" s="44">
        <f>(IF(DA168=D170,DA171,CZ174))</f>
        <v>1549213.7802569983</v>
      </c>
      <c r="DB172" s="44">
        <f>(IF(DB168=D170,DB171,DA174))</f>
        <v>1507343.1375473493</v>
      </c>
      <c r="DC172" s="44">
        <f>(IF(DC168=D170,DC171,DB174))</f>
        <v>1465472.4948377004</v>
      </c>
      <c r="DD172" s="44">
        <f>(IF(DD168=D170,DD171,DC174))</f>
        <v>1423601.8521280515</v>
      </c>
      <c r="DE172" s="44">
        <f>(IF(DE168=D170,DE171,DD174))</f>
        <v>1381731.2094184025</v>
      </c>
      <c r="DF172" s="44">
        <f>(IF(DF168=D170,DF171,DE174))</f>
        <v>1339860.5667087536</v>
      </c>
      <c r="DG172" s="44">
        <f>(IF(DG168=D170,DG171,DF174))</f>
        <v>1297989.9239991046</v>
      </c>
      <c r="DH172" s="44">
        <f>(IF(DH168=D170,DH171,DG174))</f>
        <v>1256119.2812894557</v>
      </c>
      <c r="DI172" s="44">
        <f>(IF(DI168=D170,DI171,DH174))</f>
        <v>1214248.6385798068</v>
      </c>
      <c r="DJ172" s="44">
        <f>(IF(DJ168=D170,DJ171,DI174))</f>
        <v>1172377.9958701578</v>
      </c>
      <c r="DK172" s="44">
        <f>(IF(DK168=D170,DK171,DJ174))</f>
        <v>1130507.3531605089</v>
      </c>
      <c r="DL172" s="44">
        <f>(IF(DL168=D170,DL171,DK174))</f>
        <v>1088636.71045086</v>
      </c>
      <c r="DM172" s="44">
        <f>(IF(DM168=D170,DM171,DL174))</f>
        <v>1046766.067741211</v>
      </c>
      <c r="DN172" s="44">
        <f>(IF(DN168=D170,DN171,DM174))</f>
        <v>1004895.4250315621</v>
      </c>
      <c r="DO172" s="44">
        <f>(IF(DO168=D170,DO171,DN174))</f>
        <v>963024.78232191317</v>
      </c>
      <c r="DP172" s="44">
        <f>(IF(DP168=D170,DP171,DO174))</f>
        <v>921154.13961226423</v>
      </c>
      <c r="DQ172" s="44">
        <f>(IF(DQ168=D170,DQ171,DP174))</f>
        <v>879283.4969026153</v>
      </c>
      <c r="DR172" s="44">
        <f>(IF(DR168=D170,DR171,DQ174))</f>
        <v>837412.85419296636</v>
      </c>
      <c r="DS172" s="44">
        <f>(IF(DS168=D170,DS171,DR174))</f>
        <v>795542.21148331743</v>
      </c>
      <c r="DT172" s="44">
        <f>(IF(DT168=D170,DT171,DS174))</f>
        <v>753671.56877366849</v>
      </c>
      <c r="DU172" s="44">
        <f>(IF(DU168=D170,DU171,DT174))</f>
        <v>711800.92606401956</v>
      </c>
      <c r="DV172" s="44">
        <f>(IF(DV168=D170,DV171,DU174))</f>
        <v>669930.28335437062</v>
      </c>
      <c r="DW172" s="44">
        <f>(IF(DW168=D170,DW171,DV174))</f>
        <v>628059.64064472169</v>
      </c>
      <c r="DX172" s="44">
        <f>(IF(DX168=D170,DX171,DW174))</f>
        <v>586188.99793507275</v>
      </c>
      <c r="DY172" s="44">
        <f>(IF(DY168=D170,DY171,DX174))</f>
        <v>544318.35522542382</v>
      </c>
      <c r="DZ172" s="44">
        <f>(IF(DZ168=D170,DZ171,DY174))</f>
        <v>502447.71251577488</v>
      </c>
      <c r="EA172" s="44">
        <f>(IF(EA168=D170,EA171,DZ174))</f>
        <v>460577.06980612595</v>
      </c>
      <c r="EB172" s="44">
        <f>(IF(EB168=D170,EB171,EA174))</f>
        <v>418706.42709647701</v>
      </c>
      <c r="EC172" s="44">
        <f>(IF(EC168=D170,EC171,EB174))</f>
        <v>376835.78438682808</v>
      </c>
      <c r="ED172" s="44">
        <f>(IF(ED168=D170,ED171,EC174))</f>
        <v>334965.14167717914</v>
      </c>
      <c r="EE172" s="44">
        <f>(IF(EE168=D170,EE171,ED174))</f>
        <v>293094.49896753021</v>
      </c>
      <c r="EF172" s="44">
        <f>(IF(EF168=D170,EF171,EE174))</f>
        <v>251223.85625788124</v>
      </c>
      <c r="EG172" s="44">
        <f>(IF(EG168=D170,EG171,EF174))</f>
        <v>209353.21354823228</v>
      </c>
      <c r="EH172" s="44">
        <f>(IF(EH168=D170,EH171,EG174))</f>
        <v>167482.57083858331</v>
      </c>
      <c r="EI172" s="44">
        <f t="shared" ref="EI172:EN172" si="362">(IF(EI168=E170,EI171,EH174))</f>
        <v>125611.92812893435</v>
      </c>
      <c r="EJ172" s="44">
        <f t="shared" si="362"/>
        <v>83741.285419285385</v>
      </c>
      <c r="EK172" s="44">
        <f t="shared" si="362"/>
        <v>41870.64270963642</v>
      </c>
      <c r="EL172" s="44">
        <f t="shared" si="362"/>
        <v>0</v>
      </c>
      <c r="EM172" s="44">
        <f t="shared" si="362"/>
        <v>0</v>
      </c>
      <c r="EN172" s="44">
        <f t="shared" si="362"/>
        <v>0</v>
      </c>
    </row>
    <row r="173" spans="2:144" outlineLevel="1">
      <c r="B173" s="459">
        <f>SUM(H173:XX173)</f>
        <v>5024477.125157888</v>
      </c>
      <c r="C173" s="151" t="s">
        <v>24</v>
      </c>
      <c r="D173" s="467">
        <f>SUMIF($C$4:$C$18,B170,$J$4:$J$18)</f>
        <v>30</v>
      </c>
      <c r="E173" s="468">
        <f>1/D173</f>
        <v>3.3333333333333333E-2</v>
      </c>
      <c r="F173" s="44">
        <f>D171*E173</f>
        <v>167482.57083859586</v>
      </c>
      <c r="G173" s="44"/>
      <c r="H173" s="44">
        <f>IF(H172&gt;1,$F173/4,0)</f>
        <v>0</v>
      </c>
      <c r="I173" s="44">
        <f t="shared" ref="I173:BT173" si="363">IF(I172&gt;1,$F173/4,0)</f>
        <v>0</v>
      </c>
      <c r="J173" s="44">
        <f t="shared" si="363"/>
        <v>0</v>
      </c>
      <c r="K173" s="44">
        <f t="shared" si="363"/>
        <v>0</v>
      </c>
      <c r="L173" s="44">
        <f t="shared" si="363"/>
        <v>0</v>
      </c>
      <c r="M173" s="44">
        <f t="shared" si="363"/>
        <v>0</v>
      </c>
      <c r="N173" s="44">
        <f t="shared" si="363"/>
        <v>0</v>
      </c>
      <c r="O173" s="44">
        <f t="shared" si="363"/>
        <v>0</v>
      </c>
      <c r="P173" s="44">
        <f t="shared" si="363"/>
        <v>0</v>
      </c>
      <c r="Q173" s="44">
        <f t="shared" si="363"/>
        <v>0</v>
      </c>
      <c r="R173" s="44">
        <f t="shared" si="363"/>
        <v>0</v>
      </c>
      <c r="S173" s="44">
        <f t="shared" si="363"/>
        <v>0</v>
      </c>
      <c r="T173" s="44">
        <f t="shared" si="363"/>
        <v>0</v>
      </c>
      <c r="U173" s="44">
        <f t="shared" si="363"/>
        <v>0</v>
      </c>
      <c r="V173" s="44">
        <f t="shared" si="363"/>
        <v>41870.642709648964</v>
      </c>
      <c r="W173" s="44">
        <f t="shared" si="363"/>
        <v>41870.642709648964</v>
      </c>
      <c r="X173" s="44">
        <f t="shared" si="363"/>
        <v>41870.642709648964</v>
      </c>
      <c r="Y173" s="44">
        <f t="shared" si="363"/>
        <v>41870.642709648964</v>
      </c>
      <c r="Z173" s="44">
        <f t="shared" si="363"/>
        <v>41870.642709648964</v>
      </c>
      <c r="AA173" s="44">
        <f t="shared" si="363"/>
        <v>41870.642709648964</v>
      </c>
      <c r="AB173" s="44">
        <f t="shared" si="363"/>
        <v>41870.642709648964</v>
      </c>
      <c r="AC173" s="44">
        <f t="shared" si="363"/>
        <v>41870.642709648964</v>
      </c>
      <c r="AD173" s="44">
        <f t="shared" si="363"/>
        <v>41870.642709648964</v>
      </c>
      <c r="AE173" s="44">
        <f t="shared" si="363"/>
        <v>41870.642709648964</v>
      </c>
      <c r="AF173" s="44">
        <f t="shared" si="363"/>
        <v>41870.642709648964</v>
      </c>
      <c r="AG173" s="44">
        <f t="shared" si="363"/>
        <v>41870.642709648964</v>
      </c>
      <c r="AH173" s="44">
        <f t="shared" si="363"/>
        <v>41870.642709648964</v>
      </c>
      <c r="AI173" s="44">
        <f t="shared" si="363"/>
        <v>41870.642709648964</v>
      </c>
      <c r="AJ173" s="44">
        <f t="shared" si="363"/>
        <v>41870.642709648964</v>
      </c>
      <c r="AK173" s="44">
        <f t="shared" si="363"/>
        <v>41870.642709648964</v>
      </c>
      <c r="AL173" s="44">
        <f t="shared" si="363"/>
        <v>41870.642709648964</v>
      </c>
      <c r="AM173" s="44">
        <f t="shared" si="363"/>
        <v>41870.642709648964</v>
      </c>
      <c r="AN173" s="44">
        <f t="shared" si="363"/>
        <v>41870.642709648964</v>
      </c>
      <c r="AO173" s="44">
        <f t="shared" si="363"/>
        <v>41870.642709648964</v>
      </c>
      <c r="AP173" s="44">
        <f t="shared" si="363"/>
        <v>41870.642709648964</v>
      </c>
      <c r="AQ173" s="44">
        <f t="shared" si="363"/>
        <v>41870.642709648964</v>
      </c>
      <c r="AR173" s="44">
        <f t="shared" si="363"/>
        <v>41870.642709648964</v>
      </c>
      <c r="AS173" s="44">
        <f t="shared" si="363"/>
        <v>41870.642709648964</v>
      </c>
      <c r="AT173" s="44">
        <f t="shared" si="363"/>
        <v>41870.642709648964</v>
      </c>
      <c r="AU173" s="44">
        <f t="shared" si="363"/>
        <v>41870.642709648964</v>
      </c>
      <c r="AV173" s="44">
        <f t="shared" si="363"/>
        <v>41870.642709648964</v>
      </c>
      <c r="AW173" s="44">
        <f t="shared" si="363"/>
        <v>41870.642709648964</v>
      </c>
      <c r="AX173" s="44">
        <f t="shared" si="363"/>
        <v>41870.642709648964</v>
      </c>
      <c r="AY173" s="44">
        <f t="shared" si="363"/>
        <v>41870.642709648964</v>
      </c>
      <c r="AZ173" s="44">
        <f t="shared" si="363"/>
        <v>41870.642709648964</v>
      </c>
      <c r="BA173" s="44">
        <f t="shared" si="363"/>
        <v>41870.642709648964</v>
      </c>
      <c r="BB173" s="44">
        <f t="shared" si="363"/>
        <v>41870.642709648964</v>
      </c>
      <c r="BC173" s="44">
        <f t="shared" si="363"/>
        <v>41870.642709648964</v>
      </c>
      <c r="BD173" s="44">
        <f t="shared" si="363"/>
        <v>41870.642709648964</v>
      </c>
      <c r="BE173" s="44">
        <f t="shared" si="363"/>
        <v>41870.642709648964</v>
      </c>
      <c r="BF173" s="44">
        <f t="shared" si="363"/>
        <v>41870.642709648964</v>
      </c>
      <c r="BG173" s="44">
        <f t="shared" si="363"/>
        <v>41870.642709648964</v>
      </c>
      <c r="BH173" s="44">
        <f t="shared" si="363"/>
        <v>41870.642709648964</v>
      </c>
      <c r="BI173" s="44">
        <f t="shared" si="363"/>
        <v>41870.642709648964</v>
      </c>
      <c r="BJ173" s="44">
        <f t="shared" si="363"/>
        <v>41870.642709648964</v>
      </c>
      <c r="BK173" s="44">
        <f t="shared" si="363"/>
        <v>41870.642709648964</v>
      </c>
      <c r="BL173" s="44">
        <f t="shared" si="363"/>
        <v>41870.642709648964</v>
      </c>
      <c r="BM173" s="44">
        <f t="shared" si="363"/>
        <v>41870.642709648964</v>
      </c>
      <c r="BN173" s="44">
        <f t="shared" si="363"/>
        <v>41870.642709648964</v>
      </c>
      <c r="BO173" s="44">
        <f t="shared" si="363"/>
        <v>41870.642709648964</v>
      </c>
      <c r="BP173" s="44">
        <f t="shared" si="363"/>
        <v>41870.642709648964</v>
      </c>
      <c r="BQ173" s="44">
        <f t="shared" si="363"/>
        <v>41870.642709648964</v>
      </c>
      <c r="BR173" s="44">
        <f t="shared" si="363"/>
        <v>41870.642709648964</v>
      </c>
      <c r="BS173" s="44">
        <f t="shared" si="363"/>
        <v>41870.642709648964</v>
      </c>
      <c r="BT173" s="44">
        <f t="shared" si="363"/>
        <v>41870.642709648964</v>
      </c>
      <c r="BU173" s="44">
        <f t="shared" ref="BU173:EF173" si="364">IF(BU172&gt;1,$F173/4,0)</f>
        <v>41870.642709648964</v>
      </c>
      <c r="BV173" s="44">
        <f t="shared" si="364"/>
        <v>41870.642709648964</v>
      </c>
      <c r="BW173" s="44">
        <f t="shared" si="364"/>
        <v>41870.642709648964</v>
      </c>
      <c r="BX173" s="44">
        <f t="shared" si="364"/>
        <v>41870.642709648964</v>
      </c>
      <c r="BY173" s="44">
        <f t="shared" si="364"/>
        <v>41870.642709648964</v>
      </c>
      <c r="BZ173" s="44">
        <f t="shared" si="364"/>
        <v>41870.642709648964</v>
      </c>
      <c r="CA173" s="44">
        <f t="shared" si="364"/>
        <v>41870.642709648964</v>
      </c>
      <c r="CB173" s="44">
        <f t="shared" si="364"/>
        <v>41870.642709648964</v>
      </c>
      <c r="CC173" s="44">
        <f t="shared" si="364"/>
        <v>41870.642709648964</v>
      </c>
      <c r="CD173" s="44">
        <f t="shared" si="364"/>
        <v>41870.642709648964</v>
      </c>
      <c r="CE173" s="44">
        <f t="shared" si="364"/>
        <v>41870.642709648964</v>
      </c>
      <c r="CF173" s="44">
        <f t="shared" si="364"/>
        <v>41870.642709648964</v>
      </c>
      <c r="CG173" s="44">
        <f t="shared" si="364"/>
        <v>41870.642709648964</v>
      </c>
      <c r="CH173" s="44">
        <f t="shared" si="364"/>
        <v>41870.642709648964</v>
      </c>
      <c r="CI173" s="44">
        <f t="shared" si="364"/>
        <v>41870.642709648964</v>
      </c>
      <c r="CJ173" s="44">
        <f t="shared" si="364"/>
        <v>41870.642709648964</v>
      </c>
      <c r="CK173" s="44">
        <f t="shared" si="364"/>
        <v>41870.642709648964</v>
      </c>
      <c r="CL173" s="44">
        <f t="shared" si="364"/>
        <v>41870.642709648964</v>
      </c>
      <c r="CM173" s="44">
        <f t="shared" si="364"/>
        <v>41870.642709648964</v>
      </c>
      <c r="CN173" s="44">
        <f t="shared" si="364"/>
        <v>41870.642709648964</v>
      </c>
      <c r="CO173" s="44">
        <f t="shared" si="364"/>
        <v>41870.642709648964</v>
      </c>
      <c r="CP173" s="44">
        <f t="shared" si="364"/>
        <v>41870.642709648964</v>
      </c>
      <c r="CQ173" s="44">
        <f t="shared" si="364"/>
        <v>41870.642709648964</v>
      </c>
      <c r="CR173" s="44">
        <f t="shared" si="364"/>
        <v>41870.642709648964</v>
      </c>
      <c r="CS173" s="44">
        <f t="shared" si="364"/>
        <v>41870.642709648964</v>
      </c>
      <c r="CT173" s="44">
        <f t="shared" si="364"/>
        <v>41870.642709648964</v>
      </c>
      <c r="CU173" s="44">
        <f t="shared" si="364"/>
        <v>41870.642709648964</v>
      </c>
      <c r="CV173" s="44">
        <f t="shared" si="364"/>
        <v>41870.642709648964</v>
      </c>
      <c r="CW173" s="44">
        <f t="shared" si="364"/>
        <v>41870.642709648964</v>
      </c>
      <c r="CX173" s="44">
        <f t="shared" si="364"/>
        <v>41870.642709648964</v>
      </c>
      <c r="CY173" s="44">
        <f t="shared" si="364"/>
        <v>41870.642709648964</v>
      </c>
      <c r="CZ173" s="44">
        <f t="shared" si="364"/>
        <v>41870.642709648964</v>
      </c>
      <c r="DA173" s="44">
        <f t="shared" si="364"/>
        <v>41870.642709648964</v>
      </c>
      <c r="DB173" s="44">
        <f t="shared" si="364"/>
        <v>41870.642709648964</v>
      </c>
      <c r="DC173" s="44">
        <f t="shared" si="364"/>
        <v>41870.642709648964</v>
      </c>
      <c r="DD173" s="44">
        <f t="shared" si="364"/>
        <v>41870.642709648964</v>
      </c>
      <c r="DE173" s="44">
        <f t="shared" si="364"/>
        <v>41870.642709648964</v>
      </c>
      <c r="DF173" s="44">
        <f t="shared" si="364"/>
        <v>41870.642709648964</v>
      </c>
      <c r="DG173" s="44">
        <f t="shared" si="364"/>
        <v>41870.642709648964</v>
      </c>
      <c r="DH173" s="44">
        <f t="shared" si="364"/>
        <v>41870.642709648964</v>
      </c>
      <c r="DI173" s="44">
        <f t="shared" si="364"/>
        <v>41870.642709648964</v>
      </c>
      <c r="DJ173" s="44">
        <f t="shared" si="364"/>
        <v>41870.642709648964</v>
      </c>
      <c r="DK173" s="44">
        <f t="shared" si="364"/>
        <v>41870.642709648964</v>
      </c>
      <c r="DL173" s="44">
        <f t="shared" si="364"/>
        <v>41870.642709648964</v>
      </c>
      <c r="DM173" s="44">
        <f t="shared" si="364"/>
        <v>41870.642709648964</v>
      </c>
      <c r="DN173" s="44">
        <f t="shared" si="364"/>
        <v>41870.642709648964</v>
      </c>
      <c r="DO173" s="44">
        <f t="shared" si="364"/>
        <v>41870.642709648964</v>
      </c>
      <c r="DP173" s="44">
        <f t="shared" si="364"/>
        <v>41870.642709648964</v>
      </c>
      <c r="DQ173" s="44">
        <f t="shared" si="364"/>
        <v>41870.642709648964</v>
      </c>
      <c r="DR173" s="44">
        <f t="shared" si="364"/>
        <v>41870.642709648964</v>
      </c>
      <c r="DS173" s="44">
        <f t="shared" si="364"/>
        <v>41870.642709648964</v>
      </c>
      <c r="DT173" s="44">
        <f t="shared" si="364"/>
        <v>41870.642709648964</v>
      </c>
      <c r="DU173" s="44">
        <f t="shared" si="364"/>
        <v>41870.642709648964</v>
      </c>
      <c r="DV173" s="44">
        <f t="shared" si="364"/>
        <v>41870.642709648964</v>
      </c>
      <c r="DW173" s="44">
        <f t="shared" si="364"/>
        <v>41870.642709648964</v>
      </c>
      <c r="DX173" s="44">
        <f t="shared" si="364"/>
        <v>41870.642709648964</v>
      </c>
      <c r="DY173" s="44">
        <f t="shared" si="364"/>
        <v>41870.642709648964</v>
      </c>
      <c r="DZ173" s="44">
        <f t="shared" si="364"/>
        <v>41870.642709648964</v>
      </c>
      <c r="EA173" s="44">
        <f t="shared" si="364"/>
        <v>41870.642709648964</v>
      </c>
      <c r="EB173" s="44">
        <f t="shared" si="364"/>
        <v>41870.642709648964</v>
      </c>
      <c r="EC173" s="44">
        <f t="shared" si="364"/>
        <v>41870.642709648964</v>
      </c>
      <c r="ED173" s="44">
        <f t="shared" si="364"/>
        <v>41870.642709648964</v>
      </c>
      <c r="EE173" s="44">
        <f t="shared" si="364"/>
        <v>41870.642709648964</v>
      </c>
      <c r="EF173" s="44">
        <f t="shared" si="364"/>
        <v>41870.642709648964</v>
      </c>
      <c r="EG173" s="44">
        <f t="shared" ref="EG173:EN173" si="365">IF(EG172&gt;1,$F173/4,0)</f>
        <v>41870.642709648964</v>
      </c>
      <c r="EH173" s="44">
        <f t="shared" si="365"/>
        <v>41870.642709648964</v>
      </c>
      <c r="EI173" s="44">
        <f t="shared" si="365"/>
        <v>41870.642709648964</v>
      </c>
      <c r="EJ173" s="44">
        <f t="shared" si="365"/>
        <v>41870.642709648964</v>
      </c>
      <c r="EK173" s="44">
        <f t="shared" si="365"/>
        <v>41870.642709648964</v>
      </c>
      <c r="EL173" s="44">
        <f t="shared" si="365"/>
        <v>0</v>
      </c>
      <c r="EM173" s="44">
        <f t="shared" si="365"/>
        <v>0</v>
      </c>
      <c r="EN173" s="44">
        <f t="shared" si="365"/>
        <v>0</v>
      </c>
    </row>
    <row r="174" spans="2:144" outlineLevel="1">
      <c r="B174" s="459">
        <f>D171-B173</f>
        <v>-1.2107193470001221E-8</v>
      </c>
      <c r="C174" s="151" t="s">
        <v>74</v>
      </c>
      <c r="D174" s="44"/>
      <c r="E174" s="44"/>
      <c r="F174" s="44"/>
      <c r="G174" s="44"/>
      <c r="H174" s="44">
        <f>IF((H172-H173)&gt;0,(H172-H173),0)</f>
        <v>0</v>
      </c>
      <c r="I174" s="44">
        <f t="shared" ref="I174:BT174" si="366">IF((I172-I173)&gt;0,(I172-I173),0)</f>
        <v>0</v>
      </c>
      <c r="J174" s="44">
        <f t="shared" si="366"/>
        <v>0</v>
      </c>
      <c r="K174" s="44">
        <f t="shared" si="366"/>
        <v>0</v>
      </c>
      <c r="L174" s="44">
        <f t="shared" si="366"/>
        <v>0</v>
      </c>
      <c r="M174" s="44">
        <f t="shared" si="366"/>
        <v>0</v>
      </c>
      <c r="N174" s="44">
        <f t="shared" si="366"/>
        <v>0</v>
      </c>
      <c r="O174" s="44">
        <f t="shared" si="366"/>
        <v>0</v>
      </c>
      <c r="P174" s="44">
        <f t="shared" si="366"/>
        <v>0</v>
      </c>
      <c r="Q174" s="44">
        <f t="shared" si="366"/>
        <v>0</v>
      </c>
      <c r="R174" s="44">
        <f t="shared" si="366"/>
        <v>0</v>
      </c>
      <c r="S174" s="44">
        <f t="shared" si="366"/>
        <v>0</v>
      </c>
      <c r="T174" s="44">
        <f t="shared" si="366"/>
        <v>0</v>
      </c>
      <c r="U174" s="44">
        <f t="shared" si="366"/>
        <v>0</v>
      </c>
      <c r="V174" s="44">
        <f t="shared" si="366"/>
        <v>4982606.4824482268</v>
      </c>
      <c r="W174" s="44">
        <f t="shared" si="366"/>
        <v>4940735.8397385776</v>
      </c>
      <c r="X174" s="44">
        <f t="shared" si="366"/>
        <v>4898865.1970289284</v>
      </c>
      <c r="Y174" s="44">
        <f t="shared" si="366"/>
        <v>4856994.5543192793</v>
      </c>
      <c r="Z174" s="44">
        <f t="shared" si="366"/>
        <v>4815123.9116096301</v>
      </c>
      <c r="AA174" s="44">
        <f t="shared" si="366"/>
        <v>4773253.2688999809</v>
      </c>
      <c r="AB174" s="44">
        <f t="shared" si="366"/>
        <v>4731382.6261903318</v>
      </c>
      <c r="AC174" s="44">
        <f t="shared" si="366"/>
        <v>4689511.9834806826</v>
      </c>
      <c r="AD174" s="44">
        <f t="shared" si="366"/>
        <v>4647641.3407710334</v>
      </c>
      <c r="AE174" s="44">
        <f t="shared" si="366"/>
        <v>4605770.6980613843</v>
      </c>
      <c r="AF174" s="44">
        <f t="shared" si="366"/>
        <v>4563900.0553517351</v>
      </c>
      <c r="AG174" s="44">
        <f t="shared" si="366"/>
        <v>4522029.4126420859</v>
      </c>
      <c r="AH174" s="44">
        <f t="shared" si="366"/>
        <v>4480158.7699324368</v>
      </c>
      <c r="AI174" s="44">
        <f t="shared" si="366"/>
        <v>4438288.1272227876</v>
      </c>
      <c r="AJ174" s="44">
        <f t="shared" si="366"/>
        <v>4396417.4845131384</v>
      </c>
      <c r="AK174" s="44">
        <f t="shared" si="366"/>
        <v>4354546.8418034893</v>
      </c>
      <c r="AL174" s="44">
        <f t="shared" si="366"/>
        <v>4312676.1990938401</v>
      </c>
      <c r="AM174" s="44">
        <f t="shared" si="366"/>
        <v>4270805.5563841909</v>
      </c>
      <c r="AN174" s="44">
        <f t="shared" si="366"/>
        <v>4228934.9136745417</v>
      </c>
      <c r="AO174" s="44">
        <f t="shared" si="366"/>
        <v>4187064.2709648926</v>
      </c>
      <c r="AP174" s="44">
        <f t="shared" si="366"/>
        <v>4145193.6282552434</v>
      </c>
      <c r="AQ174" s="44">
        <f t="shared" si="366"/>
        <v>4103322.9855455942</v>
      </c>
      <c r="AR174" s="44">
        <f t="shared" si="366"/>
        <v>4061452.3428359451</v>
      </c>
      <c r="AS174" s="44">
        <f t="shared" si="366"/>
        <v>4019581.7001262959</v>
      </c>
      <c r="AT174" s="44">
        <f t="shared" si="366"/>
        <v>3977711.0574166467</v>
      </c>
      <c r="AU174" s="44">
        <f t="shared" si="366"/>
        <v>3935840.4147069976</v>
      </c>
      <c r="AV174" s="44">
        <f t="shared" si="366"/>
        <v>3893969.7719973484</v>
      </c>
      <c r="AW174" s="44">
        <f t="shared" si="366"/>
        <v>3852099.1292876992</v>
      </c>
      <c r="AX174" s="44">
        <f t="shared" si="366"/>
        <v>3810228.4865780501</v>
      </c>
      <c r="AY174" s="44">
        <f t="shared" si="366"/>
        <v>3768357.8438684009</v>
      </c>
      <c r="AZ174" s="44">
        <f t="shared" si="366"/>
        <v>3726487.2011587517</v>
      </c>
      <c r="BA174" s="44">
        <f t="shared" si="366"/>
        <v>3684616.5584491026</v>
      </c>
      <c r="BB174" s="44">
        <f t="shared" si="366"/>
        <v>3642745.9157394534</v>
      </c>
      <c r="BC174" s="44">
        <f t="shared" si="366"/>
        <v>3600875.2730298042</v>
      </c>
      <c r="BD174" s="44">
        <f t="shared" si="366"/>
        <v>3559004.6303201551</v>
      </c>
      <c r="BE174" s="44">
        <f t="shared" si="366"/>
        <v>3517133.9876105059</v>
      </c>
      <c r="BF174" s="44">
        <f t="shared" si="366"/>
        <v>3475263.3449008567</v>
      </c>
      <c r="BG174" s="44">
        <f t="shared" si="366"/>
        <v>3433392.7021912076</v>
      </c>
      <c r="BH174" s="44">
        <f t="shared" si="366"/>
        <v>3391522.0594815584</v>
      </c>
      <c r="BI174" s="44">
        <f t="shared" si="366"/>
        <v>3349651.4167719092</v>
      </c>
      <c r="BJ174" s="44">
        <f t="shared" si="366"/>
        <v>3307780.7740622601</v>
      </c>
      <c r="BK174" s="44">
        <f t="shared" si="366"/>
        <v>3265910.1313526109</v>
      </c>
      <c r="BL174" s="44">
        <f t="shared" si="366"/>
        <v>3224039.4886429617</v>
      </c>
      <c r="BM174" s="44">
        <f t="shared" si="366"/>
        <v>3182168.8459333126</v>
      </c>
      <c r="BN174" s="44">
        <f t="shared" si="366"/>
        <v>3140298.2032236634</v>
      </c>
      <c r="BO174" s="44">
        <f t="shared" si="366"/>
        <v>3098427.5605140142</v>
      </c>
      <c r="BP174" s="44">
        <f t="shared" si="366"/>
        <v>3056556.917804365</v>
      </c>
      <c r="BQ174" s="44">
        <f t="shared" si="366"/>
        <v>3014686.2750947159</v>
      </c>
      <c r="BR174" s="44">
        <f t="shared" si="366"/>
        <v>2972815.6323850667</v>
      </c>
      <c r="BS174" s="44">
        <f t="shared" si="366"/>
        <v>2930944.9896754175</v>
      </c>
      <c r="BT174" s="44">
        <f t="shared" si="366"/>
        <v>2889074.3469657684</v>
      </c>
      <c r="BU174" s="44">
        <f t="shared" ref="BU174:EF174" si="367">IF((BU172-BU173)&gt;0,(BU172-BU173),0)</f>
        <v>2847203.7042561192</v>
      </c>
      <c r="BV174" s="44">
        <f t="shared" si="367"/>
        <v>2805333.06154647</v>
      </c>
      <c r="BW174" s="44">
        <f t="shared" si="367"/>
        <v>2763462.4188368209</v>
      </c>
      <c r="BX174" s="44">
        <f t="shared" si="367"/>
        <v>2721591.7761271717</v>
      </c>
      <c r="BY174" s="44">
        <f t="shared" si="367"/>
        <v>2679721.1334175225</v>
      </c>
      <c r="BZ174" s="44">
        <f t="shared" si="367"/>
        <v>2637850.4907078734</v>
      </c>
      <c r="CA174" s="44">
        <f t="shared" si="367"/>
        <v>2595979.8479982242</v>
      </c>
      <c r="CB174" s="44">
        <f t="shared" si="367"/>
        <v>2554109.205288575</v>
      </c>
      <c r="CC174" s="44">
        <f t="shared" si="367"/>
        <v>2512238.5625789259</v>
      </c>
      <c r="CD174" s="44">
        <f t="shared" si="367"/>
        <v>2470367.9198692767</v>
      </c>
      <c r="CE174" s="44">
        <f t="shared" si="367"/>
        <v>2428497.2771596275</v>
      </c>
      <c r="CF174" s="44">
        <f t="shared" si="367"/>
        <v>2386626.6344499784</v>
      </c>
      <c r="CG174" s="44">
        <f t="shared" si="367"/>
        <v>2344755.9917403292</v>
      </c>
      <c r="CH174" s="44">
        <f t="shared" si="367"/>
        <v>2302885.34903068</v>
      </c>
      <c r="CI174" s="44">
        <f t="shared" si="367"/>
        <v>2261014.7063210309</v>
      </c>
      <c r="CJ174" s="44">
        <f t="shared" si="367"/>
        <v>2219144.0636113817</v>
      </c>
      <c r="CK174" s="44">
        <f t="shared" si="367"/>
        <v>2177273.4209017325</v>
      </c>
      <c r="CL174" s="44">
        <f t="shared" si="367"/>
        <v>2135402.7781920834</v>
      </c>
      <c r="CM174" s="44">
        <f t="shared" si="367"/>
        <v>2093532.1354824344</v>
      </c>
      <c r="CN174" s="44">
        <f t="shared" si="367"/>
        <v>2051661.4927727855</v>
      </c>
      <c r="CO174" s="44">
        <f t="shared" si="367"/>
        <v>2009790.8500631365</v>
      </c>
      <c r="CP174" s="44">
        <f t="shared" si="367"/>
        <v>1967920.2073534876</v>
      </c>
      <c r="CQ174" s="44">
        <f t="shared" si="367"/>
        <v>1926049.5646438387</v>
      </c>
      <c r="CR174" s="44">
        <f t="shared" si="367"/>
        <v>1884178.9219341897</v>
      </c>
      <c r="CS174" s="44">
        <f t="shared" si="367"/>
        <v>1842308.2792245408</v>
      </c>
      <c r="CT174" s="44">
        <f t="shared" si="367"/>
        <v>1800437.6365148919</v>
      </c>
      <c r="CU174" s="44">
        <f t="shared" si="367"/>
        <v>1758566.9938052429</v>
      </c>
      <c r="CV174" s="44">
        <f t="shared" si="367"/>
        <v>1716696.351095594</v>
      </c>
      <c r="CW174" s="44">
        <f t="shared" si="367"/>
        <v>1674825.7083859451</v>
      </c>
      <c r="CX174" s="44">
        <f t="shared" si="367"/>
        <v>1632955.0656762961</v>
      </c>
      <c r="CY174" s="44">
        <f t="shared" si="367"/>
        <v>1591084.4229666472</v>
      </c>
      <c r="CZ174" s="44">
        <f t="shared" si="367"/>
        <v>1549213.7802569983</v>
      </c>
      <c r="DA174" s="44">
        <f t="shared" si="367"/>
        <v>1507343.1375473493</v>
      </c>
      <c r="DB174" s="44">
        <f t="shared" si="367"/>
        <v>1465472.4948377004</v>
      </c>
      <c r="DC174" s="44">
        <f t="shared" si="367"/>
        <v>1423601.8521280515</v>
      </c>
      <c r="DD174" s="44">
        <f t="shared" si="367"/>
        <v>1381731.2094184025</v>
      </c>
      <c r="DE174" s="44">
        <f t="shared" si="367"/>
        <v>1339860.5667087536</v>
      </c>
      <c r="DF174" s="44">
        <f t="shared" si="367"/>
        <v>1297989.9239991046</v>
      </c>
      <c r="DG174" s="44">
        <f t="shared" si="367"/>
        <v>1256119.2812894557</v>
      </c>
      <c r="DH174" s="44">
        <f t="shared" si="367"/>
        <v>1214248.6385798068</v>
      </c>
      <c r="DI174" s="44">
        <f t="shared" si="367"/>
        <v>1172377.9958701578</v>
      </c>
      <c r="DJ174" s="44">
        <f t="shared" si="367"/>
        <v>1130507.3531605089</v>
      </c>
      <c r="DK174" s="44">
        <f t="shared" si="367"/>
        <v>1088636.71045086</v>
      </c>
      <c r="DL174" s="44">
        <f t="shared" si="367"/>
        <v>1046766.067741211</v>
      </c>
      <c r="DM174" s="44">
        <f t="shared" si="367"/>
        <v>1004895.4250315621</v>
      </c>
      <c r="DN174" s="44">
        <f t="shared" si="367"/>
        <v>963024.78232191317</v>
      </c>
      <c r="DO174" s="44">
        <f t="shared" si="367"/>
        <v>921154.13961226423</v>
      </c>
      <c r="DP174" s="44">
        <f t="shared" si="367"/>
        <v>879283.4969026153</v>
      </c>
      <c r="DQ174" s="44">
        <f t="shared" si="367"/>
        <v>837412.85419296636</v>
      </c>
      <c r="DR174" s="44">
        <f t="shared" si="367"/>
        <v>795542.21148331743</v>
      </c>
      <c r="DS174" s="44">
        <f t="shared" si="367"/>
        <v>753671.56877366849</v>
      </c>
      <c r="DT174" s="44">
        <f t="shared" si="367"/>
        <v>711800.92606401956</v>
      </c>
      <c r="DU174" s="44">
        <f t="shared" si="367"/>
        <v>669930.28335437062</v>
      </c>
      <c r="DV174" s="44">
        <f t="shared" si="367"/>
        <v>628059.64064472169</v>
      </c>
      <c r="DW174" s="44">
        <f t="shared" si="367"/>
        <v>586188.99793507275</v>
      </c>
      <c r="DX174" s="44">
        <f t="shared" si="367"/>
        <v>544318.35522542382</v>
      </c>
      <c r="DY174" s="44">
        <f t="shared" si="367"/>
        <v>502447.71251577488</v>
      </c>
      <c r="DZ174" s="44">
        <f t="shared" si="367"/>
        <v>460577.06980612595</v>
      </c>
      <c r="EA174" s="44">
        <f t="shared" si="367"/>
        <v>418706.42709647701</v>
      </c>
      <c r="EB174" s="44">
        <f t="shared" si="367"/>
        <v>376835.78438682808</v>
      </c>
      <c r="EC174" s="44">
        <f t="shared" si="367"/>
        <v>334965.14167717914</v>
      </c>
      <c r="ED174" s="44">
        <f t="shared" si="367"/>
        <v>293094.49896753021</v>
      </c>
      <c r="EE174" s="44">
        <f t="shared" si="367"/>
        <v>251223.85625788124</v>
      </c>
      <c r="EF174" s="44">
        <f t="shared" si="367"/>
        <v>209353.21354823228</v>
      </c>
      <c r="EG174" s="44">
        <f t="shared" ref="EG174:EN174" si="368">IF((EG172-EG173)&gt;0,(EG172-EG173),0)</f>
        <v>167482.57083858331</v>
      </c>
      <c r="EH174" s="44">
        <f t="shared" si="368"/>
        <v>125611.92812893435</v>
      </c>
      <c r="EI174" s="44">
        <f t="shared" si="368"/>
        <v>83741.285419285385</v>
      </c>
      <c r="EJ174" s="44">
        <f t="shared" si="368"/>
        <v>41870.64270963642</v>
      </c>
      <c r="EK174" s="44">
        <f t="shared" si="368"/>
        <v>0</v>
      </c>
      <c r="EL174" s="44">
        <f t="shared" si="368"/>
        <v>0</v>
      </c>
      <c r="EM174" s="44">
        <f t="shared" si="368"/>
        <v>0</v>
      </c>
      <c r="EN174" s="44">
        <f t="shared" si="368"/>
        <v>0</v>
      </c>
    </row>
    <row r="175" spans="2:144" outlineLevel="1">
      <c r="B175" s="139" t="s">
        <v>43</v>
      </c>
      <c r="C175" s="151" t="s">
        <v>487</v>
      </c>
      <c r="D175" s="44"/>
      <c r="E175" s="44"/>
      <c r="F175" s="44"/>
      <c r="G175" s="44"/>
      <c r="H175" s="44">
        <f>IF(H168&gt;D170,(SUM(G174:H174)/2),IF(H168=D170,H174,0))</f>
        <v>0</v>
      </c>
      <c r="I175" s="44">
        <f>IF(I168&gt;D170,(SUM(H174:I174)/2),IF(I168=D170,I174,0))</f>
        <v>0</v>
      </c>
      <c r="J175" s="44">
        <f>IF(J168&gt;D170,(SUM(I174:J174)/2),IF(J168=D170,J174,0))</f>
        <v>0</v>
      </c>
      <c r="K175" s="44">
        <f>IF(K168&gt;D170,(SUM(J174:K174)/2),IF(K168=D170,K174,0))</f>
        <v>0</v>
      </c>
      <c r="L175" s="44">
        <f>IF(L168&gt;D170,(SUM(K174:L174)/2),IF(L168=D170,L174,0))</f>
        <v>0</v>
      </c>
      <c r="M175" s="44">
        <f>IF(M168&gt;D170,(SUM(L174:M174)/2),IF(M168=D170,M174,0))</f>
        <v>0</v>
      </c>
      <c r="N175" s="44">
        <f>IF(N168&gt;D170,(SUM(M174:N174)/2),IF(N168=D170,N174,0))</f>
        <v>0</v>
      </c>
      <c r="O175" s="44">
        <f>IF(O168&gt;D170,(SUM(N174:O174)/2),IF(O168=D170,O174,0))</f>
        <v>0</v>
      </c>
      <c r="P175" s="44">
        <f>IF(P168&gt;D170,(SUM(O174:P174)/2),IF(P168=D170,P174,0))</f>
        <v>0</v>
      </c>
      <c r="Q175" s="44">
        <f>IF(Q168&gt;D170,(SUM(P174:Q174)/2),IF(Q168=D170,Q174,0))</f>
        <v>0</v>
      </c>
      <c r="R175" s="44">
        <f>IF(R168&gt;D170,(SUM(Q174:R174)/2),IF(R168=D170,R174,0))</f>
        <v>0</v>
      </c>
      <c r="S175" s="44">
        <f>IF(S168&gt;D170,(SUM(R174:S174)/2),IF(S168=D170,S174,0))</f>
        <v>0</v>
      </c>
      <c r="T175" s="44">
        <f>IF(T168&gt;D170,(SUM(S174:T174)/2),IF(T168=D170,T174,0))</f>
        <v>0</v>
      </c>
      <c r="U175" s="44">
        <f>IF(U168&gt;D170,(SUM(T174:U174)/2),IF(U168=D170,U174,0))</f>
        <v>0</v>
      </c>
      <c r="V175" s="44">
        <f>IF(V168&gt;D170,(SUM(U174:V174)/2),IF(V168=D170,V174,0))</f>
        <v>4982606.4824482268</v>
      </c>
      <c r="W175" s="44">
        <f>IF(W168&gt;D170,(SUM(V174:W174)/2),IF(W168=D170,W174,0))</f>
        <v>4961671.1610934027</v>
      </c>
      <c r="X175" s="44">
        <f>IF(X168&gt;D170,(SUM(W174:X174)/2),IF(X168=D170,X174,0))</f>
        <v>4919800.5183837526</v>
      </c>
      <c r="Y175" s="44">
        <f>IF(Y168&gt;D170,(SUM(X174:Y174)/2),IF(Y168=D170,Y174,0))</f>
        <v>4877929.8756741043</v>
      </c>
      <c r="Z175" s="44">
        <f>IF(Z168&gt;D170,(SUM(Y174:Z174)/2),IF(Z168=D170,Z174,0))</f>
        <v>4836059.2329644542</v>
      </c>
      <c r="AA175" s="44">
        <f>IF(AA168&gt;D170,(SUM(Z174:AA174)/2),IF(AA168=D170,AA174,0))</f>
        <v>4794188.590254806</v>
      </c>
      <c r="AB175" s="44">
        <f>IF(AB168&gt;D170,(SUM(AA174:AB174)/2),IF(AB168=D170,AB174,0))</f>
        <v>4752317.9475451559</v>
      </c>
      <c r="AC175" s="44">
        <f>IF(AC168&gt;D170,(SUM(AB174:AC174)/2),IF(AC168=D170,AC174,0))</f>
        <v>4710447.3048355076</v>
      </c>
      <c r="AD175" s="44">
        <f>IF(AD168&gt;D170,(SUM(AC174:AD174)/2),IF(AD168=D170,AD174,0))</f>
        <v>4668576.6621258575</v>
      </c>
      <c r="AE175" s="44">
        <f>IF(AE168&gt;D170,(SUM(AD174:AE174)/2),IF(AE168=D170,AE174,0))</f>
        <v>4626706.0194162093</v>
      </c>
      <c r="AF175" s="44">
        <f>IF(AF168&gt;D170,(SUM(AE174:AF174)/2),IF(AF168=D170,AF174,0))</f>
        <v>4584835.3767065592</v>
      </c>
      <c r="AG175" s="44">
        <f>IF(AG168&gt;D170,(SUM(AF174:AG174)/2),IF(AG168=D170,AG174,0))</f>
        <v>4542964.733996911</v>
      </c>
      <c r="AH175" s="44">
        <f>IF(AH168&gt;D170,(SUM(AG174:AH174)/2),IF(AH168=D170,AH174,0))</f>
        <v>4501094.0912872609</v>
      </c>
      <c r="AI175" s="44">
        <f>IF(AI168&gt;D170,(SUM(AH174:AI174)/2),IF(AI168=D170,AI174,0))</f>
        <v>4459223.4485776126</v>
      </c>
      <c r="AJ175" s="44">
        <f>IF(AJ168&gt;D170,(SUM(AI174:AJ174)/2),IF(AJ168=D170,AJ174,0))</f>
        <v>4417352.8058679625</v>
      </c>
      <c r="AK175" s="44">
        <f>IF(AK168&gt;D170,(SUM(AJ174:AK174)/2),IF(AK168=D170,AK174,0))</f>
        <v>4375482.1631583143</v>
      </c>
      <c r="AL175" s="44">
        <f>IF(AL168&gt;D170,(SUM(AK174:AL174)/2),IF(AL168=D170,AL174,0))</f>
        <v>4333611.5204486642</v>
      </c>
      <c r="AM175" s="44">
        <f>IF(AM168&gt;D170,(SUM(AL174:AM174)/2),IF(AM168=D170,AM174,0))</f>
        <v>4291740.877739016</v>
      </c>
      <c r="AN175" s="44">
        <f>IF(AN168&gt;D170,(SUM(AM174:AN174)/2),IF(AN168=D170,AN174,0))</f>
        <v>4249870.2350293659</v>
      </c>
      <c r="AO175" s="44">
        <f>IF(AO168&gt;D170,(SUM(AN174:AO174)/2),IF(AO168=D170,AO174,0))</f>
        <v>4207999.5923197176</v>
      </c>
      <c r="AP175" s="44">
        <f>IF(AP168&gt;D170,(SUM(AO174:AP174)/2),IF(AP168=D170,AP174,0))</f>
        <v>4166128.949610068</v>
      </c>
      <c r="AQ175" s="44">
        <f>IF(AQ168&gt;D170,(SUM(AP174:AQ174)/2),IF(AQ168=D170,AQ174,0))</f>
        <v>4124258.3069004188</v>
      </c>
      <c r="AR175" s="44">
        <f>IF(AR168&gt;D170,(SUM(AQ174:AR174)/2),IF(AR168=D170,AR174,0))</f>
        <v>4082387.6641907697</v>
      </c>
      <c r="AS175" s="44">
        <f>IF(AS168&gt;D170,(SUM(AR174:AS174)/2),IF(AS168=D170,AS174,0))</f>
        <v>4040517.0214811205</v>
      </c>
      <c r="AT175" s="44">
        <f>IF(AT168&gt;D170,(SUM(AS174:AT174)/2),IF(AT168=D170,AT174,0))</f>
        <v>3998646.3787714713</v>
      </c>
      <c r="AU175" s="44">
        <f>IF(AU168&gt;D170,(SUM(AT174:AU174)/2),IF(AU168=D170,AU174,0))</f>
        <v>3956775.7360618222</v>
      </c>
      <c r="AV175" s="44">
        <f>IF(AV168&gt;D170,(SUM(AU174:AV174)/2),IF(AV168=D170,AV174,0))</f>
        <v>3914905.093352173</v>
      </c>
      <c r="AW175" s="44">
        <f>IF(AW168&gt;D170,(SUM(AV174:AW174)/2),IF(AW168=D170,AW174,0))</f>
        <v>3873034.4506425238</v>
      </c>
      <c r="AX175" s="44">
        <f>IF(AX168&gt;D170,(SUM(AW174:AX174)/2),IF(AX168=D170,AX174,0))</f>
        <v>3831163.8079328747</v>
      </c>
      <c r="AY175" s="44">
        <f>IF(AY168&gt;D170,(SUM(AX174:AY174)/2),IF(AY168=D170,AY174,0))</f>
        <v>3789293.1652232255</v>
      </c>
      <c r="AZ175" s="44">
        <f>IF(AZ168&gt;D170,(SUM(AY174:AZ174)/2),IF(AZ168=D170,AZ174,0))</f>
        <v>3747422.5225135763</v>
      </c>
      <c r="BA175" s="44">
        <f>IF(BA168&gt;D170,(SUM(AZ174:BA174)/2),IF(BA168=D170,BA174,0))</f>
        <v>3705551.8798039271</v>
      </c>
      <c r="BB175" s="44">
        <f>IF(BB168&gt;D170,(SUM(BA174:BB174)/2),IF(BB168=D170,BB174,0))</f>
        <v>3663681.237094278</v>
      </c>
      <c r="BC175" s="44">
        <f>IF(BC168&gt;D170,(SUM(BB174:BC174)/2),IF(BC168=D170,BC174,0))</f>
        <v>3621810.5943846288</v>
      </c>
      <c r="BD175" s="44">
        <f>IF(BD168&gt;D170,(SUM(BC174:BD174)/2),IF(BD168=D170,BD174,0))</f>
        <v>3579939.9516749796</v>
      </c>
      <c r="BE175" s="44">
        <f>IF(BE168&gt;D170,(SUM(BD174:BE174)/2),IF(BE168=D170,BE174,0))</f>
        <v>3538069.3089653305</v>
      </c>
      <c r="BF175" s="44">
        <f>IF(BF168&gt;D170,(SUM(BE174:BF174)/2),IF(BF168=D170,BF174,0))</f>
        <v>3496198.6662556813</v>
      </c>
      <c r="BG175" s="44">
        <f>IF(BG168&gt;D170,(SUM(BF174:BG174)/2),IF(BG168=D170,BG174,0))</f>
        <v>3454328.0235460321</v>
      </c>
      <c r="BH175" s="44">
        <f>IF(BH168&gt;D170,(SUM(BG174:BH174)/2),IF(BH168=D170,BH174,0))</f>
        <v>3412457.380836383</v>
      </c>
      <c r="BI175" s="44">
        <f>IF(BI168&gt;D170,(SUM(BH174:BI174)/2),IF(BI168=D170,BI174,0))</f>
        <v>3370586.7381267338</v>
      </c>
      <c r="BJ175" s="44">
        <f>IF(BJ168&gt;D170,(SUM(BI174:BJ174)/2),IF(BJ168=D170,BJ174,0))</f>
        <v>3328716.0954170846</v>
      </c>
      <c r="BK175" s="44">
        <f>IF(BK168&gt;D170,(SUM(BJ174:BK174)/2),IF(BK168=D170,BK174,0))</f>
        <v>3286845.4527074355</v>
      </c>
      <c r="BL175" s="44">
        <f>IF(BL168&gt;D170,(SUM(BK174:BL174)/2),IF(BL168=D170,BL174,0))</f>
        <v>3244974.8099977863</v>
      </c>
      <c r="BM175" s="44">
        <f>IF(BM168&gt;D170,(SUM(BL174:BM174)/2),IF(BM168=D170,BM174,0))</f>
        <v>3203104.1672881371</v>
      </c>
      <c r="BN175" s="44">
        <f>IF(BN168&gt;D170,(SUM(BM174:BN174)/2),IF(BN168=D170,BN174,0))</f>
        <v>3161233.524578488</v>
      </c>
      <c r="BO175" s="44">
        <f>IF(BO168&gt;D170,(SUM(BN174:BO174)/2),IF(BO168=D170,BO174,0))</f>
        <v>3119362.8818688388</v>
      </c>
      <c r="BP175" s="44">
        <f>IF(BP168&gt;D170,(SUM(BO174:BP174)/2),IF(BP168=D170,BP174,0))</f>
        <v>3077492.2391591896</v>
      </c>
      <c r="BQ175" s="44">
        <f>IF(BQ168&gt;D170,(SUM(BP174:BQ174)/2),IF(BQ168=D170,BQ174,0))</f>
        <v>3035621.5964495405</v>
      </c>
      <c r="BR175" s="44">
        <f>IF(BR168&gt;D170,(SUM(BQ174:BR174)/2),IF(BR168=D170,BR174,0))</f>
        <v>2993750.9537398913</v>
      </c>
      <c r="BS175" s="44">
        <f>IF(BS168&gt;D170,(SUM(BR174:BS174)/2),IF(BS168=D170,BS174,0))</f>
        <v>2951880.3110302421</v>
      </c>
      <c r="BT175" s="44">
        <f>IF(BT168&gt;D170,(SUM(BS174:BT174)/2),IF(BT168=D170,BT174,0))</f>
        <v>2910009.668320593</v>
      </c>
      <c r="BU175" s="44">
        <f>IF(BU168&gt;D170,(SUM(BT174:BU174)/2),IF(BU168=D170,BU174,0))</f>
        <v>2868139.0256109438</v>
      </c>
      <c r="BV175" s="44">
        <f>IF(BV168&gt;D170,(SUM(BU174:BV174)/2),IF(BV168=D170,BV174,0))</f>
        <v>2826268.3829012946</v>
      </c>
      <c r="BW175" s="44">
        <f>IF(BW168&gt;D170,(SUM(BV174:BW174)/2),IF(BW168=D170,BW174,0))</f>
        <v>2784397.7401916455</v>
      </c>
      <c r="BX175" s="44">
        <f>IF(BX168&gt;D170,(SUM(BW174:BX174)/2),IF(BX168=D170,BX174,0))</f>
        <v>2742527.0974819963</v>
      </c>
      <c r="BY175" s="44">
        <f>IF(BY168&gt;D170,(SUM(BX174:BY174)/2),IF(BY168=D170,BY174,0))</f>
        <v>2700656.4547723471</v>
      </c>
      <c r="BZ175" s="44">
        <f>IF(BZ168&gt;D170,(SUM(BY174:BZ174)/2),IF(BZ168=D170,BZ174,0))</f>
        <v>2658785.812062698</v>
      </c>
      <c r="CA175" s="44">
        <f>IF(CA168&gt;D170,(SUM(BZ174:CA174)/2),IF(CA168=D170,CA174,0))</f>
        <v>2616915.1693530488</v>
      </c>
      <c r="CB175" s="44">
        <f>IF(CB168&gt;D170,(SUM(CA174:CB174)/2),IF(CB168=D170,CB174,0))</f>
        <v>2575044.5266433996</v>
      </c>
      <c r="CC175" s="44">
        <f>IF(CC168&gt;D170,(SUM(CB174:CC174)/2),IF(CC168=D170,CC174,0))</f>
        <v>2533173.8839337504</v>
      </c>
      <c r="CD175" s="44">
        <f>IF(CD168&gt;D170,(SUM(CC174:CD174)/2),IF(CD168=D170,CD174,0))</f>
        <v>2491303.2412241013</v>
      </c>
      <c r="CE175" s="44">
        <f>IF(CE168&gt;D170,(SUM(CD174:CE174)/2),IF(CE168=D170,CE174,0))</f>
        <v>2449432.5985144521</v>
      </c>
      <c r="CF175" s="44">
        <f>IF(CF168&gt;D170,(SUM(CE174:CF174)/2),IF(CF168=D170,CF174,0))</f>
        <v>2407561.9558048029</v>
      </c>
      <c r="CG175" s="44">
        <f>IF(CG168&gt;D170,(SUM(CF174:CG174)/2),IF(CG168=D170,CG174,0))</f>
        <v>2365691.3130951538</v>
      </c>
      <c r="CH175" s="44">
        <f>IF(CH168&gt;D170,(SUM(CG174:CH174)/2),IF(CH168=D170,CH174,0))</f>
        <v>2323820.6703855046</v>
      </c>
      <c r="CI175" s="44">
        <f>IF(CI168&gt;D170,(SUM(CH174:CI174)/2),IF(CI168=D170,CI174,0))</f>
        <v>2281950.0276758554</v>
      </c>
      <c r="CJ175" s="44">
        <f>IF(CJ168&gt;D170,(SUM(CI174:CJ174)/2),IF(CJ168=D170,CJ174,0))</f>
        <v>2240079.3849662063</v>
      </c>
      <c r="CK175" s="44">
        <f>IF(CK168&gt;D170,(SUM(CJ174:CK174)/2),IF(CK168=D170,CK174,0))</f>
        <v>2198208.7422565571</v>
      </c>
      <c r="CL175" s="44">
        <f>IF(CL168&gt;D170,(SUM(CK174:CL174)/2),IF(CL168=D170,CL174,0))</f>
        <v>2156338.0995469079</v>
      </c>
      <c r="CM175" s="44">
        <f>IF(CM168&gt;D170,(SUM(CL174:CM174)/2),IF(CM168=D170,CM174,0))</f>
        <v>2114467.4568372588</v>
      </c>
      <c r="CN175" s="44">
        <f>IF(CN168&gt;D170,(SUM(CM174:CN174)/2),IF(CN168=D170,CN174,0))</f>
        <v>2072596.8141276101</v>
      </c>
      <c r="CO175" s="44">
        <f>IF(CO168&gt;D170,(SUM(CN174:CO174)/2),IF(CO168=D170,CO174,0))</f>
        <v>2030726.1714179609</v>
      </c>
      <c r="CP175" s="44">
        <f>IF(CP168&gt;D170,(SUM(CO174:CP174)/2),IF(CP168=D170,CP174,0))</f>
        <v>1988855.5287083122</v>
      </c>
      <c r="CQ175" s="44">
        <f>IF(CQ168&gt;D170,(SUM(CP174:CQ174)/2),IF(CQ168=D170,CQ174,0))</f>
        <v>1946984.885998663</v>
      </c>
      <c r="CR175" s="44">
        <f>IF(CR168&gt;D170,(SUM(CQ174:CR174)/2),IF(CR168=D170,CR174,0))</f>
        <v>1905114.2432890143</v>
      </c>
      <c r="CS175" s="44">
        <f>IF(CS168&gt;D170,(SUM(CR174:CS174)/2),IF(CS168=D170,CS174,0))</f>
        <v>1863243.6005793652</v>
      </c>
      <c r="CT175" s="44">
        <f>IF(CT168&gt;D170,(SUM(CS174:CT174)/2),IF(CT168=D170,CT174,0))</f>
        <v>1821372.9578697165</v>
      </c>
      <c r="CU175" s="44">
        <f>IF(CU168&gt;D170,(SUM(CT174:CU174)/2),IF(CU168=D170,CU174,0))</f>
        <v>1779502.3151600673</v>
      </c>
      <c r="CV175" s="44">
        <f>IF(CV168&gt;D170,(SUM(CU174:CV174)/2),IF(CV168=D170,CV174,0))</f>
        <v>1737631.6724504186</v>
      </c>
      <c r="CW175" s="44">
        <f>IF(CW168&gt;D170,(SUM(CV174:CW174)/2),IF(CW168=D170,CW174,0))</f>
        <v>1695761.0297407694</v>
      </c>
      <c r="CX175" s="44">
        <f>IF(CX168&gt;D170,(SUM(CW174:CX174)/2),IF(CX168=D170,CX174,0))</f>
        <v>1653890.3870311207</v>
      </c>
      <c r="CY175" s="44">
        <f>IF(CY168&gt;D170,(SUM(CX174:CY174)/2),IF(CY168=D170,CY174,0))</f>
        <v>1612019.7443214715</v>
      </c>
      <c r="CZ175" s="44">
        <f>IF(CZ168&gt;D170,(SUM(CY174:CZ174)/2),IF(CZ168=D170,CZ174,0))</f>
        <v>1570149.1016118228</v>
      </c>
      <c r="DA175" s="44">
        <f>IF(DA168&gt;D170,(SUM(CZ174:DA174)/2),IF(DA168=D170,DA174,0))</f>
        <v>1528278.4589021737</v>
      </c>
      <c r="DB175" s="44">
        <f>IF(DB168&gt;D170,(SUM(DA174:DB174)/2),IF(DB168=D170,DB174,0))</f>
        <v>1486407.816192525</v>
      </c>
      <c r="DC175" s="44">
        <f>IF(DC168&gt;D170,(SUM(DB174:DC174)/2),IF(DC168=D170,DC174,0))</f>
        <v>1444537.1734828758</v>
      </c>
      <c r="DD175" s="44">
        <f>IF(DD168&gt;D170,(SUM(DC174:DD174)/2),IF(DD168=D170,DD174,0))</f>
        <v>1402666.5307732271</v>
      </c>
      <c r="DE175" s="44">
        <f>IF(DE168&gt;D170,(SUM(DD174:DE174)/2),IF(DE168=D170,DE174,0))</f>
        <v>1360795.8880635779</v>
      </c>
      <c r="DF175" s="44">
        <f>IF(DF168&gt;D170,(SUM(DE174:DF174)/2),IF(DF168=D170,DF174,0))</f>
        <v>1318925.2453539292</v>
      </c>
      <c r="DG175" s="44">
        <f>IF(DG168&gt;D170,(SUM(DF174:DG174)/2),IF(DG168=D170,DG174,0))</f>
        <v>1277054.6026442801</v>
      </c>
      <c r="DH175" s="44">
        <f>IF(DH168&gt;D170,(SUM(DG174:DH174)/2),IF(DH168=D170,DH174,0))</f>
        <v>1235183.9599346314</v>
      </c>
      <c r="DI175" s="44">
        <f>IF(DI168&gt;D170,(SUM(DH174:DI174)/2),IF(DI168=D170,DI174,0))</f>
        <v>1193313.3172249822</v>
      </c>
      <c r="DJ175" s="44">
        <f>IF(DJ168&gt;D170,(SUM(DI174:DJ174)/2),IF(DJ168=D170,DJ174,0))</f>
        <v>1151442.6745153335</v>
      </c>
      <c r="DK175" s="44">
        <f>IF(DK168&gt;D170,(SUM(DJ174:DK174)/2),IF(DK168=D170,DK174,0))</f>
        <v>1109572.0318056843</v>
      </c>
      <c r="DL175" s="44">
        <f>IF(DL168&gt;D170,(SUM(DK174:DL174)/2),IF(DL168=D170,DL174,0))</f>
        <v>1067701.3890960356</v>
      </c>
      <c r="DM175" s="44">
        <f>IF(DM168&gt;D170,(SUM(DL174:DM174)/2),IF(DM168=D170,DM174,0))</f>
        <v>1025830.7463863866</v>
      </c>
      <c r="DN175" s="44">
        <f>IF(DN168&gt;D170,(SUM(DM174:DN174)/2),IF(DN168=D170,DN174,0))</f>
        <v>983960.10367673764</v>
      </c>
      <c r="DO175" s="44">
        <f>IF(DO168&gt;D170,(SUM(DN174:DO174)/2),IF(DO168=D170,DO174,0))</f>
        <v>942089.4609670887</v>
      </c>
      <c r="DP175" s="44">
        <f>IF(DP168&gt;D170,(SUM(DO174:DP174)/2),IF(DP168=D170,DP174,0))</f>
        <v>900218.81825743977</v>
      </c>
      <c r="DQ175" s="44">
        <f>IF(DQ168&gt;D170,(SUM(DP174:DQ174)/2),IF(DQ168=D170,DQ174,0))</f>
        <v>858348.17554779083</v>
      </c>
      <c r="DR175" s="44">
        <f>IF(DR168&gt;D170,(SUM(DQ174:DR174)/2),IF(DR168=D170,DR174,0))</f>
        <v>816477.53283814189</v>
      </c>
      <c r="DS175" s="44">
        <f>IF(DS168&gt;D170,(SUM(DR174:DS174)/2),IF(DS168=D170,DS174,0))</f>
        <v>774606.89012849296</v>
      </c>
      <c r="DT175" s="44">
        <f>IF(DT168&gt;D170,(SUM(DS174:DT174)/2),IF(DT168=D170,DT174,0))</f>
        <v>732736.24741884402</v>
      </c>
      <c r="DU175" s="44">
        <f>IF(DU168&gt;D170,(SUM(DT174:DU174)/2),IF(DU168=D170,DU174,0))</f>
        <v>690865.60470919509</v>
      </c>
      <c r="DV175" s="44">
        <f>IF(DV168&gt;D170,(SUM(DU174:DV174)/2),IF(DV168=D170,DV174,0))</f>
        <v>648994.96199954615</v>
      </c>
      <c r="DW175" s="44">
        <f>IF(DW168&gt;D170,(SUM(DV174:DW174)/2),IF(DW168=D170,DW174,0))</f>
        <v>607124.31928989722</v>
      </c>
      <c r="DX175" s="44">
        <f>IF(DX168&gt;D170,(SUM(DW174:DX174)/2),IF(DX168=D170,DX174,0))</f>
        <v>565253.67658024828</v>
      </c>
      <c r="DY175" s="44">
        <f>IF(DY168&gt;D170,(SUM(DX174:DY174)/2),IF(DY168=D170,DY174,0))</f>
        <v>523383.03387059935</v>
      </c>
      <c r="DZ175" s="44">
        <f>IF(DZ168&gt;D170,(SUM(DY174:DZ174)/2),IF(DZ168=D170,DZ174,0))</f>
        <v>481512.39116095041</v>
      </c>
      <c r="EA175" s="44">
        <f>IF(EA168&gt;D170,(SUM(DZ174:EA174)/2),IF(EA168=D170,EA174,0))</f>
        <v>439641.74845130148</v>
      </c>
      <c r="EB175" s="44">
        <f>IF(EB168&gt;D170,(SUM(EA174:EB174)/2),IF(EB168=D170,EB174,0))</f>
        <v>397771.10574165254</v>
      </c>
      <c r="EC175" s="44">
        <f>IF(EC168&gt;D170,(SUM(EB174:EC174)/2),IF(EC168=D170,EC174,0))</f>
        <v>355900.46303200361</v>
      </c>
      <c r="ED175" s="44">
        <f>IF(ED168&gt;D170,(SUM(EC174:ED174)/2),IF(ED168=D170,ED174,0))</f>
        <v>314029.82032235467</v>
      </c>
      <c r="EE175" s="44">
        <f>IF(EE168&gt;D170,(SUM(ED174:EE174)/2),IF(EE168=D170,EE174,0))</f>
        <v>272159.17761270574</v>
      </c>
      <c r="EF175" s="44">
        <f>IF(EF168&gt;D170,(SUM(EE174:EF174)/2),IF(EF168=D170,EF174,0))</f>
        <v>230288.53490305674</v>
      </c>
      <c r="EG175" s="44">
        <f>IF(EG168&gt;D170,(SUM(EF174:EG174)/2),IF(EG168=D170,EG174,0))</f>
        <v>188417.89219340781</v>
      </c>
      <c r="EH175" s="44">
        <f>IF(EH168&gt;D170,(SUM(EG174:EH174)/2),IF(EH168=D170,EH174,0))</f>
        <v>146547.24948375882</v>
      </c>
      <c r="EI175" s="44">
        <f t="shared" ref="EI175:EN175" si="369">IF(EI168&gt;E170,(SUM(EH174:EI174)/2),IF(EI168=E170,EI174,0))</f>
        <v>104676.60677410987</v>
      </c>
      <c r="EJ175" s="44">
        <f t="shared" si="369"/>
        <v>62805.964064460903</v>
      </c>
      <c r="EK175" s="44">
        <f t="shared" si="369"/>
        <v>20935.32135481821</v>
      </c>
      <c r="EL175" s="44">
        <f t="shared" si="369"/>
        <v>0</v>
      </c>
      <c r="EM175" s="44">
        <f t="shared" si="369"/>
        <v>0</v>
      </c>
      <c r="EN175" s="44">
        <f t="shared" si="369"/>
        <v>0</v>
      </c>
    </row>
    <row r="176" spans="2:144" outlineLevel="1">
      <c r="C176" s="43" t="s">
        <v>176</v>
      </c>
      <c r="D176" s="44"/>
      <c r="E176" s="773">
        <f>E165</f>
        <v>10</v>
      </c>
      <c r="F176" s="44"/>
      <c r="G176" s="44"/>
      <c r="H176" s="120">
        <f>IF(H167&lt;$E170,0,IF(AND(H167&gt;=$E170,H167&lt;=($E170+$E176-1)),Вводные!$D$30,Вводные!$E$30))</f>
        <v>0</v>
      </c>
      <c r="I176" s="120">
        <f>IF(I167&lt;$E170,0,IF(AND(I167&gt;=$E170,I167&lt;=($E170+$E176-1)),Вводные!$D$30,Вводные!$E$30))</f>
        <v>0</v>
      </c>
      <c r="J176" s="120">
        <f>IF(J167&lt;$E170,0,IF(AND(J167&gt;=$E170,J167&lt;=($E170+$E176-1)),Вводные!$D$30,Вводные!$E$30))</f>
        <v>0</v>
      </c>
      <c r="K176" s="120">
        <f>IF(K167&lt;$E170,0,IF(AND(K167&gt;=$E170,K167&lt;=($E170+$E176-1)),Вводные!$D$30,Вводные!$E$30))</f>
        <v>0</v>
      </c>
      <c r="L176" s="120">
        <f>IF(L167&lt;$E170,0,IF(AND(L167&gt;=$E170,L167&lt;=($E170+$E176-1)),Вводные!$D$30,Вводные!$E$30))</f>
        <v>0</v>
      </c>
      <c r="M176" s="120">
        <f>IF(M167&lt;$E170,0,IF(AND(M167&gt;=$E170,M167&lt;=($E170+$E176-1)),Вводные!$D$30,Вводные!$E$30))</f>
        <v>0</v>
      </c>
      <c r="N176" s="120">
        <f>IF(N167&lt;$E170,0,IF(AND(N167&gt;=$E170,N167&lt;=($E170+$E176-1)),Вводные!$D$30,Вводные!$E$30))</f>
        <v>0</v>
      </c>
      <c r="O176" s="120">
        <f>IF(O167&lt;$E170,0,IF(AND(O167&gt;=$E170,O167&lt;=($E170+$E176-1)),Вводные!$D$30,Вводные!$E$30))</f>
        <v>0</v>
      </c>
      <c r="P176" s="120">
        <f>IF(P167&lt;$E170,0,IF(AND(P167&gt;=$E170,P167&lt;=($E170+$E176-1)),Вводные!$D$30,Вводные!$E$30))</f>
        <v>0</v>
      </c>
      <c r="Q176" s="120">
        <f>IF(Q167&lt;$E170,0,IF(AND(Q167&gt;=$E170,Q167&lt;=($E170+$E176-1)),Вводные!$D$30,Вводные!$E$30))</f>
        <v>0</v>
      </c>
      <c r="R176" s="120">
        <f>IF(R167&lt;$E170,0,IF(AND(R167&gt;=$E170,R167&lt;=($E170+$E176-1)),Вводные!$D$30,Вводные!$E$30))</f>
        <v>0</v>
      </c>
      <c r="S176" s="120">
        <f>IF(S167&lt;$E170,0,IF(AND(S167&gt;=$E170,S167&lt;=($E170+$E176-1)),Вводные!$D$30,Вводные!$E$30))</f>
        <v>0</v>
      </c>
      <c r="T176" s="120">
        <f>IF(T167&lt;$E170,0,IF(AND(T167&gt;=$E170,T167&lt;=($E170+$E176-1)),Вводные!$D$30,Вводные!$E$30))</f>
        <v>0</v>
      </c>
      <c r="U176" s="120">
        <f>IF(U167&lt;$E170,0,IF(AND(U167&gt;=$E170,U167&lt;=($E170+$E176-1)),Вводные!$D$30,Вводные!$E$30))</f>
        <v>0</v>
      </c>
      <c r="V176" s="120">
        <f>IF(V167&lt;$E170,0,IF(AND(V167&gt;=$E170,V167&lt;=($E170+$E176-1)),Вводные!$D$30,Вводные!$E$30))</f>
        <v>0</v>
      </c>
      <c r="W176" s="120">
        <f>IF(W167&lt;$E170,0,IF(AND(W167&gt;=$E170,W167&lt;=($E170+$E176-1)),Вводные!$D$30,Вводные!$E$30))</f>
        <v>0</v>
      </c>
      <c r="X176" s="120">
        <f>IF(X167&lt;$E170,0,IF(AND(X167&gt;=$E170,X167&lt;=($E170+$E176-1)),Вводные!$D$30,Вводные!$E$30))</f>
        <v>0</v>
      </c>
      <c r="Y176" s="120">
        <f>IF(Y167&lt;$E170,0,IF(AND(Y167&gt;=$E170,Y167&lt;=($E170+$E176-1)),Вводные!$D$30,Вводные!$E$30))</f>
        <v>0</v>
      </c>
      <c r="Z176" s="120">
        <f>IF(Z167&lt;$E170,0,IF(AND(Z167&gt;=$E170,Z167&lt;=($E170+$E176-1)),Вводные!$D$30,Вводные!$E$30))</f>
        <v>0</v>
      </c>
      <c r="AA176" s="120">
        <f>IF(AA167&lt;$E170,0,IF(AND(AA167&gt;=$E170,AA167&lt;=($E170+$E176-1)),Вводные!$D$30,Вводные!$E$30))</f>
        <v>0</v>
      </c>
      <c r="AB176" s="120">
        <f>IF(AB167&lt;$E170,0,IF(AND(AB167&gt;=$E170,AB167&lt;=($E170+$E176-1)),Вводные!$D$30,Вводные!$E$30))</f>
        <v>0</v>
      </c>
      <c r="AC176" s="120">
        <f>IF(AC167&lt;$E170,0,IF(AND(AC167&gt;=$E170,AC167&lt;=($E170+$E176-1)),Вводные!$D$30,Вводные!$E$30))</f>
        <v>0</v>
      </c>
      <c r="AD176" s="120">
        <f>IF(AD167&lt;$E170,0,IF(AND(AD167&gt;=$E170,AD167&lt;=($E170+$E176-1)),Вводные!$D$30,Вводные!$E$30))</f>
        <v>0</v>
      </c>
      <c r="AE176" s="120">
        <f>IF(AE167&lt;$E170,0,IF(AND(AE167&gt;=$E170,AE167&lt;=($E170+$E176-1)),Вводные!$D$30,Вводные!$E$30))</f>
        <v>0</v>
      </c>
      <c r="AF176" s="120">
        <f>IF(AF167&lt;$E170,0,IF(AND(AF167&gt;=$E170,AF167&lt;=($E170+$E176-1)),Вводные!$D$30,Вводные!$E$30))</f>
        <v>0</v>
      </c>
      <c r="AG176" s="120">
        <f>IF(AG167&lt;$E170,0,IF(AND(AG167&gt;=$E170,AG167&lt;=($E170+$E176-1)),Вводные!$D$30,Вводные!$E$30))</f>
        <v>0</v>
      </c>
      <c r="AH176" s="120">
        <f>IF(AH167&lt;$E170,0,IF(AND(AH167&gt;=$E170,AH167&lt;=($E170+$E176-1)),Вводные!$D$30,Вводные!$E$30))</f>
        <v>0</v>
      </c>
      <c r="AI176" s="120">
        <f>IF(AI167&lt;$E170,0,IF(AND(AI167&gt;=$E170,AI167&lt;=($E170+$E176-1)),Вводные!$D$30,Вводные!$E$30))</f>
        <v>0</v>
      </c>
      <c r="AJ176" s="120">
        <f>IF(AJ167&lt;$E170,0,IF(AND(AJ167&gt;=$E170,AJ167&lt;=($E170+$E176-1)),Вводные!$D$30,Вводные!$E$30))</f>
        <v>0</v>
      </c>
      <c r="AK176" s="120">
        <f>IF(AK167&lt;$E170,0,IF(AND(AK167&gt;=$E170,AK167&lt;=($E170+$E176-1)),Вводные!$D$30,Вводные!$E$30))</f>
        <v>0</v>
      </c>
      <c r="AL176" s="120">
        <f>IF(AL167&lt;$E170,0,IF(AND(AL167&gt;=$E170,AL167&lt;=($E170+$E176-1)),Вводные!$D$30,Вводные!$E$30))</f>
        <v>0</v>
      </c>
      <c r="AM176" s="120">
        <f>IF(AM167&lt;$E170,0,IF(AND(AM167&gt;=$E170,AM167&lt;=($E170+$E176-1)),Вводные!$D$30,Вводные!$E$30))</f>
        <v>0</v>
      </c>
      <c r="AN176" s="120">
        <f>IF(AN167&lt;$E170,0,IF(AND(AN167&gt;=$E170,AN167&lt;=($E170+$E176-1)),Вводные!$D$30,Вводные!$E$30))</f>
        <v>0</v>
      </c>
      <c r="AO176" s="120">
        <f>IF(AO167&lt;$E170,0,IF(AND(AO167&gt;=$E170,AO167&lt;=($E170+$E176-1)),Вводные!$D$30,Вводные!$E$30))</f>
        <v>0</v>
      </c>
      <c r="AP176" s="120">
        <f>IF(AP167&lt;$E170,0,IF(AND(AP167&gt;=$E170,AP167&lt;=($E170+$E176-1)),Вводные!$D$30,Вводные!$E$30))</f>
        <v>0</v>
      </c>
      <c r="AQ176" s="120">
        <f>IF(AQ167&lt;$E170,0,IF(AND(AQ167&gt;=$E170,AQ167&lt;=($E170+$E176-1)),Вводные!$D$30,Вводные!$E$30))</f>
        <v>0</v>
      </c>
      <c r="AR176" s="120">
        <f>IF(AR167&lt;$E170,0,IF(AND(AR167&gt;=$E170,AR167&lt;=($E170+$E176-1)),Вводные!$D$30,Вводные!$E$30))</f>
        <v>0</v>
      </c>
      <c r="AS176" s="120">
        <f>IF(AS167&lt;$E170,0,IF(AND(AS167&gt;=$E170,AS167&lt;=($E170+$E176-1)),Вводные!$D$30,Вводные!$E$30))</f>
        <v>0</v>
      </c>
      <c r="AT176" s="120">
        <f>IF(AT167&lt;$E170,0,IF(AND(AT167&gt;=$E170,AT167&lt;=($E170+$E176-1)),Вводные!$D$30,Вводные!$E$30))</f>
        <v>0</v>
      </c>
      <c r="AU176" s="120">
        <f>IF(AU167&lt;$E170,0,IF(AND(AU167&gt;=$E170,AU167&lt;=($E170+$E176-1)),Вводные!$D$30,Вводные!$E$30))</f>
        <v>0</v>
      </c>
      <c r="AV176" s="120">
        <f>IF(AV167&lt;$E170,0,IF(AND(AV167&gt;=$E170,AV167&lt;=($E170+$E176-1)),Вводные!$D$30,Вводные!$E$30))</f>
        <v>0</v>
      </c>
      <c r="AW176" s="120">
        <f>IF(AW167&lt;$E170,0,IF(AND(AW167&gt;=$E170,AW167&lt;=($E170+$E176-1)),Вводные!$D$30,Вводные!$E$30))</f>
        <v>0</v>
      </c>
      <c r="AX176" s="120">
        <f>IF(AX167&lt;$E170,0,IF(AND(AX167&gt;=$E170,AX167&lt;=($E170+$E176-1)),Вводные!$D$30,Вводные!$E$30))</f>
        <v>0</v>
      </c>
      <c r="AY176" s="120">
        <f>IF(AY167&lt;$E170,0,IF(AND(AY167&gt;=$E170,AY167&lt;=($E170+$E176-1)),Вводные!$D$30,Вводные!$E$30))</f>
        <v>0</v>
      </c>
      <c r="AZ176" s="120">
        <f>IF(AZ167&lt;$E170,0,IF(AND(AZ167&gt;=$E170,AZ167&lt;=($E170+$E176-1)),Вводные!$D$30,Вводные!$E$30))</f>
        <v>0</v>
      </c>
      <c r="BA176" s="120">
        <f>IF(BA167&lt;$E170,0,IF(AND(BA167&gt;=$E170,BA167&lt;=($E170+$E176-1)),Вводные!$D$30,Вводные!$E$30))</f>
        <v>0</v>
      </c>
      <c r="BB176" s="120">
        <f>IF(BB167&lt;$E170,0,IF(AND(BB167&gt;=$E170,BB167&lt;=($E170+$E176-1)),Вводные!$D$30,Вводные!$E$30))</f>
        <v>0</v>
      </c>
      <c r="BC176" s="120">
        <f>IF(BC167&lt;$E170,0,IF(AND(BC167&gt;=$E170,BC167&lt;=($E170+$E176-1)),Вводные!$D$30,Вводные!$E$30))</f>
        <v>0</v>
      </c>
      <c r="BD176" s="120">
        <f>IF(BD167&lt;$E170,0,IF(AND(BD167&gt;=$E170,BD167&lt;=($E170+$E176-1)),Вводные!$D$30,Вводные!$E$30))</f>
        <v>0</v>
      </c>
      <c r="BE176" s="120">
        <f>IF(BE167&lt;$E170,0,IF(AND(BE167&gt;=$E170,BE167&lt;=($E170+$E176-1)),Вводные!$D$30,Вводные!$E$30))</f>
        <v>0</v>
      </c>
      <c r="BF176" s="120">
        <f>IF(BF167&lt;$E170,0,IF(AND(BF167&gt;=$E170,BF167&lt;=($E170+$E176-1)),Вводные!$D$30,Вводные!$E$30))</f>
        <v>0</v>
      </c>
      <c r="BG176" s="120">
        <f>IF(BG167&lt;$E170,0,IF(AND(BG167&gt;=$E170,BG167&lt;=($E170+$E176-1)),Вводные!$D$30,Вводные!$E$30))</f>
        <v>0</v>
      </c>
      <c r="BH176" s="120">
        <f>IF(BH167&lt;$E170,0,IF(AND(BH167&gt;=$E170,BH167&lt;=($E170+$E176-1)),Вводные!$D$30,Вводные!$E$30))</f>
        <v>2.1999999999999999E-2</v>
      </c>
      <c r="BI176" s="120">
        <f>IF(BI167&lt;$E170,0,IF(AND(BI167&gt;=$E170,BI167&lt;=($E170+$E176-1)),Вводные!$D$30,Вводные!$E$30))</f>
        <v>2.1999999999999999E-2</v>
      </c>
      <c r="BJ176" s="120">
        <f>IF(BJ167&lt;$E170,0,IF(AND(BJ167&gt;=$E170,BJ167&lt;=($E170+$E176-1)),Вводные!$D$30,Вводные!$E$30))</f>
        <v>2.1999999999999999E-2</v>
      </c>
      <c r="BK176" s="120">
        <f>IF(BK167&lt;$E170,0,IF(AND(BK167&gt;=$E170,BK167&lt;=($E170+$E176-1)),Вводные!$D$30,Вводные!$E$30))</f>
        <v>2.1999999999999999E-2</v>
      </c>
      <c r="BL176" s="120">
        <f>IF(BL167&lt;$E170,0,IF(AND(BL167&gt;=$E170,BL167&lt;=($E170+$E176-1)),Вводные!$D$30,Вводные!$E$30))</f>
        <v>2.1999999999999999E-2</v>
      </c>
      <c r="BM176" s="120">
        <f>IF(BM167&lt;$E170,0,IF(AND(BM167&gt;=$E170,BM167&lt;=($E170+$E176-1)),Вводные!$D$30,Вводные!$E$30))</f>
        <v>2.1999999999999999E-2</v>
      </c>
      <c r="BN176" s="120">
        <f>IF(BN167&lt;$E170,0,IF(AND(BN167&gt;=$E170,BN167&lt;=($E170+$E176-1)),Вводные!$D$30,Вводные!$E$30))</f>
        <v>2.1999999999999999E-2</v>
      </c>
      <c r="BO176" s="120">
        <f>IF(BO167&lt;$E170,0,IF(AND(BO167&gt;=$E170,BO167&lt;=($E170+$E176-1)),Вводные!$D$30,Вводные!$E$30))</f>
        <v>2.1999999999999999E-2</v>
      </c>
      <c r="BP176" s="120">
        <f>IF(BP167&lt;$E170,0,IF(AND(BP167&gt;=$E170,BP167&lt;=($E170+$E176-1)),Вводные!$D$30,Вводные!$E$30))</f>
        <v>2.1999999999999999E-2</v>
      </c>
      <c r="BQ176" s="120">
        <f>IF(BQ167&lt;$E170,0,IF(AND(BQ167&gt;=$E170,BQ167&lt;=($E170+$E176-1)),Вводные!$D$30,Вводные!$E$30))</f>
        <v>2.1999999999999999E-2</v>
      </c>
      <c r="BR176" s="120">
        <f>IF(BR167&lt;$E170,0,IF(AND(BR167&gt;=$E170,BR167&lt;=($E170+$E176-1)),Вводные!$D$30,Вводные!$E$30))</f>
        <v>2.1999999999999999E-2</v>
      </c>
      <c r="BS176" s="120">
        <f>IF(BS167&lt;$E170,0,IF(AND(BS167&gt;=$E170,BS167&lt;=($E170+$E176-1)),Вводные!$D$30,Вводные!$E$30))</f>
        <v>2.1999999999999999E-2</v>
      </c>
      <c r="BT176" s="120">
        <f>IF(BT167&lt;$E170,0,IF(AND(BT167&gt;=$E170,BT167&lt;=($E170+$E176-1)),Вводные!$D$30,Вводные!$E$30))</f>
        <v>2.1999999999999999E-2</v>
      </c>
      <c r="BU176" s="120">
        <f>IF(BU167&lt;$E170,0,IF(AND(BU167&gt;=$E170,BU167&lt;=($E170+$E176-1)),Вводные!$D$30,Вводные!$E$30))</f>
        <v>2.1999999999999999E-2</v>
      </c>
      <c r="BV176" s="120">
        <f>IF(BV167&lt;$E170,0,IF(AND(BV167&gt;=$E170,BV167&lt;=($E170+$E176-1)),Вводные!$D$30,Вводные!$E$30))</f>
        <v>2.1999999999999999E-2</v>
      </c>
      <c r="BW176" s="120">
        <f>IF(BW167&lt;$E170,0,IF(AND(BW167&gt;=$E170,BW167&lt;=($E170+$E176-1)),Вводные!$D$30,Вводные!$E$30))</f>
        <v>2.1999999999999999E-2</v>
      </c>
      <c r="BX176" s="120">
        <f>IF(BX167&lt;$E170,0,IF(AND(BX167&gt;=$E170,BX167&lt;=($E170+$E176-1)),Вводные!$D$30,Вводные!$E$30))</f>
        <v>2.1999999999999999E-2</v>
      </c>
      <c r="BY176" s="120">
        <f>IF(BY167&lt;$E170,0,IF(AND(BY167&gt;=$E170,BY167&lt;=($E170+$E176-1)),Вводные!$D$30,Вводные!$E$30))</f>
        <v>2.1999999999999999E-2</v>
      </c>
      <c r="BZ176" s="120">
        <f>IF(BZ167&lt;$E170,0,IF(AND(BZ167&gt;=$E170,BZ167&lt;=($E170+$E176-1)),Вводные!$D$30,Вводные!$E$30))</f>
        <v>2.1999999999999999E-2</v>
      </c>
      <c r="CA176" s="120">
        <f>IF(CA167&lt;$E170,0,IF(AND(CA167&gt;=$E170,CA167&lt;=($E170+$E176-1)),Вводные!$D$30,Вводные!$E$30))</f>
        <v>2.1999999999999999E-2</v>
      </c>
      <c r="CB176" s="120">
        <f>IF(CB167&lt;$E170,0,IF(AND(CB167&gt;=$E170,CB167&lt;=($E170+$E176-1)),Вводные!$D$30,Вводные!$E$30))</f>
        <v>2.1999999999999999E-2</v>
      </c>
      <c r="CC176" s="120">
        <f>IF(CC167&lt;$E170,0,IF(AND(CC167&gt;=$E170,CC167&lt;=($E170+$E176-1)),Вводные!$D$30,Вводные!$E$30))</f>
        <v>2.1999999999999999E-2</v>
      </c>
      <c r="CD176" s="120">
        <f>IF(CD167&lt;$E170,0,IF(AND(CD167&gt;=$E170,CD167&lt;=($E170+$E176-1)),Вводные!$D$30,Вводные!$E$30))</f>
        <v>2.1999999999999999E-2</v>
      </c>
      <c r="CE176" s="120">
        <f>IF(CE167&lt;$E170,0,IF(AND(CE167&gt;=$E170,CE167&lt;=($E170+$E176-1)),Вводные!$D$30,Вводные!$E$30))</f>
        <v>2.1999999999999999E-2</v>
      </c>
      <c r="CF176" s="120">
        <f>IF(CF167&lt;$E170,0,IF(AND(CF167&gt;=$E170,CF167&lt;=($E170+$E176-1)),Вводные!$D$30,Вводные!$E$30))</f>
        <v>2.1999999999999999E-2</v>
      </c>
      <c r="CG176" s="120">
        <f>IF(CG167&lt;$E170,0,IF(AND(CG167&gt;=$E170,CG167&lt;=($E170+$E176-1)),Вводные!$D$30,Вводные!$E$30))</f>
        <v>2.1999999999999999E-2</v>
      </c>
      <c r="CH176" s="120">
        <f>IF(CH167&lt;$E170,0,IF(AND(CH167&gt;=$E170,CH167&lt;=($E170+$E176-1)),Вводные!$D$30,Вводные!$E$30))</f>
        <v>2.1999999999999999E-2</v>
      </c>
      <c r="CI176" s="120">
        <f>IF(CI167&lt;$E170,0,IF(AND(CI167&gt;=$E170,CI167&lt;=($E170+$E176-1)),Вводные!$D$30,Вводные!$E$30))</f>
        <v>2.1999999999999999E-2</v>
      </c>
      <c r="CJ176" s="120">
        <f>IF(CJ167&lt;$E170,0,IF(AND(CJ167&gt;=$E170,CJ167&lt;=($E170+$E176-1)),Вводные!$D$30,Вводные!$E$30))</f>
        <v>2.1999999999999999E-2</v>
      </c>
      <c r="CK176" s="120">
        <f>IF(CK167&lt;$E170,0,IF(AND(CK167&gt;=$E170,CK167&lt;=($E170+$E176-1)),Вводные!$D$30,Вводные!$E$30))</f>
        <v>2.1999999999999999E-2</v>
      </c>
      <c r="CL176" s="120">
        <f>IF(CL167&lt;$E170,0,IF(AND(CL167&gt;=$E170,CL167&lt;=($E170+$E176-1)),Вводные!$D$30,Вводные!$E$30))</f>
        <v>2.1999999999999999E-2</v>
      </c>
      <c r="CM176" s="120">
        <f>IF(CM167&lt;$E170,0,IF(AND(CM167&gt;=$E170,CM167&lt;=($E170+$E176-1)),Вводные!$D$30,Вводные!$E$30))</f>
        <v>2.1999999999999999E-2</v>
      </c>
      <c r="CN176" s="120">
        <f>IF(CN167&lt;$E170,0,IF(AND(CN167&gt;=$E170,CN167&lt;=($E170+$E176-1)),Вводные!$D$30,Вводные!$E$30))</f>
        <v>2.1999999999999999E-2</v>
      </c>
      <c r="CO176" s="120">
        <f>IF(CO167&lt;$E170,0,IF(AND(CO167&gt;=$E170,CO167&lt;=($E170+$E176-1)),Вводные!$D$30,Вводные!$E$30))</f>
        <v>2.1999999999999999E-2</v>
      </c>
      <c r="CP176" s="120">
        <f>IF(CP167&lt;$E170,0,IF(AND(CP167&gt;=$E170,CP167&lt;=($E170+$E176-1)),Вводные!$D$30,Вводные!$E$30))</f>
        <v>2.1999999999999999E-2</v>
      </c>
      <c r="CQ176" s="120">
        <f>IF(CQ167&lt;$E170,0,IF(AND(CQ167&gt;=$E170,CQ167&lt;=($E170+$E176-1)),Вводные!$D$30,Вводные!$E$30))</f>
        <v>2.1999999999999999E-2</v>
      </c>
      <c r="CR176" s="120">
        <f>IF(CR167&lt;$E170,0,IF(AND(CR167&gt;=$E170,CR167&lt;=($E170+$E176-1)),Вводные!$D$30,Вводные!$E$30))</f>
        <v>2.1999999999999999E-2</v>
      </c>
      <c r="CS176" s="120">
        <f>IF(CS167&lt;$E170,0,IF(AND(CS167&gt;=$E170,CS167&lt;=($E170+$E176-1)),Вводные!$D$30,Вводные!$E$30))</f>
        <v>2.1999999999999999E-2</v>
      </c>
      <c r="CT176" s="120">
        <f>IF(CT167&lt;$E170,0,IF(AND(CT167&gt;=$E170,CT167&lt;=($E170+$E176-1)),Вводные!$D$30,Вводные!$E$30))</f>
        <v>2.1999999999999999E-2</v>
      </c>
      <c r="CU176" s="120">
        <f>IF(CU167&lt;$E170,0,IF(AND(CU167&gt;=$E170,CU167&lt;=($E170+$E176-1)),Вводные!$D$30,Вводные!$E$30))</f>
        <v>2.1999999999999999E-2</v>
      </c>
      <c r="CV176" s="120">
        <f>IF(CV167&lt;$E170,0,IF(AND(CV167&gt;=$E170,CV167&lt;=($E170+$E176-1)),Вводные!$D$30,Вводные!$E$30))</f>
        <v>2.1999999999999999E-2</v>
      </c>
      <c r="CW176" s="120">
        <f>IF(CW167&lt;$E170,0,IF(AND(CW167&gt;=$E170,CW167&lt;=($E170+$E176-1)),Вводные!$D$30,Вводные!$E$30))</f>
        <v>2.1999999999999999E-2</v>
      </c>
      <c r="CX176" s="120">
        <f>IF(CX167&lt;$E170,0,IF(AND(CX167&gt;=$E170,CX167&lt;=($E170+$E176-1)),Вводные!$D$30,Вводные!$E$30))</f>
        <v>2.1999999999999999E-2</v>
      </c>
      <c r="CY176" s="120">
        <f>IF(CY167&lt;$E170,0,IF(AND(CY167&gt;=$E170,CY167&lt;=($E170+$E176-1)),Вводные!$D$30,Вводные!$E$30))</f>
        <v>2.1999999999999999E-2</v>
      </c>
      <c r="CZ176" s="120">
        <f>IF(CZ167&lt;$E170,0,IF(AND(CZ167&gt;=$E170,CZ167&lt;=($E170+$E176-1)),Вводные!$D$30,Вводные!$E$30))</f>
        <v>2.1999999999999999E-2</v>
      </c>
      <c r="DA176" s="120">
        <f>IF(DA167&lt;$E170,0,IF(AND(DA167&gt;=$E170,DA167&lt;=($E170+$E176-1)),Вводные!$D$30,Вводные!$E$30))</f>
        <v>2.1999999999999999E-2</v>
      </c>
      <c r="DB176" s="120">
        <f>IF(DB167&lt;$E170,0,IF(AND(DB167&gt;=$E170,DB167&lt;=($E170+$E176-1)),Вводные!$D$30,Вводные!$E$30))</f>
        <v>2.1999999999999999E-2</v>
      </c>
      <c r="DC176" s="120">
        <f>IF(DC167&lt;$E170,0,IF(AND(DC167&gt;=$E170,DC167&lt;=($E170+$E176-1)),Вводные!$D$30,Вводные!$E$30))</f>
        <v>2.1999999999999999E-2</v>
      </c>
      <c r="DD176" s="120">
        <f>IF(DD167&lt;$E170,0,IF(AND(DD167&gt;=$E170,DD167&lt;=($E170+$E176-1)),Вводные!$D$30,Вводные!$E$30))</f>
        <v>2.1999999999999999E-2</v>
      </c>
      <c r="DE176" s="120">
        <f>IF(DE167&lt;$E170,0,IF(AND(DE167&gt;=$E170,DE167&lt;=($E170+$E176-1)),Вводные!$D$30,Вводные!$E$30))</f>
        <v>2.1999999999999999E-2</v>
      </c>
      <c r="DF176" s="120">
        <f>IF(DF167&lt;$E170,0,IF(AND(DF167&gt;=$E170,DF167&lt;=($E170+$E176-1)),Вводные!$D$30,Вводные!$E$30))</f>
        <v>2.1999999999999999E-2</v>
      </c>
      <c r="DG176" s="120">
        <f>IF(DG167&lt;$E170,0,IF(AND(DG167&gt;=$E170,DG167&lt;=($E170+$E176-1)),Вводные!$D$30,Вводные!$E$30))</f>
        <v>2.1999999999999999E-2</v>
      </c>
      <c r="DH176" s="120">
        <f>IF(DH167&lt;$E170,0,IF(AND(DH167&gt;=$E170,DH167&lt;=($E170+$E176-1)),Вводные!$D$30,Вводные!$E$30))</f>
        <v>2.1999999999999999E-2</v>
      </c>
      <c r="DI176" s="120">
        <f>IF(DI167&lt;$E170,0,IF(AND(DI167&gt;=$E170,DI167&lt;=($E170+$E176-1)),Вводные!$D$30,Вводные!$E$30))</f>
        <v>2.1999999999999999E-2</v>
      </c>
      <c r="DJ176" s="120">
        <f>IF(DJ167&lt;$E170,0,IF(AND(DJ167&gt;=$E170,DJ167&lt;=($E170+$E176-1)),Вводные!$D$30,Вводные!$E$30))</f>
        <v>2.1999999999999999E-2</v>
      </c>
      <c r="DK176" s="120">
        <f>IF(DK167&lt;$E170,0,IF(AND(DK167&gt;=$E170,DK167&lt;=($E170+$E176-1)),Вводные!$D$30,Вводные!$E$30))</f>
        <v>2.1999999999999999E-2</v>
      </c>
      <c r="DL176" s="120">
        <f>IF(DL167&lt;$E170,0,IF(AND(DL167&gt;=$E170,DL167&lt;=($E170+$E176-1)),Вводные!$D$30,Вводные!$E$30))</f>
        <v>2.1999999999999999E-2</v>
      </c>
      <c r="DM176" s="120">
        <f>IF(DM167&lt;$E170,0,IF(AND(DM167&gt;=$E170,DM167&lt;=($E170+$E176-1)),Вводные!$D$30,Вводные!$E$30))</f>
        <v>2.1999999999999999E-2</v>
      </c>
      <c r="DN176" s="120">
        <f>IF(DN167&lt;$E170,0,IF(AND(DN167&gt;=$E170,DN167&lt;=($E170+$E176-1)),Вводные!$D$30,Вводные!$E$30))</f>
        <v>2.1999999999999999E-2</v>
      </c>
      <c r="DO176" s="120">
        <f>IF(DO167&lt;$E170,0,IF(AND(DO167&gt;=$E170,DO167&lt;=($E170+$E176-1)),Вводные!$D$30,Вводные!$E$30))</f>
        <v>2.1999999999999999E-2</v>
      </c>
      <c r="DP176" s="120">
        <f>IF(DP167&lt;$E170,0,IF(AND(DP167&gt;=$E170,DP167&lt;=($E170+$E176-1)),Вводные!$D$30,Вводные!$E$30))</f>
        <v>2.1999999999999999E-2</v>
      </c>
      <c r="DQ176" s="120">
        <f>IF(DQ167&lt;$E170,0,IF(AND(DQ167&gt;=$E170,DQ167&lt;=($E170+$E176-1)),Вводные!$D$30,Вводные!$E$30))</f>
        <v>2.1999999999999999E-2</v>
      </c>
      <c r="DR176" s="120">
        <f>IF(DR167&lt;$E170,0,IF(AND(DR167&gt;=$E170,DR167&lt;=($E170+$E176-1)),Вводные!$D$30,Вводные!$E$30))</f>
        <v>2.1999999999999999E-2</v>
      </c>
      <c r="DS176" s="120">
        <f>IF(DS167&lt;$E170,0,IF(AND(DS167&gt;=$E170,DS167&lt;=($E170+$E176-1)),Вводные!$D$30,Вводные!$E$30))</f>
        <v>2.1999999999999999E-2</v>
      </c>
      <c r="DT176" s="120">
        <f>IF(DT167&lt;$E170,0,IF(AND(DT167&gt;=$E170,DT167&lt;=($E170+$E176-1)),Вводные!$D$30,Вводные!$E$30))</f>
        <v>2.1999999999999999E-2</v>
      </c>
      <c r="DU176" s="120">
        <f>IF(DU167&lt;$E170,0,IF(AND(DU167&gt;=$E170,DU167&lt;=($E170+$E176-1)),Вводные!$D$30,Вводные!$E$30))</f>
        <v>2.1999999999999999E-2</v>
      </c>
      <c r="DV176" s="120">
        <f>IF(DV167&lt;$E170,0,IF(AND(DV167&gt;=$E170,DV167&lt;=($E170+$E176-1)),Вводные!$D$30,Вводные!$E$30))</f>
        <v>2.1999999999999999E-2</v>
      </c>
      <c r="DW176" s="120">
        <f>IF(DW167&lt;$E170,0,IF(AND(DW167&gt;=$E170,DW167&lt;=($E170+$E176-1)),Вводные!$D$30,Вводные!$E$30))</f>
        <v>2.1999999999999999E-2</v>
      </c>
      <c r="DX176" s="120">
        <f>IF(DX167&lt;$E170,0,IF(AND(DX167&gt;=$E170,DX167&lt;=($E170+$E176-1)),Вводные!$D$30,Вводные!$E$30))</f>
        <v>2.1999999999999999E-2</v>
      </c>
      <c r="DY176" s="120">
        <f>IF(DY167&lt;$E170,0,IF(AND(DY167&gt;=$E170,DY167&lt;=($E170+$E176-1)),Вводные!$D$30,Вводные!$E$30))</f>
        <v>2.1999999999999999E-2</v>
      </c>
      <c r="DZ176" s="120">
        <f>IF(DZ167&lt;$E170,0,IF(AND(DZ167&gt;=$E170,DZ167&lt;=($E170+$E176-1)),Вводные!$D$30,Вводные!$E$30))</f>
        <v>2.1999999999999999E-2</v>
      </c>
      <c r="EA176" s="120">
        <f>IF(EA167&lt;$E170,0,IF(AND(EA167&gt;=$E170,EA167&lt;=($E170+$E176-1)),Вводные!$D$30,Вводные!$E$30))</f>
        <v>2.1999999999999999E-2</v>
      </c>
      <c r="EB176" s="120">
        <f>IF(EB167&lt;$E170,0,IF(AND(EB167&gt;=$E170,EB167&lt;=($E170+$E176-1)),Вводные!$D$30,Вводные!$E$30))</f>
        <v>2.1999999999999999E-2</v>
      </c>
      <c r="EC176" s="120">
        <f>IF(EC167&lt;$E170,0,IF(AND(EC167&gt;=$E170,EC167&lt;=($E170+$E176-1)),Вводные!$D$30,Вводные!$E$30))</f>
        <v>2.1999999999999999E-2</v>
      </c>
      <c r="ED176" s="120">
        <f>IF(ED167&lt;$E170,0,IF(AND(ED167&gt;=$E170,ED167&lt;=($E170+$E176-1)),Вводные!$D$30,Вводные!$E$30))</f>
        <v>2.1999999999999999E-2</v>
      </c>
      <c r="EE176" s="120">
        <f>IF(EE167&lt;$E170,0,IF(AND(EE167&gt;=$E170,EE167&lt;=($E170+$E176-1)),Вводные!$D$30,Вводные!$E$30))</f>
        <v>2.1999999999999999E-2</v>
      </c>
      <c r="EF176" s="120">
        <f>IF(EF167&lt;$E170,0,IF(AND(EF167&gt;=$E170,EF167&lt;=($E170+$E176-1)),Вводные!$D$30,Вводные!$E$30))</f>
        <v>2.1999999999999999E-2</v>
      </c>
      <c r="EG176" s="120">
        <f>IF(EG167&lt;$E170,0,IF(AND(EG167&gt;=$E170,EG167&lt;=($E170+$E176-1)),Вводные!$D$30,Вводные!$E$30))</f>
        <v>2.1999999999999999E-2</v>
      </c>
      <c r="EH176" s="120">
        <f>IF(EH167&lt;$E170,0,IF(AND(EH167&gt;=$E170,EH167&lt;=($E170+$E176-1)),Вводные!$D$30,Вводные!$E$30))</f>
        <v>2.1999999999999999E-2</v>
      </c>
      <c r="EI176" s="120">
        <f>IF(EI167&lt;$E170,0,IF(AND(EI167&gt;=$E170,EI167&lt;=($E170+$E176-1)),Вводные!$D$30,Вводные!$E$30))</f>
        <v>2.1999999999999999E-2</v>
      </c>
      <c r="EJ176" s="120">
        <f>IF(EJ167&lt;$E170,0,IF(AND(EJ167&gt;=$E170,EJ167&lt;=($E170+$E176-1)),Вводные!$D$30,Вводные!$E$30))</f>
        <v>2.1999999999999999E-2</v>
      </c>
      <c r="EK176" s="120">
        <f>IF(EK167&lt;$E170,0,IF(AND(EK167&gt;=$E170,EK167&lt;=($E170+$E176-1)),Вводные!$D$30,Вводные!$E$30))</f>
        <v>2.1999999999999999E-2</v>
      </c>
      <c r="EL176" s="120">
        <f>IF(EL167&lt;$E170,0,IF(AND(EL167&gt;=$E170,EL167&lt;=($E170+$E176-1)),Вводные!$D$30,Вводные!$E$30))</f>
        <v>2.1999999999999999E-2</v>
      </c>
      <c r="EM176" s="120">
        <f>IF(EM167&lt;$E170,0,IF(AND(EM167&gt;=$E170,EM167&lt;=($E170+$E176-1)),Вводные!$D$30,Вводные!$E$30))</f>
        <v>2.1999999999999999E-2</v>
      </c>
      <c r="EN176" s="120">
        <f>IF(EN167&lt;$E170,0,IF(AND(EN167&gt;=$E170,EN167&lt;=($E170+$E176-1)),Вводные!$D$30,Вводные!$E$30))</f>
        <v>2.1999999999999999E-2</v>
      </c>
    </row>
    <row r="177" spans="2:144" outlineLevel="1">
      <c r="C177" s="151" t="s">
        <v>22</v>
      </c>
      <c r="D177" s="44"/>
      <c r="E177" s="469"/>
      <c r="F177" s="44"/>
      <c r="G177" s="44"/>
      <c r="H177" s="44">
        <f t="shared" ref="H177:AM177" si="370">H176*H175/4</f>
        <v>0</v>
      </c>
      <c r="I177" s="44">
        <f t="shared" si="370"/>
        <v>0</v>
      </c>
      <c r="J177" s="44">
        <f t="shared" si="370"/>
        <v>0</v>
      </c>
      <c r="K177" s="44">
        <f t="shared" si="370"/>
        <v>0</v>
      </c>
      <c r="L177" s="44">
        <f t="shared" si="370"/>
        <v>0</v>
      </c>
      <c r="M177" s="44">
        <f t="shared" si="370"/>
        <v>0</v>
      </c>
      <c r="N177" s="44">
        <f t="shared" si="370"/>
        <v>0</v>
      </c>
      <c r="O177" s="44">
        <f t="shared" si="370"/>
        <v>0</v>
      </c>
      <c r="P177" s="44">
        <f t="shared" si="370"/>
        <v>0</v>
      </c>
      <c r="Q177" s="44">
        <f t="shared" si="370"/>
        <v>0</v>
      </c>
      <c r="R177" s="44">
        <f t="shared" si="370"/>
        <v>0</v>
      </c>
      <c r="S177" s="44">
        <f t="shared" si="370"/>
        <v>0</v>
      </c>
      <c r="T177" s="44">
        <f t="shared" si="370"/>
        <v>0</v>
      </c>
      <c r="U177" s="44">
        <f t="shared" si="370"/>
        <v>0</v>
      </c>
      <c r="V177" s="44">
        <f t="shared" si="370"/>
        <v>0</v>
      </c>
      <c r="W177" s="44">
        <f t="shared" si="370"/>
        <v>0</v>
      </c>
      <c r="X177" s="44">
        <f t="shared" si="370"/>
        <v>0</v>
      </c>
      <c r="Y177" s="44">
        <f t="shared" si="370"/>
        <v>0</v>
      </c>
      <c r="Z177" s="44">
        <f t="shared" si="370"/>
        <v>0</v>
      </c>
      <c r="AA177" s="44">
        <f t="shared" si="370"/>
        <v>0</v>
      </c>
      <c r="AB177" s="44">
        <f t="shared" si="370"/>
        <v>0</v>
      </c>
      <c r="AC177" s="44">
        <f t="shared" si="370"/>
        <v>0</v>
      </c>
      <c r="AD177" s="44">
        <f t="shared" si="370"/>
        <v>0</v>
      </c>
      <c r="AE177" s="44">
        <f t="shared" si="370"/>
        <v>0</v>
      </c>
      <c r="AF177" s="44">
        <f t="shared" si="370"/>
        <v>0</v>
      </c>
      <c r="AG177" s="44">
        <f t="shared" si="370"/>
        <v>0</v>
      </c>
      <c r="AH177" s="44">
        <f t="shared" si="370"/>
        <v>0</v>
      </c>
      <c r="AI177" s="44">
        <f t="shared" si="370"/>
        <v>0</v>
      </c>
      <c r="AJ177" s="44">
        <f t="shared" si="370"/>
        <v>0</v>
      </c>
      <c r="AK177" s="44">
        <f t="shared" si="370"/>
        <v>0</v>
      </c>
      <c r="AL177" s="44">
        <f t="shared" si="370"/>
        <v>0</v>
      </c>
      <c r="AM177" s="44">
        <f t="shared" si="370"/>
        <v>0</v>
      </c>
      <c r="AN177" s="44">
        <f t="shared" ref="AN177:BS177" si="371">AN176*AN175/4</f>
        <v>0</v>
      </c>
      <c r="AO177" s="44">
        <f t="shared" si="371"/>
        <v>0</v>
      </c>
      <c r="AP177" s="44">
        <f t="shared" si="371"/>
        <v>0</v>
      </c>
      <c r="AQ177" s="44">
        <f t="shared" si="371"/>
        <v>0</v>
      </c>
      <c r="AR177" s="44">
        <f t="shared" si="371"/>
        <v>0</v>
      </c>
      <c r="AS177" s="44">
        <f t="shared" si="371"/>
        <v>0</v>
      </c>
      <c r="AT177" s="44">
        <f t="shared" si="371"/>
        <v>0</v>
      </c>
      <c r="AU177" s="44">
        <f t="shared" si="371"/>
        <v>0</v>
      </c>
      <c r="AV177" s="44">
        <f t="shared" si="371"/>
        <v>0</v>
      </c>
      <c r="AW177" s="44">
        <f t="shared" si="371"/>
        <v>0</v>
      </c>
      <c r="AX177" s="44">
        <f t="shared" si="371"/>
        <v>0</v>
      </c>
      <c r="AY177" s="44">
        <f t="shared" si="371"/>
        <v>0</v>
      </c>
      <c r="AZ177" s="44">
        <f t="shared" si="371"/>
        <v>0</v>
      </c>
      <c r="BA177" s="44">
        <f t="shared" si="371"/>
        <v>0</v>
      </c>
      <c r="BB177" s="44">
        <f t="shared" si="371"/>
        <v>0</v>
      </c>
      <c r="BC177" s="44">
        <f t="shared" si="371"/>
        <v>0</v>
      </c>
      <c r="BD177" s="44">
        <f t="shared" si="371"/>
        <v>0</v>
      </c>
      <c r="BE177" s="44">
        <f t="shared" si="371"/>
        <v>0</v>
      </c>
      <c r="BF177" s="44">
        <f t="shared" si="371"/>
        <v>0</v>
      </c>
      <c r="BG177" s="44">
        <f t="shared" si="371"/>
        <v>0</v>
      </c>
      <c r="BH177" s="44">
        <f t="shared" si="371"/>
        <v>18768.515594600107</v>
      </c>
      <c r="BI177" s="44">
        <f t="shared" si="371"/>
        <v>18538.227059697034</v>
      </c>
      <c r="BJ177" s="44">
        <f t="shared" si="371"/>
        <v>18307.938524793964</v>
      </c>
      <c r="BK177" s="44">
        <f t="shared" si="371"/>
        <v>18077.649989890895</v>
      </c>
      <c r="BL177" s="44">
        <f t="shared" si="371"/>
        <v>17847.361454987822</v>
      </c>
      <c r="BM177" s="44">
        <f t="shared" si="371"/>
        <v>17617.072920084753</v>
      </c>
      <c r="BN177" s="44">
        <f t="shared" si="371"/>
        <v>17386.784385181683</v>
      </c>
      <c r="BO177" s="44">
        <f t="shared" si="371"/>
        <v>17156.495850278614</v>
      </c>
      <c r="BP177" s="44">
        <f t="shared" si="371"/>
        <v>16926.207315375541</v>
      </c>
      <c r="BQ177" s="44">
        <f t="shared" si="371"/>
        <v>16695.918780472472</v>
      </c>
      <c r="BR177" s="44">
        <f t="shared" si="371"/>
        <v>16465.630245569402</v>
      </c>
      <c r="BS177" s="44">
        <f t="shared" si="371"/>
        <v>16235.341710666331</v>
      </c>
      <c r="BT177" s="44">
        <f t="shared" ref="BT177:CY177" si="372">BT176*BT175/4</f>
        <v>16005.05317576326</v>
      </c>
      <c r="BU177" s="44">
        <f t="shared" si="372"/>
        <v>15774.76464086019</v>
      </c>
      <c r="BV177" s="44">
        <f t="shared" si="372"/>
        <v>15544.476105957119</v>
      </c>
      <c r="BW177" s="44">
        <f t="shared" si="372"/>
        <v>15314.18757105405</v>
      </c>
      <c r="BX177" s="44">
        <f t="shared" si="372"/>
        <v>15083.899036150979</v>
      </c>
      <c r="BY177" s="44">
        <f t="shared" si="372"/>
        <v>14853.610501247907</v>
      </c>
      <c r="BZ177" s="44">
        <f t="shared" si="372"/>
        <v>14623.321966344838</v>
      </c>
      <c r="CA177" s="44">
        <f t="shared" si="372"/>
        <v>14393.033431441767</v>
      </c>
      <c r="CB177" s="44">
        <f t="shared" si="372"/>
        <v>14162.744896538698</v>
      </c>
      <c r="CC177" s="44">
        <f t="shared" si="372"/>
        <v>13932.456361635626</v>
      </c>
      <c r="CD177" s="44">
        <f t="shared" si="372"/>
        <v>13702.167826732557</v>
      </c>
      <c r="CE177" s="44">
        <f t="shared" si="372"/>
        <v>13471.879291829486</v>
      </c>
      <c r="CF177" s="44">
        <f t="shared" si="372"/>
        <v>13241.590756926415</v>
      </c>
      <c r="CG177" s="44">
        <f t="shared" si="372"/>
        <v>13011.302222023345</v>
      </c>
      <c r="CH177" s="44">
        <f t="shared" si="372"/>
        <v>12781.013687120274</v>
      </c>
      <c r="CI177" s="44">
        <f t="shared" si="372"/>
        <v>12550.725152217205</v>
      </c>
      <c r="CJ177" s="44">
        <f t="shared" si="372"/>
        <v>12320.436617314133</v>
      </c>
      <c r="CK177" s="44">
        <f t="shared" si="372"/>
        <v>12090.148082411064</v>
      </c>
      <c r="CL177" s="44">
        <f t="shared" si="372"/>
        <v>11859.859547507993</v>
      </c>
      <c r="CM177" s="44">
        <f t="shared" si="372"/>
        <v>11629.571012604923</v>
      </c>
      <c r="CN177" s="44">
        <f t="shared" si="372"/>
        <v>11399.282477701854</v>
      </c>
      <c r="CO177" s="44">
        <f t="shared" si="372"/>
        <v>11168.993942798785</v>
      </c>
      <c r="CP177" s="44">
        <f t="shared" si="372"/>
        <v>10938.705407895717</v>
      </c>
      <c r="CQ177" s="44">
        <f t="shared" si="372"/>
        <v>10708.416872992646</v>
      </c>
      <c r="CR177" s="44">
        <f t="shared" si="372"/>
        <v>10478.128338089578</v>
      </c>
      <c r="CS177" s="44">
        <f t="shared" si="372"/>
        <v>10247.839803186507</v>
      </c>
      <c r="CT177" s="44">
        <f t="shared" si="372"/>
        <v>10017.55126828344</v>
      </c>
      <c r="CU177" s="44">
        <f t="shared" si="372"/>
        <v>9787.2627333803703</v>
      </c>
      <c r="CV177" s="44">
        <f t="shared" si="372"/>
        <v>9556.9741984773009</v>
      </c>
      <c r="CW177" s="44">
        <f t="shared" si="372"/>
        <v>9326.6856635742315</v>
      </c>
      <c r="CX177" s="44">
        <f t="shared" si="372"/>
        <v>9096.397128671164</v>
      </c>
      <c r="CY177" s="44">
        <f t="shared" si="372"/>
        <v>8866.1085937680928</v>
      </c>
      <c r="CZ177" s="44">
        <f t="shared" ref="CZ177:EE177" si="373">CZ176*CZ175/4</f>
        <v>8635.8200588650252</v>
      </c>
      <c r="DA177" s="44">
        <f t="shared" si="373"/>
        <v>8405.531523961954</v>
      </c>
      <c r="DB177" s="44">
        <f t="shared" si="373"/>
        <v>8175.2429890588865</v>
      </c>
      <c r="DC177" s="44">
        <f t="shared" si="373"/>
        <v>7944.9544541558162</v>
      </c>
      <c r="DD177" s="44">
        <f t="shared" si="373"/>
        <v>7714.6659192527486</v>
      </c>
      <c r="DE177" s="44">
        <f t="shared" si="373"/>
        <v>7484.3773843496783</v>
      </c>
      <c r="DF177" s="44">
        <f t="shared" si="373"/>
        <v>7254.0888494466108</v>
      </c>
      <c r="DG177" s="44">
        <f t="shared" si="373"/>
        <v>7023.8003145435396</v>
      </c>
      <c r="DH177" s="44">
        <f t="shared" si="373"/>
        <v>6793.511779640472</v>
      </c>
      <c r="DI177" s="44">
        <f t="shared" si="373"/>
        <v>6563.2232447374017</v>
      </c>
      <c r="DJ177" s="44">
        <f t="shared" si="373"/>
        <v>6332.9347098343342</v>
      </c>
      <c r="DK177" s="44">
        <f t="shared" si="373"/>
        <v>6102.646174931263</v>
      </c>
      <c r="DL177" s="44">
        <f t="shared" si="373"/>
        <v>5872.3576400281954</v>
      </c>
      <c r="DM177" s="44">
        <f t="shared" si="373"/>
        <v>5642.069105125126</v>
      </c>
      <c r="DN177" s="44">
        <f t="shared" si="373"/>
        <v>5411.7805702220567</v>
      </c>
      <c r="DO177" s="44">
        <f t="shared" si="373"/>
        <v>5181.4920353189873</v>
      </c>
      <c r="DP177" s="44">
        <f t="shared" si="373"/>
        <v>4951.2035004159188</v>
      </c>
      <c r="DQ177" s="44">
        <f t="shared" si="373"/>
        <v>4720.9149655128494</v>
      </c>
      <c r="DR177" s="44">
        <f t="shared" si="373"/>
        <v>4490.6264306097801</v>
      </c>
      <c r="DS177" s="44">
        <f t="shared" si="373"/>
        <v>4260.3378957067107</v>
      </c>
      <c r="DT177" s="44">
        <f t="shared" si="373"/>
        <v>4030.0493608036418</v>
      </c>
      <c r="DU177" s="44">
        <f t="shared" si="373"/>
        <v>3799.7608259005729</v>
      </c>
      <c r="DV177" s="44">
        <f t="shared" si="373"/>
        <v>3569.4722909975035</v>
      </c>
      <c r="DW177" s="44">
        <f t="shared" si="373"/>
        <v>3339.1837560944346</v>
      </c>
      <c r="DX177" s="44">
        <f t="shared" si="373"/>
        <v>3108.8952211913652</v>
      </c>
      <c r="DY177" s="44">
        <f t="shared" si="373"/>
        <v>2878.6066862882963</v>
      </c>
      <c r="DZ177" s="44">
        <f t="shared" si="373"/>
        <v>2648.3181513852273</v>
      </c>
      <c r="EA177" s="44">
        <f t="shared" si="373"/>
        <v>2418.029616482158</v>
      </c>
      <c r="EB177" s="44">
        <f t="shared" si="373"/>
        <v>2187.741081579089</v>
      </c>
      <c r="EC177" s="44">
        <f t="shared" si="373"/>
        <v>1957.4525466760197</v>
      </c>
      <c r="ED177" s="44">
        <f t="shared" si="373"/>
        <v>1727.1640117729505</v>
      </c>
      <c r="EE177" s="44">
        <f t="shared" si="373"/>
        <v>1496.8754768698814</v>
      </c>
      <c r="EF177" s="44">
        <f t="shared" ref="EF177:EN177" si="374">EF176*EF175/4</f>
        <v>1266.586941966812</v>
      </c>
      <c r="EG177" s="44">
        <f t="shared" si="374"/>
        <v>1036.2984070637428</v>
      </c>
      <c r="EH177" s="44">
        <f t="shared" si="374"/>
        <v>806.00987216067347</v>
      </c>
      <c r="EI177" s="44">
        <f t="shared" si="374"/>
        <v>575.7213372576042</v>
      </c>
      <c r="EJ177" s="44">
        <f t="shared" si="374"/>
        <v>345.43280235453494</v>
      </c>
      <c r="EK177" s="44">
        <f t="shared" si="374"/>
        <v>115.14426745150016</v>
      </c>
      <c r="EL177" s="44">
        <f t="shared" si="374"/>
        <v>0</v>
      </c>
      <c r="EM177" s="44">
        <f t="shared" si="374"/>
        <v>0</v>
      </c>
      <c r="EN177" s="44">
        <f t="shared" si="374"/>
        <v>0</v>
      </c>
    </row>
    <row r="178" spans="2:144" ht="15.75">
      <c r="B178" s="40"/>
      <c r="C178" s="22"/>
      <c r="E178" s="40"/>
      <c r="F178" s="40"/>
      <c r="G178" s="40"/>
      <c r="H178" s="463">
        <f t="shared" ref="H178:BD178" si="375">YEAR(H180)</f>
        <v>2022</v>
      </c>
      <c r="I178" s="463">
        <f t="shared" si="375"/>
        <v>2022</v>
      </c>
      <c r="J178" s="463">
        <f t="shared" si="375"/>
        <v>2022</v>
      </c>
      <c r="K178" s="463">
        <f t="shared" si="375"/>
        <v>2022</v>
      </c>
      <c r="L178" s="463">
        <f t="shared" si="375"/>
        <v>2023</v>
      </c>
      <c r="M178" s="463">
        <f t="shared" si="375"/>
        <v>2023</v>
      </c>
      <c r="N178" s="463">
        <f t="shared" si="375"/>
        <v>2023</v>
      </c>
      <c r="O178" s="463">
        <f t="shared" si="375"/>
        <v>2023</v>
      </c>
      <c r="P178" s="463">
        <f t="shared" si="375"/>
        <v>2024</v>
      </c>
      <c r="Q178" s="463">
        <f t="shared" si="375"/>
        <v>2024</v>
      </c>
      <c r="R178" s="463">
        <f t="shared" si="375"/>
        <v>2024</v>
      </c>
      <c r="S178" s="463">
        <f t="shared" si="375"/>
        <v>2024</v>
      </c>
      <c r="T178" s="463">
        <f t="shared" si="375"/>
        <v>2025</v>
      </c>
      <c r="U178" s="463">
        <f t="shared" si="375"/>
        <v>2025</v>
      </c>
      <c r="V178" s="463">
        <f t="shared" si="375"/>
        <v>2025</v>
      </c>
      <c r="W178" s="463">
        <f t="shared" si="375"/>
        <v>2025</v>
      </c>
      <c r="X178" s="463">
        <f t="shared" si="375"/>
        <v>2026</v>
      </c>
      <c r="Y178" s="463">
        <f t="shared" si="375"/>
        <v>2026</v>
      </c>
      <c r="Z178" s="463">
        <f t="shared" si="375"/>
        <v>2026</v>
      </c>
      <c r="AA178" s="463">
        <f t="shared" si="375"/>
        <v>2026</v>
      </c>
      <c r="AB178" s="463">
        <f t="shared" si="375"/>
        <v>2027</v>
      </c>
      <c r="AC178" s="463">
        <f t="shared" si="375"/>
        <v>2027</v>
      </c>
      <c r="AD178" s="463">
        <f t="shared" si="375"/>
        <v>2027</v>
      </c>
      <c r="AE178" s="463">
        <f t="shared" si="375"/>
        <v>2027</v>
      </c>
      <c r="AF178" s="463">
        <f t="shared" si="375"/>
        <v>2028</v>
      </c>
      <c r="AG178" s="463">
        <f t="shared" si="375"/>
        <v>2028</v>
      </c>
      <c r="AH178" s="463">
        <f t="shared" si="375"/>
        <v>2028</v>
      </c>
      <c r="AI178" s="463">
        <f t="shared" si="375"/>
        <v>2028</v>
      </c>
      <c r="AJ178" s="463">
        <f t="shared" si="375"/>
        <v>2029</v>
      </c>
      <c r="AK178" s="463">
        <f t="shared" si="375"/>
        <v>2029</v>
      </c>
      <c r="AL178" s="463">
        <f t="shared" si="375"/>
        <v>2029</v>
      </c>
      <c r="AM178" s="463">
        <f t="shared" si="375"/>
        <v>2029</v>
      </c>
      <c r="AN178" s="463">
        <f t="shared" si="375"/>
        <v>2030</v>
      </c>
      <c r="AO178" s="463">
        <f t="shared" si="375"/>
        <v>2030</v>
      </c>
      <c r="AP178" s="463">
        <f t="shared" si="375"/>
        <v>2030</v>
      </c>
      <c r="AQ178" s="463">
        <f t="shared" si="375"/>
        <v>2030</v>
      </c>
      <c r="AR178" s="463">
        <f t="shared" si="375"/>
        <v>2031</v>
      </c>
      <c r="AS178" s="463">
        <f t="shared" si="375"/>
        <v>2031</v>
      </c>
      <c r="AT178" s="463">
        <f t="shared" si="375"/>
        <v>2031</v>
      </c>
      <c r="AU178" s="463">
        <f t="shared" si="375"/>
        <v>2031</v>
      </c>
      <c r="AV178" s="463">
        <f t="shared" si="375"/>
        <v>2032</v>
      </c>
      <c r="AW178" s="463">
        <f t="shared" si="375"/>
        <v>2032</v>
      </c>
      <c r="AX178" s="463">
        <f t="shared" si="375"/>
        <v>2032</v>
      </c>
      <c r="AY178" s="463">
        <f t="shared" si="375"/>
        <v>2032</v>
      </c>
      <c r="AZ178" s="463">
        <f t="shared" si="375"/>
        <v>2033</v>
      </c>
      <c r="BA178" s="463">
        <f t="shared" si="375"/>
        <v>2033</v>
      </c>
      <c r="BB178" s="463">
        <f t="shared" si="375"/>
        <v>2033</v>
      </c>
      <c r="BC178" s="463">
        <f t="shared" si="375"/>
        <v>2033</v>
      </c>
      <c r="BD178" s="463">
        <f t="shared" si="375"/>
        <v>2034</v>
      </c>
      <c r="BE178" s="463">
        <f>YEAR(BE180)</f>
        <v>2034</v>
      </c>
      <c r="BF178" s="463">
        <f>YEAR(BF180)</f>
        <v>2034</v>
      </c>
      <c r="BG178" s="463">
        <f t="shared" ref="BG178:DR178" si="376">YEAR(BG180)</f>
        <v>2034</v>
      </c>
      <c r="BH178" s="463">
        <f t="shared" si="376"/>
        <v>2035</v>
      </c>
      <c r="BI178" s="463">
        <f t="shared" si="376"/>
        <v>2035</v>
      </c>
      <c r="BJ178" s="463">
        <f t="shared" si="376"/>
        <v>2035</v>
      </c>
      <c r="BK178" s="463">
        <f t="shared" si="376"/>
        <v>2035</v>
      </c>
      <c r="BL178" s="463">
        <f t="shared" si="376"/>
        <v>2036</v>
      </c>
      <c r="BM178" s="463">
        <f t="shared" si="376"/>
        <v>2036</v>
      </c>
      <c r="BN178" s="463">
        <f t="shared" si="376"/>
        <v>2036</v>
      </c>
      <c r="BO178" s="463">
        <f t="shared" si="376"/>
        <v>2036</v>
      </c>
      <c r="BP178" s="463">
        <f t="shared" si="376"/>
        <v>2037</v>
      </c>
      <c r="BQ178" s="463">
        <f t="shared" si="376"/>
        <v>2037</v>
      </c>
      <c r="BR178" s="463">
        <f t="shared" si="376"/>
        <v>2037</v>
      </c>
      <c r="BS178" s="463">
        <f t="shared" si="376"/>
        <v>2037</v>
      </c>
      <c r="BT178" s="463">
        <f t="shared" si="376"/>
        <v>2038</v>
      </c>
      <c r="BU178" s="463">
        <f t="shared" si="376"/>
        <v>2038</v>
      </c>
      <c r="BV178" s="463">
        <f t="shared" si="376"/>
        <v>2038</v>
      </c>
      <c r="BW178" s="463">
        <f t="shared" si="376"/>
        <v>2038</v>
      </c>
      <c r="BX178" s="463">
        <f t="shared" si="376"/>
        <v>2039</v>
      </c>
      <c r="BY178" s="463">
        <f t="shared" si="376"/>
        <v>2039</v>
      </c>
      <c r="BZ178" s="463">
        <f t="shared" si="376"/>
        <v>2039</v>
      </c>
      <c r="CA178" s="463">
        <f t="shared" si="376"/>
        <v>2039</v>
      </c>
      <c r="CB178" s="463">
        <f t="shared" si="376"/>
        <v>2040</v>
      </c>
      <c r="CC178" s="463">
        <f t="shared" si="376"/>
        <v>2040</v>
      </c>
      <c r="CD178" s="463">
        <f t="shared" si="376"/>
        <v>2040</v>
      </c>
      <c r="CE178" s="463">
        <f t="shared" si="376"/>
        <v>2040</v>
      </c>
      <c r="CF178" s="463">
        <f t="shared" si="376"/>
        <v>2041</v>
      </c>
      <c r="CG178" s="463">
        <f t="shared" si="376"/>
        <v>2041</v>
      </c>
      <c r="CH178" s="463">
        <f t="shared" si="376"/>
        <v>2041</v>
      </c>
      <c r="CI178" s="463">
        <f t="shared" si="376"/>
        <v>2041</v>
      </c>
      <c r="CJ178" s="463">
        <f t="shared" si="376"/>
        <v>2042</v>
      </c>
      <c r="CK178" s="463">
        <f t="shared" si="376"/>
        <v>2042</v>
      </c>
      <c r="CL178" s="463">
        <f t="shared" si="376"/>
        <v>2042</v>
      </c>
      <c r="CM178" s="463">
        <f t="shared" si="376"/>
        <v>2042</v>
      </c>
      <c r="CN178" s="463">
        <f t="shared" si="376"/>
        <v>2043</v>
      </c>
      <c r="CO178" s="463">
        <f t="shared" si="376"/>
        <v>2043</v>
      </c>
      <c r="CP178" s="463">
        <f t="shared" si="376"/>
        <v>2043</v>
      </c>
      <c r="CQ178" s="463">
        <f t="shared" si="376"/>
        <v>2043</v>
      </c>
      <c r="CR178" s="463">
        <f t="shared" si="376"/>
        <v>2044</v>
      </c>
      <c r="CS178" s="463">
        <f t="shared" si="376"/>
        <v>2044</v>
      </c>
      <c r="CT178" s="463">
        <f t="shared" si="376"/>
        <v>2044</v>
      </c>
      <c r="CU178" s="463">
        <f t="shared" si="376"/>
        <v>2044</v>
      </c>
      <c r="CV178" s="463">
        <f t="shared" si="376"/>
        <v>2045</v>
      </c>
      <c r="CW178" s="463">
        <f t="shared" si="376"/>
        <v>2045</v>
      </c>
      <c r="CX178" s="463">
        <f t="shared" si="376"/>
        <v>2045</v>
      </c>
      <c r="CY178" s="463">
        <f t="shared" si="376"/>
        <v>2045</v>
      </c>
      <c r="CZ178" s="463">
        <f t="shared" si="376"/>
        <v>2046</v>
      </c>
      <c r="DA178" s="463">
        <f t="shared" si="376"/>
        <v>2046</v>
      </c>
      <c r="DB178" s="463">
        <f t="shared" si="376"/>
        <v>2046</v>
      </c>
      <c r="DC178" s="463">
        <f t="shared" si="376"/>
        <v>2046</v>
      </c>
      <c r="DD178" s="463">
        <f t="shared" si="376"/>
        <v>2047</v>
      </c>
      <c r="DE178" s="463">
        <f t="shared" si="376"/>
        <v>2047</v>
      </c>
      <c r="DF178" s="463">
        <f t="shared" si="376"/>
        <v>2047</v>
      </c>
      <c r="DG178" s="463">
        <f t="shared" si="376"/>
        <v>2047</v>
      </c>
      <c r="DH178" s="463">
        <f t="shared" si="376"/>
        <v>2048</v>
      </c>
      <c r="DI178" s="463">
        <f t="shared" si="376"/>
        <v>2048</v>
      </c>
      <c r="DJ178" s="463">
        <f t="shared" si="376"/>
        <v>2048</v>
      </c>
      <c r="DK178" s="463">
        <f t="shared" si="376"/>
        <v>2048</v>
      </c>
      <c r="DL178" s="463">
        <f t="shared" si="376"/>
        <v>2049</v>
      </c>
      <c r="DM178" s="463">
        <f t="shared" si="376"/>
        <v>2049</v>
      </c>
      <c r="DN178" s="463">
        <f t="shared" si="376"/>
        <v>2049</v>
      </c>
      <c r="DO178" s="463">
        <f t="shared" si="376"/>
        <v>2049</v>
      </c>
      <c r="DP178" s="463">
        <f t="shared" si="376"/>
        <v>2050</v>
      </c>
      <c r="DQ178" s="463">
        <f t="shared" si="376"/>
        <v>2050</v>
      </c>
      <c r="DR178" s="463">
        <f t="shared" si="376"/>
        <v>2050</v>
      </c>
      <c r="DS178" s="463">
        <f t="shared" ref="DS178:EN178" si="377">YEAR(DS180)</f>
        <v>2050</v>
      </c>
      <c r="DT178" s="463">
        <f t="shared" si="377"/>
        <v>2051</v>
      </c>
      <c r="DU178" s="463">
        <f t="shared" si="377"/>
        <v>2051</v>
      </c>
      <c r="DV178" s="463">
        <f t="shared" si="377"/>
        <v>2051</v>
      </c>
      <c r="DW178" s="463">
        <f t="shared" si="377"/>
        <v>2051</v>
      </c>
      <c r="DX178" s="463">
        <f t="shared" si="377"/>
        <v>2052</v>
      </c>
      <c r="DY178" s="463">
        <f t="shared" si="377"/>
        <v>2052</v>
      </c>
      <c r="DZ178" s="463">
        <f t="shared" si="377"/>
        <v>2052</v>
      </c>
      <c r="EA178" s="463">
        <f t="shared" si="377"/>
        <v>2052</v>
      </c>
      <c r="EB178" s="463">
        <f t="shared" si="377"/>
        <v>2053</v>
      </c>
      <c r="EC178" s="463">
        <f t="shared" si="377"/>
        <v>2053</v>
      </c>
      <c r="ED178" s="463">
        <f t="shared" si="377"/>
        <v>2053</v>
      </c>
      <c r="EE178" s="463">
        <f t="shared" si="377"/>
        <v>2053</v>
      </c>
      <c r="EF178" s="463">
        <f t="shared" si="377"/>
        <v>2054</v>
      </c>
      <c r="EG178" s="463">
        <f t="shared" si="377"/>
        <v>2054</v>
      </c>
      <c r="EH178" s="463">
        <f t="shared" si="377"/>
        <v>2054</v>
      </c>
      <c r="EI178" s="463">
        <f t="shared" si="377"/>
        <v>2054</v>
      </c>
      <c r="EJ178" s="463">
        <f t="shared" si="377"/>
        <v>2055</v>
      </c>
      <c r="EK178" s="463">
        <f t="shared" si="377"/>
        <v>2055</v>
      </c>
      <c r="EL178" s="463">
        <f t="shared" si="377"/>
        <v>2055</v>
      </c>
      <c r="EM178" s="463">
        <f t="shared" si="377"/>
        <v>2055</v>
      </c>
      <c r="EN178" s="463">
        <f t="shared" si="377"/>
        <v>2056</v>
      </c>
    </row>
    <row r="179" spans="2:144" ht="15.75">
      <c r="B179" s="40"/>
      <c r="C179" s="22"/>
      <c r="E179" s="40"/>
      <c r="F179" s="40"/>
      <c r="G179" s="40"/>
      <c r="H179" s="464">
        <f t="shared" ref="H179:AM179" si="378">H157</f>
        <v>44593</v>
      </c>
      <c r="I179" s="464">
        <f t="shared" si="378"/>
        <v>44652</v>
      </c>
      <c r="J179" s="464">
        <f t="shared" si="378"/>
        <v>44743</v>
      </c>
      <c r="K179" s="464">
        <f t="shared" si="378"/>
        <v>44835</v>
      </c>
      <c r="L179" s="464">
        <f t="shared" si="378"/>
        <v>44927</v>
      </c>
      <c r="M179" s="464">
        <f t="shared" si="378"/>
        <v>45017</v>
      </c>
      <c r="N179" s="464">
        <f t="shared" si="378"/>
        <v>45108</v>
      </c>
      <c r="O179" s="464">
        <f t="shared" si="378"/>
        <v>45200</v>
      </c>
      <c r="P179" s="464">
        <f t="shared" si="378"/>
        <v>45292</v>
      </c>
      <c r="Q179" s="464">
        <f t="shared" si="378"/>
        <v>45383</v>
      </c>
      <c r="R179" s="464">
        <f t="shared" si="378"/>
        <v>45474</v>
      </c>
      <c r="S179" s="464">
        <f t="shared" si="378"/>
        <v>45566</v>
      </c>
      <c r="T179" s="464">
        <f t="shared" si="378"/>
        <v>45658</v>
      </c>
      <c r="U179" s="464">
        <f t="shared" si="378"/>
        <v>45748</v>
      </c>
      <c r="V179" s="464">
        <f t="shared" si="378"/>
        <v>45839</v>
      </c>
      <c r="W179" s="464">
        <f t="shared" si="378"/>
        <v>45931</v>
      </c>
      <c r="X179" s="464">
        <f t="shared" si="378"/>
        <v>46023</v>
      </c>
      <c r="Y179" s="464">
        <f t="shared" si="378"/>
        <v>46113</v>
      </c>
      <c r="Z179" s="464">
        <f t="shared" si="378"/>
        <v>46204</v>
      </c>
      <c r="AA179" s="464">
        <f t="shared" si="378"/>
        <v>46296</v>
      </c>
      <c r="AB179" s="464">
        <f t="shared" si="378"/>
        <v>46388</v>
      </c>
      <c r="AC179" s="464">
        <f t="shared" si="378"/>
        <v>46478</v>
      </c>
      <c r="AD179" s="464">
        <f t="shared" si="378"/>
        <v>46569</v>
      </c>
      <c r="AE179" s="464">
        <f t="shared" si="378"/>
        <v>46661</v>
      </c>
      <c r="AF179" s="464">
        <f t="shared" si="378"/>
        <v>46753</v>
      </c>
      <c r="AG179" s="464">
        <f t="shared" si="378"/>
        <v>46844</v>
      </c>
      <c r="AH179" s="464">
        <f t="shared" si="378"/>
        <v>46935</v>
      </c>
      <c r="AI179" s="464">
        <f t="shared" si="378"/>
        <v>47027</v>
      </c>
      <c r="AJ179" s="464">
        <f t="shared" si="378"/>
        <v>47119</v>
      </c>
      <c r="AK179" s="464">
        <f t="shared" si="378"/>
        <v>47209</v>
      </c>
      <c r="AL179" s="464">
        <f t="shared" si="378"/>
        <v>47300</v>
      </c>
      <c r="AM179" s="464">
        <f t="shared" si="378"/>
        <v>47392</v>
      </c>
      <c r="AN179" s="464">
        <f t="shared" ref="AN179:BS179" si="379">AN157</f>
        <v>47484</v>
      </c>
      <c r="AO179" s="464">
        <f t="shared" si="379"/>
        <v>47574</v>
      </c>
      <c r="AP179" s="464">
        <f t="shared" si="379"/>
        <v>47665</v>
      </c>
      <c r="AQ179" s="464">
        <f t="shared" si="379"/>
        <v>47757</v>
      </c>
      <c r="AR179" s="464">
        <f t="shared" si="379"/>
        <v>47849</v>
      </c>
      <c r="AS179" s="464">
        <f t="shared" si="379"/>
        <v>47939</v>
      </c>
      <c r="AT179" s="464">
        <f t="shared" si="379"/>
        <v>48030</v>
      </c>
      <c r="AU179" s="464">
        <f t="shared" si="379"/>
        <v>48122</v>
      </c>
      <c r="AV179" s="464">
        <f t="shared" si="379"/>
        <v>48214</v>
      </c>
      <c r="AW179" s="464">
        <f t="shared" si="379"/>
        <v>48305</v>
      </c>
      <c r="AX179" s="464">
        <f t="shared" si="379"/>
        <v>48396</v>
      </c>
      <c r="AY179" s="464">
        <f t="shared" si="379"/>
        <v>48488</v>
      </c>
      <c r="AZ179" s="464">
        <f t="shared" si="379"/>
        <v>48580</v>
      </c>
      <c r="BA179" s="464">
        <f t="shared" si="379"/>
        <v>48670</v>
      </c>
      <c r="BB179" s="464">
        <f t="shared" si="379"/>
        <v>48761</v>
      </c>
      <c r="BC179" s="464">
        <f t="shared" si="379"/>
        <v>48853</v>
      </c>
      <c r="BD179" s="464">
        <f t="shared" si="379"/>
        <v>48945</v>
      </c>
      <c r="BE179" s="464">
        <f t="shared" si="379"/>
        <v>49035</v>
      </c>
      <c r="BF179" s="464">
        <f t="shared" si="379"/>
        <v>49126</v>
      </c>
      <c r="BG179" s="464">
        <f t="shared" si="379"/>
        <v>49218</v>
      </c>
      <c r="BH179" s="464">
        <f t="shared" si="379"/>
        <v>49310</v>
      </c>
      <c r="BI179" s="464">
        <f t="shared" si="379"/>
        <v>49400</v>
      </c>
      <c r="BJ179" s="464">
        <f t="shared" si="379"/>
        <v>49491</v>
      </c>
      <c r="BK179" s="464">
        <f t="shared" si="379"/>
        <v>49583</v>
      </c>
      <c r="BL179" s="464">
        <f t="shared" si="379"/>
        <v>49675</v>
      </c>
      <c r="BM179" s="464">
        <f t="shared" si="379"/>
        <v>49766</v>
      </c>
      <c r="BN179" s="464">
        <f t="shared" si="379"/>
        <v>49857</v>
      </c>
      <c r="BO179" s="464">
        <f t="shared" si="379"/>
        <v>49949</v>
      </c>
      <c r="BP179" s="464">
        <f t="shared" si="379"/>
        <v>50041</v>
      </c>
      <c r="BQ179" s="464">
        <f t="shared" si="379"/>
        <v>50131</v>
      </c>
      <c r="BR179" s="464">
        <f t="shared" si="379"/>
        <v>50222</v>
      </c>
      <c r="BS179" s="464">
        <f t="shared" si="379"/>
        <v>50314</v>
      </c>
      <c r="BT179" s="464">
        <f t="shared" ref="BT179:CY179" si="380">BT157</f>
        <v>50406</v>
      </c>
      <c r="BU179" s="464">
        <f t="shared" si="380"/>
        <v>50496</v>
      </c>
      <c r="BV179" s="464">
        <f t="shared" si="380"/>
        <v>50587</v>
      </c>
      <c r="BW179" s="464">
        <f t="shared" si="380"/>
        <v>50679</v>
      </c>
      <c r="BX179" s="464">
        <f t="shared" si="380"/>
        <v>50771</v>
      </c>
      <c r="BY179" s="464">
        <f t="shared" si="380"/>
        <v>50861</v>
      </c>
      <c r="BZ179" s="464">
        <f t="shared" si="380"/>
        <v>50952</v>
      </c>
      <c r="CA179" s="464">
        <f t="shared" si="380"/>
        <v>51044</v>
      </c>
      <c r="CB179" s="464">
        <f t="shared" si="380"/>
        <v>51136</v>
      </c>
      <c r="CC179" s="464">
        <f t="shared" si="380"/>
        <v>51227</v>
      </c>
      <c r="CD179" s="464">
        <f t="shared" si="380"/>
        <v>51318</v>
      </c>
      <c r="CE179" s="464">
        <f t="shared" si="380"/>
        <v>51410</v>
      </c>
      <c r="CF179" s="464">
        <f t="shared" si="380"/>
        <v>51502</v>
      </c>
      <c r="CG179" s="464">
        <f t="shared" si="380"/>
        <v>51592</v>
      </c>
      <c r="CH179" s="464">
        <f t="shared" si="380"/>
        <v>51683</v>
      </c>
      <c r="CI179" s="464">
        <f t="shared" si="380"/>
        <v>51775</v>
      </c>
      <c r="CJ179" s="464">
        <f t="shared" si="380"/>
        <v>51867</v>
      </c>
      <c r="CK179" s="464">
        <f t="shared" si="380"/>
        <v>51957</v>
      </c>
      <c r="CL179" s="464">
        <f t="shared" si="380"/>
        <v>52048</v>
      </c>
      <c r="CM179" s="464">
        <f t="shared" si="380"/>
        <v>52140</v>
      </c>
      <c r="CN179" s="464">
        <f t="shared" si="380"/>
        <v>52232</v>
      </c>
      <c r="CO179" s="464">
        <f t="shared" si="380"/>
        <v>52322</v>
      </c>
      <c r="CP179" s="464">
        <f t="shared" si="380"/>
        <v>52413</v>
      </c>
      <c r="CQ179" s="464">
        <f t="shared" si="380"/>
        <v>52505</v>
      </c>
      <c r="CR179" s="464">
        <f t="shared" si="380"/>
        <v>52597</v>
      </c>
      <c r="CS179" s="464">
        <f t="shared" si="380"/>
        <v>52688</v>
      </c>
      <c r="CT179" s="464">
        <f t="shared" si="380"/>
        <v>52779</v>
      </c>
      <c r="CU179" s="464">
        <f t="shared" si="380"/>
        <v>52871</v>
      </c>
      <c r="CV179" s="464">
        <f t="shared" si="380"/>
        <v>52963</v>
      </c>
      <c r="CW179" s="464">
        <f t="shared" si="380"/>
        <v>53053</v>
      </c>
      <c r="CX179" s="464">
        <f t="shared" si="380"/>
        <v>53144</v>
      </c>
      <c r="CY179" s="464">
        <f t="shared" si="380"/>
        <v>53236</v>
      </c>
      <c r="CZ179" s="464">
        <f t="shared" ref="CZ179:EE179" si="381">CZ157</f>
        <v>53328</v>
      </c>
      <c r="DA179" s="464">
        <f t="shared" si="381"/>
        <v>53418</v>
      </c>
      <c r="DB179" s="464">
        <f t="shared" si="381"/>
        <v>53509</v>
      </c>
      <c r="DC179" s="464">
        <f t="shared" si="381"/>
        <v>53601</v>
      </c>
      <c r="DD179" s="464">
        <f t="shared" si="381"/>
        <v>53693</v>
      </c>
      <c r="DE179" s="464">
        <f t="shared" si="381"/>
        <v>53783</v>
      </c>
      <c r="DF179" s="464">
        <f t="shared" si="381"/>
        <v>53874</v>
      </c>
      <c r="DG179" s="464">
        <f t="shared" si="381"/>
        <v>53966</v>
      </c>
      <c r="DH179" s="464">
        <f t="shared" si="381"/>
        <v>54058</v>
      </c>
      <c r="DI179" s="464">
        <f t="shared" si="381"/>
        <v>54149</v>
      </c>
      <c r="DJ179" s="464">
        <f t="shared" si="381"/>
        <v>54240</v>
      </c>
      <c r="DK179" s="464">
        <f t="shared" si="381"/>
        <v>54332</v>
      </c>
      <c r="DL179" s="464">
        <f t="shared" si="381"/>
        <v>54424</v>
      </c>
      <c r="DM179" s="464">
        <f t="shared" si="381"/>
        <v>54514</v>
      </c>
      <c r="DN179" s="464">
        <f t="shared" si="381"/>
        <v>54605</v>
      </c>
      <c r="DO179" s="464">
        <f t="shared" si="381"/>
        <v>54697</v>
      </c>
      <c r="DP179" s="464">
        <f t="shared" si="381"/>
        <v>54789</v>
      </c>
      <c r="DQ179" s="464">
        <f t="shared" si="381"/>
        <v>54879</v>
      </c>
      <c r="DR179" s="464">
        <f t="shared" si="381"/>
        <v>54970</v>
      </c>
      <c r="DS179" s="464">
        <f t="shared" si="381"/>
        <v>55062</v>
      </c>
      <c r="DT179" s="464">
        <f t="shared" si="381"/>
        <v>55154</v>
      </c>
      <c r="DU179" s="464">
        <f t="shared" si="381"/>
        <v>55244</v>
      </c>
      <c r="DV179" s="464">
        <f t="shared" si="381"/>
        <v>55335</v>
      </c>
      <c r="DW179" s="464">
        <f t="shared" si="381"/>
        <v>55427</v>
      </c>
      <c r="DX179" s="464">
        <f t="shared" si="381"/>
        <v>55519</v>
      </c>
      <c r="DY179" s="464">
        <f t="shared" si="381"/>
        <v>55610</v>
      </c>
      <c r="DZ179" s="464">
        <f t="shared" si="381"/>
        <v>55701</v>
      </c>
      <c r="EA179" s="464">
        <f t="shared" si="381"/>
        <v>55793</v>
      </c>
      <c r="EB179" s="464">
        <f t="shared" si="381"/>
        <v>55885</v>
      </c>
      <c r="EC179" s="464">
        <f t="shared" si="381"/>
        <v>55975</v>
      </c>
      <c r="ED179" s="464">
        <f t="shared" si="381"/>
        <v>56066</v>
      </c>
      <c r="EE179" s="464">
        <f t="shared" si="381"/>
        <v>56158</v>
      </c>
      <c r="EF179" s="464">
        <f t="shared" ref="EF179:EN179" si="382">EF157</f>
        <v>56250</v>
      </c>
      <c r="EG179" s="464">
        <f t="shared" si="382"/>
        <v>56340</v>
      </c>
      <c r="EH179" s="464">
        <f t="shared" si="382"/>
        <v>56431</v>
      </c>
      <c r="EI179" s="464">
        <f t="shared" si="382"/>
        <v>56523</v>
      </c>
      <c r="EJ179" s="464">
        <f t="shared" si="382"/>
        <v>56615</v>
      </c>
      <c r="EK179" s="464">
        <f t="shared" si="382"/>
        <v>56705</v>
      </c>
      <c r="EL179" s="464">
        <f t="shared" si="382"/>
        <v>56796</v>
      </c>
      <c r="EM179" s="464">
        <f t="shared" si="382"/>
        <v>56888</v>
      </c>
      <c r="EN179" s="464">
        <f t="shared" si="382"/>
        <v>56980</v>
      </c>
    </row>
    <row r="180" spans="2:144" ht="15.75">
      <c r="C180" s="22"/>
      <c r="E180" s="42"/>
      <c r="F180" s="42"/>
      <c r="G180" s="42"/>
      <c r="H180" s="464">
        <f t="shared" ref="H180:AM180" si="383">H158</f>
        <v>44651</v>
      </c>
      <c r="I180" s="464">
        <f t="shared" si="383"/>
        <v>44742</v>
      </c>
      <c r="J180" s="464">
        <f t="shared" si="383"/>
        <v>44834</v>
      </c>
      <c r="K180" s="464">
        <f t="shared" si="383"/>
        <v>44926</v>
      </c>
      <c r="L180" s="464">
        <f t="shared" si="383"/>
        <v>45016</v>
      </c>
      <c r="M180" s="464">
        <f t="shared" si="383"/>
        <v>45107</v>
      </c>
      <c r="N180" s="464">
        <f t="shared" si="383"/>
        <v>45199</v>
      </c>
      <c r="O180" s="464">
        <f t="shared" si="383"/>
        <v>45291</v>
      </c>
      <c r="P180" s="464">
        <f t="shared" si="383"/>
        <v>45382</v>
      </c>
      <c r="Q180" s="464">
        <f t="shared" si="383"/>
        <v>45473</v>
      </c>
      <c r="R180" s="464">
        <f t="shared" si="383"/>
        <v>45565</v>
      </c>
      <c r="S180" s="464">
        <f t="shared" si="383"/>
        <v>45657</v>
      </c>
      <c r="T180" s="464">
        <f t="shared" si="383"/>
        <v>45747</v>
      </c>
      <c r="U180" s="464">
        <f t="shared" si="383"/>
        <v>45838</v>
      </c>
      <c r="V180" s="464">
        <f t="shared" si="383"/>
        <v>45930</v>
      </c>
      <c r="W180" s="464">
        <f t="shared" si="383"/>
        <v>46022</v>
      </c>
      <c r="X180" s="464">
        <f t="shared" si="383"/>
        <v>46112</v>
      </c>
      <c r="Y180" s="464">
        <f t="shared" si="383"/>
        <v>46203</v>
      </c>
      <c r="Z180" s="464">
        <f t="shared" si="383"/>
        <v>46295</v>
      </c>
      <c r="AA180" s="464">
        <f t="shared" si="383"/>
        <v>46387</v>
      </c>
      <c r="AB180" s="464">
        <f t="shared" si="383"/>
        <v>46477</v>
      </c>
      <c r="AC180" s="464">
        <f t="shared" si="383"/>
        <v>46568</v>
      </c>
      <c r="AD180" s="464">
        <f t="shared" si="383"/>
        <v>46660</v>
      </c>
      <c r="AE180" s="464">
        <f t="shared" si="383"/>
        <v>46752</v>
      </c>
      <c r="AF180" s="464">
        <f t="shared" si="383"/>
        <v>46843</v>
      </c>
      <c r="AG180" s="464">
        <f t="shared" si="383"/>
        <v>46934</v>
      </c>
      <c r="AH180" s="464">
        <f t="shared" si="383"/>
        <v>47026</v>
      </c>
      <c r="AI180" s="464">
        <f t="shared" si="383"/>
        <v>47118</v>
      </c>
      <c r="AJ180" s="464">
        <f t="shared" si="383"/>
        <v>47208</v>
      </c>
      <c r="AK180" s="464">
        <f t="shared" si="383"/>
        <v>47299</v>
      </c>
      <c r="AL180" s="464">
        <f t="shared" si="383"/>
        <v>47391</v>
      </c>
      <c r="AM180" s="464">
        <f t="shared" si="383"/>
        <v>47483</v>
      </c>
      <c r="AN180" s="464">
        <f t="shared" ref="AN180:BS180" si="384">AN158</f>
        <v>47573</v>
      </c>
      <c r="AO180" s="464">
        <f t="shared" si="384"/>
        <v>47664</v>
      </c>
      <c r="AP180" s="464">
        <f t="shared" si="384"/>
        <v>47756</v>
      </c>
      <c r="AQ180" s="464">
        <f t="shared" si="384"/>
        <v>47848</v>
      </c>
      <c r="AR180" s="464">
        <f t="shared" si="384"/>
        <v>47938</v>
      </c>
      <c r="AS180" s="464">
        <f t="shared" si="384"/>
        <v>48029</v>
      </c>
      <c r="AT180" s="464">
        <f t="shared" si="384"/>
        <v>48121</v>
      </c>
      <c r="AU180" s="464">
        <f t="shared" si="384"/>
        <v>48213</v>
      </c>
      <c r="AV180" s="464">
        <f t="shared" si="384"/>
        <v>48304</v>
      </c>
      <c r="AW180" s="464">
        <f t="shared" si="384"/>
        <v>48395</v>
      </c>
      <c r="AX180" s="464">
        <f t="shared" si="384"/>
        <v>48487</v>
      </c>
      <c r="AY180" s="464">
        <f t="shared" si="384"/>
        <v>48579</v>
      </c>
      <c r="AZ180" s="464">
        <f t="shared" si="384"/>
        <v>48669</v>
      </c>
      <c r="BA180" s="464">
        <f t="shared" si="384"/>
        <v>48760</v>
      </c>
      <c r="BB180" s="464">
        <f t="shared" si="384"/>
        <v>48852</v>
      </c>
      <c r="BC180" s="464">
        <f t="shared" si="384"/>
        <v>48944</v>
      </c>
      <c r="BD180" s="464">
        <f t="shared" si="384"/>
        <v>49034</v>
      </c>
      <c r="BE180" s="464">
        <f t="shared" si="384"/>
        <v>49125</v>
      </c>
      <c r="BF180" s="464">
        <f t="shared" si="384"/>
        <v>49217</v>
      </c>
      <c r="BG180" s="464">
        <f t="shared" si="384"/>
        <v>49309</v>
      </c>
      <c r="BH180" s="464">
        <f t="shared" si="384"/>
        <v>49399</v>
      </c>
      <c r="BI180" s="464">
        <f t="shared" si="384"/>
        <v>49490</v>
      </c>
      <c r="BJ180" s="464">
        <f t="shared" si="384"/>
        <v>49582</v>
      </c>
      <c r="BK180" s="464">
        <f t="shared" si="384"/>
        <v>49674</v>
      </c>
      <c r="BL180" s="464">
        <f t="shared" si="384"/>
        <v>49765</v>
      </c>
      <c r="BM180" s="464">
        <f t="shared" si="384"/>
        <v>49856</v>
      </c>
      <c r="BN180" s="464">
        <f t="shared" si="384"/>
        <v>49948</v>
      </c>
      <c r="BO180" s="464">
        <f t="shared" si="384"/>
        <v>50040</v>
      </c>
      <c r="BP180" s="464">
        <f t="shared" si="384"/>
        <v>50130</v>
      </c>
      <c r="BQ180" s="464">
        <f t="shared" si="384"/>
        <v>50221</v>
      </c>
      <c r="BR180" s="464">
        <f t="shared" si="384"/>
        <v>50313</v>
      </c>
      <c r="BS180" s="464">
        <f t="shared" si="384"/>
        <v>50405</v>
      </c>
      <c r="BT180" s="464">
        <f t="shared" ref="BT180:CY180" si="385">BT158</f>
        <v>50495</v>
      </c>
      <c r="BU180" s="464">
        <f t="shared" si="385"/>
        <v>50586</v>
      </c>
      <c r="BV180" s="464">
        <f t="shared" si="385"/>
        <v>50678</v>
      </c>
      <c r="BW180" s="464">
        <f t="shared" si="385"/>
        <v>50770</v>
      </c>
      <c r="BX180" s="464">
        <f t="shared" si="385"/>
        <v>50860</v>
      </c>
      <c r="BY180" s="464">
        <f t="shared" si="385"/>
        <v>50951</v>
      </c>
      <c r="BZ180" s="464">
        <f t="shared" si="385"/>
        <v>51043</v>
      </c>
      <c r="CA180" s="464">
        <f t="shared" si="385"/>
        <v>51135</v>
      </c>
      <c r="CB180" s="464">
        <f t="shared" si="385"/>
        <v>51226</v>
      </c>
      <c r="CC180" s="464">
        <f t="shared" si="385"/>
        <v>51317</v>
      </c>
      <c r="CD180" s="464">
        <f t="shared" si="385"/>
        <v>51409</v>
      </c>
      <c r="CE180" s="464">
        <f t="shared" si="385"/>
        <v>51501</v>
      </c>
      <c r="CF180" s="464">
        <f t="shared" si="385"/>
        <v>51591</v>
      </c>
      <c r="CG180" s="464">
        <f t="shared" si="385"/>
        <v>51682</v>
      </c>
      <c r="CH180" s="464">
        <f t="shared" si="385"/>
        <v>51774</v>
      </c>
      <c r="CI180" s="464">
        <f t="shared" si="385"/>
        <v>51866</v>
      </c>
      <c r="CJ180" s="464">
        <f t="shared" si="385"/>
        <v>51956</v>
      </c>
      <c r="CK180" s="464">
        <f t="shared" si="385"/>
        <v>52047</v>
      </c>
      <c r="CL180" s="464">
        <f t="shared" si="385"/>
        <v>52139</v>
      </c>
      <c r="CM180" s="464">
        <f t="shared" si="385"/>
        <v>52231</v>
      </c>
      <c r="CN180" s="464">
        <f t="shared" si="385"/>
        <v>52321</v>
      </c>
      <c r="CO180" s="464">
        <f t="shared" si="385"/>
        <v>52412</v>
      </c>
      <c r="CP180" s="464">
        <f t="shared" si="385"/>
        <v>52504</v>
      </c>
      <c r="CQ180" s="464">
        <f t="shared" si="385"/>
        <v>52596</v>
      </c>
      <c r="CR180" s="464">
        <f t="shared" si="385"/>
        <v>52687</v>
      </c>
      <c r="CS180" s="464">
        <f t="shared" si="385"/>
        <v>52778</v>
      </c>
      <c r="CT180" s="464">
        <f t="shared" si="385"/>
        <v>52870</v>
      </c>
      <c r="CU180" s="464">
        <f t="shared" si="385"/>
        <v>52962</v>
      </c>
      <c r="CV180" s="464">
        <f t="shared" si="385"/>
        <v>53052</v>
      </c>
      <c r="CW180" s="464">
        <f t="shared" si="385"/>
        <v>53143</v>
      </c>
      <c r="CX180" s="464">
        <f t="shared" si="385"/>
        <v>53235</v>
      </c>
      <c r="CY180" s="464">
        <f t="shared" si="385"/>
        <v>53327</v>
      </c>
      <c r="CZ180" s="464">
        <f t="shared" ref="CZ180:EE180" si="386">CZ158</f>
        <v>53417</v>
      </c>
      <c r="DA180" s="464">
        <f t="shared" si="386"/>
        <v>53508</v>
      </c>
      <c r="DB180" s="464">
        <f t="shared" si="386"/>
        <v>53600</v>
      </c>
      <c r="DC180" s="464">
        <f t="shared" si="386"/>
        <v>53692</v>
      </c>
      <c r="DD180" s="464">
        <f t="shared" si="386"/>
        <v>53782</v>
      </c>
      <c r="DE180" s="464">
        <f t="shared" si="386"/>
        <v>53873</v>
      </c>
      <c r="DF180" s="464">
        <f t="shared" si="386"/>
        <v>53965</v>
      </c>
      <c r="DG180" s="464">
        <f t="shared" si="386"/>
        <v>54057</v>
      </c>
      <c r="DH180" s="464">
        <f t="shared" si="386"/>
        <v>54148</v>
      </c>
      <c r="DI180" s="464">
        <f t="shared" si="386"/>
        <v>54239</v>
      </c>
      <c r="DJ180" s="464">
        <f t="shared" si="386"/>
        <v>54331</v>
      </c>
      <c r="DK180" s="464">
        <f t="shared" si="386"/>
        <v>54423</v>
      </c>
      <c r="DL180" s="464">
        <f t="shared" si="386"/>
        <v>54513</v>
      </c>
      <c r="DM180" s="464">
        <f t="shared" si="386"/>
        <v>54604</v>
      </c>
      <c r="DN180" s="464">
        <f t="shared" si="386"/>
        <v>54696</v>
      </c>
      <c r="DO180" s="464">
        <f t="shared" si="386"/>
        <v>54788</v>
      </c>
      <c r="DP180" s="464">
        <f t="shared" si="386"/>
        <v>54878</v>
      </c>
      <c r="DQ180" s="464">
        <f t="shared" si="386"/>
        <v>54969</v>
      </c>
      <c r="DR180" s="464">
        <f t="shared" si="386"/>
        <v>55061</v>
      </c>
      <c r="DS180" s="464">
        <f t="shared" si="386"/>
        <v>55153</v>
      </c>
      <c r="DT180" s="464">
        <f t="shared" si="386"/>
        <v>55243</v>
      </c>
      <c r="DU180" s="464">
        <f t="shared" si="386"/>
        <v>55334</v>
      </c>
      <c r="DV180" s="464">
        <f t="shared" si="386"/>
        <v>55426</v>
      </c>
      <c r="DW180" s="464">
        <f t="shared" si="386"/>
        <v>55518</v>
      </c>
      <c r="DX180" s="464">
        <f t="shared" si="386"/>
        <v>55609</v>
      </c>
      <c r="DY180" s="464">
        <f t="shared" si="386"/>
        <v>55700</v>
      </c>
      <c r="DZ180" s="464">
        <f t="shared" si="386"/>
        <v>55792</v>
      </c>
      <c r="EA180" s="464">
        <f t="shared" si="386"/>
        <v>55884</v>
      </c>
      <c r="EB180" s="464">
        <f t="shared" si="386"/>
        <v>55974</v>
      </c>
      <c r="EC180" s="464">
        <f t="shared" si="386"/>
        <v>56065</v>
      </c>
      <c r="ED180" s="464">
        <f t="shared" si="386"/>
        <v>56157</v>
      </c>
      <c r="EE180" s="464">
        <f t="shared" si="386"/>
        <v>56249</v>
      </c>
      <c r="EF180" s="464">
        <f t="shared" ref="EF180:EN180" si="387">EF158</f>
        <v>56339</v>
      </c>
      <c r="EG180" s="464">
        <f t="shared" si="387"/>
        <v>56430</v>
      </c>
      <c r="EH180" s="464">
        <f t="shared" si="387"/>
        <v>56522</v>
      </c>
      <c r="EI180" s="464">
        <f t="shared" si="387"/>
        <v>56614</v>
      </c>
      <c r="EJ180" s="464">
        <f t="shared" si="387"/>
        <v>56704</v>
      </c>
      <c r="EK180" s="464">
        <f t="shared" si="387"/>
        <v>56795</v>
      </c>
      <c r="EL180" s="464">
        <f t="shared" si="387"/>
        <v>56887</v>
      </c>
      <c r="EM180" s="464">
        <f t="shared" si="387"/>
        <v>56979</v>
      </c>
      <c r="EN180" s="464">
        <f t="shared" si="387"/>
        <v>57070</v>
      </c>
    </row>
    <row r="181" spans="2:144" ht="13.5" customHeight="1">
      <c r="B181" s="776" t="str">
        <f>C18</f>
        <v>Стоимость проектных работ - 4% от СМР (мебель и технологическое оборудование не учитываются)</v>
      </c>
      <c r="C181" s="465"/>
      <c r="D181" s="430">
        <f>SUMIF($C$4:$C$18,B181,$I$4:$I$18)</f>
        <v>45839</v>
      </c>
      <c r="E181" s="772">
        <f>YEAR(D181)</f>
        <v>2025</v>
      </c>
      <c r="F181" s="466"/>
      <c r="G181" s="466"/>
      <c r="H181" s="466"/>
      <c r="I181" s="466"/>
      <c r="J181" s="466"/>
      <c r="K181" s="466"/>
      <c r="L181" s="466"/>
      <c r="M181" s="466"/>
      <c r="N181" s="466"/>
      <c r="O181" s="466"/>
      <c r="P181" s="466"/>
      <c r="Q181" s="466"/>
      <c r="R181" s="466"/>
      <c r="S181" s="466"/>
      <c r="T181" s="466"/>
      <c r="U181" s="466"/>
      <c r="V181" s="466"/>
      <c r="W181" s="466"/>
      <c r="X181" s="466"/>
      <c r="Y181" s="466"/>
      <c r="Z181" s="466"/>
      <c r="AA181" s="466"/>
      <c r="AB181" s="466"/>
      <c r="AC181" s="466"/>
      <c r="AD181" s="466"/>
      <c r="AE181" s="466"/>
      <c r="AF181" s="466"/>
      <c r="AG181" s="466"/>
      <c r="AH181" s="466"/>
      <c r="AI181" s="466"/>
      <c r="AJ181" s="466"/>
      <c r="AK181" s="466"/>
      <c r="AL181" s="466"/>
      <c r="AM181" s="466"/>
      <c r="AN181" s="466"/>
      <c r="AO181" s="466"/>
      <c r="AP181" s="466"/>
      <c r="AQ181" s="466"/>
      <c r="AR181" s="466"/>
      <c r="AS181" s="466"/>
      <c r="AT181" s="466"/>
      <c r="AU181" s="466"/>
      <c r="AV181" s="466"/>
      <c r="AW181" s="466"/>
      <c r="AX181" s="466"/>
      <c r="AY181" s="466"/>
      <c r="AZ181" s="466"/>
      <c r="BA181" s="466"/>
      <c r="BB181" s="466"/>
      <c r="BC181" s="466"/>
      <c r="BD181" s="466"/>
      <c r="BE181" s="466"/>
      <c r="BF181" s="466"/>
      <c r="BG181" s="466"/>
      <c r="BH181" s="466"/>
      <c r="BI181" s="466"/>
      <c r="BJ181" s="466"/>
      <c r="BK181" s="466"/>
      <c r="BL181" s="466"/>
      <c r="BM181" s="466"/>
      <c r="BN181" s="466"/>
      <c r="BO181" s="466"/>
      <c r="BP181" s="466"/>
      <c r="BQ181" s="466"/>
      <c r="BR181" s="466"/>
      <c r="BS181" s="466"/>
      <c r="BT181" s="466"/>
      <c r="BU181" s="466"/>
      <c r="BV181" s="466"/>
      <c r="BW181" s="466"/>
      <c r="BX181" s="466"/>
      <c r="BY181" s="466"/>
      <c r="BZ181" s="466"/>
      <c r="CA181" s="466"/>
      <c r="CB181" s="466"/>
      <c r="CC181" s="466"/>
      <c r="CD181" s="466"/>
      <c r="CE181" s="466"/>
      <c r="CF181" s="466"/>
      <c r="CG181" s="466"/>
      <c r="CH181" s="466"/>
      <c r="CI181" s="466"/>
      <c r="CJ181" s="466"/>
      <c r="CK181" s="466"/>
      <c r="CL181" s="466"/>
      <c r="CM181" s="466"/>
      <c r="CN181" s="466"/>
      <c r="CO181" s="466"/>
      <c r="CP181" s="466"/>
      <c r="CQ181" s="466"/>
      <c r="CR181" s="466"/>
      <c r="CS181" s="466"/>
      <c r="CT181" s="466"/>
      <c r="CU181" s="466"/>
      <c r="CV181" s="466"/>
      <c r="CW181" s="466"/>
      <c r="CX181" s="466"/>
      <c r="CY181" s="466"/>
      <c r="CZ181" s="466"/>
      <c r="DA181" s="466"/>
      <c r="DB181" s="466"/>
      <c r="DC181" s="466"/>
      <c r="DD181" s="466"/>
      <c r="DE181" s="466"/>
      <c r="DF181" s="466"/>
      <c r="DG181" s="466"/>
      <c r="DH181" s="466"/>
      <c r="DI181" s="466"/>
      <c r="DJ181" s="466"/>
      <c r="DK181" s="466"/>
      <c r="DL181" s="466"/>
      <c r="DM181" s="466"/>
      <c r="DN181" s="466"/>
      <c r="DO181" s="466"/>
      <c r="DP181" s="466"/>
      <c r="DQ181" s="466"/>
      <c r="DR181" s="466"/>
      <c r="DS181" s="466"/>
      <c r="DT181" s="466"/>
      <c r="DU181" s="466"/>
      <c r="DV181" s="466"/>
      <c r="DW181" s="466"/>
      <c r="DX181" s="466"/>
      <c r="DY181" s="466"/>
      <c r="DZ181" s="466"/>
      <c r="EA181" s="466"/>
      <c r="EB181" s="466"/>
      <c r="EC181" s="466"/>
      <c r="ED181" s="466"/>
      <c r="EE181" s="466"/>
      <c r="EF181" s="466"/>
      <c r="EG181" s="466"/>
      <c r="EH181" s="466"/>
      <c r="EI181" s="466"/>
      <c r="EJ181" s="466"/>
      <c r="EK181" s="466"/>
      <c r="EL181" s="466"/>
      <c r="EM181" s="466"/>
      <c r="EN181" s="466"/>
    </row>
    <row r="182" spans="2:144" ht="13.5" customHeight="1" outlineLevel="1">
      <c r="C182" s="151" t="s">
        <v>72</v>
      </c>
      <c r="D182" s="771">
        <f>SUMIF($C$4:$C$18,B181,$H$4:$H$18)</f>
        <v>238409104.89782846</v>
      </c>
      <c r="E182" s="44"/>
      <c r="F182" s="44"/>
      <c r="G182" s="44"/>
      <c r="H182" s="44">
        <f>IF(H179=D181,D182,0)</f>
        <v>0</v>
      </c>
      <c r="I182" s="44">
        <f>IF(I179=D181,D182,0)</f>
        <v>0</v>
      </c>
      <c r="J182" s="44">
        <f>IF(J179=D181,D182,0)</f>
        <v>0</v>
      </c>
      <c r="K182" s="44">
        <f>IF(K179=D181,D182,0)</f>
        <v>0</v>
      </c>
      <c r="L182" s="44">
        <f>IF(L179=D181,D182,0)</f>
        <v>0</v>
      </c>
      <c r="M182" s="44">
        <f>IF(M179=D181,D182,0)</f>
        <v>0</v>
      </c>
      <c r="N182" s="44">
        <f>IF(N179=D181,D182,0)</f>
        <v>0</v>
      </c>
      <c r="O182" s="44">
        <f>IF(O179=D181,D182,0)</f>
        <v>0</v>
      </c>
      <c r="P182" s="44">
        <f>IF(P179=D181,D182,0)</f>
        <v>0</v>
      </c>
      <c r="Q182" s="44">
        <f>IF(Q179=D181,D182,0)</f>
        <v>0</v>
      </c>
      <c r="R182" s="44">
        <f>IF(R179=D181,D182,0)</f>
        <v>0</v>
      </c>
      <c r="S182" s="44">
        <f>IF(S179=D181,D182,0)</f>
        <v>0</v>
      </c>
      <c r="T182" s="44">
        <f>IF(T179=D181,D182,0)</f>
        <v>0</v>
      </c>
      <c r="U182" s="44">
        <f>IF(U179=D181,D182,0)</f>
        <v>0</v>
      </c>
      <c r="V182" s="44">
        <f>IF(V179=D181,D182,0)</f>
        <v>238409104.89782846</v>
      </c>
      <c r="W182" s="44">
        <f>IF(W179=D181,D182,0)</f>
        <v>0</v>
      </c>
      <c r="X182" s="44">
        <f>IF(X179=D181,D182,0)</f>
        <v>0</v>
      </c>
      <c r="Y182" s="44">
        <f>IF(Y179=D181,D182,0)</f>
        <v>0</v>
      </c>
      <c r="Z182" s="44">
        <f>IF(Z179=D181,D182,0)</f>
        <v>0</v>
      </c>
      <c r="AA182" s="44">
        <f>IF(AA179=D181,D182,0)</f>
        <v>0</v>
      </c>
      <c r="AB182" s="44">
        <f>IF(AB179=D181,D182,0)</f>
        <v>0</v>
      </c>
      <c r="AC182" s="44">
        <f>IF(AC179=D181,D182,0)</f>
        <v>0</v>
      </c>
      <c r="AD182" s="44">
        <f>IF(AD179=D181,D182,0)</f>
        <v>0</v>
      </c>
      <c r="AE182" s="44">
        <f>IF(AE179=D181,D182,0)</f>
        <v>0</v>
      </c>
      <c r="AF182" s="44">
        <f>IF(AF179=D181,D182,0)</f>
        <v>0</v>
      </c>
      <c r="AG182" s="44">
        <f>IF(AG179=D181,D182,0)</f>
        <v>0</v>
      </c>
      <c r="AH182" s="44">
        <f>IF(AH179=D181,D182,0)</f>
        <v>0</v>
      </c>
      <c r="AI182" s="44">
        <f>IF(AI179=D181,D182,0)</f>
        <v>0</v>
      </c>
      <c r="AJ182" s="44">
        <f>IF(AJ179=D181,D182,0)</f>
        <v>0</v>
      </c>
      <c r="AK182" s="44">
        <f>IF(AK179=D181,D182,0)</f>
        <v>0</v>
      </c>
      <c r="AL182" s="44">
        <f>IF(AL179=D181,D182,0)</f>
        <v>0</v>
      </c>
      <c r="AM182" s="44">
        <f>IF(AM179=D181,D182,0)</f>
        <v>0</v>
      </c>
      <c r="AN182" s="44">
        <f>IF(AN179=D181,D182,0)</f>
        <v>0</v>
      </c>
      <c r="AO182" s="44">
        <f>IF(AO179=D181,D182,0)</f>
        <v>0</v>
      </c>
      <c r="AP182" s="44">
        <f>IF(AP179=D181,D182,0)</f>
        <v>0</v>
      </c>
      <c r="AQ182" s="44">
        <f>IF(AQ179=D181,D182,0)</f>
        <v>0</v>
      </c>
      <c r="AR182" s="44">
        <f>IF(AR179=D181,D182,0)</f>
        <v>0</v>
      </c>
      <c r="AS182" s="44">
        <f>IF(AS179=D181,D182,0)</f>
        <v>0</v>
      </c>
      <c r="AT182" s="44">
        <f>IF(AT179=D181,D182,0)</f>
        <v>0</v>
      </c>
      <c r="AU182" s="44">
        <f>IF(AU179=D181,D182,0)</f>
        <v>0</v>
      </c>
      <c r="AV182" s="44">
        <f>IF(AV179=D181,D182,0)</f>
        <v>0</v>
      </c>
      <c r="AW182" s="44">
        <f>IF(AW179=D181,D182,0)</f>
        <v>0</v>
      </c>
      <c r="AX182" s="44">
        <f>IF(AX179=D181,D182,0)</f>
        <v>0</v>
      </c>
      <c r="AY182" s="44">
        <f>IF(AY179=D181,D182,0)</f>
        <v>0</v>
      </c>
      <c r="AZ182" s="44">
        <f>IF(AZ179=D181,D182,0)</f>
        <v>0</v>
      </c>
      <c r="BA182" s="44">
        <f>IF(BA179=D181,D182,0)</f>
        <v>0</v>
      </c>
      <c r="BB182" s="44">
        <f>IF(BB179=D181,D182,0)</f>
        <v>0</v>
      </c>
      <c r="BC182" s="44">
        <f>IF(BC179=D181,D182,0)</f>
        <v>0</v>
      </c>
      <c r="BD182" s="44">
        <f>IF(BD179=D181,D182,0)</f>
        <v>0</v>
      </c>
      <c r="BE182" s="44">
        <f>IF(BE179=D181,D182,0)</f>
        <v>0</v>
      </c>
      <c r="BF182" s="44">
        <f>IF(BF179=D181,D182,0)</f>
        <v>0</v>
      </c>
      <c r="BG182" s="44">
        <f>IF(BG179=D181,D182,0)</f>
        <v>0</v>
      </c>
      <c r="BH182" s="44">
        <f>IF(BH179=D181,D182,0)</f>
        <v>0</v>
      </c>
      <c r="BI182" s="44">
        <f>IF(BI179=D181,D182,0)</f>
        <v>0</v>
      </c>
      <c r="BJ182" s="44">
        <f>IF(BJ179=D181,D182,0)</f>
        <v>0</v>
      </c>
      <c r="BK182" s="44">
        <f>IF(BK179=D181,D182,0)</f>
        <v>0</v>
      </c>
      <c r="BL182" s="44">
        <f>IF(BL179=D181,D182,0)</f>
        <v>0</v>
      </c>
      <c r="BM182" s="44">
        <f>IF(BM179=D181,D182,0)</f>
        <v>0</v>
      </c>
      <c r="BN182" s="44">
        <f>IF(BN179=D181,D182,0)</f>
        <v>0</v>
      </c>
      <c r="BO182" s="44">
        <f>IF(BO179=D181,D182,0)</f>
        <v>0</v>
      </c>
      <c r="BP182" s="44">
        <f>IF(BP179=D181,D182,0)</f>
        <v>0</v>
      </c>
      <c r="BQ182" s="44">
        <f>IF(BQ179=D181,D182,0)</f>
        <v>0</v>
      </c>
      <c r="BR182" s="44">
        <f>IF(BR179=D181,D182,0)</f>
        <v>0</v>
      </c>
      <c r="BS182" s="44">
        <f>IF(BS179=D181,D182,0)</f>
        <v>0</v>
      </c>
      <c r="BT182" s="44">
        <f>IF(BT179=D181,D182,0)</f>
        <v>0</v>
      </c>
      <c r="BU182" s="44">
        <f>IF(BU179=D181,D182,0)</f>
        <v>0</v>
      </c>
      <c r="BV182" s="44">
        <f>IF(BV179=D181,D182,0)</f>
        <v>0</v>
      </c>
      <c r="BW182" s="44">
        <f>IF(BW179=D181,D182,0)</f>
        <v>0</v>
      </c>
      <c r="BX182" s="44">
        <f>IF(BX179=D181,D182,0)</f>
        <v>0</v>
      </c>
      <c r="BY182" s="44">
        <f>IF(BY179=D181,D182,0)</f>
        <v>0</v>
      </c>
      <c r="BZ182" s="44">
        <f>IF(BZ179=D181,D182,0)</f>
        <v>0</v>
      </c>
      <c r="CA182" s="44">
        <f>IF(CA179=D181,D182,0)</f>
        <v>0</v>
      </c>
      <c r="CB182" s="44">
        <f>IF(CB179=D181,D182,0)</f>
        <v>0</v>
      </c>
      <c r="CC182" s="44">
        <f>IF(CC179=D181,D182,0)</f>
        <v>0</v>
      </c>
      <c r="CD182" s="44">
        <f>IF(CD179=D181,D182,0)</f>
        <v>0</v>
      </c>
      <c r="CE182" s="44">
        <f>IF(CE179=D181,D182,0)</f>
        <v>0</v>
      </c>
      <c r="CF182" s="44">
        <f>IF(CF179=D181,D182,0)</f>
        <v>0</v>
      </c>
      <c r="CG182" s="44">
        <f>IF(CG179=D181,D182,0)</f>
        <v>0</v>
      </c>
      <c r="CH182" s="44">
        <f>IF(CH179=D181,D182,0)</f>
        <v>0</v>
      </c>
      <c r="CI182" s="44">
        <f>IF(CI179=D181,D182,0)</f>
        <v>0</v>
      </c>
      <c r="CJ182" s="44">
        <f>IF(CJ179=D181,D182,0)</f>
        <v>0</v>
      </c>
      <c r="CK182" s="44">
        <f>IF(CK179=D181,D182,0)</f>
        <v>0</v>
      </c>
      <c r="CL182" s="44">
        <f>IF(CL179=D181,D182,0)</f>
        <v>0</v>
      </c>
      <c r="CM182" s="44">
        <f>IF(CM179=D181,D182,0)</f>
        <v>0</v>
      </c>
      <c r="CN182" s="44">
        <f>IF(CN179=D181,D182,0)</f>
        <v>0</v>
      </c>
      <c r="CO182" s="44">
        <f>IF(CO179=D181,D182,0)</f>
        <v>0</v>
      </c>
      <c r="CP182" s="44">
        <f>IF(CP179=D181,D182,0)</f>
        <v>0</v>
      </c>
      <c r="CQ182" s="44">
        <f>IF(CQ179=D181,D182,0)</f>
        <v>0</v>
      </c>
      <c r="CR182" s="44">
        <f>IF(CR179=D181,D182,0)</f>
        <v>0</v>
      </c>
      <c r="CS182" s="44">
        <f>IF(CS179=D181,D182,0)</f>
        <v>0</v>
      </c>
      <c r="CT182" s="44">
        <f>IF(CT179=D181,D182,0)</f>
        <v>0</v>
      </c>
      <c r="CU182" s="44">
        <f>IF(CU179=D181,D182,0)</f>
        <v>0</v>
      </c>
      <c r="CV182" s="44">
        <f>IF(CV179=D181,D182,0)</f>
        <v>0</v>
      </c>
      <c r="CW182" s="44">
        <f>IF(CW179=D181,D182,0)</f>
        <v>0</v>
      </c>
      <c r="CX182" s="44">
        <f>IF(CX179=D181,D182,0)</f>
        <v>0</v>
      </c>
      <c r="CY182" s="44">
        <f>IF(CY179=D181,D182,0)</f>
        <v>0</v>
      </c>
      <c r="CZ182" s="44">
        <f>IF(CZ179=D181,D182,0)</f>
        <v>0</v>
      </c>
      <c r="DA182" s="44">
        <f>IF(DA179=D181,D182,0)</f>
        <v>0</v>
      </c>
      <c r="DB182" s="44">
        <f>IF(DB179=D181,D182,0)</f>
        <v>0</v>
      </c>
      <c r="DC182" s="44">
        <f>IF(DC179=D181,D182,0)</f>
        <v>0</v>
      </c>
      <c r="DD182" s="44">
        <f>IF(DD179=D181,D182,0)</f>
        <v>0</v>
      </c>
      <c r="DE182" s="44">
        <f>IF(DE179=D181,D182,0)</f>
        <v>0</v>
      </c>
      <c r="DF182" s="44">
        <f>IF(DF179=D181,D182,0)</f>
        <v>0</v>
      </c>
      <c r="DG182" s="44">
        <f>IF(DG179=D181,D182,0)</f>
        <v>0</v>
      </c>
      <c r="DH182" s="44">
        <f>IF(DH179=D181,D182,0)</f>
        <v>0</v>
      </c>
      <c r="DI182" s="44">
        <f>IF(DI179=D181,D182,0)</f>
        <v>0</v>
      </c>
      <c r="DJ182" s="44">
        <f>IF(DJ179=D181,D182,0)</f>
        <v>0</v>
      </c>
      <c r="DK182" s="44">
        <f>IF(DK179=D181,D182,0)</f>
        <v>0</v>
      </c>
      <c r="DL182" s="44">
        <f>IF(DL179=D181,D182,0)</f>
        <v>0</v>
      </c>
      <c r="DM182" s="44">
        <f>IF(DM179=D181,D182,0)</f>
        <v>0</v>
      </c>
      <c r="DN182" s="44">
        <f>IF(DN179=D181,D182,0)</f>
        <v>0</v>
      </c>
      <c r="DO182" s="44">
        <f>IF(DO179=D181,D182,0)</f>
        <v>0</v>
      </c>
      <c r="DP182" s="44">
        <f>IF(DP179=D181,D182,0)</f>
        <v>0</v>
      </c>
      <c r="DQ182" s="44">
        <f>IF(DQ179=D181,D182,0)</f>
        <v>0</v>
      </c>
      <c r="DR182" s="44">
        <f>IF(DR179=D181,D182,0)</f>
        <v>0</v>
      </c>
      <c r="DS182" s="44">
        <f>IF(DS179=D181,D182,0)</f>
        <v>0</v>
      </c>
      <c r="DT182" s="44">
        <f>IF(DT179=D181,D182,0)</f>
        <v>0</v>
      </c>
      <c r="DU182" s="44">
        <f>IF(DU179=D181,D182,0)</f>
        <v>0</v>
      </c>
      <c r="DV182" s="44">
        <f>IF(DV179=D181,D182,0)</f>
        <v>0</v>
      </c>
      <c r="DW182" s="44">
        <f>IF(DW179=D181,D182,0)</f>
        <v>0</v>
      </c>
      <c r="DX182" s="44">
        <f>IF(DX179=D181,D182,0)</f>
        <v>0</v>
      </c>
      <c r="DY182" s="44">
        <f>IF(DY179=D181,D182,0)</f>
        <v>0</v>
      </c>
      <c r="DZ182" s="44">
        <f>IF(DZ179=D181,D182,0)</f>
        <v>0</v>
      </c>
      <c r="EA182" s="44">
        <f>IF(EA179=D181,D182,0)</f>
        <v>0</v>
      </c>
      <c r="EB182" s="44">
        <f>IF(EB179=D181,D182,0)</f>
        <v>0</v>
      </c>
      <c r="EC182" s="44">
        <f>IF(EC179=D181,D182,0)</f>
        <v>0</v>
      </c>
      <c r="ED182" s="44">
        <f>IF(ED179=D181,D182,0)</f>
        <v>0</v>
      </c>
      <c r="EE182" s="44">
        <f>IF(EE179=D181,D182,0)</f>
        <v>0</v>
      </c>
      <c r="EF182" s="44">
        <f>IF(EF179=D181,D182,0)</f>
        <v>0</v>
      </c>
      <c r="EG182" s="44">
        <f>IF(EG179=D181,D182,0)</f>
        <v>0</v>
      </c>
      <c r="EH182" s="44">
        <f>IF(EH179=D181,D182,0)</f>
        <v>0</v>
      </c>
      <c r="EI182" s="44">
        <f t="shared" ref="EI182:EN182" si="388">IF(EI179=E181,E182,0)</f>
        <v>0</v>
      </c>
      <c r="EJ182" s="44">
        <f t="shared" si="388"/>
        <v>0</v>
      </c>
      <c r="EK182" s="44">
        <f t="shared" si="388"/>
        <v>0</v>
      </c>
      <c r="EL182" s="44">
        <f t="shared" si="388"/>
        <v>0</v>
      </c>
      <c r="EM182" s="44">
        <f t="shared" si="388"/>
        <v>0</v>
      </c>
      <c r="EN182" s="44">
        <f t="shared" si="388"/>
        <v>0</v>
      </c>
    </row>
    <row r="183" spans="2:144" ht="13.5" customHeight="1" outlineLevel="1">
      <c r="C183" s="151" t="s">
        <v>73</v>
      </c>
      <c r="D183" s="45"/>
      <c r="E183" s="44"/>
      <c r="F183" s="44"/>
      <c r="G183" s="44"/>
      <c r="H183" s="44">
        <f>(IF(H179=D181,H182,G185))</f>
        <v>0</v>
      </c>
      <c r="I183" s="44">
        <f>(IF(I179=D181,I182,H185))</f>
        <v>0</v>
      </c>
      <c r="J183" s="44">
        <f>(IF(J179=D181,J182,I185))</f>
        <v>0</v>
      </c>
      <c r="K183" s="44">
        <f>(IF(K179=D181,K182,J185))</f>
        <v>0</v>
      </c>
      <c r="L183" s="44">
        <f>(IF(L179=D181,L182,K185))</f>
        <v>0</v>
      </c>
      <c r="M183" s="44">
        <f>(IF(M179=D181,M182,L185))</f>
        <v>0</v>
      </c>
      <c r="N183" s="44">
        <f>(IF(N179=D181,N182,M185))</f>
        <v>0</v>
      </c>
      <c r="O183" s="44">
        <f>(IF(O179=D181,O182,N185))</f>
        <v>0</v>
      </c>
      <c r="P183" s="44">
        <f>(IF(P179=D181,P182,O185))</f>
        <v>0</v>
      </c>
      <c r="Q183" s="44">
        <f>(IF(Q179=D181,Q182,P185))</f>
        <v>0</v>
      </c>
      <c r="R183" s="44">
        <f>(IF(R179=D181,R182,Q185))</f>
        <v>0</v>
      </c>
      <c r="S183" s="44">
        <f>(IF(S179=D181,S182,R185))</f>
        <v>0</v>
      </c>
      <c r="T183" s="44">
        <f>(IF(T179=D181,T182,S185))</f>
        <v>0</v>
      </c>
      <c r="U183" s="44">
        <f>(IF(U179=D181,U182,T185))</f>
        <v>0</v>
      </c>
      <c r="V183" s="44">
        <f>(IF(V179=D181,V182,U185))</f>
        <v>238409104.89782846</v>
      </c>
      <c r="W183" s="44">
        <f>(IF(W179=D181,W182,V185))</f>
        <v>236422362.35701323</v>
      </c>
      <c r="X183" s="44">
        <f>(IF(X179=D181,X182,W185))</f>
        <v>234435619.81619799</v>
      </c>
      <c r="Y183" s="44">
        <f>(IF(Y179=D181,Y182,X185))</f>
        <v>232448877.27538276</v>
      </c>
      <c r="Z183" s="44">
        <f>(IF(Z179=D181,Z182,Y185))</f>
        <v>230462134.73456752</v>
      </c>
      <c r="AA183" s="44">
        <f>(IF(AA179=D181,AA182,Z185))</f>
        <v>228475392.19375229</v>
      </c>
      <c r="AB183" s="44">
        <f>(IF(AB179=D181,AB182,AA185))</f>
        <v>226488649.65293705</v>
      </c>
      <c r="AC183" s="44">
        <f>(IF(AC179=D181,AC182,AB185))</f>
        <v>224501907.11212182</v>
      </c>
      <c r="AD183" s="44">
        <f>(IF(AD179=D181,AD182,AC185))</f>
        <v>222515164.57130659</v>
      </c>
      <c r="AE183" s="44">
        <f>(IF(AE179=D181,AE182,AD185))</f>
        <v>220528422.03049135</v>
      </c>
      <c r="AF183" s="44">
        <f>(IF(AF179=D181,AF182,AE185))</f>
        <v>218541679.48967612</v>
      </c>
      <c r="AG183" s="44">
        <f>(IF(AG179=D181,AG182,AF185))</f>
        <v>216554936.94886088</v>
      </c>
      <c r="AH183" s="44">
        <f>(IF(AH179=D181,AH182,AG185))</f>
        <v>214568194.40804565</v>
      </c>
      <c r="AI183" s="44">
        <f>(IF(AI179=D181,AI182,AH185))</f>
        <v>212581451.86723042</v>
      </c>
      <c r="AJ183" s="44">
        <f>(IF(AJ179=D181,AJ182,AI185))</f>
        <v>210594709.32641518</v>
      </c>
      <c r="AK183" s="44">
        <f>(IF(AK179=D181,AK182,AJ185))</f>
        <v>208607966.78559995</v>
      </c>
      <c r="AL183" s="44">
        <f>(IF(AL179=D181,AL182,AK185))</f>
        <v>206621224.24478471</v>
      </c>
      <c r="AM183" s="44">
        <f>(IF(AM179=D181,AM182,AL185))</f>
        <v>204634481.70396948</v>
      </c>
      <c r="AN183" s="44">
        <f>(IF(AN179=D181,AN182,AM185))</f>
        <v>202647739.16315424</v>
      </c>
      <c r="AO183" s="44">
        <f>(IF(AO179=D181,AO182,AN185))</f>
        <v>200660996.62233901</v>
      </c>
      <c r="AP183" s="44">
        <f>(IF(AP179=D181,AP182,AO185))</f>
        <v>198674254.08152378</v>
      </c>
      <c r="AQ183" s="44">
        <f>(IF(AQ179=D181,AQ182,AP185))</f>
        <v>196687511.54070854</v>
      </c>
      <c r="AR183" s="44">
        <f>(IF(AR179=D181,AR182,AQ185))</f>
        <v>194700768.99989331</v>
      </c>
      <c r="AS183" s="44">
        <f>(IF(AS179=D181,AS182,AR185))</f>
        <v>192714026.45907807</v>
      </c>
      <c r="AT183" s="44">
        <f>(IF(AT179=D181,AT182,AS185))</f>
        <v>190727283.91826284</v>
      </c>
      <c r="AU183" s="44">
        <f>(IF(AU179=D181,AU182,AT185))</f>
        <v>188740541.37744761</v>
      </c>
      <c r="AV183" s="44">
        <f>(IF(AV179=D181,AV182,AU185))</f>
        <v>186753798.83663237</v>
      </c>
      <c r="AW183" s="44">
        <f>(IF(AW179=D181,AW182,AV185))</f>
        <v>184767056.29581714</v>
      </c>
      <c r="AX183" s="44">
        <f>(IF(AX179=D181,AX182,AW185))</f>
        <v>182780313.7550019</v>
      </c>
      <c r="AY183" s="44">
        <f>(IF(AY179=D181,AY182,AX185))</f>
        <v>180793571.21418667</v>
      </c>
      <c r="AZ183" s="44">
        <f>(IF(AZ179=D181,AZ182,AY185))</f>
        <v>178806828.67337143</v>
      </c>
      <c r="BA183" s="44">
        <f>(IF(BA179=D181,BA182,AZ185))</f>
        <v>176820086.1325562</v>
      </c>
      <c r="BB183" s="44">
        <f>(IF(BB179=D181,BB182,BA185))</f>
        <v>174833343.59174097</v>
      </c>
      <c r="BC183" s="44">
        <f>(IF(BC179=D181,BC182,BB185))</f>
        <v>172846601.05092573</v>
      </c>
      <c r="BD183" s="44">
        <f>(IF(BD179=D181,BD182,BC185))</f>
        <v>170859858.5101105</v>
      </c>
      <c r="BE183" s="44">
        <f>(IF(BE179=D181,BE182,BD185))</f>
        <v>168873115.96929526</v>
      </c>
      <c r="BF183" s="44">
        <f>(IF(BF179=D181,BF182,BE185))</f>
        <v>166886373.42848003</v>
      </c>
      <c r="BG183" s="44">
        <f>(IF(BG179=D181,BG182,BF185))</f>
        <v>164899630.88766479</v>
      </c>
      <c r="BH183" s="44">
        <f>(IF(BH179=D181,BH182,BG185))</f>
        <v>162912888.34684956</v>
      </c>
      <c r="BI183" s="44">
        <f>(IF(BI179=D181,BI182,BH185))</f>
        <v>160926145.80603433</v>
      </c>
      <c r="BJ183" s="44">
        <f>(IF(BJ179=D181,BJ182,BI185))</f>
        <v>158939403.26521909</v>
      </c>
      <c r="BK183" s="44">
        <f>(IF(BK179=D181,BK182,BJ185))</f>
        <v>156952660.72440386</v>
      </c>
      <c r="BL183" s="44">
        <f>(IF(BL179=D181,BL182,BK185))</f>
        <v>154965918.18358862</v>
      </c>
      <c r="BM183" s="44">
        <f>(IF(BM179=D181,BM182,BL185))</f>
        <v>152979175.64277339</v>
      </c>
      <c r="BN183" s="44">
        <f>(IF(BN179=D181,BN182,BM185))</f>
        <v>150992433.10195816</v>
      </c>
      <c r="BO183" s="44">
        <f>(IF(BO179=D181,BO182,BN185))</f>
        <v>149005690.56114292</v>
      </c>
      <c r="BP183" s="44">
        <f>(IF(BP179=D181,BP182,BO185))</f>
        <v>147018948.02032769</v>
      </c>
      <c r="BQ183" s="44">
        <f>(IF(BQ179=D181,BQ182,BP185))</f>
        <v>145032205.47951245</v>
      </c>
      <c r="BR183" s="44">
        <f>(IF(BR179=D181,BR182,BQ185))</f>
        <v>143045462.93869722</v>
      </c>
      <c r="BS183" s="44">
        <f>(IF(BS179=D181,BS182,BR185))</f>
        <v>141058720.39788198</v>
      </c>
      <c r="BT183" s="44">
        <f>(IF(BT179=D181,BT182,BS185))</f>
        <v>139071977.85706675</v>
      </c>
      <c r="BU183" s="44">
        <f>(IF(BU179=D181,BU182,BT185))</f>
        <v>137085235.31625152</v>
      </c>
      <c r="BV183" s="44">
        <f>(IF(BV179=D181,BV182,BU185))</f>
        <v>135098492.77543628</v>
      </c>
      <c r="BW183" s="44">
        <f>(IF(BW179=D181,BW182,BV185))</f>
        <v>133111750.23462105</v>
      </c>
      <c r="BX183" s="44">
        <f>(IF(BX179=D181,BX182,BW185))</f>
        <v>131125007.69380581</v>
      </c>
      <c r="BY183" s="44">
        <f>(IF(BY179=D181,BY182,BX185))</f>
        <v>129138265.15299058</v>
      </c>
      <c r="BZ183" s="44">
        <f>(IF(BZ179=D181,BZ182,BY185))</f>
        <v>127151522.61217535</v>
      </c>
      <c r="CA183" s="44">
        <f>(IF(CA179=D181,CA182,BZ185))</f>
        <v>125164780.07136011</v>
      </c>
      <c r="CB183" s="44">
        <f>(IF(CB179=D181,CB182,CA185))</f>
        <v>123178037.53054488</v>
      </c>
      <c r="CC183" s="44">
        <f>(IF(CC179=D181,CC182,CB185))</f>
        <v>121191294.98972964</v>
      </c>
      <c r="CD183" s="44">
        <f>(IF(CD179=D181,CD182,CC185))</f>
        <v>119204552.44891441</v>
      </c>
      <c r="CE183" s="44">
        <f>(IF(CE179=D181,CE182,CD185))</f>
        <v>117217809.90809917</v>
      </c>
      <c r="CF183" s="44">
        <f>(IF(CF179=D181,CF182,CE185))</f>
        <v>115231067.36728394</v>
      </c>
      <c r="CG183" s="44">
        <f>(IF(CG179=D181,CG182,CF185))</f>
        <v>113244324.82646871</v>
      </c>
      <c r="CH183" s="44">
        <f>(IF(CH179=D181,CH182,CG185))</f>
        <v>111257582.28565347</v>
      </c>
      <c r="CI183" s="44">
        <f>(IF(CI179=D181,CI182,CH185))</f>
        <v>109270839.74483824</v>
      </c>
      <c r="CJ183" s="44">
        <f>(IF(CJ179=D181,CJ182,CI185))</f>
        <v>107284097.204023</v>
      </c>
      <c r="CK183" s="44">
        <f>(IF(CK179=D181,CK182,CJ185))</f>
        <v>105297354.66320777</v>
      </c>
      <c r="CL183" s="44">
        <f>(IF(CL179=D181,CL182,CK185))</f>
        <v>103310612.12239254</v>
      </c>
      <c r="CM183" s="44">
        <f>(IF(CM179=D181,CM182,CL185))</f>
        <v>101323869.5815773</v>
      </c>
      <c r="CN183" s="44">
        <f>(IF(CN179=D181,CN182,CM185))</f>
        <v>99337127.040762067</v>
      </c>
      <c r="CO183" s="44">
        <f>(IF(CO179=D181,CO182,CN185))</f>
        <v>97350384.499946833</v>
      </c>
      <c r="CP183" s="44">
        <f>(IF(CP179=D181,CP182,CO185))</f>
        <v>95363641.959131598</v>
      </c>
      <c r="CQ183" s="44">
        <f>(IF(CQ179=D181,CQ182,CP185))</f>
        <v>93376899.418316364</v>
      </c>
      <c r="CR183" s="44">
        <f>(IF(CR179=D181,CR182,CQ185))</f>
        <v>91390156.87750113</v>
      </c>
      <c r="CS183" s="44">
        <f>(IF(CS179=D181,CS182,CR185))</f>
        <v>89403414.336685896</v>
      </c>
      <c r="CT183" s="44">
        <f>(IF(CT179=D181,CT182,CS185))</f>
        <v>87416671.795870662</v>
      </c>
      <c r="CU183" s="44">
        <f>(IF(CU179=D181,CU182,CT185))</f>
        <v>85429929.255055428</v>
      </c>
      <c r="CV183" s="44">
        <f>(IF(CV179=D181,CV182,CU185))</f>
        <v>83443186.714240193</v>
      </c>
      <c r="CW183" s="44">
        <f>(IF(CW179=D181,CW182,CV185))</f>
        <v>81456444.173424959</v>
      </c>
      <c r="CX183" s="44">
        <f>(IF(CX179=D181,CX182,CW185))</f>
        <v>79469701.632609725</v>
      </c>
      <c r="CY183" s="44">
        <f>(IF(CY179=D181,CY182,CX185))</f>
        <v>77482959.091794491</v>
      </c>
      <c r="CZ183" s="44">
        <f>(IF(CZ179=D181,CZ182,CY185))</f>
        <v>75496216.550979257</v>
      </c>
      <c r="DA183" s="44">
        <f>(IF(DA179=D181,DA182,CZ185))</f>
        <v>73509474.010164022</v>
      </c>
      <c r="DB183" s="44">
        <f>(IF(DB179=D181,DB182,DA185))</f>
        <v>71522731.469348788</v>
      </c>
      <c r="DC183" s="44">
        <f>(IF(DC179=D181,DC182,DB185))</f>
        <v>69535988.928533554</v>
      </c>
      <c r="DD183" s="44">
        <f>(IF(DD179=D181,DD182,DC185))</f>
        <v>67549246.38771832</v>
      </c>
      <c r="DE183" s="44">
        <f>(IF(DE179=D181,DE182,DD185))</f>
        <v>65562503.846903086</v>
      </c>
      <c r="DF183" s="44">
        <f>(IF(DF179=D181,DF182,DE185))</f>
        <v>63575761.306087852</v>
      </c>
      <c r="DG183" s="44">
        <f>(IF(DG179=D181,DG182,DF185))</f>
        <v>61589018.765272617</v>
      </c>
      <c r="DH183" s="44">
        <f>(IF(DH179=D181,DH182,DG185))</f>
        <v>59602276.224457383</v>
      </c>
      <c r="DI183" s="44">
        <f>(IF(DI179=D181,DI182,DH185))</f>
        <v>57615533.683642149</v>
      </c>
      <c r="DJ183" s="44">
        <f>(IF(DJ179=D181,DJ182,DI185))</f>
        <v>55628791.142826915</v>
      </c>
      <c r="DK183" s="44">
        <f>(IF(DK179=D181,DK182,DJ185))</f>
        <v>53642048.602011681</v>
      </c>
      <c r="DL183" s="44">
        <f>(IF(DL179=D181,DL182,DK185))</f>
        <v>51655306.061196446</v>
      </c>
      <c r="DM183" s="44">
        <f>(IF(DM179=D181,DM182,DL185))</f>
        <v>49668563.520381212</v>
      </c>
      <c r="DN183" s="44">
        <f>(IF(DN179=D181,DN182,DM185))</f>
        <v>47681820.979565978</v>
      </c>
      <c r="DO183" s="44">
        <f>(IF(DO179=D181,DO182,DN185))</f>
        <v>45695078.438750744</v>
      </c>
      <c r="DP183" s="44">
        <f>(IF(DP179=D181,DP182,DO185))</f>
        <v>43708335.89793551</v>
      </c>
      <c r="DQ183" s="44">
        <f>(IF(DQ179=D181,DQ182,DP185))</f>
        <v>41721593.357120275</v>
      </c>
      <c r="DR183" s="44">
        <f>(IF(DR179=D181,DR182,DQ185))</f>
        <v>39734850.816305041</v>
      </c>
      <c r="DS183" s="44">
        <f>(IF(DS179=D181,DS182,DR185))</f>
        <v>37748108.275489807</v>
      </c>
      <c r="DT183" s="44">
        <f>(IF(DT179=D181,DT182,DS185))</f>
        <v>35761365.734674573</v>
      </c>
      <c r="DU183" s="44">
        <f>(IF(DU179=D181,DU182,DT185))</f>
        <v>33774623.193859339</v>
      </c>
      <c r="DV183" s="44">
        <f>(IF(DV179=D181,DV182,DU185))</f>
        <v>31787880.653044101</v>
      </c>
      <c r="DW183" s="44">
        <f>(IF(DW179=D181,DW182,DV185))</f>
        <v>29801138.112228863</v>
      </c>
      <c r="DX183" s="44">
        <f>(IF(DX179=D181,DX182,DW185))</f>
        <v>27814395.571413625</v>
      </c>
      <c r="DY183" s="44">
        <f>(IF(DY179=D181,DY182,DX185))</f>
        <v>25827653.030598387</v>
      </c>
      <c r="DZ183" s="44">
        <f>(IF(DZ179=D181,DZ182,DY185))</f>
        <v>23840910.489783149</v>
      </c>
      <c r="EA183" s="44">
        <f>(IF(EA179=D181,EA182,DZ185))</f>
        <v>21854167.948967911</v>
      </c>
      <c r="EB183" s="44">
        <f>(IF(EB179=D181,EB182,EA185))</f>
        <v>19867425.408152673</v>
      </c>
      <c r="EC183" s="44">
        <f>(IF(EC179=D181,EC182,EB185))</f>
        <v>17880682.867337435</v>
      </c>
      <c r="ED183" s="44">
        <f>(IF(ED179=D181,ED182,EC185))</f>
        <v>15893940.326522198</v>
      </c>
      <c r="EE183" s="44">
        <f>(IF(EE179=D181,EE182,ED185))</f>
        <v>13907197.78570696</v>
      </c>
      <c r="EF183" s="44">
        <f>(IF(EF179=D181,EF182,EE185))</f>
        <v>11920455.244891722</v>
      </c>
      <c r="EG183" s="44">
        <f>(IF(EG179=D181,EG182,EF185))</f>
        <v>9933712.7040764838</v>
      </c>
      <c r="EH183" s="44">
        <f>(IF(EH179=D181,EH182,EG185))</f>
        <v>7946970.1632612469</v>
      </c>
      <c r="EI183" s="44">
        <f t="shared" ref="EI183:EN183" si="389">(IF(EI179=E181,EI182,EH185))</f>
        <v>5960227.6224460099</v>
      </c>
      <c r="EJ183" s="44">
        <f t="shared" si="389"/>
        <v>3973485.0816307729</v>
      </c>
      <c r="EK183" s="44">
        <f t="shared" si="389"/>
        <v>1986742.5408155357</v>
      </c>
      <c r="EL183" s="44">
        <f t="shared" si="389"/>
        <v>2.9848888516426086E-7</v>
      </c>
      <c r="EM183" s="44">
        <f t="shared" si="389"/>
        <v>2.9848888516426086E-7</v>
      </c>
      <c r="EN183" s="44">
        <f t="shared" si="389"/>
        <v>2.9848888516426086E-7</v>
      </c>
    </row>
    <row r="184" spans="2:144" ht="13.5" customHeight="1" outlineLevel="1">
      <c r="B184" s="459">
        <f>SUM(H184:XX184)</f>
        <v>238409104.89782816</v>
      </c>
      <c r="C184" s="151" t="s">
        <v>24</v>
      </c>
      <c r="D184" s="467">
        <f>SUMIF($C$4:$C$18,B181,$J$4:$J$18)</f>
        <v>30</v>
      </c>
      <c r="E184" s="468">
        <f>1/D184</f>
        <v>3.3333333333333333E-2</v>
      </c>
      <c r="F184" s="44">
        <f>D182*E184</f>
        <v>7946970.1632609488</v>
      </c>
      <c r="G184" s="44"/>
      <c r="H184" s="44">
        <f>IF(H183&gt;1,$F184/4,0)</f>
        <v>0</v>
      </c>
      <c r="I184" s="44">
        <f t="shared" ref="I184:BT184" si="390">IF(I183&gt;1,$F184/4,0)</f>
        <v>0</v>
      </c>
      <c r="J184" s="44">
        <f t="shared" si="390"/>
        <v>0</v>
      </c>
      <c r="K184" s="44">
        <f t="shared" si="390"/>
        <v>0</v>
      </c>
      <c r="L184" s="44">
        <f t="shared" si="390"/>
        <v>0</v>
      </c>
      <c r="M184" s="44">
        <f t="shared" si="390"/>
        <v>0</v>
      </c>
      <c r="N184" s="44">
        <f t="shared" si="390"/>
        <v>0</v>
      </c>
      <c r="O184" s="44">
        <f t="shared" si="390"/>
        <v>0</v>
      </c>
      <c r="P184" s="44">
        <f t="shared" si="390"/>
        <v>0</v>
      </c>
      <c r="Q184" s="44">
        <f t="shared" si="390"/>
        <v>0</v>
      </c>
      <c r="R184" s="44">
        <f t="shared" si="390"/>
        <v>0</v>
      </c>
      <c r="S184" s="44">
        <f t="shared" si="390"/>
        <v>0</v>
      </c>
      <c r="T184" s="44">
        <f t="shared" si="390"/>
        <v>0</v>
      </c>
      <c r="U184" s="44">
        <f t="shared" si="390"/>
        <v>0</v>
      </c>
      <c r="V184" s="44">
        <f t="shared" si="390"/>
        <v>1986742.5408152372</v>
      </c>
      <c r="W184" s="44">
        <f t="shared" si="390"/>
        <v>1986742.5408152372</v>
      </c>
      <c r="X184" s="44">
        <f t="shared" si="390"/>
        <v>1986742.5408152372</v>
      </c>
      <c r="Y184" s="44">
        <f t="shared" si="390"/>
        <v>1986742.5408152372</v>
      </c>
      <c r="Z184" s="44">
        <f t="shared" si="390"/>
        <v>1986742.5408152372</v>
      </c>
      <c r="AA184" s="44">
        <f t="shared" si="390"/>
        <v>1986742.5408152372</v>
      </c>
      <c r="AB184" s="44">
        <f t="shared" si="390"/>
        <v>1986742.5408152372</v>
      </c>
      <c r="AC184" s="44">
        <f t="shared" si="390"/>
        <v>1986742.5408152372</v>
      </c>
      <c r="AD184" s="44">
        <f t="shared" si="390"/>
        <v>1986742.5408152372</v>
      </c>
      <c r="AE184" s="44">
        <f t="shared" si="390"/>
        <v>1986742.5408152372</v>
      </c>
      <c r="AF184" s="44">
        <f t="shared" si="390"/>
        <v>1986742.5408152372</v>
      </c>
      <c r="AG184" s="44">
        <f t="shared" si="390"/>
        <v>1986742.5408152372</v>
      </c>
      <c r="AH184" s="44">
        <f t="shared" si="390"/>
        <v>1986742.5408152372</v>
      </c>
      <c r="AI184" s="44">
        <f t="shared" si="390"/>
        <v>1986742.5408152372</v>
      </c>
      <c r="AJ184" s="44">
        <f t="shared" si="390"/>
        <v>1986742.5408152372</v>
      </c>
      <c r="AK184" s="44">
        <f t="shared" si="390"/>
        <v>1986742.5408152372</v>
      </c>
      <c r="AL184" s="44">
        <f t="shared" si="390"/>
        <v>1986742.5408152372</v>
      </c>
      <c r="AM184" s="44">
        <f t="shared" si="390"/>
        <v>1986742.5408152372</v>
      </c>
      <c r="AN184" s="44">
        <f t="shared" si="390"/>
        <v>1986742.5408152372</v>
      </c>
      <c r="AO184" s="44">
        <f t="shared" si="390"/>
        <v>1986742.5408152372</v>
      </c>
      <c r="AP184" s="44">
        <f t="shared" si="390"/>
        <v>1986742.5408152372</v>
      </c>
      <c r="AQ184" s="44">
        <f t="shared" si="390"/>
        <v>1986742.5408152372</v>
      </c>
      <c r="AR184" s="44">
        <f t="shared" si="390"/>
        <v>1986742.5408152372</v>
      </c>
      <c r="AS184" s="44">
        <f t="shared" si="390"/>
        <v>1986742.5408152372</v>
      </c>
      <c r="AT184" s="44">
        <f t="shared" si="390"/>
        <v>1986742.5408152372</v>
      </c>
      <c r="AU184" s="44">
        <f t="shared" si="390"/>
        <v>1986742.5408152372</v>
      </c>
      <c r="AV184" s="44">
        <f t="shared" si="390"/>
        <v>1986742.5408152372</v>
      </c>
      <c r="AW184" s="44">
        <f t="shared" si="390"/>
        <v>1986742.5408152372</v>
      </c>
      <c r="AX184" s="44">
        <f t="shared" si="390"/>
        <v>1986742.5408152372</v>
      </c>
      <c r="AY184" s="44">
        <f t="shared" si="390"/>
        <v>1986742.5408152372</v>
      </c>
      <c r="AZ184" s="44">
        <f t="shared" si="390"/>
        <v>1986742.5408152372</v>
      </c>
      <c r="BA184" s="44">
        <f t="shared" si="390"/>
        <v>1986742.5408152372</v>
      </c>
      <c r="BB184" s="44">
        <f t="shared" si="390"/>
        <v>1986742.5408152372</v>
      </c>
      <c r="BC184" s="44">
        <f t="shared" si="390"/>
        <v>1986742.5408152372</v>
      </c>
      <c r="BD184" s="44">
        <f t="shared" si="390"/>
        <v>1986742.5408152372</v>
      </c>
      <c r="BE184" s="44">
        <f t="shared" si="390"/>
        <v>1986742.5408152372</v>
      </c>
      <c r="BF184" s="44">
        <f t="shared" si="390"/>
        <v>1986742.5408152372</v>
      </c>
      <c r="BG184" s="44">
        <f t="shared" si="390"/>
        <v>1986742.5408152372</v>
      </c>
      <c r="BH184" s="44">
        <f t="shared" si="390"/>
        <v>1986742.5408152372</v>
      </c>
      <c r="BI184" s="44">
        <f t="shared" si="390"/>
        <v>1986742.5408152372</v>
      </c>
      <c r="BJ184" s="44">
        <f t="shared" si="390"/>
        <v>1986742.5408152372</v>
      </c>
      <c r="BK184" s="44">
        <f t="shared" si="390"/>
        <v>1986742.5408152372</v>
      </c>
      <c r="BL184" s="44">
        <f t="shared" si="390"/>
        <v>1986742.5408152372</v>
      </c>
      <c r="BM184" s="44">
        <f t="shared" si="390"/>
        <v>1986742.5408152372</v>
      </c>
      <c r="BN184" s="44">
        <f t="shared" si="390"/>
        <v>1986742.5408152372</v>
      </c>
      <c r="BO184" s="44">
        <f t="shared" si="390"/>
        <v>1986742.5408152372</v>
      </c>
      <c r="BP184" s="44">
        <f t="shared" si="390"/>
        <v>1986742.5408152372</v>
      </c>
      <c r="BQ184" s="44">
        <f t="shared" si="390"/>
        <v>1986742.5408152372</v>
      </c>
      <c r="BR184" s="44">
        <f t="shared" si="390"/>
        <v>1986742.5408152372</v>
      </c>
      <c r="BS184" s="44">
        <f t="shared" si="390"/>
        <v>1986742.5408152372</v>
      </c>
      <c r="BT184" s="44">
        <f t="shared" si="390"/>
        <v>1986742.5408152372</v>
      </c>
      <c r="BU184" s="44">
        <f t="shared" ref="BU184:EF184" si="391">IF(BU183&gt;1,$F184/4,0)</f>
        <v>1986742.5408152372</v>
      </c>
      <c r="BV184" s="44">
        <f t="shared" si="391"/>
        <v>1986742.5408152372</v>
      </c>
      <c r="BW184" s="44">
        <f t="shared" si="391"/>
        <v>1986742.5408152372</v>
      </c>
      <c r="BX184" s="44">
        <f t="shared" si="391"/>
        <v>1986742.5408152372</v>
      </c>
      <c r="BY184" s="44">
        <f t="shared" si="391"/>
        <v>1986742.5408152372</v>
      </c>
      <c r="BZ184" s="44">
        <f t="shared" si="391"/>
        <v>1986742.5408152372</v>
      </c>
      <c r="CA184" s="44">
        <f t="shared" si="391"/>
        <v>1986742.5408152372</v>
      </c>
      <c r="CB184" s="44">
        <f t="shared" si="391"/>
        <v>1986742.5408152372</v>
      </c>
      <c r="CC184" s="44">
        <f t="shared" si="391"/>
        <v>1986742.5408152372</v>
      </c>
      <c r="CD184" s="44">
        <f t="shared" si="391"/>
        <v>1986742.5408152372</v>
      </c>
      <c r="CE184" s="44">
        <f t="shared" si="391"/>
        <v>1986742.5408152372</v>
      </c>
      <c r="CF184" s="44">
        <f t="shared" si="391"/>
        <v>1986742.5408152372</v>
      </c>
      <c r="CG184" s="44">
        <f t="shared" si="391"/>
        <v>1986742.5408152372</v>
      </c>
      <c r="CH184" s="44">
        <f t="shared" si="391"/>
        <v>1986742.5408152372</v>
      </c>
      <c r="CI184" s="44">
        <f t="shared" si="391"/>
        <v>1986742.5408152372</v>
      </c>
      <c r="CJ184" s="44">
        <f t="shared" si="391"/>
        <v>1986742.5408152372</v>
      </c>
      <c r="CK184" s="44">
        <f t="shared" si="391"/>
        <v>1986742.5408152372</v>
      </c>
      <c r="CL184" s="44">
        <f t="shared" si="391"/>
        <v>1986742.5408152372</v>
      </c>
      <c r="CM184" s="44">
        <f t="shared" si="391"/>
        <v>1986742.5408152372</v>
      </c>
      <c r="CN184" s="44">
        <f t="shared" si="391"/>
        <v>1986742.5408152372</v>
      </c>
      <c r="CO184" s="44">
        <f t="shared" si="391"/>
        <v>1986742.5408152372</v>
      </c>
      <c r="CP184" s="44">
        <f t="shared" si="391"/>
        <v>1986742.5408152372</v>
      </c>
      <c r="CQ184" s="44">
        <f t="shared" si="391"/>
        <v>1986742.5408152372</v>
      </c>
      <c r="CR184" s="44">
        <f t="shared" si="391"/>
        <v>1986742.5408152372</v>
      </c>
      <c r="CS184" s="44">
        <f t="shared" si="391"/>
        <v>1986742.5408152372</v>
      </c>
      <c r="CT184" s="44">
        <f t="shared" si="391"/>
        <v>1986742.5408152372</v>
      </c>
      <c r="CU184" s="44">
        <f t="shared" si="391"/>
        <v>1986742.5408152372</v>
      </c>
      <c r="CV184" s="44">
        <f t="shared" si="391"/>
        <v>1986742.5408152372</v>
      </c>
      <c r="CW184" s="44">
        <f t="shared" si="391"/>
        <v>1986742.5408152372</v>
      </c>
      <c r="CX184" s="44">
        <f t="shared" si="391"/>
        <v>1986742.5408152372</v>
      </c>
      <c r="CY184" s="44">
        <f t="shared" si="391"/>
        <v>1986742.5408152372</v>
      </c>
      <c r="CZ184" s="44">
        <f t="shared" si="391"/>
        <v>1986742.5408152372</v>
      </c>
      <c r="DA184" s="44">
        <f t="shared" si="391"/>
        <v>1986742.5408152372</v>
      </c>
      <c r="DB184" s="44">
        <f t="shared" si="391"/>
        <v>1986742.5408152372</v>
      </c>
      <c r="DC184" s="44">
        <f t="shared" si="391"/>
        <v>1986742.5408152372</v>
      </c>
      <c r="DD184" s="44">
        <f t="shared" si="391"/>
        <v>1986742.5408152372</v>
      </c>
      <c r="DE184" s="44">
        <f t="shared" si="391"/>
        <v>1986742.5408152372</v>
      </c>
      <c r="DF184" s="44">
        <f t="shared" si="391"/>
        <v>1986742.5408152372</v>
      </c>
      <c r="DG184" s="44">
        <f t="shared" si="391"/>
        <v>1986742.5408152372</v>
      </c>
      <c r="DH184" s="44">
        <f t="shared" si="391"/>
        <v>1986742.5408152372</v>
      </c>
      <c r="DI184" s="44">
        <f t="shared" si="391"/>
        <v>1986742.5408152372</v>
      </c>
      <c r="DJ184" s="44">
        <f t="shared" si="391"/>
        <v>1986742.5408152372</v>
      </c>
      <c r="DK184" s="44">
        <f t="shared" si="391"/>
        <v>1986742.5408152372</v>
      </c>
      <c r="DL184" s="44">
        <f t="shared" si="391"/>
        <v>1986742.5408152372</v>
      </c>
      <c r="DM184" s="44">
        <f t="shared" si="391"/>
        <v>1986742.5408152372</v>
      </c>
      <c r="DN184" s="44">
        <f t="shared" si="391"/>
        <v>1986742.5408152372</v>
      </c>
      <c r="DO184" s="44">
        <f t="shared" si="391"/>
        <v>1986742.5408152372</v>
      </c>
      <c r="DP184" s="44">
        <f t="shared" si="391"/>
        <v>1986742.5408152372</v>
      </c>
      <c r="DQ184" s="44">
        <f t="shared" si="391"/>
        <v>1986742.5408152372</v>
      </c>
      <c r="DR184" s="44">
        <f t="shared" si="391"/>
        <v>1986742.5408152372</v>
      </c>
      <c r="DS184" s="44">
        <f t="shared" si="391"/>
        <v>1986742.5408152372</v>
      </c>
      <c r="DT184" s="44">
        <f t="shared" si="391"/>
        <v>1986742.5408152372</v>
      </c>
      <c r="DU184" s="44">
        <f t="shared" si="391"/>
        <v>1986742.5408152372</v>
      </c>
      <c r="DV184" s="44">
        <f t="shared" si="391"/>
        <v>1986742.5408152372</v>
      </c>
      <c r="DW184" s="44">
        <f t="shared" si="391"/>
        <v>1986742.5408152372</v>
      </c>
      <c r="DX184" s="44">
        <f t="shared" si="391"/>
        <v>1986742.5408152372</v>
      </c>
      <c r="DY184" s="44">
        <f t="shared" si="391"/>
        <v>1986742.5408152372</v>
      </c>
      <c r="DZ184" s="44">
        <f t="shared" si="391"/>
        <v>1986742.5408152372</v>
      </c>
      <c r="EA184" s="44">
        <f t="shared" si="391"/>
        <v>1986742.5408152372</v>
      </c>
      <c r="EB184" s="44">
        <f t="shared" si="391"/>
        <v>1986742.5408152372</v>
      </c>
      <c r="EC184" s="44">
        <f t="shared" si="391"/>
        <v>1986742.5408152372</v>
      </c>
      <c r="ED184" s="44">
        <f t="shared" si="391"/>
        <v>1986742.5408152372</v>
      </c>
      <c r="EE184" s="44">
        <f t="shared" si="391"/>
        <v>1986742.5408152372</v>
      </c>
      <c r="EF184" s="44">
        <f t="shared" si="391"/>
        <v>1986742.5408152372</v>
      </c>
      <c r="EG184" s="44">
        <f t="shared" ref="EG184:EN184" si="392">IF(EG183&gt;1,$F184/4,0)</f>
        <v>1986742.5408152372</v>
      </c>
      <c r="EH184" s="44">
        <f t="shared" si="392"/>
        <v>1986742.5408152372</v>
      </c>
      <c r="EI184" s="44">
        <f t="shared" si="392"/>
        <v>1986742.5408152372</v>
      </c>
      <c r="EJ184" s="44">
        <f t="shared" si="392"/>
        <v>1986742.5408152372</v>
      </c>
      <c r="EK184" s="44">
        <f t="shared" si="392"/>
        <v>1986742.5408152372</v>
      </c>
      <c r="EL184" s="44">
        <f t="shared" si="392"/>
        <v>0</v>
      </c>
      <c r="EM184" s="44">
        <f t="shared" si="392"/>
        <v>0</v>
      </c>
      <c r="EN184" s="44">
        <f t="shared" si="392"/>
        <v>0</v>
      </c>
    </row>
    <row r="185" spans="2:144" ht="13.5" customHeight="1" outlineLevel="1">
      <c r="B185" s="459">
        <f>D182-B184</f>
        <v>2.9802322387695313E-7</v>
      </c>
      <c r="C185" s="151" t="s">
        <v>74</v>
      </c>
      <c r="D185" s="44"/>
      <c r="E185" s="44"/>
      <c r="F185" s="44"/>
      <c r="G185" s="44"/>
      <c r="H185" s="44">
        <f>IF((H183-H184)&gt;0,(H183-H184),0)</f>
        <v>0</v>
      </c>
      <c r="I185" s="44">
        <f t="shared" ref="I185:BT185" si="393">IF((I183-I184)&gt;0,(I183-I184),0)</f>
        <v>0</v>
      </c>
      <c r="J185" s="44">
        <f t="shared" si="393"/>
        <v>0</v>
      </c>
      <c r="K185" s="44">
        <f t="shared" si="393"/>
        <v>0</v>
      </c>
      <c r="L185" s="44">
        <f t="shared" si="393"/>
        <v>0</v>
      </c>
      <c r="M185" s="44">
        <f t="shared" si="393"/>
        <v>0</v>
      </c>
      <c r="N185" s="44">
        <f t="shared" si="393"/>
        <v>0</v>
      </c>
      <c r="O185" s="44">
        <f t="shared" si="393"/>
        <v>0</v>
      </c>
      <c r="P185" s="44">
        <f t="shared" si="393"/>
        <v>0</v>
      </c>
      <c r="Q185" s="44">
        <f t="shared" si="393"/>
        <v>0</v>
      </c>
      <c r="R185" s="44">
        <f t="shared" si="393"/>
        <v>0</v>
      </c>
      <c r="S185" s="44">
        <f t="shared" si="393"/>
        <v>0</v>
      </c>
      <c r="T185" s="44">
        <f t="shared" si="393"/>
        <v>0</v>
      </c>
      <c r="U185" s="44">
        <f t="shared" si="393"/>
        <v>0</v>
      </c>
      <c r="V185" s="44">
        <f t="shared" si="393"/>
        <v>236422362.35701323</v>
      </c>
      <c r="W185" s="44">
        <f t="shared" si="393"/>
        <v>234435619.81619799</v>
      </c>
      <c r="X185" s="44">
        <f t="shared" si="393"/>
        <v>232448877.27538276</v>
      </c>
      <c r="Y185" s="44">
        <f t="shared" si="393"/>
        <v>230462134.73456752</v>
      </c>
      <c r="Z185" s="44">
        <f t="shared" si="393"/>
        <v>228475392.19375229</v>
      </c>
      <c r="AA185" s="44">
        <f t="shared" si="393"/>
        <v>226488649.65293705</v>
      </c>
      <c r="AB185" s="44">
        <f t="shared" si="393"/>
        <v>224501907.11212182</v>
      </c>
      <c r="AC185" s="44">
        <f t="shared" si="393"/>
        <v>222515164.57130659</v>
      </c>
      <c r="AD185" s="44">
        <f t="shared" si="393"/>
        <v>220528422.03049135</v>
      </c>
      <c r="AE185" s="44">
        <f t="shared" si="393"/>
        <v>218541679.48967612</v>
      </c>
      <c r="AF185" s="44">
        <f t="shared" si="393"/>
        <v>216554936.94886088</v>
      </c>
      <c r="AG185" s="44">
        <f t="shared" si="393"/>
        <v>214568194.40804565</v>
      </c>
      <c r="AH185" s="44">
        <f t="shared" si="393"/>
        <v>212581451.86723042</v>
      </c>
      <c r="AI185" s="44">
        <f t="shared" si="393"/>
        <v>210594709.32641518</v>
      </c>
      <c r="AJ185" s="44">
        <f t="shared" si="393"/>
        <v>208607966.78559995</v>
      </c>
      <c r="AK185" s="44">
        <f t="shared" si="393"/>
        <v>206621224.24478471</v>
      </c>
      <c r="AL185" s="44">
        <f t="shared" si="393"/>
        <v>204634481.70396948</v>
      </c>
      <c r="AM185" s="44">
        <f t="shared" si="393"/>
        <v>202647739.16315424</v>
      </c>
      <c r="AN185" s="44">
        <f t="shared" si="393"/>
        <v>200660996.62233901</v>
      </c>
      <c r="AO185" s="44">
        <f t="shared" si="393"/>
        <v>198674254.08152378</v>
      </c>
      <c r="AP185" s="44">
        <f t="shared" si="393"/>
        <v>196687511.54070854</v>
      </c>
      <c r="AQ185" s="44">
        <f t="shared" si="393"/>
        <v>194700768.99989331</v>
      </c>
      <c r="AR185" s="44">
        <f t="shared" si="393"/>
        <v>192714026.45907807</v>
      </c>
      <c r="AS185" s="44">
        <f t="shared" si="393"/>
        <v>190727283.91826284</v>
      </c>
      <c r="AT185" s="44">
        <f t="shared" si="393"/>
        <v>188740541.37744761</v>
      </c>
      <c r="AU185" s="44">
        <f t="shared" si="393"/>
        <v>186753798.83663237</v>
      </c>
      <c r="AV185" s="44">
        <f t="shared" si="393"/>
        <v>184767056.29581714</v>
      </c>
      <c r="AW185" s="44">
        <f t="shared" si="393"/>
        <v>182780313.7550019</v>
      </c>
      <c r="AX185" s="44">
        <f t="shared" si="393"/>
        <v>180793571.21418667</v>
      </c>
      <c r="AY185" s="44">
        <f t="shared" si="393"/>
        <v>178806828.67337143</v>
      </c>
      <c r="AZ185" s="44">
        <f t="shared" si="393"/>
        <v>176820086.1325562</v>
      </c>
      <c r="BA185" s="44">
        <f t="shared" si="393"/>
        <v>174833343.59174097</v>
      </c>
      <c r="BB185" s="44">
        <f t="shared" si="393"/>
        <v>172846601.05092573</v>
      </c>
      <c r="BC185" s="44">
        <f t="shared" si="393"/>
        <v>170859858.5101105</v>
      </c>
      <c r="BD185" s="44">
        <f t="shared" si="393"/>
        <v>168873115.96929526</v>
      </c>
      <c r="BE185" s="44">
        <f t="shared" si="393"/>
        <v>166886373.42848003</v>
      </c>
      <c r="BF185" s="44">
        <f t="shared" si="393"/>
        <v>164899630.88766479</v>
      </c>
      <c r="BG185" s="44">
        <f t="shared" si="393"/>
        <v>162912888.34684956</v>
      </c>
      <c r="BH185" s="44">
        <f t="shared" si="393"/>
        <v>160926145.80603433</v>
      </c>
      <c r="BI185" s="44">
        <f t="shared" si="393"/>
        <v>158939403.26521909</v>
      </c>
      <c r="BJ185" s="44">
        <f t="shared" si="393"/>
        <v>156952660.72440386</v>
      </c>
      <c r="BK185" s="44">
        <f t="shared" si="393"/>
        <v>154965918.18358862</v>
      </c>
      <c r="BL185" s="44">
        <f t="shared" si="393"/>
        <v>152979175.64277339</v>
      </c>
      <c r="BM185" s="44">
        <f t="shared" si="393"/>
        <v>150992433.10195816</v>
      </c>
      <c r="BN185" s="44">
        <f t="shared" si="393"/>
        <v>149005690.56114292</v>
      </c>
      <c r="BO185" s="44">
        <f t="shared" si="393"/>
        <v>147018948.02032769</v>
      </c>
      <c r="BP185" s="44">
        <f t="shared" si="393"/>
        <v>145032205.47951245</v>
      </c>
      <c r="BQ185" s="44">
        <f t="shared" si="393"/>
        <v>143045462.93869722</v>
      </c>
      <c r="BR185" s="44">
        <f t="shared" si="393"/>
        <v>141058720.39788198</v>
      </c>
      <c r="BS185" s="44">
        <f t="shared" si="393"/>
        <v>139071977.85706675</v>
      </c>
      <c r="BT185" s="44">
        <f t="shared" si="393"/>
        <v>137085235.31625152</v>
      </c>
      <c r="BU185" s="44">
        <f t="shared" ref="BU185:EF185" si="394">IF((BU183-BU184)&gt;0,(BU183-BU184),0)</f>
        <v>135098492.77543628</v>
      </c>
      <c r="BV185" s="44">
        <f t="shared" si="394"/>
        <v>133111750.23462105</v>
      </c>
      <c r="BW185" s="44">
        <f t="shared" si="394"/>
        <v>131125007.69380581</v>
      </c>
      <c r="BX185" s="44">
        <f t="shared" si="394"/>
        <v>129138265.15299058</v>
      </c>
      <c r="BY185" s="44">
        <f t="shared" si="394"/>
        <v>127151522.61217535</v>
      </c>
      <c r="BZ185" s="44">
        <f t="shared" si="394"/>
        <v>125164780.07136011</v>
      </c>
      <c r="CA185" s="44">
        <f t="shared" si="394"/>
        <v>123178037.53054488</v>
      </c>
      <c r="CB185" s="44">
        <f t="shared" si="394"/>
        <v>121191294.98972964</v>
      </c>
      <c r="CC185" s="44">
        <f t="shared" si="394"/>
        <v>119204552.44891441</v>
      </c>
      <c r="CD185" s="44">
        <f t="shared" si="394"/>
        <v>117217809.90809917</v>
      </c>
      <c r="CE185" s="44">
        <f t="shared" si="394"/>
        <v>115231067.36728394</v>
      </c>
      <c r="CF185" s="44">
        <f t="shared" si="394"/>
        <v>113244324.82646871</v>
      </c>
      <c r="CG185" s="44">
        <f t="shared" si="394"/>
        <v>111257582.28565347</v>
      </c>
      <c r="CH185" s="44">
        <f t="shared" si="394"/>
        <v>109270839.74483824</v>
      </c>
      <c r="CI185" s="44">
        <f t="shared" si="394"/>
        <v>107284097.204023</v>
      </c>
      <c r="CJ185" s="44">
        <f t="shared" si="394"/>
        <v>105297354.66320777</v>
      </c>
      <c r="CK185" s="44">
        <f t="shared" si="394"/>
        <v>103310612.12239254</v>
      </c>
      <c r="CL185" s="44">
        <f t="shared" si="394"/>
        <v>101323869.5815773</v>
      </c>
      <c r="CM185" s="44">
        <f t="shared" si="394"/>
        <v>99337127.040762067</v>
      </c>
      <c r="CN185" s="44">
        <f t="shared" si="394"/>
        <v>97350384.499946833</v>
      </c>
      <c r="CO185" s="44">
        <f t="shared" si="394"/>
        <v>95363641.959131598</v>
      </c>
      <c r="CP185" s="44">
        <f t="shared" si="394"/>
        <v>93376899.418316364</v>
      </c>
      <c r="CQ185" s="44">
        <f t="shared" si="394"/>
        <v>91390156.87750113</v>
      </c>
      <c r="CR185" s="44">
        <f t="shared" si="394"/>
        <v>89403414.336685896</v>
      </c>
      <c r="CS185" s="44">
        <f t="shared" si="394"/>
        <v>87416671.795870662</v>
      </c>
      <c r="CT185" s="44">
        <f t="shared" si="394"/>
        <v>85429929.255055428</v>
      </c>
      <c r="CU185" s="44">
        <f t="shared" si="394"/>
        <v>83443186.714240193</v>
      </c>
      <c r="CV185" s="44">
        <f t="shared" si="394"/>
        <v>81456444.173424959</v>
      </c>
      <c r="CW185" s="44">
        <f t="shared" si="394"/>
        <v>79469701.632609725</v>
      </c>
      <c r="CX185" s="44">
        <f t="shared" si="394"/>
        <v>77482959.091794491</v>
      </c>
      <c r="CY185" s="44">
        <f t="shared" si="394"/>
        <v>75496216.550979257</v>
      </c>
      <c r="CZ185" s="44">
        <f t="shared" si="394"/>
        <v>73509474.010164022</v>
      </c>
      <c r="DA185" s="44">
        <f t="shared" si="394"/>
        <v>71522731.469348788</v>
      </c>
      <c r="DB185" s="44">
        <f t="shared" si="394"/>
        <v>69535988.928533554</v>
      </c>
      <c r="DC185" s="44">
        <f t="shared" si="394"/>
        <v>67549246.38771832</v>
      </c>
      <c r="DD185" s="44">
        <f t="shared" si="394"/>
        <v>65562503.846903086</v>
      </c>
      <c r="DE185" s="44">
        <f t="shared" si="394"/>
        <v>63575761.306087852</v>
      </c>
      <c r="DF185" s="44">
        <f t="shared" si="394"/>
        <v>61589018.765272617</v>
      </c>
      <c r="DG185" s="44">
        <f t="shared" si="394"/>
        <v>59602276.224457383</v>
      </c>
      <c r="DH185" s="44">
        <f t="shared" si="394"/>
        <v>57615533.683642149</v>
      </c>
      <c r="DI185" s="44">
        <f t="shared" si="394"/>
        <v>55628791.142826915</v>
      </c>
      <c r="DJ185" s="44">
        <f t="shared" si="394"/>
        <v>53642048.602011681</v>
      </c>
      <c r="DK185" s="44">
        <f t="shared" si="394"/>
        <v>51655306.061196446</v>
      </c>
      <c r="DL185" s="44">
        <f t="shared" si="394"/>
        <v>49668563.520381212</v>
      </c>
      <c r="DM185" s="44">
        <f t="shared" si="394"/>
        <v>47681820.979565978</v>
      </c>
      <c r="DN185" s="44">
        <f t="shared" si="394"/>
        <v>45695078.438750744</v>
      </c>
      <c r="DO185" s="44">
        <f t="shared" si="394"/>
        <v>43708335.89793551</v>
      </c>
      <c r="DP185" s="44">
        <f t="shared" si="394"/>
        <v>41721593.357120275</v>
      </c>
      <c r="DQ185" s="44">
        <f t="shared" si="394"/>
        <v>39734850.816305041</v>
      </c>
      <c r="DR185" s="44">
        <f t="shared" si="394"/>
        <v>37748108.275489807</v>
      </c>
      <c r="DS185" s="44">
        <f t="shared" si="394"/>
        <v>35761365.734674573</v>
      </c>
      <c r="DT185" s="44">
        <f t="shared" si="394"/>
        <v>33774623.193859339</v>
      </c>
      <c r="DU185" s="44">
        <f t="shared" si="394"/>
        <v>31787880.653044101</v>
      </c>
      <c r="DV185" s="44">
        <f t="shared" si="394"/>
        <v>29801138.112228863</v>
      </c>
      <c r="DW185" s="44">
        <f t="shared" si="394"/>
        <v>27814395.571413625</v>
      </c>
      <c r="DX185" s="44">
        <f t="shared" si="394"/>
        <v>25827653.030598387</v>
      </c>
      <c r="DY185" s="44">
        <f t="shared" si="394"/>
        <v>23840910.489783149</v>
      </c>
      <c r="DZ185" s="44">
        <f t="shared" si="394"/>
        <v>21854167.948967911</v>
      </c>
      <c r="EA185" s="44">
        <f t="shared" si="394"/>
        <v>19867425.408152673</v>
      </c>
      <c r="EB185" s="44">
        <f t="shared" si="394"/>
        <v>17880682.867337435</v>
      </c>
      <c r="EC185" s="44">
        <f t="shared" si="394"/>
        <v>15893940.326522198</v>
      </c>
      <c r="ED185" s="44">
        <f t="shared" si="394"/>
        <v>13907197.78570696</v>
      </c>
      <c r="EE185" s="44">
        <f t="shared" si="394"/>
        <v>11920455.244891722</v>
      </c>
      <c r="EF185" s="44">
        <f t="shared" si="394"/>
        <v>9933712.7040764838</v>
      </c>
      <c r="EG185" s="44">
        <f t="shared" ref="EG185:EN185" si="395">IF((EG183-EG184)&gt;0,(EG183-EG184),0)</f>
        <v>7946970.1632612469</v>
      </c>
      <c r="EH185" s="44">
        <f t="shared" si="395"/>
        <v>5960227.6224460099</v>
      </c>
      <c r="EI185" s="44">
        <f t="shared" si="395"/>
        <v>3973485.0816307729</v>
      </c>
      <c r="EJ185" s="44">
        <f t="shared" si="395"/>
        <v>1986742.5408155357</v>
      </c>
      <c r="EK185" s="44">
        <f t="shared" si="395"/>
        <v>2.9848888516426086E-7</v>
      </c>
      <c r="EL185" s="44">
        <f t="shared" si="395"/>
        <v>2.9848888516426086E-7</v>
      </c>
      <c r="EM185" s="44">
        <f t="shared" si="395"/>
        <v>2.9848888516426086E-7</v>
      </c>
      <c r="EN185" s="44">
        <f t="shared" si="395"/>
        <v>2.9848888516426086E-7</v>
      </c>
    </row>
    <row r="186" spans="2:144" ht="13.5" customHeight="1" outlineLevel="1">
      <c r="B186" s="139" t="s">
        <v>43</v>
      </c>
      <c r="C186" s="151" t="s">
        <v>487</v>
      </c>
      <c r="D186" s="44"/>
      <c r="E186" s="44"/>
      <c r="F186" s="44"/>
      <c r="G186" s="44"/>
      <c r="H186" s="44">
        <f>IF(H179&gt;D181,(SUM(G185:H185)/2),IF(H179=D181,H185,0))</f>
        <v>0</v>
      </c>
      <c r="I186" s="44">
        <f>IF(I179&gt;D181,(SUM(H185:I185)/2),IF(I179=D181,I185,0))</f>
        <v>0</v>
      </c>
      <c r="J186" s="44">
        <f>IF(J179&gt;D181,(SUM(I185:J185)/2),IF(J179=D181,J185,0))</f>
        <v>0</v>
      </c>
      <c r="K186" s="44">
        <f>IF(K179&gt;D181,(SUM(J185:K185)/2),IF(K179=D181,K185,0))</f>
        <v>0</v>
      </c>
      <c r="L186" s="44">
        <f>IF(L179&gt;D181,(SUM(K185:L185)/2),IF(L179=D181,L185,0))</f>
        <v>0</v>
      </c>
      <c r="M186" s="44">
        <f>IF(M179&gt;D181,(SUM(L185:M185)/2),IF(M179=D181,M185,0))</f>
        <v>0</v>
      </c>
      <c r="N186" s="44">
        <f>IF(N179&gt;D181,(SUM(M185:N185)/2),IF(N179=D181,N185,0))</f>
        <v>0</v>
      </c>
      <c r="O186" s="44">
        <f>IF(O179&gt;D181,(SUM(N185:O185)/2),IF(O179=D181,O185,0))</f>
        <v>0</v>
      </c>
      <c r="P186" s="44">
        <f>IF(P179&gt;D181,(SUM(O185:P185)/2),IF(P179=D181,P185,0))</f>
        <v>0</v>
      </c>
      <c r="Q186" s="44">
        <f>IF(Q179&gt;D181,(SUM(P185:Q185)/2),IF(Q179=D181,Q185,0))</f>
        <v>0</v>
      </c>
      <c r="R186" s="44">
        <f>IF(R179&gt;D181,(SUM(Q185:R185)/2),IF(R179=D181,R185,0))</f>
        <v>0</v>
      </c>
      <c r="S186" s="44">
        <f>IF(S179&gt;D181,(SUM(R185:S185)/2),IF(S179=D181,S185,0))</f>
        <v>0</v>
      </c>
      <c r="T186" s="44">
        <f>IF(T179&gt;D181,(SUM(S185:T185)/2),IF(T179=D181,T185,0))</f>
        <v>0</v>
      </c>
      <c r="U186" s="44">
        <f>IF(U179&gt;D181,(SUM(T185:U185)/2),IF(U179=D181,U185,0))</f>
        <v>0</v>
      </c>
      <c r="V186" s="44">
        <f>IF(V179&gt;D181,(SUM(U185:V185)/2),IF(V179=D181,V185,0))</f>
        <v>236422362.35701323</v>
      </c>
      <c r="W186" s="44">
        <f>IF(W179&gt;D181,(SUM(V185:W185)/2),IF(W179=D181,W185,0))</f>
        <v>235428991.08660561</v>
      </c>
      <c r="X186" s="44">
        <f>IF(X179&gt;D181,(SUM(W185:X185)/2),IF(X179=D181,X185,0))</f>
        <v>233442248.54579037</v>
      </c>
      <c r="Y186" s="44">
        <f>IF(Y179&gt;D181,(SUM(X185:Y185)/2),IF(Y179=D181,Y185,0))</f>
        <v>231455506.00497514</v>
      </c>
      <c r="Z186" s="44">
        <f>IF(Z179&gt;D181,(SUM(Y185:Z185)/2),IF(Z179=D181,Z185,0))</f>
        <v>229468763.46415991</v>
      </c>
      <c r="AA186" s="44">
        <f>IF(AA179&gt;D181,(SUM(Z185:AA185)/2),IF(AA179=D181,AA185,0))</f>
        <v>227482020.92334467</v>
      </c>
      <c r="AB186" s="44">
        <f>IF(AB179&gt;D181,(SUM(AA185:AB185)/2),IF(AB179=D181,AB185,0))</f>
        <v>225495278.38252944</v>
      </c>
      <c r="AC186" s="44">
        <f>IF(AC179&gt;D181,(SUM(AB185:AC185)/2),IF(AC179=D181,AC185,0))</f>
        <v>223508535.8417142</v>
      </c>
      <c r="AD186" s="44">
        <f>IF(AD179&gt;D181,(SUM(AC185:AD185)/2),IF(AD179=D181,AD185,0))</f>
        <v>221521793.30089897</v>
      </c>
      <c r="AE186" s="44">
        <f>IF(AE179&gt;D181,(SUM(AD185:AE185)/2),IF(AE179=D181,AE185,0))</f>
        <v>219535050.76008373</v>
      </c>
      <c r="AF186" s="44">
        <f>IF(AF179&gt;D181,(SUM(AE185:AF185)/2),IF(AF179=D181,AF185,0))</f>
        <v>217548308.2192685</v>
      </c>
      <c r="AG186" s="44">
        <f>IF(AG179&gt;D181,(SUM(AF185:AG185)/2),IF(AG179=D181,AG185,0))</f>
        <v>215561565.67845327</v>
      </c>
      <c r="AH186" s="44">
        <f>IF(AH179&gt;D181,(SUM(AG185:AH185)/2),IF(AH179=D181,AH185,0))</f>
        <v>213574823.13763803</v>
      </c>
      <c r="AI186" s="44">
        <f>IF(AI179&gt;D181,(SUM(AH185:AI185)/2),IF(AI179=D181,AI185,0))</f>
        <v>211588080.5968228</v>
      </c>
      <c r="AJ186" s="44">
        <f>IF(AJ179&gt;D181,(SUM(AI185:AJ185)/2),IF(AJ179=D181,AJ185,0))</f>
        <v>209601338.05600756</v>
      </c>
      <c r="AK186" s="44">
        <f>IF(AK179&gt;D181,(SUM(AJ185:AK185)/2),IF(AK179=D181,AK185,0))</f>
        <v>207614595.51519233</v>
      </c>
      <c r="AL186" s="44">
        <f>IF(AL179&gt;D181,(SUM(AK185:AL185)/2),IF(AL179=D181,AL185,0))</f>
        <v>205627852.9743771</v>
      </c>
      <c r="AM186" s="44">
        <f>IF(AM179&gt;D181,(SUM(AL185:AM185)/2),IF(AM179=D181,AM185,0))</f>
        <v>203641110.43356186</v>
      </c>
      <c r="AN186" s="44">
        <f>IF(AN179&gt;D181,(SUM(AM185:AN185)/2),IF(AN179=D181,AN185,0))</f>
        <v>201654367.89274663</v>
      </c>
      <c r="AO186" s="44">
        <f>IF(AO179&gt;D181,(SUM(AN185:AO185)/2),IF(AO179=D181,AO185,0))</f>
        <v>199667625.35193139</v>
      </c>
      <c r="AP186" s="44">
        <f>IF(AP179&gt;D181,(SUM(AO185:AP185)/2),IF(AP179=D181,AP185,0))</f>
        <v>197680882.81111616</v>
      </c>
      <c r="AQ186" s="44">
        <f>IF(AQ179&gt;D181,(SUM(AP185:AQ185)/2),IF(AQ179=D181,AQ185,0))</f>
        <v>195694140.27030092</v>
      </c>
      <c r="AR186" s="44">
        <f>IF(AR179&gt;D181,(SUM(AQ185:AR185)/2),IF(AR179=D181,AR185,0))</f>
        <v>193707397.72948569</v>
      </c>
      <c r="AS186" s="44">
        <f>IF(AS179&gt;D181,(SUM(AR185:AS185)/2),IF(AS179=D181,AS185,0))</f>
        <v>191720655.18867046</v>
      </c>
      <c r="AT186" s="44">
        <f>IF(AT179&gt;D181,(SUM(AS185:AT185)/2),IF(AT179=D181,AT185,0))</f>
        <v>189733912.64785522</v>
      </c>
      <c r="AU186" s="44">
        <f>IF(AU179&gt;D181,(SUM(AT185:AU185)/2),IF(AU179=D181,AU185,0))</f>
        <v>187747170.10703999</v>
      </c>
      <c r="AV186" s="44">
        <f>IF(AV179&gt;D181,(SUM(AU185:AV185)/2),IF(AV179=D181,AV185,0))</f>
        <v>185760427.56622475</v>
      </c>
      <c r="AW186" s="44">
        <f>IF(AW179&gt;D181,(SUM(AV185:AW185)/2),IF(AW179=D181,AW185,0))</f>
        <v>183773685.02540952</v>
      </c>
      <c r="AX186" s="44">
        <f>IF(AX179&gt;D181,(SUM(AW185:AX185)/2),IF(AX179=D181,AX185,0))</f>
        <v>181786942.48459429</v>
      </c>
      <c r="AY186" s="44">
        <f>IF(AY179&gt;D181,(SUM(AX185:AY185)/2),IF(AY179=D181,AY185,0))</f>
        <v>179800199.94377905</v>
      </c>
      <c r="AZ186" s="44">
        <f>IF(AZ179&gt;D181,(SUM(AY185:AZ185)/2),IF(AZ179=D181,AZ185,0))</f>
        <v>177813457.40296382</v>
      </c>
      <c r="BA186" s="44">
        <f>IF(BA179&gt;D181,(SUM(AZ185:BA185)/2),IF(BA179=D181,BA185,0))</f>
        <v>175826714.86214858</v>
      </c>
      <c r="BB186" s="44">
        <f>IF(BB179&gt;D181,(SUM(BA185:BB185)/2),IF(BB179=D181,BB185,0))</f>
        <v>173839972.32133335</v>
      </c>
      <c r="BC186" s="44">
        <f>IF(BC179&gt;D181,(SUM(BB185:BC185)/2),IF(BC179=D181,BC185,0))</f>
        <v>171853229.78051811</v>
      </c>
      <c r="BD186" s="44">
        <f>IF(BD179&gt;D181,(SUM(BC185:BD185)/2),IF(BD179=D181,BD185,0))</f>
        <v>169866487.23970288</v>
      </c>
      <c r="BE186" s="44">
        <f>IF(BE179&gt;D181,(SUM(BD185:BE185)/2),IF(BE179=D181,BE185,0))</f>
        <v>167879744.69888765</v>
      </c>
      <c r="BF186" s="44">
        <f>IF(BF179&gt;D181,(SUM(BE185:BF185)/2),IF(BF179=D181,BF185,0))</f>
        <v>165893002.15807241</v>
      </c>
      <c r="BG186" s="44">
        <f>IF(BG179&gt;D181,(SUM(BF185:BG185)/2),IF(BG179=D181,BG185,0))</f>
        <v>163906259.61725718</v>
      </c>
      <c r="BH186" s="44">
        <f>IF(BH179&gt;D181,(SUM(BG185:BH185)/2),IF(BH179=D181,BH185,0))</f>
        <v>161919517.07644194</v>
      </c>
      <c r="BI186" s="44">
        <f>IF(BI179&gt;D181,(SUM(BH185:BI185)/2),IF(BI179=D181,BI185,0))</f>
        <v>159932774.53562671</v>
      </c>
      <c r="BJ186" s="44">
        <f>IF(BJ179&gt;D181,(SUM(BI185:BJ185)/2),IF(BJ179=D181,BJ185,0))</f>
        <v>157946031.99481148</v>
      </c>
      <c r="BK186" s="44">
        <f>IF(BK179&gt;D181,(SUM(BJ185:BK185)/2),IF(BK179=D181,BK185,0))</f>
        <v>155959289.45399624</v>
      </c>
      <c r="BL186" s="44">
        <f>IF(BL179&gt;D181,(SUM(BK185:BL185)/2),IF(BL179=D181,BL185,0))</f>
        <v>153972546.91318101</v>
      </c>
      <c r="BM186" s="44">
        <f>IF(BM179&gt;D181,(SUM(BL185:BM185)/2),IF(BM179=D181,BM185,0))</f>
        <v>151985804.37236577</v>
      </c>
      <c r="BN186" s="44">
        <f>IF(BN179&gt;D181,(SUM(BM185:BN185)/2),IF(BN179=D181,BN185,0))</f>
        <v>149999061.83155054</v>
      </c>
      <c r="BO186" s="44">
        <f>IF(BO179&gt;D181,(SUM(BN185:BO185)/2),IF(BO179=D181,BO185,0))</f>
        <v>148012319.2907353</v>
      </c>
      <c r="BP186" s="44">
        <f>IF(BP179&gt;D181,(SUM(BO185:BP185)/2),IF(BP179=D181,BP185,0))</f>
        <v>146025576.74992007</v>
      </c>
      <c r="BQ186" s="44">
        <f>IF(BQ179&gt;D181,(SUM(BP185:BQ185)/2),IF(BQ179=D181,BQ185,0))</f>
        <v>144038834.20910484</v>
      </c>
      <c r="BR186" s="44">
        <f>IF(BR179&gt;D181,(SUM(BQ185:BR185)/2),IF(BR179=D181,BR185,0))</f>
        <v>142052091.6682896</v>
      </c>
      <c r="BS186" s="44">
        <f>IF(BS179&gt;D181,(SUM(BR185:BS185)/2),IF(BS179=D181,BS185,0))</f>
        <v>140065349.12747437</v>
      </c>
      <c r="BT186" s="44">
        <f>IF(BT179&gt;D181,(SUM(BS185:BT185)/2),IF(BT179=D181,BT185,0))</f>
        <v>138078606.58665913</v>
      </c>
      <c r="BU186" s="44">
        <f>IF(BU179&gt;D181,(SUM(BT185:BU185)/2),IF(BU179=D181,BU185,0))</f>
        <v>136091864.0458439</v>
      </c>
      <c r="BV186" s="44">
        <f>IF(BV179&gt;D181,(SUM(BU185:BV185)/2),IF(BV179=D181,BV185,0))</f>
        <v>134105121.50502867</v>
      </c>
      <c r="BW186" s="44">
        <f>IF(BW179&gt;D181,(SUM(BV185:BW185)/2),IF(BW179=D181,BW185,0))</f>
        <v>132118378.96421343</v>
      </c>
      <c r="BX186" s="44">
        <f>IF(BX179&gt;D181,(SUM(BW185:BX185)/2),IF(BX179=D181,BX185,0))</f>
        <v>130131636.4233982</v>
      </c>
      <c r="BY186" s="44">
        <f>IF(BY179&gt;D181,(SUM(BX185:BY185)/2),IF(BY179=D181,BY185,0))</f>
        <v>128144893.88258296</v>
      </c>
      <c r="BZ186" s="44">
        <f>IF(BZ179&gt;D181,(SUM(BY185:BZ185)/2),IF(BZ179=D181,BZ185,0))</f>
        <v>126158151.34176773</v>
      </c>
      <c r="CA186" s="44">
        <f>IF(CA179&gt;D181,(SUM(BZ185:CA185)/2),IF(CA179=D181,CA185,0))</f>
        <v>124171408.80095249</v>
      </c>
      <c r="CB186" s="44">
        <f>IF(CB179&gt;D181,(SUM(CA185:CB185)/2),IF(CB179=D181,CB185,0))</f>
        <v>122184666.26013726</v>
      </c>
      <c r="CC186" s="44">
        <f>IF(CC179&gt;D181,(SUM(CB185:CC185)/2),IF(CC179=D181,CC185,0))</f>
        <v>120197923.71932203</v>
      </c>
      <c r="CD186" s="44">
        <f>IF(CD179&gt;D181,(SUM(CC185:CD185)/2),IF(CD179=D181,CD185,0))</f>
        <v>118211181.17850679</v>
      </c>
      <c r="CE186" s="44">
        <f>IF(CE179&gt;D181,(SUM(CD185:CE185)/2),IF(CE179=D181,CE185,0))</f>
        <v>116224438.63769156</v>
      </c>
      <c r="CF186" s="44">
        <f>IF(CF179&gt;D181,(SUM(CE185:CF185)/2),IF(CF179=D181,CF185,0))</f>
        <v>114237696.09687632</v>
      </c>
      <c r="CG186" s="44">
        <f>IF(CG179&gt;D181,(SUM(CF185:CG185)/2),IF(CG179=D181,CG185,0))</f>
        <v>112250953.55606109</v>
      </c>
      <c r="CH186" s="44">
        <f>IF(CH179&gt;D181,(SUM(CG185:CH185)/2),IF(CH179=D181,CH185,0))</f>
        <v>110264211.01524585</v>
      </c>
      <c r="CI186" s="44">
        <f>IF(CI179&gt;D181,(SUM(CH185:CI185)/2),IF(CI179=D181,CI185,0))</f>
        <v>108277468.47443062</v>
      </c>
      <c r="CJ186" s="44">
        <f>IF(CJ179&gt;D181,(SUM(CI185:CJ185)/2),IF(CJ179=D181,CJ185,0))</f>
        <v>106290725.93361539</v>
      </c>
      <c r="CK186" s="44">
        <f>IF(CK179&gt;D181,(SUM(CJ185:CK185)/2),IF(CK179=D181,CK185,0))</f>
        <v>104303983.39280015</v>
      </c>
      <c r="CL186" s="44">
        <f>IF(CL179&gt;D181,(SUM(CK185:CL185)/2),IF(CL179=D181,CL185,0))</f>
        <v>102317240.85198492</v>
      </c>
      <c r="CM186" s="44">
        <f>IF(CM179&gt;D181,(SUM(CL185:CM185)/2),IF(CM179=D181,CM185,0))</f>
        <v>100330498.31116968</v>
      </c>
      <c r="CN186" s="44">
        <f>IF(CN179&gt;D181,(SUM(CM185:CN185)/2),IF(CN179=D181,CN185,0))</f>
        <v>98343755.77035445</v>
      </c>
      <c r="CO186" s="44">
        <f>IF(CO179&gt;D181,(SUM(CN185:CO185)/2),IF(CO179=D181,CO185,0))</f>
        <v>96357013.229539216</v>
      </c>
      <c r="CP186" s="44">
        <f>IF(CP179&gt;D181,(SUM(CO185:CP185)/2),IF(CP179=D181,CP185,0))</f>
        <v>94370270.688723981</v>
      </c>
      <c r="CQ186" s="44">
        <f>IF(CQ179&gt;D181,(SUM(CP185:CQ185)/2),IF(CQ179=D181,CQ185,0))</f>
        <v>92383528.147908747</v>
      </c>
      <c r="CR186" s="44">
        <f>IF(CR179&gt;D181,(SUM(CQ185:CR185)/2),IF(CR179=D181,CR185,0))</f>
        <v>90396785.607093513</v>
      </c>
      <c r="CS186" s="44">
        <f>IF(CS179&gt;D181,(SUM(CR185:CS185)/2),IF(CS179=D181,CS185,0))</f>
        <v>88410043.066278279</v>
      </c>
      <c r="CT186" s="44">
        <f>IF(CT179&gt;D181,(SUM(CS185:CT185)/2),IF(CT179=D181,CT185,0))</f>
        <v>86423300.525463045</v>
      </c>
      <c r="CU186" s="44">
        <f>IF(CU179&gt;D181,(SUM(CT185:CU185)/2),IF(CU179=D181,CU185,0))</f>
        <v>84436557.98464781</v>
      </c>
      <c r="CV186" s="44">
        <f>IF(CV179&gt;D181,(SUM(CU185:CV185)/2),IF(CV179=D181,CV185,0))</f>
        <v>82449815.443832576</v>
      </c>
      <c r="CW186" s="44">
        <f>IF(CW179&gt;D181,(SUM(CV185:CW185)/2),IF(CW179=D181,CW185,0))</f>
        <v>80463072.903017342</v>
      </c>
      <c r="CX186" s="44">
        <f>IF(CX179&gt;D181,(SUM(CW185:CX185)/2),IF(CX179=D181,CX185,0))</f>
        <v>78476330.362202108</v>
      </c>
      <c r="CY186" s="44">
        <f>IF(CY179&gt;D181,(SUM(CX185:CY185)/2),IF(CY179=D181,CY185,0))</f>
        <v>76489587.821386874</v>
      </c>
      <c r="CZ186" s="44">
        <f>IF(CZ179&gt;D181,(SUM(CY185:CZ185)/2),IF(CZ179=D181,CZ185,0))</f>
        <v>74502845.28057164</v>
      </c>
      <c r="DA186" s="44">
        <f>IF(DA179&gt;D181,(SUM(CZ185:DA185)/2),IF(DA179=D181,DA185,0))</f>
        <v>72516102.739756405</v>
      </c>
      <c r="DB186" s="44">
        <f>IF(DB179&gt;D181,(SUM(DA185:DB185)/2),IF(DB179=D181,DB185,0))</f>
        <v>70529360.198941171</v>
      </c>
      <c r="DC186" s="44">
        <f>IF(DC179&gt;D181,(SUM(DB185:DC185)/2),IF(DC179=D181,DC185,0))</f>
        <v>68542617.658125937</v>
      </c>
      <c r="DD186" s="44">
        <f>IF(DD179&gt;D181,(SUM(DC185:DD185)/2),IF(DD179=D181,DD185,0))</f>
        <v>66555875.117310703</v>
      </c>
      <c r="DE186" s="44">
        <f>IF(DE179&gt;D181,(SUM(DD185:DE185)/2),IF(DE179=D181,DE185,0))</f>
        <v>64569132.576495469</v>
      </c>
      <c r="DF186" s="44">
        <f>IF(DF179&gt;D181,(SUM(DE185:DF185)/2),IF(DF179=D181,DF185,0))</f>
        <v>62582390.035680234</v>
      </c>
      <c r="DG186" s="44">
        <f>IF(DG179&gt;D181,(SUM(DF185:DG185)/2),IF(DG179=D181,DG185,0))</f>
        <v>60595647.494865</v>
      </c>
      <c r="DH186" s="44">
        <f>IF(DH179&gt;D181,(SUM(DG185:DH185)/2),IF(DH179=D181,DH185,0))</f>
        <v>58608904.954049766</v>
      </c>
      <c r="DI186" s="44">
        <f>IF(DI179&gt;D181,(SUM(DH185:DI185)/2),IF(DI179=D181,DI185,0))</f>
        <v>56622162.413234532</v>
      </c>
      <c r="DJ186" s="44">
        <f>IF(DJ179&gt;D181,(SUM(DI185:DJ185)/2),IF(DJ179=D181,DJ185,0))</f>
        <v>54635419.872419298</v>
      </c>
      <c r="DK186" s="44">
        <f>IF(DK179&gt;D181,(SUM(DJ185:DK185)/2),IF(DK179=D181,DK185,0))</f>
        <v>52648677.331604064</v>
      </c>
      <c r="DL186" s="44">
        <f>IF(DL179&gt;D181,(SUM(DK185:DL185)/2),IF(DL179=D181,DL185,0))</f>
        <v>50661934.790788829</v>
      </c>
      <c r="DM186" s="44">
        <f>IF(DM179&gt;D181,(SUM(DL185:DM185)/2),IF(DM179=D181,DM185,0))</f>
        <v>48675192.249973595</v>
      </c>
      <c r="DN186" s="44">
        <f>IF(DN179&gt;D181,(SUM(DM185:DN185)/2),IF(DN179=D181,DN185,0))</f>
        <v>46688449.709158361</v>
      </c>
      <c r="DO186" s="44">
        <f>IF(DO179&gt;D181,(SUM(DN185:DO185)/2),IF(DO179=D181,DO185,0))</f>
        <v>44701707.168343127</v>
      </c>
      <c r="DP186" s="44">
        <f>IF(DP179&gt;D181,(SUM(DO185:DP185)/2),IF(DP179=D181,DP185,0))</f>
        <v>42714964.627527893</v>
      </c>
      <c r="DQ186" s="44">
        <f>IF(DQ179&gt;D181,(SUM(DP185:DQ185)/2),IF(DQ179=D181,DQ185,0))</f>
        <v>40728222.086712658</v>
      </c>
      <c r="DR186" s="44">
        <f>IF(DR179&gt;D181,(SUM(DQ185:DR185)/2),IF(DR179=D181,DR185,0))</f>
        <v>38741479.545897424</v>
      </c>
      <c r="DS186" s="44">
        <f>IF(DS179&gt;D181,(SUM(DR185:DS185)/2),IF(DS179=D181,DS185,0))</f>
        <v>36754737.00508219</v>
      </c>
      <c r="DT186" s="44">
        <f>IF(DT179&gt;D181,(SUM(DS185:DT185)/2),IF(DT179=D181,DT185,0))</f>
        <v>34767994.464266956</v>
      </c>
      <c r="DU186" s="44">
        <f>IF(DU179&gt;D181,(SUM(DT185:DU185)/2),IF(DU179=D181,DU185,0))</f>
        <v>32781251.923451722</v>
      </c>
      <c r="DV186" s="44">
        <f>IF(DV179&gt;D181,(SUM(DU185:DV185)/2),IF(DV179=D181,DV185,0))</f>
        <v>30794509.38263648</v>
      </c>
      <c r="DW186" s="44">
        <f>IF(DW179&gt;D181,(SUM(DV185:DW185)/2),IF(DW179=D181,DW185,0))</f>
        <v>28807766.841821246</v>
      </c>
      <c r="DX186" s="44">
        <f>IF(DX179&gt;D181,(SUM(DW185:DX185)/2),IF(DX179=D181,DX185,0))</f>
        <v>26821024.301006004</v>
      </c>
      <c r="DY186" s="44">
        <f>IF(DY179&gt;D181,(SUM(DX185:DY185)/2),IF(DY179=D181,DY185,0))</f>
        <v>24834281.76019077</v>
      </c>
      <c r="DZ186" s="44">
        <f>IF(DZ179&gt;D181,(SUM(DY185:DZ185)/2),IF(DZ179=D181,DZ185,0))</f>
        <v>22847539.219375528</v>
      </c>
      <c r="EA186" s="44">
        <f>IF(EA179&gt;D181,(SUM(DZ185:EA185)/2),IF(EA179=D181,EA185,0))</f>
        <v>20860796.678560294</v>
      </c>
      <c r="EB186" s="44">
        <f>IF(EB179&gt;D181,(SUM(EA185:EB185)/2),IF(EB179=D181,EB185,0))</f>
        <v>18874054.137745053</v>
      </c>
      <c r="EC186" s="44">
        <f>IF(EC179&gt;D181,(SUM(EB185:EC185)/2),IF(EC179=D181,EC185,0))</f>
        <v>16887311.596929818</v>
      </c>
      <c r="ED186" s="44">
        <f>IF(ED179&gt;D181,(SUM(EC185:ED185)/2),IF(ED179=D181,ED185,0))</f>
        <v>14900569.056114579</v>
      </c>
      <c r="EE186" s="44">
        <f>IF(EE179&gt;D181,(SUM(ED185:EE185)/2),IF(EE179=D181,EE185,0))</f>
        <v>12913826.515299341</v>
      </c>
      <c r="EF186" s="44">
        <f>IF(EF179&gt;D181,(SUM(EE185:EF185)/2),IF(EF179=D181,EF185,0))</f>
        <v>10927083.974484103</v>
      </c>
      <c r="EG186" s="44">
        <f>IF(EG179&gt;D181,(SUM(EF185:EG185)/2),IF(EG179=D181,EG185,0))</f>
        <v>8940341.4336688649</v>
      </c>
      <c r="EH186" s="44">
        <f>IF(EH179&gt;D181,(SUM(EG185:EH185)/2),IF(EH179=D181,EH185,0))</f>
        <v>6953598.8928536288</v>
      </c>
      <c r="EI186" s="44">
        <f t="shared" ref="EI186:EN186" si="396">IF(EI179&gt;E181,(SUM(EH185:EI185)/2),IF(EI179=E181,EI185,0))</f>
        <v>4966856.3520383909</v>
      </c>
      <c r="EJ186" s="44">
        <f t="shared" si="396"/>
        <v>2980113.8112231544</v>
      </c>
      <c r="EK186" s="44">
        <f t="shared" si="396"/>
        <v>993371.27040791709</v>
      </c>
      <c r="EL186" s="44">
        <f t="shared" si="396"/>
        <v>2.9848888516426086E-7</v>
      </c>
      <c r="EM186" s="44">
        <f t="shared" si="396"/>
        <v>2.9848888516426086E-7</v>
      </c>
      <c r="EN186" s="44">
        <f t="shared" si="396"/>
        <v>2.9848888516426086E-7</v>
      </c>
    </row>
    <row r="187" spans="2:144" outlineLevel="1">
      <c r="C187" s="43" t="s">
        <v>176</v>
      </c>
      <c r="D187" s="44"/>
      <c r="E187" s="773">
        <f>E176</f>
        <v>10</v>
      </c>
      <c r="F187" s="44"/>
      <c r="G187" s="44"/>
      <c r="H187" s="120">
        <f>IF(H178&lt;$E181,0,IF(AND(H178&gt;=$E181,H178&lt;=($E181+$E187-1)),Вводные!$D$30,Вводные!$E$30))</f>
        <v>0</v>
      </c>
      <c r="I187" s="120">
        <f>IF(I178&lt;$E181,0,IF(AND(I178&gt;=$E181,I178&lt;=($E181+$E187-1)),Вводные!$D$30,Вводные!$E$30))</f>
        <v>0</v>
      </c>
      <c r="J187" s="120">
        <f>IF(J178&lt;$E181,0,IF(AND(J178&gt;=$E181,J178&lt;=($E181+$E187-1)),Вводные!$D$30,Вводные!$E$30))</f>
        <v>0</v>
      </c>
      <c r="K187" s="120">
        <f>IF(K178&lt;$E181,0,IF(AND(K178&gt;=$E181,K178&lt;=($E181+$E187-1)),Вводные!$D$30,Вводные!$E$30))</f>
        <v>0</v>
      </c>
      <c r="L187" s="120">
        <f>IF(L178&lt;$E181,0,IF(AND(L178&gt;=$E181,L178&lt;=($E181+$E187-1)),Вводные!$D$30,Вводные!$E$30))</f>
        <v>0</v>
      </c>
      <c r="M187" s="120">
        <f>IF(M178&lt;$E181,0,IF(AND(M178&gt;=$E181,M178&lt;=($E181+$E187-1)),Вводные!$D$30,Вводные!$E$30))</f>
        <v>0</v>
      </c>
      <c r="N187" s="120">
        <f>IF(N178&lt;$E181,0,IF(AND(N178&gt;=$E181,N178&lt;=($E181+$E187-1)),Вводные!$D$30,Вводные!$E$30))</f>
        <v>0</v>
      </c>
      <c r="O187" s="120">
        <f>IF(O178&lt;$E181,0,IF(AND(O178&gt;=$E181,O178&lt;=($E181+$E187-1)),Вводные!$D$30,Вводные!$E$30))</f>
        <v>0</v>
      </c>
      <c r="P187" s="120">
        <f>IF(P178&lt;$E181,0,IF(AND(P178&gt;=$E181,P178&lt;=($E181+$E187-1)),Вводные!$D$30,Вводные!$E$30))</f>
        <v>0</v>
      </c>
      <c r="Q187" s="120">
        <f>IF(Q178&lt;$E181,0,IF(AND(Q178&gt;=$E181,Q178&lt;=($E181+$E187-1)),Вводные!$D$30,Вводные!$E$30))</f>
        <v>0</v>
      </c>
      <c r="R187" s="120">
        <f>IF(R178&lt;$E181,0,IF(AND(R178&gt;=$E181,R178&lt;=($E181+$E187-1)),Вводные!$D$30,Вводные!$E$30))</f>
        <v>0</v>
      </c>
      <c r="S187" s="120">
        <f>IF(S178&lt;$E181,0,IF(AND(S178&gt;=$E181,S178&lt;=($E181+$E187-1)),Вводные!$D$30,Вводные!$E$30))</f>
        <v>0</v>
      </c>
      <c r="T187" s="120">
        <f>IF(T178&lt;$E181,0,IF(AND(T178&gt;=$E181,T178&lt;=($E181+$E187-1)),Вводные!$D$30,Вводные!$E$30))</f>
        <v>0</v>
      </c>
      <c r="U187" s="120">
        <f>IF(U178&lt;$E181,0,IF(AND(U178&gt;=$E181,U178&lt;=($E181+$E187-1)),Вводные!$D$30,Вводные!$E$30))</f>
        <v>0</v>
      </c>
      <c r="V187" s="120">
        <f>IF(V178&lt;$E181,0,IF(AND(V178&gt;=$E181,V178&lt;=($E181+$E187-1)),Вводные!$D$30,Вводные!$E$30))</f>
        <v>0</v>
      </c>
      <c r="W187" s="120">
        <f>IF(W178&lt;$E181,0,IF(AND(W178&gt;=$E181,W178&lt;=($E181+$E187-1)),Вводные!$D$30,Вводные!$E$30))</f>
        <v>0</v>
      </c>
      <c r="X187" s="120">
        <f>IF(X178&lt;$E181,0,IF(AND(X178&gt;=$E181,X178&lt;=($E181+$E187-1)),Вводные!$D$30,Вводные!$E$30))</f>
        <v>0</v>
      </c>
      <c r="Y187" s="120">
        <f>IF(Y178&lt;$E181,0,IF(AND(Y178&gt;=$E181,Y178&lt;=($E181+$E187-1)),Вводные!$D$30,Вводные!$E$30))</f>
        <v>0</v>
      </c>
      <c r="Z187" s="120">
        <f>IF(Z178&lt;$E181,0,IF(AND(Z178&gt;=$E181,Z178&lt;=($E181+$E187-1)),Вводные!$D$30,Вводные!$E$30))</f>
        <v>0</v>
      </c>
      <c r="AA187" s="120">
        <f>IF(AA178&lt;$E181,0,IF(AND(AA178&gt;=$E181,AA178&lt;=($E181+$E187-1)),Вводные!$D$30,Вводные!$E$30))</f>
        <v>0</v>
      </c>
      <c r="AB187" s="120">
        <f>IF(AB178&lt;$E181,0,IF(AND(AB178&gt;=$E181,AB178&lt;=($E181+$E187-1)),Вводные!$D$30,Вводные!$E$30))</f>
        <v>0</v>
      </c>
      <c r="AC187" s="120">
        <f>IF(AC178&lt;$E181,0,IF(AND(AC178&gt;=$E181,AC178&lt;=($E181+$E187-1)),Вводные!$D$30,Вводные!$E$30))</f>
        <v>0</v>
      </c>
      <c r="AD187" s="120">
        <f>IF(AD178&lt;$E181,0,IF(AND(AD178&gt;=$E181,AD178&lt;=($E181+$E187-1)),Вводные!$D$30,Вводные!$E$30))</f>
        <v>0</v>
      </c>
      <c r="AE187" s="120">
        <f>IF(AE178&lt;$E181,0,IF(AND(AE178&gt;=$E181,AE178&lt;=($E181+$E187-1)),Вводные!$D$30,Вводные!$E$30))</f>
        <v>0</v>
      </c>
      <c r="AF187" s="120">
        <f>IF(AF178&lt;$E181,0,IF(AND(AF178&gt;=$E181,AF178&lt;=($E181+$E187-1)),Вводные!$D$30,Вводные!$E$30))</f>
        <v>0</v>
      </c>
      <c r="AG187" s="120">
        <f>IF(AG178&lt;$E181,0,IF(AND(AG178&gt;=$E181,AG178&lt;=($E181+$E187-1)),Вводные!$D$30,Вводные!$E$30))</f>
        <v>0</v>
      </c>
      <c r="AH187" s="120">
        <f>IF(AH178&lt;$E181,0,IF(AND(AH178&gt;=$E181,AH178&lt;=($E181+$E187-1)),Вводные!$D$30,Вводные!$E$30))</f>
        <v>0</v>
      </c>
      <c r="AI187" s="120">
        <f>IF(AI178&lt;$E181,0,IF(AND(AI178&gt;=$E181,AI178&lt;=($E181+$E187-1)),Вводные!$D$30,Вводные!$E$30))</f>
        <v>0</v>
      </c>
      <c r="AJ187" s="120">
        <f>IF(AJ178&lt;$E181,0,IF(AND(AJ178&gt;=$E181,AJ178&lt;=($E181+$E187-1)),Вводные!$D$30,Вводные!$E$30))</f>
        <v>0</v>
      </c>
      <c r="AK187" s="120">
        <f>IF(AK178&lt;$E181,0,IF(AND(AK178&gt;=$E181,AK178&lt;=($E181+$E187-1)),Вводные!$D$30,Вводные!$E$30))</f>
        <v>0</v>
      </c>
      <c r="AL187" s="120">
        <f>IF(AL178&lt;$E181,0,IF(AND(AL178&gt;=$E181,AL178&lt;=($E181+$E187-1)),Вводные!$D$30,Вводные!$E$30))</f>
        <v>0</v>
      </c>
      <c r="AM187" s="120">
        <f>IF(AM178&lt;$E181,0,IF(AND(AM178&gt;=$E181,AM178&lt;=($E181+$E187-1)),Вводные!$D$30,Вводные!$E$30))</f>
        <v>0</v>
      </c>
      <c r="AN187" s="120">
        <f>IF(AN178&lt;$E181,0,IF(AND(AN178&gt;=$E181,AN178&lt;=($E181+$E187-1)),Вводные!$D$30,Вводные!$E$30))</f>
        <v>0</v>
      </c>
      <c r="AO187" s="120">
        <f>IF(AO178&lt;$E181,0,IF(AND(AO178&gt;=$E181,AO178&lt;=($E181+$E187-1)),Вводные!$D$30,Вводные!$E$30))</f>
        <v>0</v>
      </c>
      <c r="AP187" s="120">
        <f>IF(AP178&lt;$E181,0,IF(AND(AP178&gt;=$E181,AP178&lt;=($E181+$E187-1)),Вводные!$D$30,Вводные!$E$30))</f>
        <v>0</v>
      </c>
      <c r="AQ187" s="120">
        <f>IF(AQ178&lt;$E181,0,IF(AND(AQ178&gt;=$E181,AQ178&lt;=($E181+$E187-1)),Вводные!$D$30,Вводные!$E$30))</f>
        <v>0</v>
      </c>
      <c r="AR187" s="120">
        <f>IF(AR178&lt;$E181,0,IF(AND(AR178&gt;=$E181,AR178&lt;=($E181+$E187-1)),Вводные!$D$30,Вводные!$E$30))</f>
        <v>0</v>
      </c>
      <c r="AS187" s="120">
        <f>IF(AS178&lt;$E181,0,IF(AND(AS178&gt;=$E181,AS178&lt;=($E181+$E187-1)),Вводные!$D$30,Вводные!$E$30))</f>
        <v>0</v>
      </c>
      <c r="AT187" s="120">
        <f>IF(AT178&lt;$E181,0,IF(AND(AT178&gt;=$E181,AT178&lt;=($E181+$E187-1)),Вводные!$D$30,Вводные!$E$30))</f>
        <v>0</v>
      </c>
      <c r="AU187" s="120">
        <f>IF(AU178&lt;$E181,0,IF(AND(AU178&gt;=$E181,AU178&lt;=($E181+$E187-1)),Вводные!$D$30,Вводные!$E$30))</f>
        <v>0</v>
      </c>
      <c r="AV187" s="120">
        <f>IF(AV178&lt;$E181,0,IF(AND(AV178&gt;=$E181,AV178&lt;=($E181+$E187-1)),Вводные!$D$30,Вводные!$E$30))</f>
        <v>0</v>
      </c>
      <c r="AW187" s="120">
        <f>IF(AW178&lt;$E181,0,IF(AND(AW178&gt;=$E181,AW178&lt;=($E181+$E187-1)),Вводные!$D$30,Вводные!$E$30))</f>
        <v>0</v>
      </c>
      <c r="AX187" s="120">
        <f>IF(AX178&lt;$E181,0,IF(AND(AX178&gt;=$E181,AX178&lt;=($E181+$E187-1)),Вводные!$D$30,Вводные!$E$30))</f>
        <v>0</v>
      </c>
      <c r="AY187" s="120">
        <f>IF(AY178&lt;$E181,0,IF(AND(AY178&gt;=$E181,AY178&lt;=($E181+$E187-1)),Вводные!$D$30,Вводные!$E$30))</f>
        <v>0</v>
      </c>
      <c r="AZ187" s="120">
        <f>IF(AZ178&lt;$E181,0,IF(AND(AZ178&gt;=$E181,AZ178&lt;=($E181+$E187-1)),Вводные!$D$30,Вводные!$E$30))</f>
        <v>0</v>
      </c>
      <c r="BA187" s="120">
        <f>IF(BA178&lt;$E181,0,IF(AND(BA178&gt;=$E181,BA178&lt;=($E181+$E187-1)),Вводные!$D$30,Вводные!$E$30))</f>
        <v>0</v>
      </c>
      <c r="BB187" s="120">
        <f>IF(BB178&lt;$E181,0,IF(AND(BB178&gt;=$E181,BB178&lt;=($E181+$E187-1)),Вводные!$D$30,Вводные!$E$30))</f>
        <v>0</v>
      </c>
      <c r="BC187" s="120">
        <f>IF(BC178&lt;$E181,0,IF(AND(BC178&gt;=$E181,BC178&lt;=($E181+$E187-1)),Вводные!$D$30,Вводные!$E$30))</f>
        <v>0</v>
      </c>
      <c r="BD187" s="120">
        <f>IF(BD178&lt;$E181,0,IF(AND(BD178&gt;=$E181,BD178&lt;=($E181+$E187-1)),Вводные!$D$30,Вводные!$E$30))</f>
        <v>0</v>
      </c>
      <c r="BE187" s="120">
        <f>IF(BE178&lt;$E181,0,IF(AND(BE178&gt;=$E181,BE178&lt;=($E181+$E187-1)),Вводные!$D$30,Вводные!$E$30))</f>
        <v>0</v>
      </c>
      <c r="BF187" s="120">
        <f>IF(BF178&lt;$E181,0,IF(AND(BF178&gt;=$E181,BF178&lt;=($E181+$E187-1)),Вводные!$D$30,Вводные!$E$30))</f>
        <v>0</v>
      </c>
      <c r="BG187" s="120">
        <f>IF(BG178&lt;$E181,0,IF(AND(BG178&gt;=$E181,BG178&lt;=($E181+$E187-1)),Вводные!$D$30,Вводные!$E$30))</f>
        <v>0</v>
      </c>
      <c r="BH187" s="120">
        <f>IF(BH178&lt;$E181,0,IF(AND(BH178&gt;=$E181,BH178&lt;=($E181+$E187-1)),Вводные!$D$30,Вводные!$E$30))</f>
        <v>2.1999999999999999E-2</v>
      </c>
      <c r="BI187" s="120">
        <f>IF(BI178&lt;$E181,0,IF(AND(BI178&gt;=$E181,BI178&lt;=($E181+$E187-1)),Вводные!$D$30,Вводные!$E$30))</f>
        <v>2.1999999999999999E-2</v>
      </c>
      <c r="BJ187" s="120">
        <f>IF(BJ178&lt;$E181,0,IF(AND(BJ178&gt;=$E181,BJ178&lt;=($E181+$E187-1)),Вводные!$D$30,Вводные!$E$30))</f>
        <v>2.1999999999999999E-2</v>
      </c>
      <c r="BK187" s="120">
        <f>IF(BK178&lt;$E181,0,IF(AND(BK178&gt;=$E181,BK178&lt;=($E181+$E187-1)),Вводные!$D$30,Вводные!$E$30))</f>
        <v>2.1999999999999999E-2</v>
      </c>
      <c r="BL187" s="120">
        <f>IF(BL178&lt;$E181,0,IF(AND(BL178&gt;=$E181,BL178&lt;=($E181+$E187-1)),Вводные!$D$30,Вводные!$E$30))</f>
        <v>2.1999999999999999E-2</v>
      </c>
      <c r="BM187" s="120">
        <f>IF(BM178&lt;$E181,0,IF(AND(BM178&gt;=$E181,BM178&lt;=($E181+$E187-1)),Вводные!$D$30,Вводные!$E$30))</f>
        <v>2.1999999999999999E-2</v>
      </c>
      <c r="BN187" s="120">
        <f>IF(BN178&lt;$E181,0,IF(AND(BN178&gt;=$E181,BN178&lt;=($E181+$E187-1)),Вводные!$D$30,Вводные!$E$30))</f>
        <v>2.1999999999999999E-2</v>
      </c>
      <c r="BO187" s="120">
        <f>IF(BO178&lt;$E181,0,IF(AND(BO178&gt;=$E181,BO178&lt;=($E181+$E187-1)),Вводные!$D$30,Вводные!$E$30))</f>
        <v>2.1999999999999999E-2</v>
      </c>
      <c r="BP187" s="120">
        <f>IF(BP178&lt;$E181,0,IF(AND(BP178&gt;=$E181,BP178&lt;=($E181+$E187-1)),Вводные!$D$30,Вводные!$E$30))</f>
        <v>2.1999999999999999E-2</v>
      </c>
      <c r="BQ187" s="120">
        <f>IF(BQ178&lt;$E181,0,IF(AND(BQ178&gt;=$E181,BQ178&lt;=($E181+$E187-1)),Вводные!$D$30,Вводные!$E$30))</f>
        <v>2.1999999999999999E-2</v>
      </c>
      <c r="BR187" s="120">
        <f>IF(BR178&lt;$E181,0,IF(AND(BR178&gt;=$E181,BR178&lt;=($E181+$E187-1)),Вводные!$D$30,Вводные!$E$30))</f>
        <v>2.1999999999999999E-2</v>
      </c>
      <c r="BS187" s="120">
        <f>IF(BS178&lt;$E181,0,IF(AND(BS178&gt;=$E181,BS178&lt;=($E181+$E187-1)),Вводные!$D$30,Вводные!$E$30))</f>
        <v>2.1999999999999999E-2</v>
      </c>
      <c r="BT187" s="120">
        <f>IF(BT178&lt;$E181,0,IF(AND(BT178&gt;=$E181,BT178&lt;=($E181+$E187-1)),Вводные!$D$30,Вводные!$E$30))</f>
        <v>2.1999999999999999E-2</v>
      </c>
      <c r="BU187" s="120">
        <f>IF(BU178&lt;$E181,0,IF(AND(BU178&gt;=$E181,BU178&lt;=($E181+$E187-1)),Вводные!$D$30,Вводные!$E$30))</f>
        <v>2.1999999999999999E-2</v>
      </c>
      <c r="BV187" s="120">
        <f>IF(BV178&lt;$E181,0,IF(AND(BV178&gt;=$E181,BV178&lt;=($E181+$E187-1)),Вводные!$D$30,Вводные!$E$30))</f>
        <v>2.1999999999999999E-2</v>
      </c>
      <c r="BW187" s="120">
        <f>IF(BW178&lt;$E181,0,IF(AND(BW178&gt;=$E181,BW178&lt;=($E181+$E187-1)),Вводные!$D$30,Вводные!$E$30))</f>
        <v>2.1999999999999999E-2</v>
      </c>
      <c r="BX187" s="120">
        <f>IF(BX178&lt;$E181,0,IF(AND(BX178&gt;=$E181,BX178&lt;=($E181+$E187-1)),Вводные!$D$30,Вводные!$E$30))</f>
        <v>2.1999999999999999E-2</v>
      </c>
      <c r="BY187" s="120">
        <f>IF(BY178&lt;$E181,0,IF(AND(BY178&gt;=$E181,BY178&lt;=($E181+$E187-1)),Вводные!$D$30,Вводные!$E$30))</f>
        <v>2.1999999999999999E-2</v>
      </c>
      <c r="BZ187" s="120">
        <f>IF(BZ178&lt;$E181,0,IF(AND(BZ178&gt;=$E181,BZ178&lt;=($E181+$E187-1)),Вводные!$D$30,Вводные!$E$30))</f>
        <v>2.1999999999999999E-2</v>
      </c>
      <c r="CA187" s="120">
        <f>IF(CA178&lt;$E181,0,IF(AND(CA178&gt;=$E181,CA178&lt;=($E181+$E187-1)),Вводные!$D$30,Вводные!$E$30))</f>
        <v>2.1999999999999999E-2</v>
      </c>
      <c r="CB187" s="120">
        <f>IF(CB178&lt;$E181,0,IF(AND(CB178&gt;=$E181,CB178&lt;=($E181+$E187-1)),Вводные!$D$30,Вводные!$E$30))</f>
        <v>2.1999999999999999E-2</v>
      </c>
      <c r="CC187" s="120">
        <f>IF(CC178&lt;$E181,0,IF(AND(CC178&gt;=$E181,CC178&lt;=($E181+$E187-1)),Вводные!$D$30,Вводные!$E$30))</f>
        <v>2.1999999999999999E-2</v>
      </c>
      <c r="CD187" s="120">
        <f>IF(CD178&lt;$E181,0,IF(AND(CD178&gt;=$E181,CD178&lt;=($E181+$E187-1)),Вводные!$D$30,Вводные!$E$30))</f>
        <v>2.1999999999999999E-2</v>
      </c>
      <c r="CE187" s="120">
        <f>IF(CE178&lt;$E181,0,IF(AND(CE178&gt;=$E181,CE178&lt;=($E181+$E187-1)),Вводные!$D$30,Вводные!$E$30))</f>
        <v>2.1999999999999999E-2</v>
      </c>
      <c r="CF187" s="120">
        <f>IF(CF178&lt;$E181,0,IF(AND(CF178&gt;=$E181,CF178&lt;=($E181+$E187-1)),Вводные!$D$30,Вводные!$E$30))</f>
        <v>2.1999999999999999E-2</v>
      </c>
      <c r="CG187" s="120">
        <f>IF(CG178&lt;$E181,0,IF(AND(CG178&gt;=$E181,CG178&lt;=($E181+$E187-1)),Вводные!$D$30,Вводные!$E$30))</f>
        <v>2.1999999999999999E-2</v>
      </c>
      <c r="CH187" s="120">
        <f>IF(CH178&lt;$E181,0,IF(AND(CH178&gt;=$E181,CH178&lt;=($E181+$E187-1)),Вводные!$D$30,Вводные!$E$30))</f>
        <v>2.1999999999999999E-2</v>
      </c>
      <c r="CI187" s="120">
        <f>IF(CI178&lt;$E181,0,IF(AND(CI178&gt;=$E181,CI178&lt;=($E181+$E187-1)),Вводные!$D$30,Вводные!$E$30))</f>
        <v>2.1999999999999999E-2</v>
      </c>
      <c r="CJ187" s="120">
        <f>IF(CJ178&lt;$E181,0,IF(AND(CJ178&gt;=$E181,CJ178&lt;=($E181+$E187-1)),Вводные!$D$30,Вводные!$E$30))</f>
        <v>2.1999999999999999E-2</v>
      </c>
      <c r="CK187" s="120">
        <f>IF(CK178&lt;$E181,0,IF(AND(CK178&gt;=$E181,CK178&lt;=($E181+$E187-1)),Вводные!$D$30,Вводные!$E$30))</f>
        <v>2.1999999999999999E-2</v>
      </c>
      <c r="CL187" s="120">
        <f>IF(CL178&lt;$E181,0,IF(AND(CL178&gt;=$E181,CL178&lt;=($E181+$E187-1)),Вводные!$D$30,Вводные!$E$30))</f>
        <v>2.1999999999999999E-2</v>
      </c>
      <c r="CM187" s="120">
        <f>IF(CM178&lt;$E181,0,IF(AND(CM178&gt;=$E181,CM178&lt;=($E181+$E187-1)),Вводные!$D$30,Вводные!$E$30))</f>
        <v>2.1999999999999999E-2</v>
      </c>
      <c r="CN187" s="120">
        <f>IF(CN178&lt;$E181,0,IF(AND(CN178&gt;=$E181,CN178&lt;=($E181+$E187-1)),Вводные!$D$30,Вводные!$E$30))</f>
        <v>2.1999999999999999E-2</v>
      </c>
      <c r="CO187" s="120">
        <f>IF(CO178&lt;$E181,0,IF(AND(CO178&gt;=$E181,CO178&lt;=($E181+$E187-1)),Вводные!$D$30,Вводные!$E$30))</f>
        <v>2.1999999999999999E-2</v>
      </c>
      <c r="CP187" s="120">
        <f>IF(CP178&lt;$E181,0,IF(AND(CP178&gt;=$E181,CP178&lt;=($E181+$E187-1)),Вводные!$D$30,Вводные!$E$30))</f>
        <v>2.1999999999999999E-2</v>
      </c>
      <c r="CQ187" s="120">
        <f>IF(CQ178&lt;$E181,0,IF(AND(CQ178&gt;=$E181,CQ178&lt;=($E181+$E187-1)),Вводные!$D$30,Вводные!$E$30))</f>
        <v>2.1999999999999999E-2</v>
      </c>
      <c r="CR187" s="120">
        <f>IF(CR178&lt;$E181,0,IF(AND(CR178&gt;=$E181,CR178&lt;=($E181+$E187-1)),Вводные!$D$30,Вводные!$E$30))</f>
        <v>2.1999999999999999E-2</v>
      </c>
      <c r="CS187" s="120">
        <f>IF(CS178&lt;$E181,0,IF(AND(CS178&gt;=$E181,CS178&lt;=($E181+$E187-1)),Вводные!$D$30,Вводные!$E$30))</f>
        <v>2.1999999999999999E-2</v>
      </c>
      <c r="CT187" s="120">
        <f>IF(CT178&lt;$E181,0,IF(AND(CT178&gt;=$E181,CT178&lt;=($E181+$E187-1)),Вводные!$D$30,Вводные!$E$30))</f>
        <v>2.1999999999999999E-2</v>
      </c>
      <c r="CU187" s="120">
        <f>IF(CU178&lt;$E181,0,IF(AND(CU178&gt;=$E181,CU178&lt;=($E181+$E187-1)),Вводные!$D$30,Вводные!$E$30))</f>
        <v>2.1999999999999999E-2</v>
      </c>
      <c r="CV187" s="120">
        <f>IF(CV178&lt;$E181,0,IF(AND(CV178&gt;=$E181,CV178&lt;=($E181+$E187-1)),Вводные!$D$30,Вводные!$E$30))</f>
        <v>2.1999999999999999E-2</v>
      </c>
      <c r="CW187" s="120">
        <f>IF(CW178&lt;$E181,0,IF(AND(CW178&gt;=$E181,CW178&lt;=($E181+$E187-1)),Вводные!$D$30,Вводные!$E$30))</f>
        <v>2.1999999999999999E-2</v>
      </c>
      <c r="CX187" s="120">
        <f>IF(CX178&lt;$E181,0,IF(AND(CX178&gt;=$E181,CX178&lt;=($E181+$E187-1)),Вводные!$D$30,Вводные!$E$30))</f>
        <v>2.1999999999999999E-2</v>
      </c>
      <c r="CY187" s="120">
        <f>IF(CY178&lt;$E181,0,IF(AND(CY178&gt;=$E181,CY178&lt;=($E181+$E187-1)),Вводные!$D$30,Вводные!$E$30))</f>
        <v>2.1999999999999999E-2</v>
      </c>
      <c r="CZ187" s="120">
        <f>IF(CZ178&lt;$E181,0,IF(AND(CZ178&gt;=$E181,CZ178&lt;=($E181+$E187-1)),Вводные!$D$30,Вводные!$E$30))</f>
        <v>2.1999999999999999E-2</v>
      </c>
      <c r="DA187" s="120">
        <f>IF(DA178&lt;$E181,0,IF(AND(DA178&gt;=$E181,DA178&lt;=($E181+$E187-1)),Вводные!$D$30,Вводные!$E$30))</f>
        <v>2.1999999999999999E-2</v>
      </c>
      <c r="DB187" s="120">
        <f>IF(DB178&lt;$E181,0,IF(AND(DB178&gt;=$E181,DB178&lt;=($E181+$E187-1)),Вводные!$D$30,Вводные!$E$30))</f>
        <v>2.1999999999999999E-2</v>
      </c>
      <c r="DC187" s="120">
        <f>IF(DC178&lt;$E181,0,IF(AND(DC178&gt;=$E181,DC178&lt;=($E181+$E187-1)),Вводные!$D$30,Вводные!$E$30))</f>
        <v>2.1999999999999999E-2</v>
      </c>
      <c r="DD187" s="120">
        <f>IF(DD178&lt;$E181,0,IF(AND(DD178&gt;=$E181,DD178&lt;=($E181+$E187-1)),Вводные!$D$30,Вводные!$E$30))</f>
        <v>2.1999999999999999E-2</v>
      </c>
      <c r="DE187" s="120">
        <f>IF(DE178&lt;$E181,0,IF(AND(DE178&gt;=$E181,DE178&lt;=($E181+$E187-1)),Вводные!$D$30,Вводные!$E$30))</f>
        <v>2.1999999999999999E-2</v>
      </c>
      <c r="DF187" s="120">
        <f>IF(DF178&lt;$E181,0,IF(AND(DF178&gt;=$E181,DF178&lt;=($E181+$E187-1)),Вводные!$D$30,Вводные!$E$30))</f>
        <v>2.1999999999999999E-2</v>
      </c>
      <c r="DG187" s="120">
        <f>IF(DG178&lt;$E181,0,IF(AND(DG178&gt;=$E181,DG178&lt;=($E181+$E187-1)),Вводные!$D$30,Вводные!$E$30))</f>
        <v>2.1999999999999999E-2</v>
      </c>
      <c r="DH187" s="120">
        <f>IF(DH178&lt;$E181,0,IF(AND(DH178&gt;=$E181,DH178&lt;=($E181+$E187-1)),Вводные!$D$30,Вводные!$E$30))</f>
        <v>2.1999999999999999E-2</v>
      </c>
      <c r="DI187" s="120">
        <f>IF(DI178&lt;$E181,0,IF(AND(DI178&gt;=$E181,DI178&lt;=($E181+$E187-1)),Вводные!$D$30,Вводные!$E$30))</f>
        <v>2.1999999999999999E-2</v>
      </c>
      <c r="DJ187" s="120">
        <f>IF(DJ178&lt;$E181,0,IF(AND(DJ178&gt;=$E181,DJ178&lt;=($E181+$E187-1)),Вводные!$D$30,Вводные!$E$30))</f>
        <v>2.1999999999999999E-2</v>
      </c>
      <c r="DK187" s="120">
        <f>IF(DK178&lt;$E181,0,IF(AND(DK178&gt;=$E181,DK178&lt;=($E181+$E187-1)),Вводные!$D$30,Вводные!$E$30))</f>
        <v>2.1999999999999999E-2</v>
      </c>
      <c r="DL187" s="120">
        <f>IF(DL178&lt;$E181,0,IF(AND(DL178&gt;=$E181,DL178&lt;=($E181+$E187-1)),Вводные!$D$30,Вводные!$E$30))</f>
        <v>2.1999999999999999E-2</v>
      </c>
      <c r="DM187" s="120">
        <f>IF(DM178&lt;$E181,0,IF(AND(DM178&gt;=$E181,DM178&lt;=($E181+$E187-1)),Вводные!$D$30,Вводные!$E$30))</f>
        <v>2.1999999999999999E-2</v>
      </c>
      <c r="DN187" s="120">
        <f>IF(DN178&lt;$E181,0,IF(AND(DN178&gt;=$E181,DN178&lt;=($E181+$E187-1)),Вводные!$D$30,Вводные!$E$30))</f>
        <v>2.1999999999999999E-2</v>
      </c>
      <c r="DO187" s="120">
        <f>IF(DO178&lt;$E181,0,IF(AND(DO178&gt;=$E181,DO178&lt;=($E181+$E187-1)),Вводные!$D$30,Вводные!$E$30))</f>
        <v>2.1999999999999999E-2</v>
      </c>
      <c r="DP187" s="120">
        <f>IF(DP178&lt;$E181,0,IF(AND(DP178&gt;=$E181,DP178&lt;=($E181+$E187-1)),Вводные!$D$30,Вводные!$E$30))</f>
        <v>2.1999999999999999E-2</v>
      </c>
      <c r="DQ187" s="120">
        <f>IF(DQ178&lt;$E181,0,IF(AND(DQ178&gt;=$E181,DQ178&lt;=($E181+$E187-1)),Вводные!$D$30,Вводные!$E$30))</f>
        <v>2.1999999999999999E-2</v>
      </c>
      <c r="DR187" s="120">
        <f>IF(DR178&lt;$E181,0,IF(AND(DR178&gt;=$E181,DR178&lt;=($E181+$E187-1)),Вводные!$D$30,Вводные!$E$30))</f>
        <v>2.1999999999999999E-2</v>
      </c>
      <c r="DS187" s="120">
        <f>IF(DS178&lt;$E181,0,IF(AND(DS178&gt;=$E181,DS178&lt;=($E181+$E187-1)),Вводные!$D$30,Вводные!$E$30))</f>
        <v>2.1999999999999999E-2</v>
      </c>
      <c r="DT187" s="120">
        <f>IF(DT178&lt;$E181,0,IF(AND(DT178&gt;=$E181,DT178&lt;=($E181+$E187-1)),Вводные!$D$30,Вводные!$E$30))</f>
        <v>2.1999999999999999E-2</v>
      </c>
      <c r="DU187" s="120">
        <f>IF(DU178&lt;$E181,0,IF(AND(DU178&gt;=$E181,DU178&lt;=($E181+$E187-1)),Вводные!$D$30,Вводные!$E$30))</f>
        <v>2.1999999999999999E-2</v>
      </c>
      <c r="DV187" s="120">
        <f>IF(DV178&lt;$E181,0,IF(AND(DV178&gt;=$E181,DV178&lt;=($E181+$E187-1)),Вводные!$D$30,Вводные!$E$30))</f>
        <v>2.1999999999999999E-2</v>
      </c>
      <c r="DW187" s="120">
        <f>IF(DW178&lt;$E181,0,IF(AND(DW178&gt;=$E181,DW178&lt;=($E181+$E187-1)),Вводные!$D$30,Вводные!$E$30))</f>
        <v>2.1999999999999999E-2</v>
      </c>
      <c r="DX187" s="120">
        <f>IF(DX178&lt;$E181,0,IF(AND(DX178&gt;=$E181,DX178&lt;=($E181+$E187-1)),Вводные!$D$30,Вводные!$E$30))</f>
        <v>2.1999999999999999E-2</v>
      </c>
      <c r="DY187" s="120">
        <f>IF(DY178&lt;$E181,0,IF(AND(DY178&gt;=$E181,DY178&lt;=($E181+$E187-1)),Вводные!$D$30,Вводные!$E$30))</f>
        <v>2.1999999999999999E-2</v>
      </c>
      <c r="DZ187" s="120">
        <f>IF(DZ178&lt;$E181,0,IF(AND(DZ178&gt;=$E181,DZ178&lt;=($E181+$E187-1)),Вводные!$D$30,Вводные!$E$30))</f>
        <v>2.1999999999999999E-2</v>
      </c>
      <c r="EA187" s="120">
        <f>IF(EA178&lt;$E181,0,IF(AND(EA178&gt;=$E181,EA178&lt;=($E181+$E187-1)),Вводные!$D$30,Вводные!$E$30))</f>
        <v>2.1999999999999999E-2</v>
      </c>
      <c r="EB187" s="120">
        <f>IF(EB178&lt;$E181,0,IF(AND(EB178&gt;=$E181,EB178&lt;=($E181+$E187-1)),Вводные!$D$30,Вводные!$E$30))</f>
        <v>2.1999999999999999E-2</v>
      </c>
      <c r="EC187" s="120">
        <f>IF(EC178&lt;$E181,0,IF(AND(EC178&gt;=$E181,EC178&lt;=($E181+$E187-1)),Вводные!$D$30,Вводные!$E$30))</f>
        <v>2.1999999999999999E-2</v>
      </c>
      <c r="ED187" s="120">
        <f>IF(ED178&lt;$E181,0,IF(AND(ED178&gt;=$E181,ED178&lt;=($E181+$E187-1)),Вводные!$D$30,Вводные!$E$30))</f>
        <v>2.1999999999999999E-2</v>
      </c>
      <c r="EE187" s="120">
        <f>IF(EE178&lt;$E181,0,IF(AND(EE178&gt;=$E181,EE178&lt;=($E181+$E187-1)),Вводные!$D$30,Вводные!$E$30))</f>
        <v>2.1999999999999999E-2</v>
      </c>
      <c r="EF187" s="120">
        <f>IF(EF178&lt;$E181,0,IF(AND(EF178&gt;=$E181,EF178&lt;=($E181+$E187-1)),Вводные!$D$30,Вводные!$E$30))</f>
        <v>2.1999999999999999E-2</v>
      </c>
      <c r="EG187" s="120">
        <f>IF(EG178&lt;$E181,0,IF(AND(EG178&gt;=$E181,EG178&lt;=($E181+$E187-1)),Вводные!$D$30,Вводные!$E$30))</f>
        <v>2.1999999999999999E-2</v>
      </c>
      <c r="EH187" s="120">
        <f>IF(EH178&lt;$E181,0,IF(AND(EH178&gt;=$E181,EH178&lt;=($E181+$E187-1)),Вводные!$D$30,Вводные!$E$30))</f>
        <v>2.1999999999999999E-2</v>
      </c>
      <c r="EI187" s="120">
        <f>IF(EI178&lt;$E181,0,IF(AND(EI178&gt;=$E181,EI178&lt;=($E181+$E187-1)),Вводные!$D$30,Вводные!$E$30))</f>
        <v>2.1999999999999999E-2</v>
      </c>
      <c r="EJ187" s="120">
        <f>IF(EJ178&lt;$E181,0,IF(AND(EJ178&gt;=$E181,EJ178&lt;=($E181+$E187-1)),Вводные!$D$30,Вводные!$E$30))</f>
        <v>2.1999999999999999E-2</v>
      </c>
      <c r="EK187" s="120">
        <f>IF(EK178&lt;$E181,0,IF(AND(EK178&gt;=$E181,EK178&lt;=($E181+$E187-1)),Вводные!$D$30,Вводные!$E$30))</f>
        <v>2.1999999999999999E-2</v>
      </c>
      <c r="EL187" s="120">
        <f>IF(EL178&lt;$E181,0,IF(AND(EL178&gt;=$E181,EL178&lt;=($E181+$E187-1)),Вводные!$D$30,Вводные!$E$30))</f>
        <v>2.1999999999999999E-2</v>
      </c>
      <c r="EM187" s="120">
        <f>IF(EM178&lt;$E181,0,IF(AND(EM178&gt;=$E181,EM178&lt;=($E181+$E187-1)),Вводные!$D$30,Вводные!$E$30))</f>
        <v>2.1999999999999999E-2</v>
      </c>
      <c r="EN187" s="120">
        <f>IF(EN178&lt;$E181,0,IF(AND(EN178&gt;=$E181,EN178&lt;=($E181+$E187-1)),Вводные!$D$30,Вводные!$E$30))</f>
        <v>2.1999999999999999E-2</v>
      </c>
    </row>
    <row r="188" spans="2:144" outlineLevel="1">
      <c r="C188" s="151" t="s">
        <v>22</v>
      </c>
      <c r="D188" s="44"/>
      <c r="E188" s="469"/>
      <c r="F188" s="44"/>
      <c r="G188" s="44"/>
      <c r="H188" s="44">
        <f t="shared" ref="H188:AM188" si="397">H187*H186/4</f>
        <v>0</v>
      </c>
      <c r="I188" s="44">
        <f t="shared" si="397"/>
        <v>0</v>
      </c>
      <c r="J188" s="44">
        <f t="shared" si="397"/>
        <v>0</v>
      </c>
      <c r="K188" s="44">
        <f t="shared" si="397"/>
        <v>0</v>
      </c>
      <c r="L188" s="44">
        <f t="shared" si="397"/>
        <v>0</v>
      </c>
      <c r="M188" s="44">
        <f t="shared" si="397"/>
        <v>0</v>
      </c>
      <c r="N188" s="44">
        <f t="shared" si="397"/>
        <v>0</v>
      </c>
      <c r="O188" s="44">
        <f t="shared" si="397"/>
        <v>0</v>
      </c>
      <c r="P188" s="44">
        <f t="shared" si="397"/>
        <v>0</v>
      </c>
      <c r="Q188" s="44">
        <f t="shared" si="397"/>
        <v>0</v>
      </c>
      <c r="R188" s="44">
        <f t="shared" si="397"/>
        <v>0</v>
      </c>
      <c r="S188" s="44">
        <f t="shared" si="397"/>
        <v>0</v>
      </c>
      <c r="T188" s="44">
        <f t="shared" si="397"/>
        <v>0</v>
      </c>
      <c r="U188" s="44">
        <f t="shared" si="397"/>
        <v>0</v>
      </c>
      <c r="V188" s="44">
        <f t="shared" si="397"/>
        <v>0</v>
      </c>
      <c r="W188" s="44">
        <f t="shared" si="397"/>
        <v>0</v>
      </c>
      <c r="X188" s="44">
        <f t="shared" si="397"/>
        <v>0</v>
      </c>
      <c r="Y188" s="44">
        <f t="shared" si="397"/>
        <v>0</v>
      </c>
      <c r="Z188" s="44">
        <f t="shared" si="397"/>
        <v>0</v>
      </c>
      <c r="AA188" s="44">
        <f t="shared" si="397"/>
        <v>0</v>
      </c>
      <c r="AB188" s="44">
        <f t="shared" si="397"/>
        <v>0</v>
      </c>
      <c r="AC188" s="44">
        <f t="shared" si="397"/>
        <v>0</v>
      </c>
      <c r="AD188" s="44">
        <f t="shared" si="397"/>
        <v>0</v>
      </c>
      <c r="AE188" s="44">
        <f t="shared" si="397"/>
        <v>0</v>
      </c>
      <c r="AF188" s="44">
        <f t="shared" si="397"/>
        <v>0</v>
      </c>
      <c r="AG188" s="44">
        <f t="shared" si="397"/>
        <v>0</v>
      </c>
      <c r="AH188" s="44">
        <f t="shared" si="397"/>
        <v>0</v>
      </c>
      <c r="AI188" s="44">
        <f t="shared" si="397"/>
        <v>0</v>
      </c>
      <c r="AJ188" s="44">
        <f t="shared" si="397"/>
        <v>0</v>
      </c>
      <c r="AK188" s="44">
        <f t="shared" si="397"/>
        <v>0</v>
      </c>
      <c r="AL188" s="44">
        <f t="shared" si="397"/>
        <v>0</v>
      </c>
      <c r="AM188" s="44">
        <f t="shared" si="397"/>
        <v>0</v>
      </c>
      <c r="AN188" s="44">
        <f t="shared" ref="AN188:BS188" si="398">AN187*AN186/4</f>
        <v>0</v>
      </c>
      <c r="AO188" s="44">
        <f t="shared" si="398"/>
        <v>0</v>
      </c>
      <c r="AP188" s="44">
        <f t="shared" si="398"/>
        <v>0</v>
      </c>
      <c r="AQ188" s="44">
        <f t="shared" si="398"/>
        <v>0</v>
      </c>
      <c r="AR188" s="44">
        <f t="shared" si="398"/>
        <v>0</v>
      </c>
      <c r="AS188" s="44">
        <f t="shared" si="398"/>
        <v>0</v>
      </c>
      <c r="AT188" s="44">
        <f t="shared" si="398"/>
        <v>0</v>
      </c>
      <c r="AU188" s="44">
        <f t="shared" si="398"/>
        <v>0</v>
      </c>
      <c r="AV188" s="44">
        <f t="shared" si="398"/>
        <v>0</v>
      </c>
      <c r="AW188" s="44">
        <f t="shared" si="398"/>
        <v>0</v>
      </c>
      <c r="AX188" s="44">
        <f t="shared" si="398"/>
        <v>0</v>
      </c>
      <c r="AY188" s="44">
        <f t="shared" si="398"/>
        <v>0</v>
      </c>
      <c r="AZ188" s="44">
        <f t="shared" si="398"/>
        <v>0</v>
      </c>
      <c r="BA188" s="44">
        <f t="shared" si="398"/>
        <v>0</v>
      </c>
      <c r="BB188" s="44">
        <f t="shared" si="398"/>
        <v>0</v>
      </c>
      <c r="BC188" s="44">
        <f t="shared" si="398"/>
        <v>0</v>
      </c>
      <c r="BD188" s="44">
        <f t="shared" si="398"/>
        <v>0</v>
      </c>
      <c r="BE188" s="44">
        <f t="shared" si="398"/>
        <v>0</v>
      </c>
      <c r="BF188" s="44">
        <f t="shared" si="398"/>
        <v>0</v>
      </c>
      <c r="BG188" s="44">
        <f t="shared" si="398"/>
        <v>0</v>
      </c>
      <c r="BH188" s="44">
        <f t="shared" si="398"/>
        <v>890557.34392043063</v>
      </c>
      <c r="BI188" s="44">
        <f t="shared" si="398"/>
        <v>879630.25994594686</v>
      </c>
      <c r="BJ188" s="44">
        <f t="shared" si="398"/>
        <v>868703.17597146309</v>
      </c>
      <c r="BK188" s="44">
        <f t="shared" si="398"/>
        <v>857776.09199697932</v>
      </c>
      <c r="BL188" s="44">
        <f t="shared" si="398"/>
        <v>846849.00802249555</v>
      </c>
      <c r="BM188" s="44">
        <f t="shared" si="398"/>
        <v>835921.92404801166</v>
      </c>
      <c r="BN188" s="44">
        <f t="shared" si="398"/>
        <v>824994.84007352788</v>
      </c>
      <c r="BO188" s="44">
        <f t="shared" si="398"/>
        <v>814067.75609904411</v>
      </c>
      <c r="BP188" s="44">
        <f t="shared" si="398"/>
        <v>803140.67212456034</v>
      </c>
      <c r="BQ188" s="44">
        <f t="shared" si="398"/>
        <v>792213.58815007657</v>
      </c>
      <c r="BR188" s="44">
        <f t="shared" si="398"/>
        <v>781286.5041755928</v>
      </c>
      <c r="BS188" s="44">
        <f t="shared" si="398"/>
        <v>770359.42020110902</v>
      </c>
      <c r="BT188" s="44">
        <f t="shared" ref="BT188:CY188" si="399">BT187*BT186/4</f>
        <v>759432.33622662514</v>
      </c>
      <c r="BU188" s="44">
        <f t="shared" si="399"/>
        <v>748505.25225214136</v>
      </c>
      <c r="BV188" s="44">
        <f t="shared" si="399"/>
        <v>737578.16827765759</v>
      </c>
      <c r="BW188" s="44">
        <f t="shared" si="399"/>
        <v>726651.08430317382</v>
      </c>
      <c r="BX188" s="44">
        <f t="shared" si="399"/>
        <v>715724.00032869005</v>
      </c>
      <c r="BY188" s="44">
        <f t="shared" si="399"/>
        <v>704796.91635420627</v>
      </c>
      <c r="BZ188" s="44">
        <f t="shared" si="399"/>
        <v>693869.8323797225</v>
      </c>
      <c r="CA188" s="44">
        <f t="shared" si="399"/>
        <v>682942.74840523873</v>
      </c>
      <c r="CB188" s="44">
        <f t="shared" si="399"/>
        <v>672015.66443075484</v>
      </c>
      <c r="CC188" s="44">
        <f t="shared" si="399"/>
        <v>661088.58045627107</v>
      </c>
      <c r="CD188" s="44">
        <f t="shared" si="399"/>
        <v>650161.4964817873</v>
      </c>
      <c r="CE188" s="44">
        <f t="shared" si="399"/>
        <v>639234.41250730352</v>
      </c>
      <c r="CF188" s="44">
        <f t="shared" si="399"/>
        <v>628307.32853281975</v>
      </c>
      <c r="CG188" s="44">
        <f t="shared" si="399"/>
        <v>617380.24455833598</v>
      </c>
      <c r="CH188" s="44">
        <f t="shared" si="399"/>
        <v>606453.16058385221</v>
      </c>
      <c r="CI188" s="44">
        <f t="shared" si="399"/>
        <v>595526.07660936844</v>
      </c>
      <c r="CJ188" s="44">
        <f t="shared" si="399"/>
        <v>584598.99263488455</v>
      </c>
      <c r="CK188" s="44">
        <f t="shared" si="399"/>
        <v>573671.90866040078</v>
      </c>
      <c r="CL188" s="44">
        <f t="shared" si="399"/>
        <v>562744.824685917</v>
      </c>
      <c r="CM188" s="44">
        <f t="shared" si="399"/>
        <v>551817.74071143323</v>
      </c>
      <c r="CN188" s="44">
        <f t="shared" si="399"/>
        <v>540890.65673694946</v>
      </c>
      <c r="CO188" s="44">
        <f t="shared" si="399"/>
        <v>529963.57276246569</v>
      </c>
      <c r="CP188" s="44">
        <f t="shared" si="399"/>
        <v>519036.48878798186</v>
      </c>
      <c r="CQ188" s="44">
        <f t="shared" si="399"/>
        <v>508109.40481349808</v>
      </c>
      <c r="CR188" s="44">
        <f t="shared" si="399"/>
        <v>497182.32083901431</v>
      </c>
      <c r="CS188" s="44">
        <f t="shared" si="399"/>
        <v>486255.23686453048</v>
      </c>
      <c r="CT188" s="44">
        <f t="shared" si="399"/>
        <v>475328.15289004671</v>
      </c>
      <c r="CU188" s="44">
        <f t="shared" si="399"/>
        <v>464401.06891556294</v>
      </c>
      <c r="CV188" s="44">
        <f t="shared" si="399"/>
        <v>453473.98494107916</v>
      </c>
      <c r="CW188" s="44">
        <f t="shared" si="399"/>
        <v>442546.90096659533</v>
      </c>
      <c r="CX188" s="44">
        <f t="shared" si="399"/>
        <v>431619.81699211156</v>
      </c>
      <c r="CY188" s="44">
        <f t="shared" si="399"/>
        <v>420692.73301762779</v>
      </c>
      <c r="CZ188" s="44">
        <f t="shared" ref="CZ188:EE188" si="400">CZ187*CZ186/4</f>
        <v>409765.64904314402</v>
      </c>
      <c r="DA188" s="44">
        <f t="shared" si="400"/>
        <v>398838.56506866019</v>
      </c>
      <c r="DB188" s="44">
        <f t="shared" si="400"/>
        <v>387911.48109417642</v>
      </c>
      <c r="DC188" s="44">
        <f t="shared" si="400"/>
        <v>376984.39711969264</v>
      </c>
      <c r="DD188" s="44">
        <f t="shared" si="400"/>
        <v>366057.31314520887</v>
      </c>
      <c r="DE188" s="44">
        <f t="shared" si="400"/>
        <v>355130.22917072504</v>
      </c>
      <c r="DF188" s="44">
        <f t="shared" si="400"/>
        <v>344203.14519624127</v>
      </c>
      <c r="DG188" s="44">
        <f t="shared" si="400"/>
        <v>333276.0612217575</v>
      </c>
      <c r="DH188" s="44">
        <f t="shared" si="400"/>
        <v>322348.97724727367</v>
      </c>
      <c r="DI188" s="44">
        <f t="shared" si="400"/>
        <v>311421.89327278989</v>
      </c>
      <c r="DJ188" s="44">
        <f t="shared" si="400"/>
        <v>300494.80929830612</v>
      </c>
      <c r="DK188" s="44">
        <f t="shared" si="400"/>
        <v>289567.72532382235</v>
      </c>
      <c r="DL188" s="44">
        <f t="shared" si="400"/>
        <v>278640.64134933852</v>
      </c>
      <c r="DM188" s="44">
        <f t="shared" si="400"/>
        <v>267713.55737485475</v>
      </c>
      <c r="DN188" s="44">
        <f t="shared" si="400"/>
        <v>256786.47340037097</v>
      </c>
      <c r="DO188" s="44">
        <f t="shared" si="400"/>
        <v>245859.38942588717</v>
      </c>
      <c r="DP188" s="44">
        <f t="shared" si="400"/>
        <v>234932.3054514034</v>
      </c>
      <c r="DQ188" s="44">
        <f t="shared" si="400"/>
        <v>224005.2214769196</v>
      </c>
      <c r="DR188" s="44">
        <f t="shared" si="400"/>
        <v>213078.13750243583</v>
      </c>
      <c r="DS188" s="44">
        <f t="shared" si="400"/>
        <v>202151.05352795203</v>
      </c>
      <c r="DT188" s="44">
        <f t="shared" si="400"/>
        <v>191223.96955346825</v>
      </c>
      <c r="DU188" s="44">
        <f t="shared" si="400"/>
        <v>180296.88557898445</v>
      </c>
      <c r="DV188" s="44">
        <f t="shared" si="400"/>
        <v>169369.80160450062</v>
      </c>
      <c r="DW188" s="44">
        <f t="shared" si="400"/>
        <v>158442.71763001685</v>
      </c>
      <c r="DX188" s="44">
        <f t="shared" si="400"/>
        <v>147515.63365553302</v>
      </c>
      <c r="DY188" s="44">
        <f t="shared" si="400"/>
        <v>136588.54968104922</v>
      </c>
      <c r="DZ188" s="44">
        <f t="shared" si="400"/>
        <v>125661.4657065654</v>
      </c>
      <c r="EA188" s="44">
        <f t="shared" si="400"/>
        <v>114734.38173208162</v>
      </c>
      <c r="EB188" s="44">
        <f t="shared" si="400"/>
        <v>103807.29775759779</v>
      </c>
      <c r="EC188" s="44">
        <f t="shared" si="400"/>
        <v>92880.213783113999</v>
      </c>
      <c r="ED188" s="44">
        <f t="shared" si="400"/>
        <v>81953.129808630183</v>
      </c>
      <c r="EE188" s="44">
        <f t="shared" si="400"/>
        <v>71026.045834146367</v>
      </c>
      <c r="EF188" s="44">
        <f t="shared" ref="EF188:EN188" si="401">EF187*EF186/4</f>
        <v>60098.961859662559</v>
      </c>
      <c r="EG188" s="44">
        <f t="shared" si="401"/>
        <v>49171.877885178757</v>
      </c>
      <c r="EH188" s="44">
        <f t="shared" si="401"/>
        <v>38244.793910694956</v>
      </c>
      <c r="EI188" s="44">
        <f t="shared" si="401"/>
        <v>27317.709936211148</v>
      </c>
      <c r="EJ188" s="44">
        <f t="shared" si="401"/>
        <v>16390.62596172735</v>
      </c>
      <c r="EK188" s="44">
        <f t="shared" si="401"/>
        <v>5463.5419872435441</v>
      </c>
      <c r="EL188" s="44">
        <f t="shared" si="401"/>
        <v>1.6416888684034346E-9</v>
      </c>
      <c r="EM188" s="44">
        <f t="shared" si="401"/>
        <v>1.6416888684034346E-9</v>
      </c>
      <c r="EN188" s="44">
        <f t="shared" si="401"/>
        <v>1.6416888684034346E-9</v>
      </c>
    </row>
    <row r="189" spans="2:144"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</row>
    <row r="190" spans="2:144"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</row>
    <row r="191" spans="2:144">
      <c r="B191" s="139" t="s">
        <v>43</v>
      </c>
      <c r="C191" s="151" t="s">
        <v>72</v>
      </c>
      <c r="D191" s="1319" t="b">
        <f>ROUND(SUMIF(C24:C188,C191,D24:D188),2)=ROUND(H19-H10,2)</f>
        <v>1</v>
      </c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</row>
    <row r="192" spans="2:144" ht="15.75">
      <c r="B192" s="40"/>
      <c r="C192" s="22"/>
      <c r="E192" s="40"/>
      <c r="F192" s="40"/>
      <c r="G192" s="40"/>
      <c r="H192" s="463">
        <f>YEAR(H194)</f>
        <v>2022</v>
      </c>
      <c r="I192" s="463">
        <f t="shared" ref="I192:BT192" si="402">YEAR(I194)</f>
        <v>2022</v>
      </c>
      <c r="J192" s="463">
        <f t="shared" si="402"/>
        <v>2022</v>
      </c>
      <c r="K192" s="463">
        <f t="shared" si="402"/>
        <v>2022</v>
      </c>
      <c r="L192" s="463">
        <f t="shared" si="402"/>
        <v>2023</v>
      </c>
      <c r="M192" s="463">
        <f t="shared" si="402"/>
        <v>2023</v>
      </c>
      <c r="N192" s="463">
        <f t="shared" si="402"/>
        <v>2023</v>
      </c>
      <c r="O192" s="463">
        <f t="shared" si="402"/>
        <v>2023</v>
      </c>
      <c r="P192" s="463">
        <f t="shared" si="402"/>
        <v>2024</v>
      </c>
      <c r="Q192" s="463">
        <f t="shared" si="402"/>
        <v>2024</v>
      </c>
      <c r="R192" s="463">
        <f t="shared" si="402"/>
        <v>2024</v>
      </c>
      <c r="S192" s="463">
        <f t="shared" si="402"/>
        <v>2024</v>
      </c>
      <c r="T192" s="463">
        <f t="shared" si="402"/>
        <v>2025</v>
      </c>
      <c r="U192" s="463">
        <f t="shared" si="402"/>
        <v>2025</v>
      </c>
      <c r="V192" s="463">
        <f t="shared" si="402"/>
        <v>2025</v>
      </c>
      <c r="W192" s="463">
        <f t="shared" si="402"/>
        <v>2025</v>
      </c>
      <c r="X192" s="463">
        <f t="shared" si="402"/>
        <v>2026</v>
      </c>
      <c r="Y192" s="463">
        <f t="shared" si="402"/>
        <v>2026</v>
      </c>
      <c r="Z192" s="463">
        <f t="shared" si="402"/>
        <v>2026</v>
      </c>
      <c r="AA192" s="463">
        <f t="shared" si="402"/>
        <v>2026</v>
      </c>
      <c r="AB192" s="463">
        <f t="shared" si="402"/>
        <v>2027</v>
      </c>
      <c r="AC192" s="463">
        <f t="shared" si="402"/>
        <v>2027</v>
      </c>
      <c r="AD192" s="463">
        <f t="shared" si="402"/>
        <v>2027</v>
      </c>
      <c r="AE192" s="463">
        <f t="shared" si="402"/>
        <v>2027</v>
      </c>
      <c r="AF192" s="463">
        <f t="shared" si="402"/>
        <v>2028</v>
      </c>
      <c r="AG192" s="463">
        <f t="shared" si="402"/>
        <v>2028</v>
      </c>
      <c r="AH192" s="463">
        <f t="shared" si="402"/>
        <v>2028</v>
      </c>
      <c r="AI192" s="463">
        <f t="shared" si="402"/>
        <v>2028</v>
      </c>
      <c r="AJ192" s="463">
        <f t="shared" si="402"/>
        <v>2029</v>
      </c>
      <c r="AK192" s="463">
        <f t="shared" si="402"/>
        <v>2029</v>
      </c>
      <c r="AL192" s="463">
        <f t="shared" si="402"/>
        <v>2029</v>
      </c>
      <c r="AM192" s="463">
        <f t="shared" si="402"/>
        <v>2029</v>
      </c>
      <c r="AN192" s="463">
        <f t="shared" si="402"/>
        <v>2030</v>
      </c>
      <c r="AO192" s="463">
        <f t="shared" si="402"/>
        <v>2030</v>
      </c>
      <c r="AP192" s="463">
        <f t="shared" si="402"/>
        <v>2030</v>
      </c>
      <c r="AQ192" s="463">
        <f t="shared" si="402"/>
        <v>2030</v>
      </c>
      <c r="AR192" s="463">
        <f t="shared" si="402"/>
        <v>2031</v>
      </c>
      <c r="AS192" s="463">
        <f t="shared" si="402"/>
        <v>2031</v>
      </c>
      <c r="AT192" s="463">
        <f t="shared" si="402"/>
        <v>2031</v>
      </c>
      <c r="AU192" s="463">
        <f t="shared" si="402"/>
        <v>2031</v>
      </c>
      <c r="AV192" s="463">
        <f t="shared" si="402"/>
        <v>2032</v>
      </c>
      <c r="AW192" s="463">
        <f t="shared" si="402"/>
        <v>2032</v>
      </c>
      <c r="AX192" s="463">
        <f t="shared" si="402"/>
        <v>2032</v>
      </c>
      <c r="AY192" s="463">
        <f t="shared" si="402"/>
        <v>2032</v>
      </c>
      <c r="AZ192" s="463">
        <f t="shared" si="402"/>
        <v>2033</v>
      </c>
      <c r="BA192" s="463">
        <f t="shared" si="402"/>
        <v>2033</v>
      </c>
      <c r="BB192" s="463">
        <f t="shared" si="402"/>
        <v>2033</v>
      </c>
      <c r="BC192" s="463">
        <f t="shared" si="402"/>
        <v>2033</v>
      </c>
      <c r="BD192" s="463">
        <f t="shared" si="402"/>
        <v>2034</v>
      </c>
      <c r="BE192" s="463">
        <f t="shared" si="402"/>
        <v>2034</v>
      </c>
      <c r="BF192" s="463">
        <f t="shared" si="402"/>
        <v>2034</v>
      </c>
      <c r="BG192" s="463">
        <f t="shared" si="402"/>
        <v>2034</v>
      </c>
      <c r="BH192" s="463">
        <f t="shared" si="402"/>
        <v>2035</v>
      </c>
      <c r="BI192" s="463">
        <f t="shared" si="402"/>
        <v>2035</v>
      </c>
      <c r="BJ192" s="463">
        <f t="shared" si="402"/>
        <v>2035</v>
      </c>
      <c r="BK192" s="463">
        <f t="shared" si="402"/>
        <v>2035</v>
      </c>
      <c r="BL192" s="463">
        <f t="shared" si="402"/>
        <v>2036</v>
      </c>
      <c r="BM192" s="463">
        <f t="shared" si="402"/>
        <v>2036</v>
      </c>
      <c r="BN192" s="463">
        <f t="shared" si="402"/>
        <v>2036</v>
      </c>
      <c r="BO192" s="463">
        <f t="shared" si="402"/>
        <v>2036</v>
      </c>
      <c r="BP192" s="463">
        <f t="shared" si="402"/>
        <v>2037</v>
      </c>
      <c r="BQ192" s="463">
        <f t="shared" si="402"/>
        <v>2037</v>
      </c>
      <c r="BR192" s="463">
        <f t="shared" si="402"/>
        <v>2037</v>
      </c>
      <c r="BS192" s="463">
        <f t="shared" si="402"/>
        <v>2037</v>
      </c>
      <c r="BT192" s="463">
        <f t="shared" si="402"/>
        <v>2038</v>
      </c>
      <c r="BU192" s="463">
        <f t="shared" ref="BU192:EF192" si="403">YEAR(BU194)</f>
        <v>2038</v>
      </c>
      <c r="BV192" s="463">
        <f t="shared" si="403"/>
        <v>2038</v>
      </c>
      <c r="BW192" s="463">
        <f t="shared" si="403"/>
        <v>2038</v>
      </c>
      <c r="BX192" s="463">
        <f t="shared" si="403"/>
        <v>2039</v>
      </c>
      <c r="BY192" s="463">
        <f t="shared" si="403"/>
        <v>2039</v>
      </c>
      <c r="BZ192" s="463">
        <f t="shared" si="403"/>
        <v>2039</v>
      </c>
      <c r="CA192" s="463">
        <f t="shared" si="403"/>
        <v>2039</v>
      </c>
      <c r="CB192" s="463">
        <f t="shared" si="403"/>
        <v>2040</v>
      </c>
      <c r="CC192" s="463">
        <f t="shared" si="403"/>
        <v>2040</v>
      </c>
      <c r="CD192" s="463">
        <f t="shared" si="403"/>
        <v>2040</v>
      </c>
      <c r="CE192" s="463">
        <f t="shared" si="403"/>
        <v>2040</v>
      </c>
      <c r="CF192" s="463">
        <f t="shared" si="403"/>
        <v>2041</v>
      </c>
      <c r="CG192" s="463">
        <f t="shared" si="403"/>
        <v>2041</v>
      </c>
      <c r="CH192" s="463">
        <f t="shared" si="403"/>
        <v>2041</v>
      </c>
      <c r="CI192" s="463">
        <f t="shared" si="403"/>
        <v>2041</v>
      </c>
      <c r="CJ192" s="463">
        <f t="shared" si="403"/>
        <v>2042</v>
      </c>
      <c r="CK192" s="463">
        <f t="shared" si="403"/>
        <v>2042</v>
      </c>
      <c r="CL192" s="463">
        <f t="shared" si="403"/>
        <v>2042</v>
      </c>
      <c r="CM192" s="463">
        <f t="shared" si="403"/>
        <v>2042</v>
      </c>
      <c r="CN192" s="463">
        <f t="shared" si="403"/>
        <v>2043</v>
      </c>
      <c r="CO192" s="463">
        <f t="shared" si="403"/>
        <v>2043</v>
      </c>
      <c r="CP192" s="463">
        <f t="shared" si="403"/>
        <v>2043</v>
      </c>
      <c r="CQ192" s="463">
        <f t="shared" si="403"/>
        <v>2043</v>
      </c>
      <c r="CR192" s="463">
        <f t="shared" si="403"/>
        <v>2044</v>
      </c>
      <c r="CS192" s="463">
        <f t="shared" si="403"/>
        <v>2044</v>
      </c>
      <c r="CT192" s="463">
        <f t="shared" si="403"/>
        <v>2044</v>
      </c>
      <c r="CU192" s="463">
        <f t="shared" si="403"/>
        <v>2044</v>
      </c>
      <c r="CV192" s="463">
        <f t="shared" si="403"/>
        <v>2045</v>
      </c>
      <c r="CW192" s="463">
        <f t="shared" si="403"/>
        <v>2045</v>
      </c>
      <c r="CX192" s="463">
        <f t="shared" si="403"/>
        <v>2045</v>
      </c>
      <c r="CY192" s="463">
        <f t="shared" si="403"/>
        <v>2045</v>
      </c>
      <c r="CZ192" s="463">
        <f t="shared" si="403"/>
        <v>2046</v>
      </c>
      <c r="DA192" s="463">
        <f t="shared" si="403"/>
        <v>2046</v>
      </c>
      <c r="DB192" s="463">
        <f t="shared" si="403"/>
        <v>2046</v>
      </c>
      <c r="DC192" s="463">
        <f t="shared" si="403"/>
        <v>2046</v>
      </c>
      <c r="DD192" s="463">
        <f t="shared" si="403"/>
        <v>2047</v>
      </c>
      <c r="DE192" s="463">
        <f t="shared" si="403"/>
        <v>2047</v>
      </c>
      <c r="DF192" s="463">
        <f t="shared" si="403"/>
        <v>2047</v>
      </c>
      <c r="DG192" s="463">
        <f t="shared" si="403"/>
        <v>2047</v>
      </c>
      <c r="DH192" s="463">
        <f t="shared" si="403"/>
        <v>2048</v>
      </c>
      <c r="DI192" s="463">
        <f t="shared" si="403"/>
        <v>2048</v>
      </c>
      <c r="DJ192" s="463">
        <f t="shared" si="403"/>
        <v>2048</v>
      </c>
      <c r="DK192" s="463">
        <f t="shared" si="403"/>
        <v>2048</v>
      </c>
      <c r="DL192" s="463">
        <f t="shared" si="403"/>
        <v>2049</v>
      </c>
      <c r="DM192" s="463">
        <f t="shared" si="403"/>
        <v>2049</v>
      </c>
      <c r="DN192" s="463">
        <f t="shared" si="403"/>
        <v>2049</v>
      </c>
      <c r="DO192" s="463">
        <f t="shared" si="403"/>
        <v>2049</v>
      </c>
      <c r="DP192" s="463">
        <f t="shared" si="403"/>
        <v>2050</v>
      </c>
      <c r="DQ192" s="463">
        <f t="shared" si="403"/>
        <v>2050</v>
      </c>
      <c r="DR192" s="463">
        <f t="shared" si="403"/>
        <v>2050</v>
      </c>
      <c r="DS192" s="463">
        <f t="shared" si="403"/>
        <v>2050</v>
      </c>
      <c r="DT192" s="463">
        <f t="shared" si="403"/>
        <v>2051</v>
      </c>
      <c r="DU192" s="463">
        <f t="shared" si="403"/>
        <v>2051</v>
      </c>
      <c r="DV192" s="463">
        <f t="shared" si="403"/>
        <v>2051</v>
      </c>
      <c r="DW192" s="463">
        <f t="shared" si="403"/>
        <v>2051</v>
      </c>
      <c r="DX192" s="463">
        <f t="shared" si="403"/>
        <v>2052</v>
      </c>
      <c r="DY192" s="463">
        <f t="shared" si="403"/>
        <v>2052</v>
      </c>
      <c r="DZ192" s="463">
        <f t="shared" si="403"/>
        <v>2052</v>
      </c>
      <c r="EA192" s="463">
        <f t="shared" si="403"/>
        <v>2052</v>
      </c>
      <c r="EB192" s="463">
        <f t="shared" si="403"/>
        <v>2053</v>
      </c>
      <c r="EC192" s="463">
        <f t="shared" si="403"/>
        <v>2053</v>
      </c>
      <c r="ED192" s="463">
        <f t="shared" si="403"/>
        <v>2053</v>
      </c>
      <c r="EE192" s="463">
        <f t="shared" si="403"/>
        <v>2053</v>
      </c>
      <c r="EF192" s="463">
        <f t="shared" si="403"/>
        <v>2054</v>
      </c>
      <c r="EG192" s="463">
        <f t="shared" ref="EG192:EN192" si="404">YEAR(EG194)</f>
        <v>2054</v>
      </c>
      <c r="EH192" s="463">
        <f t="shared" si="404"/>
        <v>2054</v>
      </c>
      <c r="EI192" s="463">
        <f t="shared" si="404"/>
        <v>2054</v>
      </c>
      <c r="EJ192" s="463">
        <f t="shared" si="404"/>
        <v>2055</v>
      </c>
      <c r="EK192" s="463">
        <f t="shared" si="404"/>
        <v>2055</v>
      </c>
      <c r="EL192" s="463">
        <f t="shared" si="404"/>
        <v>2055</v>
      </c>
      <c r="EM192" s="463">
        <f t="shared" si="404"/>
        <v>2055</v>
      </c>
      <c r="EN192" s="463">
        <f t="shared" si="404"/>
        <v>2056</v>
      </c>
    </row>
    <row r="193" spans="2:144" ht="15.75">
      <c r="B193" s="40"/>
      <c r="C193" s="22"/>
      <c r="E193" s="40"/>
      <c r="F193" s="40"/>
      <c r="G193" s="40"/>
      <c r="H193" s="464">
        <f>H179</f>
        <v>44593</v>
      </c>
      <c r="I193" s="464">
        <f t="shared" ref="I193:BT193" si="405">I179</f>
        <v>44652</v>
      </c>
      <c r="J193" s="464">
        <f t="shared" si="405"/>
        <v>44743</v>
      </c>
      <c r="K193" s="464">
        <f t="shared" si="405"/>
        <v>44835</v>
      </c>
      <c r="L193" s="464">
        <f t="shared" si="405"/>
        <v>44927</v>
      </c>
      <c r="M193" s="464">
        <f t="shared" si="405"/>
        <v>45017</v>
      </c>
      <c r="N193" s="464">
        <f t="shared" si="405"/>
        <v>45108</v>
      </c>
      <c r="O193" s="464">
        <f t="shared" si="405"/>
        <v>45200</v>
      </c>
      <c r="P193" s="464">
        <f t="shared" si="405"/>
        <v>45292</v>
      </c>
      <c r="Q193" s="464">
        <f t="shared" si="405"/>
        <v>45383</v>
      </c>
      <c r="R193" s="464">
        <f t="shared" si="405"/>
        <v>45474</v>
      </c>
      <c r="S193" s="464">
        <f t="shared" si="405"/>
        <v>45566</v>
      </c>
      <c r="T193" s="464">
        <f t="shared" si="405"/>
        <v>45658</v>
      </c>
      <c r="U193" s="464">
        <f t="shared" si="405"/>
        <v>45748</v>
      </c>
      <c r="V193" s="464">
        <f t="shared" si="405"/>
        <v>45839</v>
      </c>
      <c r="W193" s="464">
        <f t="shared" si="405"/>
        <v>45931</v>
      </c>
      <c r="X193" s="464">
        <f t="shared" si="405"/>
        <v>46023</v>
      </c>
      <c r="Y193" s="464">
        <f t="shared" si="405"/>
        <v>46113</v>
      </c>
      <c r="Z193" s="464">
        <f t="shared" si="405"/>
        <v>46204</v>
      </c>
      <c r="AA193" s="464">
        <f t="shared" si="405"/>
        <v>46296</v>
      </c>
      <c r="AB193" s="464">
        <f t="shared" si="405"/>
        <v>46388</v>
      </c>
      <c r="AC193" s="464">
        <f t="shared" si="405"/>
        <v>46478</v>
      </c>
      <c r="AD193" s="464">
        <f t="shared" si="405"/>
        <v>46569</v>
      </c>
      <c r="AE193" s="464">
        <f t="shared" si="405"/>
        <v>46661</v>
      </c>
      <c r="AF193" s="464">
        <f t="shared" si="405"/>
        <v>46753</v>
      </c>
      <c r="AG193" s="464">
        <f t="shared" si="405"/>
        <v>46844</v>
      </c>
      <c r="AH193" s="464">
        <f t="shared" si="405"/>
        <v>46935</v>
      </c>
      <c r="AI193" s="464">
        <f t="shared" si="405"/>
        <v>47027</v>
      </c>
      <c r="AJ193" s="464">
        <f t="shared" si="405"/>
        <v>47119</v>
      </c>
      <c r="AK193" s="464">
        <f t="shared" si="405"/>
        <v>47209</v>
      </c>
      <c r="AL193" s="464">
        <f t="shared" si="405"/>
        <v>47300</v>
      </c>
      <c r="AM193" s="464">
        <f t="shared" si="405"/>
        <v>47392</v>
      </c>
      <c r="AN193" s="464">
        <f t="shared" si="405"/>
        <v>47484</v>
      </c>
      <c r="AO193" s="464">
        <f t="shared" si="405"/>
        <v>47574</v>
      </c>
      <c r="AP193" s="464">
        <f t="shared" si="405"/>
        <v>47665</v>
      </c>
      <c r="AQ193" s="464">
        <f t="shared" si="405"/>
        <v>47757</v>
      </c>
      <c r="AR193" s="464">
        <f t="shared" si="405"/>
        <v>47849</v>
      </c>
      <c r="AS193" s="464">
        <f t="shared" si="405"/>
        <v>47939</v>
      </c>
      <c r="AT193" s="464">
        <f t="shared" si="405"/>
        <v>48030</v>
      </c>
      <c r="AU193" s="464">
        <f t="shared" si="405"/>
        <v>48122</v>
      </c>
      <c r="AV193" s="464">
        <f t="shared" si="405"/>
        <v>48214</v>
      </c>
      <c r="AW193" s="464">
        <f t="shared" si="405"/>
        <v>48305</v>
      </c>
      <c r="AX193" s="464">
        <f t="shared" si="405"/>
        <v>48396</v>
      </c>
      <c r="AY193" s="464">
        <f t="shared" si="405"/>
        <v>48488</v>
      </c>
      <c r="AZ193" s="464">
        <f t="shared" si="405"/>
        <v>48580</v>
      </c>
      <c r="BA193" s="464">
        <f t="shared" si="405"/>
        <v>48670</v>
      </c>
      <c r="BB193" s="464">
        <f t="shared" si="405"/>
        <v>48761</v>
      </c>
      <c r="BC193" s="464">
        <f t="shared" si="405"/>
        <v>48853</v>
      </c>
      <c r="BD193" s="464">
        <f t="shared" si="405"/>
        <v>48945</v>
      </c>
      <c r="BE193" s="464">
        <f t="shared" si="405"/>
        <v>49035</v>
      </c>
      <c r="BF193" s="464">
        <f t="shared" si="405"/>
        <v>49126</v>
      </c>
      <c r="BG193" s="464">
        <f t="shared" si="405"/>
        <v>49218</v>
      </c>
      <c r="BH193" s="464">
        <f t="shared" si="405"/>
        <v>49310</v>
      </c>
      <c r="BI193" s="464">
        <f t="shared" si="405"/>
        <v>49400</v>
      </c>
      <c r="BJ193" s="464">
        <f t="shared" si="405"/>
        <v>49491</v>
      </c>
      <c r="BK193" s="464">
        <f t="shared" si="405"/>
        <v>49583</v>
      </c>
      <c r="BL193" s="464">
        <f t="shared" si="405"/>
        <v>49675</v>
      </c>
      <c r="BM193" s="464">
        <f t="shared" si="405"/>
        <v>49766</v>
      </c>
      <c r="BN193" s="464">
        <f t="shared" si="405"/>
        <v>49857</v>
      </c>
      <c r="BO193" s="464">
        <f t="shared" si="405"/>
        <v>49949</v>
      </c>
      <c r="BP193" s="464">
        <f t="shared" si="405"/>
        <v>50041</v>
      </c>
      <c r="BQ193" s="464">
        <f t="shared" si="405"/>
        <v>50131</v>
      </c>
      <c r="BR193" s="464">
        <f t="shared" si="405"/>
        <v>50222</v>
      </c>
      <c r="BS193" s="464">
        <f t="shared" si="405"/>
        <v>50314</v>
      </c>
      <c r="BT193" s="464">
        <f t="shared" si="405"/>
        <v>50406</v>
      </c>
      <c r="BU193" s="464">
        <f t="shared" ref="BU193:EF193" si="406">BU179</f>
        <v>50496</v>
      </c>
      <c r="BV193" s="464">
        <f t="shared" si="406"/>
        <v>50587</v>
      </c>
      <c r="BW193" s="464">
        <f t="shared" si="406"/>
        <v>50679</v>
      </c>
      <c r="BX193" s="464">
        <f t="shared" si="406"/>
        <v>50771</v>
      </c>
      <c r="BY193" s="464">
        <f t="shared" si="406"/>
        <v>50861</v>
      </c>
      <c r="BZ193" s="464">
        <f t="shared" si="406"/>
        <v>50952</v>
      </c>
      <c r="CA193" s="464">
        <f t="shared" si="406"/>
        <v>51044</v>
      </c>
      <c r="CB193" s="464">
        <f t="shared" si="406"/>
        <v>51136</v>
      </c>
      <c r="CC193" s="464">
        <f t="shared" si="406"/>
        <v>51227</v>
      </c>
      <c r="CD193" s="464">
        <f t="shared" si="406"/>
        <v>51318</v>
      </c>
      <c r="CE193" s="464">
        <f t="shared" si="406"/>
        <v>51410</v>
      </c>
      <c r="CF193" s="464">
        <f t="shared" si="406"/>
        <v>51502</v>
      </c>
      <c r="CG193" s="464">
        <f t="shared" si="406"/>
        <v>51592</v>
      </c>
      <c r="CH193" s="464">
        <f t="shared" si="406"/>
        <v>51683</v>
      </c>
      <c r="CI193" s="464">
        <f t="shared" si="406"/>
        <v>51775</v>
      </c>
      <c r="CJ193" s="464">
        <f t="shared" si="406"/>
        <v>51867</v>
      </c>
      <c r="CK193" s="464">
        <f t="shared" si="406"/>
        <v>51957</v>
      </c>
      <c r="CL193" s="464">
        <f t="shared" si="406"/>
        <v>52048</v>
      </c>
      <c r="CM193" s="464">
        <f t="shared" si="406"/>
        <v>52140</v>
      </c>
      <c r="CN193" s="464">
        <f t="shared" si="406"/>
        <v>52232</v>
      </c>
      <c r="CO193" s="464">
        <f t="shared" si="406"/>
        <v>52322</v>
      </c>
      <c r="CP193" s="464">
        <f t="shared" si="406"/>
        <v>52413</v>
      </c>
      <c r="CQ193" s="464">
        <f t="shared" si="406"/>
        <v>52505</v>
      </c>
      <c r="CR193" s="464">
        <f t="shared" si="406"/>
        <v>52597</v>
      </c>
      <c r="CS193" s="464">
        <f t="shared" si="406"/>
        <v>52688</v>
      </c>
      <c r="CT193" s="464">
        <f t="shared" si="406"/>
        <v>52779</v>
      </c>
      <c r="CU193" s="464">
        <f t="shared" si="406"/>
        <v>52871</v>
      </c>
      <c r="CV193" s="464">
        <f t="shared" si="406"/>
        <v>52963</v>
      </c>
      <c r="CW193" s="464">
        <f t="shared" si="406"/>
        <v>53053</v>
      </c>
      <c r="CX193" s="464">
        <f t="shared" si="406"/>
        <v>53144</v>
      </c>
      <c r="CY193" s="464">
        <f t="shared" si="406"/>
        <v>53236</v>
      </c>
      <c r="CZ193" s="464">
        <f t="shared" si="406"/>
        <v>53328</v>
      </c>
      <c r="DA193" s="464">
        <f t="shared" si="406"/>
        <v>53418</v>
      </c>
      <c r="DB193" s="464">
        <f t="shared" si="406"/>
        <v>53509</v>
      </c>
      <c r="DC193" s="464">
        <f t="shared" si="406"/>
        <v>53601</v>
      </c>
      <c r="DD193" s="464">
        <f t="shared" si="406"/>
        <v>53693</v>
      </c>
      <c r="DE193" s="464">
        <f t="shared" si="406"/>
        <v>53783</v>
      </c>
      <c r="DF193" s="464">
        <f t="shared" si="406"/>
        <v>53874</v>
      </c>
      <c r="DG193" s="464">
        <f t="shared" si="406"/>
        <v>53966</v>
      </c>
      <c r="DH193" s="464">
        <f t="shared" si="406"/>
        <v>54058</v>
      </c>
      <c r="DI193" s="464">
        <f t="shared" si="406"/>
        <v>54149</v>
      </c>
      <c r="DJ193" s="464">
        <f t="shared" si="406"/>
        <v>54240</v>
      </c>
      <c r="DK193" s="464">
        <f t="shared" si="406"/>
        <v>54332</v>
      </c>
      <c r="DL193" s="464">
        <f t="shared" si="406"/>
        <v>54424</v>
      </c>
      <c r="DM193" s="464">
        <f t="shared" si="406"/>
        <v>54514</v>
      </c>
      <c r="DN193" s="464">
        <f t="shared" si="406"/>
        <v>54605</v>
      </c>
      <c r="DO193" s="464">
        <f t="shared" si="406"/>
        <v>54697</v>
      </c>
      <c r="DP193" s="464">
        <f t="shared" si="406"/>
        <v>54789</v>
      </c>
      <c r="DQ193" s="464">
        <f t="shared" si="406"/>
        <v>54879</v>
      </c>
      <c r="DR193" s="464">
        <f t="shared" si="406"/>
        <v>54970</v>
      </c>
      <c r="DS193" s="464">
        <f t="shared" si="406"/>
        <v>55062</v>
      </c>
      <c r="DT193" s="464">
        <f t="shared" si="406"/>
        <v>55154</v>
      </c>
      <c r="DU193" s="464">
        <f t="shared" si="406"/>
        <v>55244</v>
      </c>
      <c r="DV193" s="464">
        <f t="shared" si="406"/>
        <v>55335</v>
      </c>
      <c r="DW193" s="464">
        <f t="shared" si="406"/>
        <v>55427</v>
      </c>
      <c r="DX193" s="464">
        <f t="shared" si="406"/>
        <v>55519</v>
      </c>
      <c r="DY193" s="464">
        <f t="shared" si="406"/>
        <v>55610</v>
      </c>
      <c r="DZ193" s="464">
        <f t="shared" si="406"/>
        <v>55701</v>
      </c>
      <c r="EA193" s="464">
        <f t="shared" si="406"/>
        <v>55793</v>
      </c>
      <c r="EB193" s="464">
        <f t="shared" si="406"/>
        <v>55885</v>
      </c>
      <c r="EC193" s="464">
        <f t="shared" si="406"/>
        <v>55975</v>
      </c>
      <c r="ED193" s="464">
        <f t="shared" si="406"/>
        <v>56066</v>
      </c>
      <c r="EE193" s="464">
        <f t="shared" si="406"/>
        <v>56158</v>
      </c>
      <c r="EF193" s="464">
        <f t="shared" si="406"/>
        <v>56250</v>
      </c>
      <c r="EG193" s="464">
        <f t="shared" ref="EG193:EN193" si="407">EG179</f>
        <v>56340</v>
      </c>
      <c r="EH193" s="464">
        <f t="shared" si="407"/>
        <v>56431</v>
      </c>
      <c r="EI193" s="464">
        <f t="shared" si="407"/>
        <v>56523</v>
      </c>
      <c r="EJ193" s="464">
        <f t="shared" si="407"/>
        <v>56615</v>
      </c>
      <c r="EK193" s="464">
        <f t="shared" si="407"/>
        <v>56705</v>
      </c>
      <c r="EL193" s="464">
        <f t="shared" si="407"/>
        <v>56796</v>
      </c>
      <c r="EM193" s="464">
        <f t="shared" si="407"/>
        <v>56888</v>
      </c>
      <c r="EN193" s="464">
        <f t="shared" si="407"/>
        <v>56980</v>
      </c>
    </row>
    <row r="194" spans="2:144" ht="15.75">
      <c r="C194" s="22" t="s">
        <v>488</v>
      </c>
      <c r="E194" s="42"/>
      <c r="F194" s="42"/>
      <c r="G194" s="42"/>
      <c r="H194" s="464">
        <f>H180</f>
        <v>44651</v>
      </c>
      <c r="I194" s="464">
        <f t="shared" ref="I194:BT194" si="408">I180</f>
        <v>44742</v>
      </c>
      <c r="J194" s="464">
        <f t="shared" si="408"/>
        <v>44834</v>
      </c>
      <c r="K194" s="464">
        <f t="shared" si="408"/>
        <v>44926</v>
      </c>
      <c r="L194" s="464">
        <f t="shared" si="408"/>
        <v>45016</v>
      </c>
      <c r="M194" s="464">
        <f t="shared" si="408"/>
        <v>45107</v>
      </c>
      <c r="N194" s="464">
        <f t="shared" si="408"/>
        <v>45199</v>
      </c>
      <c r="O194" s="464">
        <f t="shared" si="408"/>
        <v>45291</v>
      </c>
      <c r="P194" s="464">
        <f t="shared" si="408"/>
        <v>45382</v>
      </c>
      <c r="Q194" s="464">
        <f t="shared" si="408"/>
        <v>45473</v>
      </c>
      <c r="R194" s="464">
        <f t="shared" si="408"/>
        <v>45565</v>
      </c>
      <c r="S194" s="464">
        <f t="shared" si="408"/>
        <v>45657</v>
      </c>
      <c r="T194" s="464">
        <f t="shared" si="408"/>
        <v>45747</v>
      </c>
      <c r="U194" s="464">
        <f t="shared" si="408"/>
        <v>45838</v>
      </c>
      <c r="V194" s="464">
        <f t="shared" si="408"/>
        <v>45930</v>
      </c>
      <c r="W194" s="464">
        <f t="shared" si="408"/>
        <v>46022</v>
      </c>
      <c r="X194" s="464">
        <f t="shared" si="408"/>
        <v>46112</v>
      </c>
      <c r="Y194" s="464">
        <f t="shared" si="408"/>
        <v>46203</v>
      </c>
      <c r="Z194" s="464">
        <f t="shared" si="408"/>
        <v>46295</v>
      </c>
      <c r="AA194" s="464">
        <f t="shared" si="408"/>
        <v>46387</v>
      </c>
      <c r="AB194" s="464">
        <f t="shared" si="408"/>
        <v>46477</v>
      </c>
      <c r="AC194" s="464">
        <f t="shared" si="408"/>
        <v>46568</v>
      </c>
      <c r="AD194" s="464">
        <f t="shared" si="408"/>
        <v>46660</v>
      </c>
      <c r="AE194" s="464">
        <f t="shared" si="408"/>
        <v>46752</v>
      </c>
      <c r="AF194" s="464">
        <f t="shared" si="408"/>
        <v>46843</v>
      </c>
      <c r="AG194" s="464">
        <f t="shared" si="408"/>
        <v>46934</v>
      </c>
      <c r="AH194" s="464">
        <f t="shared" si="408"/>
        <v>47026</v>
      </c>
      <c r="AI194" s="464">
        <f t="shared" si="408"/>
        <v>47118</v>
      </c>
      <c r="AJ194" s="464">
        <f t="shared" si="408"/>
        <v>47208</v>
      </c>
      <c r="AK194" s="464">
        <f t="shared" si="408"/>
        <v>47299</v>
      </c>
      <c r="AL194" s="464">
        <f t="shared" si="408"/>
        <v>47391</v>
      </c>
      <c r="AM194" s="464">
        <f t="shared" si="408"/>
        <v>47483</v>
      </c>
      <c r="AN194" s="464">
        <f t="shared" si="408"/>
        <v>47573</v>
      </c>
      <c r="AO194" s="464">
        <f t="shared" si="408"/>
        <v>47664</v>
      </c>
      <c r="AP194" s="464">
        <f t="shared" si="408"/>
        <v>47756</v>
      </c>
      <c r="AQ194" s="464">
        <f t="shared" si="408"/>
        <v>47848</v>
      </c>
      <c r="AR194" s="464">
        <f t="shared" si="408"/>
        <v>47938</v>
      </c>
      <c r="AS194" s="464">
        <f t="shared" si="408"/>
        <v>48029</v>
      </c>
      <c r="AT194" s="464">
        <f t="shared" si="408"/>
        <v>48121</v>
      </c>
      <c r="AU194" s="464">
        <f t="shared" si="408"/>
        <v>48213</v>
      </c>
      <c r="AV194" s="464">
        <f t="shared" si="408"/>
        <v>48304</v>
      </c>
      <c r="AW194" s="464">
        <f t="shared" si="408"/>
        <v>48395</v>
      </c>
      <c r="AX194" s="464">
        <f t="shared" si="408"/>
        <v>48487</v>
      </c>
      <c r="AY194" s="464">
        <f t="shared" si="408"/>
        <v>48579</v>
      </c>
      <c r="AZ194" s="464">
        <f t="shared" si="408"/>
        <v>48669</v>
      </c>
      <c r="BA194" s="464">
        <f t="shared" si="408"/>
        <v>48760</v>
      </c>
      <c r="BB194" s="464">
        <f t="shared" si="408"/>
        <v>48852</v>
      </c>
      <c r="BC194" s="464">
        <f t="shared" si="408"/>
        <v>48944</v>
      </c>
      <c r="BD194" s="464">
        <f t="shared" si="408"/>
        <v>49034</v>
      </c>
      <c r="BE194" s="464">
        <f t="shared" si="408"/>
        <v>49125</v>
      </c>
      <c r="BF194" s="464">
        <f t="shared" si="408"/>
        <v>49217</v>
      </c>
      <c r="BG194" s="464">
        <f t="shared" si="408"/>
        <v>49309</v>
      </c>
      <c r="BH194" s="464">
        <f t="shared" si="408"/>
        <v>49399</v>
      </c>
      <c r="BI194" s="464">
        <f t="shared" si="408"/>
        <v>49490</v>
      </c>
      <c r="BJ194" s="464">
        <f t="shared" si="408"/>
        <v>49582</v>
      </c>
      <c r="BK194" s="464">
        <f t="shared" si="408"/>
        <v>49674</v>
      </c>
      <c r="BL194" s="464">
        <f t="shared" si="408"/>
        <v>49765</v>
      </c>
      <c r="BM194" s="464">
        <f t="shared" si="408"/>
        <v>49856</v>
      </c>
      <c r="BN194" s="464">
        <f t="shared" si="408"/>
        <v>49948</v>
      </c>
      <c r="BO194" s="464">
        <f t="shared" si="408"/>
        <v>50040</v>
      </c>
      <c r="BP194" s="464">
        <f t="shared" si="408"/>
        <v>50130</v>
      </c>
      <c r="BQ194" s="464">
        <f t="shared" si="408"/>
        <v>50221</v>
      </c>
      <c r="BR194" s="464">
        <f t="shared" si="408"/>
        <v>50313</v>
      </c>
      <c r="BS194" s="464">
        <f t="shared" si="408"/>
        <v>50405</v>
      </c>
      <c r="BT194" s="464">
        <f t="shared" si="408"/>
        <v>50495</v>
      </c>
      <c r="BU194" s="464">
        <f t="shared" ref="BU194:EF194" si="409">BU180</f>
        <v>50586</v>
      </c>
      <c r="BV194" s="464">
        <f t="shared" si="409"/>
        <v>50678</v>
      </c>
      <c r="BW194" s="464">
        <f t="shared" si="409"/>
        <v>50770</v>
      </c>
      <c r="BX194" s="464">
        <f t="shared" si="409"/>
        <v>50860</v>
      </c>
      <c r="BY194" s="464">
        <f t="shared" si="409"/>
        <v>50951</v>
      </c>
      <c r="BZ194" s="464">
        <f t="shared" si="409"/>
        <v>51043</v>
      </c>
      <c r="CA194" s="464">
        <f t="shared" si="409"/>
        <v>51135</v>
      </c>
      <c r="CB194" s="464">
        <f t="shared" si="409"/>
        <v>51226</v>
      </c>
      <c r="CC194" s="464">
        <f t="shared" si="409"/>
        <v>51317</v>
      </c>
      <c r="CD194" s="464">
        <f t="shared" si="409"/>
        <v>51409</v>
      </c>
      <c r="CE194" s="464">
        <f t="shared" si="409"/>
        <v>51501</v>
      </c>
      <c r="CF194" s="464">
        <f t="shared" si="409"/>
        <v>51591</v>
      </c>
      <c r="CG194" s="464">
        <f t="shared" si="409"/>
        <v>51682</v>
      </c>
      <c r="CH194" s="464">
        <f t="shared" si="409"/>
        <v>51774</v>
      </c>
      <c r="CI194" s="464">
        <f t="shared" si="409"/>
        <v>51866</v>
      </c>
      <c r="CJ194" s="464">
        <f t="shared" si="409"/>
        <v>51956</v>
      </c>
      <c r="CK194" s="464">
        <f t="shared" si="409"/>
        <v>52047</v>
      </c>
      <c r="CL194" s="464">
        <f t="shared" si="409"/>
        <v>52139</v>
      </c>
      <c r="CM194" s="464">
        <f t="shared" si="409"/>
        <v>52231</v>
      </c>
      <c r="CN194" s="464">
        <f t="shared" si="409"/>
        <v>52321</v>
      </c>
      <c r="CO194" s="464">
        <f t="shared" si="409"/>
        <v>52412</v>
      </c>
      <c r="CP194" s="464">
        <f t="shared" si="409"/>
        <v>52504</v>
      </c>
      <c r="CQ194" s="464">
        <f t="shared" si="409"/>
        <v>52596</v>
      </c>
      <c r="CR194" s="464">
        <f t="shared" si="409"/>
        <v>52687</v>
      </c>
      <c r="CS194" s="464">
        <f t="shared" si="409"/>
        <v>52778</v>
      </c>
      <c r="CT194" s="464">
        <f t="shared" si="409"/>
        <v>52870</v>
      </c>
      <c r="CU194" s="464">
        <f t="shared" si="409"/>
        <v>52962</v>
      </c>
      <c r="CV194" s="464">
        <f t="shared" si="409"/>
        <v>53052</v>
      </c>
      <c r="CW194" s="464">
        <f t="shared" si="409"/>
        <v>53143</v>
      </c>
      <c r="CX194" s="464">
        <f t="shared" si="409"/>
        <v>53235</v>
      </c>
      <c r="CY194" s="464">
        <f t="shared" si="409"/>
        <v>53327</v>
      </c>
      <c r="CZ194" s="464">
        <f t="shared" si="409"/>
        <v>53417</v>
      </c>
      <c r="DA194" s="464">
        <f t="shared" si="409"/>
        <v>53508</v>
      </c>
      <c r="DB194" s="464">
        <f t="shared" si="409"/>
        <v>53600</v>
      </c>
      <c r="DC194" s="464">
        <f t="shared" si="409"/>
        <v>53692</v>
      </c>
      <c r="DD194" s="464">
        <f t="shared" si="409"/>
        <v>53782</v>
      </c>
      <c r="DE194" s="464">
        <f t="shared" si="409"/>
        <v>53873</v>
      </c>
      <c r="DF194" s="464">
        <f t="shared" si="409"/>
        <v>53965</v>
      </c>
      <c r="DG194" s="464">
        <f t="shared" si="409"/>
        <v>54057</v>
      </c>
      <c r="DH194" s="464">
        <f t="shared" si="409"/>
        <v>54148</v>
      </c>
      <c r="DI194" s="464">
        <f t="shared" si="409"/>
        <v>54239</v>
      </c>
      <c r="DJ194" s="464">
        <f t="shared" si="409"/>
        <v>54331</v>
      </c>
      <c r="DK194" s="464">
        <f t="shared" si="409"/>
        <v>54423</v>
      </c>
      <c r="DL194" s="464">
        <f t="shared" si="409"/>
        <v>54513</v>
      </c>
      <c r="DM194" s="464">
        <f t="shared" si="409"/>
        <v>54604</v>
      </c>
      <c r="DN194" s="464">
        <f t="shared" si="409"/>
        <v>54696</v>
      </c>
      <c r="DO194" s="464">
        <f t="shared" si="409"/>
        <v>54788</v>
      </c>
      <c r="DP194" s="464">
        <f t="shared" si="409"/>
        <v>54878</v>
      </c>
      <c r="DQ194" s="464">
        <f t="shared" si="409"/>
        <v>54969</v>
      </c>
      <c r="DR194" s="464">
        <f t="shared" si="409"/>
        <v>55061</v>
      </c>
      <c r="DS194" s="464">
        <f t="shared" si="409"/>
        <v>55153</v>
      </c>
      <c r="DT194" s="464">
        <f t="shared" si="409"/>
        <v>55243</v>
      </c>
      <c r="DU194" s="464">
        <f t="shared" si="409"/>
        <v>55334</v>
      </c>
      <c r="DV194" s="464">
        <f t="shared" si="409"/>
        <v>55426</v>
      </c>
      <c r="DW194" s="464">
        <f t="shared" si="409"/>
        <v>55518</v>
      </c>
      <c r="DX194" s="464">
        <f t="shared" si="409"/>
        <v>55609</v>
      </c>
      <c r="DY194" s="464">
        <f t="shared" si="409"/>
        <v>55700</v>
      </c>
      <c r="DZ194" s="464">
        <f t="shared" si="409"/>
        <v>55792</v>
      </c>
      <c r="EA194" s="464">
        <f t="shared" si="409"/>
        <v>55884</v>
      </c>
      <c r="EB194" s="464">
        <f t="shared" si="409"/>
        <v>55974</v>
      </c>
      <c r="EC194" s="464">
        <f t="shared" si="409"/>
        <v>56065</v>
      </c>
      <c r="ED194" s="464">
        <f t="shared" si="409"/>
        <v>56157</v>
      </c>
      <c r="EE194" s="464">
        <f t="shared" si="409"/>
        <v>56249</v>
      </c>
      <c r="EF194" s="464">
        <f t="shared" si="409"/>
        <v>56339</v>
      </c>
      <c r="EG194" s="464">
        <f t="shared" ref="EG194:EN194" si="410">EG180</f>
        <v>56430</v>
      </c>
      <c r="EH194" s="464">
        <f t="shared" si="410"/>
        <v>56522</v>
      </c>
      <c r="EI194" s="464">
        <f t="shared" si="410"/>
        <v>56614</v>
      </c>
      <c r="EJ194" s="464">
        <f t="shared" si="410"/>
        <v>56704</v>
      </c>
      <c r="EK194" s="464">
        <f t="shared" si="410"/>
        <v>56795</v>
      </c>
      <c r="EL194" s="464">
        <f t="shared" si="410"/>
        <v>56887</v>
      </c>
      <c r="EM194" s="464">
        <f t="shared" si="410"/>
        <v>56979</v>
      </c>
      <c r="EN194" s="464">
        <f t="shared" si="410"/>
        <v>57070</v>
      </c>
    </row>
    <row r="195" spans="2:144">
      <c r="C195" s="465" t="str">
        <f>C184</f>
        <v>Амортизация</v>
      </c>
      <c r="D195" s="465"/>
      <c r="E195" s="465"/>
      <c r="F195" s="465"/>
      <c r="G195" s="465"/>
      <c r="H195" s="465"/>
      <c r="I195" s="465"/>
      <c r="J195" s="465"/>
      <c r="K195" s="465"/>
      <c r="L195" s="465"/>
      <c r="M195" s="465"/>
      <c r="N195" s="465"/>
      <c r="O195" s="465"/>
      <c r="P195" s="465"/>
      <c r="Q195" s="465"/>
      <c r="R195" s="465"/>
      <c r="S195" s="465"/>
      <c r="T195" s="465"/>
      <c r="U195" s="465"/>
      <c r="V195" s="465"/>
      <c r="W195" s="465"/>
      <c r="X195" s="465"/>
      <c r="Y195" s="465"/>
      <c r="Z195" s="465"/>
      <c r="AA195" s="465"/>
      <c r="AB195" s="465"/>
      <c r="AC195" s="465"/>
      <c r="AD195" s="465"/>
      <c r="AE195" s="465"/>
      <c r="AF195" s="465"/>
      <c r="AG195" s="465"/>
      <c r="AH195" s="465"/>
      <c r="AI195" s="465"/>
      <c r="AJ195" s="465"/>
      <c r="AK195" s="465"/>
      <c r="AL195" s="465"/>
      <c r="AM195" s="465"/>
      <c r="AN195" s="465"/>
      <c r="AO195" s="465"/>
      <c r="AP195" s="465"/>
      <c r="AQ195" s="465"/>
      <c r="AR195" s="465"/>
      <c r="AS195" s="465"/>
      <c r="AT195" s="465"/>
      <c r="AU195" s="465"/>
      <c r="AV195" s="465"/>
      <c r="AW195" s="465"/>
      <c r="AX195" s="465"/>
      <c r="AY195" s="465"/>
      <c r="AZ195" s="465"/>
      <c r="BA195" s="465"/>
      <c r="BB195" s="465"/>
      <c r="BC195" s="465"/>
      <c r="BD195" s="465"/>
      <c r="BE195" s="465"/>
      <c r="BF195" s="465"/>
      <c r="BG195" s="465"/>
      <c r="BH195" s="465"/>
      <c r="BI195" s="465"/>
      <c r="BJ195" s="465"/>
      <c r="BK195" s="465"/>
      <c r="BL195" s="465"/>
      <c r="BM195" s="465"/>
      <c r="BN195" s="465"/>
      <c r="BO195" s="465"/>
      <c r="BP195" s="465"/>
      <c r="BQ195" s="465"/>
      <c r="BR195" s="465"/>
      <c r="BS195" s="465"/>
      <c r="BT195" s="465"/>
      <c r="BU195" s="465"/>
      <c r="BV195" s="465"/>
      <c r="BW195" s="465"/>
      <c r="BX195" s="465"/>
      <c r="BY195" s="465"/>
      <c r="BZ195" s="465"/>
      <c r="CA195" s="465"/>
      <c r="CB195" s="465"/>
      <c r="CC195" s="465"/>
      <c r="CD195" s="465"/>
      <c r="CE195" s="465"/>
      <c r="CF195" s="465"/>
      <c r="CG195" s="465"/>
      <c r="CH195" s="465"/>
      <c r="CI195" s="465"/>
      <c r="CJ195" s="465"/>
      <c r="CK195" s="465"/>
      <c r="CL195" s="465"/>
      <c r="CM195" s="465"/>
      <c r="CN195" s="465"/>
      <c r="CO195" s="465"/>
      <c r="CP195" s="465"/>
      <c r="CQ195" s="465"/>
      <c r="CR195" s="465"/>
      <c r="CS195" s="465"/>
      <c r="CT195" s="465"/>
      <c r="CU195" s="465"/>
      <c r="CV195" s="465"/>
      <c r="CW195" s="465"/>
      <c r="CX195" s="465"/>
      <c r="CY195" s="465"/>
      <c r="CZ195" s="465"/>
      <c r="DA195" s="465"/>
      <c r="DB195" s="465"/>
      <c r="DC195" s="465"/>
      <c r="DD195" s="465"/>
      <c r="DE195" s="465"/>
      <c r="DF195" s="465"/>
      <c r="DG195" s="465"/>
      <c r="DH195" s="465"/>
      <c r="DI195" s="465"/>
      <c r="DJ195" s="465"/>
      <c r="DK195" s="465"/>
      <c r="DL195" s="465"/>
      <c r="DM195" s="465"/>
      <c r="DN195" s="465"/>
      <c r="DO195" s="465"/>
      <c r="DP195" s="465"/>
      <c r="DQ195" s="465"/>
      <c r="DR195" s="465"/>
      <c r="DS195" s="465"/>
      <c r="DT195" s="465"/>
      <c r="DU195" s="465"/>
      <c r="DV195" s="465"/>
      <c r="DW195" s="465"/>
      <c r="DX195" s="465"/>
      <c r="DY195" s="465"/>
      <c r="DZ195" s="465"/>
      <c r="EA195" s="465"/>
      <c r="EB195" s="465"/>
      <c r="EC195" s="465"/>
      <c r="ED195" s="465"/>
      <c r="EE195" s="465"/>
      <c r="EF195" s="465"/>
      <c r="EG195" s="465"/>
      <c r="EH195" s="465"/>
      <c r="EI195" s="465"/>
      <c r="EJ195" s="465"/>
      <c r="EK195" s="465"/>
      <c r="EL195" s="465"/>
      <c r="EM195" s="465"/>
      <c r="EN195" s="465"/>
    </row>
    <row r="196" spans="2:144">
      <c r="C196" s="775" t="str">
        <f t="shared" ref="C196:C210" si="411">C4</f>
        <v>Гостиница 5*</v>
      </c>
      <c r="D196" s="45"/>
      <c r="E196" s="44"/>
      <c r="F196" s="44"/>
      <c r="G196" s="45"/>
      <c r="H196" s="44">
        <f t="shared" ref="H196:AM196" si="412">H30</f>
        <v>0</v>
      </c>
      <c r="I196" s="44">
        <f t="shared" si="412"/>
        <v>0</v>
      </c>
      <c r="J196" s="44">
        <f t="shared" si="412"/>
        <v>0</v>
      </c>
      <c r="K196" s="44">
        <f t="shared" si="412"/>
        <v>0</v>
      </c>
      <c r="L196" s="44">
        <f t="shared" si="412"/>
        <v>0</v>
      </c>
      <c r="M196" s="44">
        <f t="shared" si="412"/>
        <v>0</v>
      </c>
      <c r="N196" s="44">
        <f t="shared" si="412"/>
        <v>0</v>
      </c>
      <c r="O196" s="44">
        <f t="shared" si="412"/>
        <v>0</v>
      </c>
      <c r="P196" s="44">
        <f t="shared" si="412"/>
        <v>0</v>
      </c>
      <c r="Q196" s="44">
        <f t="shared" si="412"/>
        <v>0</v>
      </c>
      <c r="R196" s="44">
        <f t="shared" si="412"/>
        <v>0</v>
      </c>
      <c r="S196" s="44">
        <f t="shared" si="412"/>
        <v>0</v>
      </c>
      <c r="T196" s="44">
        <f t="shared" si="412"/>
        <v>0</v>
      </c>
      <c r="U196" s="44">
        <f t="shared" si="412"/>
        <v>0</v>
      </c>
      <c r="V196" s="44">
        <f t="shared" si="412"/>
        <v>0</v>
      </c>
      <c r="W196" s="44">
        <f t="shared" si="412"/>
        <v>0</v>
      </c>
      <c r="X196" s="44">
        <f t="shared" si="412"/>
        <v>0</v>
      </c>
      <c r="Y196" s="44">
        <f t="shared" si="412"/>
        <v>0</v>
      </c>
      <c r="Z196" s="44">
        <f t="shared" si="412"/>
        <v>17802758.754304342</v>
      </c>
      <c r="AA196" s="44">
        <f t="shared" si="412"/>
        <v>17802758.754304342</v>
      </c>
      <c r="AB196" s="44">
        <f t="shared" si="412"/>
        <v>17802758.754304342</v>
      </c>
      <c r="AC196" s="44">
        <f t="shared" si="412"/>
        <v>17802758.754304342</v>
      </c>
      <c r="AD196" s="44">
        <f t="shared" si="412"/>
        <v>17802758.754304342</v>
      </c>
      <c r="AE196" s="44">
        <f t="shared" si="412"/>
        <v>17802758.754304342</v>
      </c>
      <c r="AF196" s="44">
        <f t="shared" si="412"/>
        <v>17802758.754304342</v>
      </c>
      <c r="AG196" s="44">
        <f t="shared" si="412"/>
        <v>17802758.754304342</v>
      </c>
      <c r="AH196" s="44">
        <f t="shared" si="412"/>
        <v>17802758.754304342</v>
      </c>
      <c r="AI196" s="44">
        <f t="shared" si="412"/>
        <v>17802758.754304342</v>
      </c>
      <c r="AJ196" s="44">
        <f t="shared" si="412"/>
        <v>17802758.754304342</v>
      </c>
      <c r="AK196" s="44">
        <f t="shared" si="412"/>
        <v>17802758.754304342</v>
      </c>
      <c r="AL196" s="44">
        <f t="shared" si="412"/>
        <v>17802758.754304342</v>
      </c>
      <c r="AM196" s="44">
        <f t="shared" si="412"/>
        <v>17802758.754304342</v>
      </c>
      <c r="AN196" s="44">
        <f t="shared" ref="AN196:BS196" si="413">AN30</f>
        <v>17802758.754304342</v>
      </c>
      <c r="AO196" s="44">
        <f t="shared" si="413"/>
        <v>17802758.754304342</v>
      </c>
      <c r="AP196" s="44">
        <f t="shared" si="413"/>
        <v>17802758.754304342</v>
      </c>
      <c r="AQ196" s="44">
        <f t="shared" si="413"/>
        <v>17802758.754304342</v>
      </c>
      <c r="AR196" s="44">
        <f t="shared" si="413"/>
        <v>17802758.754304342</v>
      </c>
      <c r="AS196" s="44">
        <f t="shared" si="413"/>
        <v>17802758.754304342</v>
      </c>
      <c r="AT196" s="44">
        <f t="shared" si="413"/>
        <v>17802758.754304342</v>
      </c>
      <c r="AU196" s="44">
        <f t="shared" si="413"/>
        <v>17802758.754304342</v>
      </c>
      <c r="AV196" s="44">
        <f t="shared" si="413"/>
        <v>17802758.754304342</v>
      </c>
      <c r="AW196" s="44">
        <f t="shared" si="413"/>
        <v>17802758.754304342</v>
      </c>
      <c r="AX196" s="44">
        <f t="shared" si="413"/>
        <v>17802758.754304342</v>
      </c>
      <c r="AY196" s="44">
        <f t="shared" si="413"/>
        <v>17802758.754304342</v>
      </c>
      <c r="AZ196" s="44">
        <f t="shared" si="413"/>
        <v>17802758.754304342</v>
      </c>
      <c r="BA196" s="44">
        <f t="shared" si="413"/>
        <v>17802758.754304342</v>
      </c>
      <c r="BB196" s="44">
        <f t="shared" si="413"/>
        <v>17802758.754304342</v>
      </c>
      <c r="BC196" s="44">
        <f t="shared" si="413"/>
        <v>17802758.754304342</v>
      </c>
      <c r="BD196" s="44">
        <f t="shared" si="413"/>
        <v>17802758.754304342</v>
      </c>
      <c r="BE196" s="44">
        <f t="shared" si="413"/>
        <v>17802758.754304342</v>
      </c>
      <c r="BF196" s="44">
        <f t="shared" si="413"/>
        <v>17802758.754304342</v>
      </c>
      <c r="BG196" s="44">
        <f t="shared" si="413"/>
        <v>17802758.754304342</v>
      </c>
      <c r="BH196" s="44">
        <f t="shared" si="413"/>
        <v>17802758.754304342</v>
      </c>
      <c r="BI196" s="44">
        <f t="shared" si="413"/>
        <v>17802758.754304342</v>
      </c>
      <c r="BJ196" s="44">
        <f t="shared" si="413"/>
        <v>17802758.754304342</v>
      </c>
      <c r="BK196" s="44">
        <f t="shared" si="413"/>
        <v>17802758.754304342</v>
      </c>
      <c r="BL196" s="44">
        <f t="shared" si="413"/>
        <v>17802758.754304342</v>
      </c>
      <c r="BM196" s="44">
        <f t="shared" si="413"/>
        <v>17802758.754304342</v>
      </c>
      <c r="BN196" s="44">
        <f t="shared" si="413"/>
        <v>17802758.754304342</v>
      </c>
      <c r="BO196" s="44">
        <f t="shared" si="413"/>
        <v>17802758.754304342</v>
      </c>
      <c r="BP196" s="44">
        <f t="shared" si="413"/>
        <v>17802758.754304342</v>
      </c>
      <c r="BQ196" s="44">
        <f t="shared" si="413"/>
        <v>17802758.754304342</v>
      </c>
      <c r="BR196" s="44">
        <f t="shared" si="413"/>
        <v>17802758.754304342</v>
      </c>
      <c r="BS196" s="44">
        <f t="shared" si="413"/>
        <v>17802758.754304342</v>
      </c>
      <c r="BT196" s="44">
        <f t="shared" ref="BT196:CY196" si="414">BT30</f>
        <v>17802758.754304342</v>
      </c>
      <c r="BU196" s="44">
        <f t="shared" si="414"/>
        <v>17802758.754304342</v>
      </c>
      <c r="BV196" s="44">
        <f t="shared" si="414"/>
        <v>17802758.754304342</v>
      </c>
      <c r="BW196" s="44">
        <f t="shared" si="414"/>
        <v>17802758.754304342</v>
      </c>
      <c r="BX196" s="44">
        <f t="shared" si="414"/>
        <v>17802758.754304342</v>
      </c>
      <c r="BY196" s="44">
        <f t="shared" si="414"/>
        <v>17802758.754304342</v>
      </c>
      <c r="BZ196" s="44">
        <f t="shared" si="414"/>
        <v>17802758.754304342</v>
      </c>
      <c r="CA196" s="44">
        <f t="shared" si="414"/>
        <v>17802758.754304342</v>
      </c>
      <c r="CB196" s="44">
        <f t="shared" si="414"/>
        <v>17802758.754304342</v>
      </c>
      <c r="CC196" s="44">
        <f t="shared" si="414"/>
        <v>17802758.754304342</v>
      </c>
      <c r="CD196" s="44">
        <f t="shared" si="414"/>
        <v>17802758.754304342</v>
      </c>
      <c r="CE196" s="44">
        <f t="shared" si="414"/>
        <v>17802758.754304342</v>
      </c>
      <c r="CF196" s="44">
        <f t="shared" si="414"/>
        <v>17802758.754304342</v>
      </c>
      <c r="CG196" s="44">
        <f t="shared" si="414"/>
        <v>17802758.754304342</v>
      </c>
      <c r="CH196" s="44">
        <f t="shared" si="414"/>
        <v>17802758.754304342</v>
      </c>
      <c r="CI196" s="44">
        <f t="shared" si="414"/>
        <v>17802758.754304342</v>
      </c>
      <c r="CJ196" s="44">
        <f t="shared" si="414"/>
        <v>17802758.754304342</v>
      </c>
      <c r="CK196" s="44">
        <f t="shared" si="414"/>
        <v>17802758.754304342</v>
      </c>
      <c r="CL196" s="44">
        <f t="shared" si="414"/>
        <v>17802758.754304342</v>
      </c>
      <c r="CM196" s="44">
        <f t="shared" si="414"/>
        <v>17802758.754304342</v>
      </c>
      <c r="CN196" s="44">
        <f t="shared" si="414"/>
        <v>17802758.754304342</v>
      </c>
      <c r="CO196" s="44">
        <f t="shared" si="414"/>
        <v>17802758.754304342</v>
      </c>
      <c r="CP196" s="44">
        <f t="shared" si="414"/>
        <v>17802758.754304342</v>
      </c>
      <c r="CQ196" s="44">
        <f t="shared" si="414"/>
        <v>17802758.754304342</v>
      </c>
      <c r="CR196" s="44">
        <f t="shared" si="414"/>
        <v>17802758.754304342</v>
      </c>
      <c r="CS196" s="44">
        <f t="shared" si="414"/>
        <v>17802758.754304342</v>
      </c>
      <c r="CT196" s="44">
        <f t="shared" si="414"/>
        <v>17802758.754304342</v>
      </c>
      <c r="CU196" s="44">
        <f t="shared" si="414"/>
        <v>17802758.754304342</v>
      </c>
      <c r="CV196" s="44">
        <f t="shared" si="414"/>
        <v>17802758.754304342</v>
      </c>
      <c r="CW196" s="44">
        <f t="shared" si="414"/>
        <v>17802758.754304342</v>
      </c>
      <c r="CX196" s="44">
        <f t="shared" si="414"/>
        <v>17802758.754304342</v>
      </c>
      <c r="CY196" s="44">
        <f t="shared" si="414"/>
        <v>17802758.754304342</v>
      </c>
      <c r="CZ196" s="44">
        <f t="shared" ref="CZ196:EE196" si="415">CZ30</f>
        <v>17802758.754304342</v>
      </c>
      <c r="DA196" s="44">
        <f t="shared" si="415"/>
        <v>17802758.754304342</v>
      </c>
      <c r="DB196" s="44">
        <f t="shared" si="415"/>
        <v>17802758.754304342</v>
      </c>
      <c r="DC196" s="44">
        <f t="shared" si="415"/>
        <v>17802758.754304342</v>
      </c>
      <c r="DD196" s="44">
        <f t="shared" si="415"/>
        <v>17802758.754304342</v>
      </c>
      <c r="DE196" s="44">
        <f t="shared" si="415"/>
        <v>17802758.754304342</v>
      </c>
      <c r="DF196" s="44">
        <f t="shared" si="415"/>
        <v>17802758.754304342</v>
      </c>
      <c r="DG196" s="44">
        <f t="shared" si="415"/>
        <v>17802758.754304342</v>
      </c>
      <c r="DH196" s="44">
        <f t="shared" si="415"/>
        <v>17802758.754304342</v>
      </c>
      <c r="DI196" s="44">
        <f t="shared" si="415"/>
        <v>17802758.754304342</v>
      </c>
      <c r="DJ196" s="44">
        <f t="shared" si="415"/>
        <v>17802758.754304342</v>
      </c>
      <c r="DK196" s="44">
        <f t="shared" si="415"/>
        <v>17802758.754304342</v>
      </c>
      <c r="DL196" s="44">
        <f t="shared" si="415"/>
        <v>17802758.754304342</v>
      </c>
      <c r="DM196" s="44">
        <f t="shared" si="415"/>
        <v>17802758.754304342</v>
      </c>
      <c r="DN196" s="44">
        <f t="shared" si="415"/>
        <v>17802758.754304342</v>
      </c>
      <c r="DO196" s="44">
        <f t="shared" si="415"/>
        <v>17802758.754304342</v>
      </c>
      <c r="DP196" s="44">
        <f t="shared" si="415"/>
        <v>17802758.754304342</v>
      </c>
      <c r="DQ196" s="44">
        <f t="shared" si="415"/>
        <v>17802758.754304342</v>
      </c>
      <c r="DR196" s="44">
        <f t="shared" si="415"/>
        <v>17802758.754304342</v>
      </c>
      <c r="DS196" s="44">
        <f t="shared" si="415"/>
        <v>17802758.754304342</v>
      </c>
      <c r="DT196" s="44">
        <f t="shared" si="415"/>
        <v>17802758.754304342</v>
      </c>
      <c r="DU196" s="44">
        <f t="shared" si="415"/>
        <v>17802758.754304342</v>
      </c>
      <c r="DV196" s="44">
        <f t="shared" si="415"/>
        <v>17802758.754304342</v>
      </c>
      <c r="DW196" s="44">
        <f t="shared" si="415"/>
        <v>17802758.754304342</v>
      </c>
      <c r="DX196" s="44">
        <f t="shared" si="415"/>
        <v>17802758.754304342</v>
      </c>
      <c r="DY196" s="44">
        <f t="shared" si="415"/>
        <v>17802758.754304342</v>
      </c>
      <c r="DZ196" s="44">
        <f t="shared" si="415"/>
        <v>17802758.754304342</v>
      </c>
      <c r="EA196" s="44">
        <f t="shared" si="415"/>
        <v>17802758.754304342</v>
      </c>
      <c r="EB196" s="44">
        <f t="shared" si="415"/>
        <v>17802758.754304342</v>
      </c>
      <c r="EC196" s="44">
        <f t="shared" si="415"/>
        <v>17802758.754304342</v>
      </c>
      <c r="ED196" s="44">
        <f t="shared" si="415"/>
        <v>17802758.754304342</v>
      </c>
      <c r="EE196" s="44">
        <f t="shared" si="415"/>
        <v>17802758.754304342</v>
      </c>
      <c r="EF196" s="44">
        <f t="shared" ref="EF196:EN196" si="416">EF30</f>
        <v>17802758.754304342</v>
      </c>
      <c r="EG196" s="44">
        <f t="shared" si="416"/>
        <v>17802758.754304342</v>
      </c>
      <c r="EH196" s="44">
        <f t="shared" si="416"/>
        <v>17802758.754304342</v>
      </c>
      <c r="EI196" s="44">
        <f t="shared" si="416"/>
        <v>17802758.754304342</v>
      </c>
      <c r="EJ196" s="44">
        <f t="shared" si="416"/>
        <v>17802758.754304342</v>
      </c>
      <c r="EK196" s="44">
        <f t="shared" si="416"/>
        <v>17802758.754304342</v>
      </c>
      <c r="EL196" s="44">
        <f t="shared" si="416"/>
        <v>17802758.754304342</v>
      </c>
      <c r="EM196" s="44">
        <f t="shared" si="416"/>
        <v>17802758.754304342</v>
      </c>
      <c r="EN196" s="44">
        <f t="shared" si="416"/>
        <v>17802758.754304342</v>
      </c>
    </row>
    <row r="197" spans="2:144">
      <c r="C197" s="151" t="str">
        <f t="shared" si="411"/>
        <v>Гостиница 4*</v>
      </c>
      <c r="D197" s="45"/>
      <c r="E197" s="44"/>
      <c r="F197" s="44"/>
      <c r="G197" s="45"/>
      <c r="H197" s="44">
        <f t="shared" ref="H197:AM197" si="417">H41</f>
        <v>0</v>
      </c>
      <c r="I197" s="44">
        <f t="shared" si="417"/>
        <v>0</v>
      </c>
      <c r="J197" s="44">
        <f t="shared" si="417"/>
        <v>0</v>
      </c>
      <c r="K197" s="44">
        <f t="shared" si="417"/>
        <v>0</v>
      </c>
      <c r="L197" s="44">
        <f t="shared" si="417"/>
        <v>0</v>
      </c>
      <c r="M197" s="44">
        <f t="shared" si="417"/>
        <v>0</v>
      </c>
      <c r="N197" s="44">
        <f t="shared" si="417"/>
        <v>0</v>
      </c>
      <c r="O197" s="44">
        <f t="shared" si="417"/>
        <v>0</v>
      </c>
      <c r="P197" s="44">
        <f t="shared" si="417"/>
        <v>0</v>
      </c>
      <c r="Q197" s="44">
        <f t="shared" si="417"/>
        <v>0</v>
      </c>
      <c r="R197" s="44">
        <f t="shared" si="417"/>
        <v>0</v>
      </c>
      <c r="S197" s="44">
        <f t="shared" si="417"/>
        <v>0</v>
      </c>
      <c r="T197" s="44">
        <f t="shared" si="417"/>
        <v>0</v>
      </c>
      <c r="U197" s="44">
        <f t="shared" si="417"/>
        <v>0</v>
      </c>
      <c r="V197" s="44">
        <f t="shared" si="417"/>
        <v>0</v>
      </c>
      <c r="W197" s="44">
        <f t="shared" si="417"/>
        <v>0</v>
      </c>
      <c r="X197" s="44">
        <f t="shared" si="417"/>
        <v>0</v>
      </c>
      <c r="Y197" s="44">
        <f t="shared" si="417"/>
        <v>0</v>
      </c>
      <c r="Z197" s="44">
        <f t="shared" si="417"/>
        <v>16858649.388359156</v>
      </c>
      <c r="AA197" s="44">
        <f t="shared" si="417"/>
        <v>16858649.388359156</v>
      </c>
      <c r="AB197" s="44">
        <f t="shared" si="417"/>
        <v>16858649.388359156</v>
      </c>
      <c r="AC197" s="44">
        <f t="shared" si="417"/>
        <v>16858649.388359156</v>
      </c>
      <c r="AD197" s="44">
        <f t="shared" si="417"/>
        <v>16858649.388359156</v>
      </c>
      <c r="AE197" s="44">
        <f t="shared" si="417"/>
        <v>16858649.388359156</v>
      </c>
      <c r="AF197" s="44">
        <f t="shared" si="417"/>
        <v>16858649.388359156</v>
      </c>
      <c r="AG197" s="44">
        <f t="shared" si="417"/>
        <v>16858649.388359156</v>
      </c>
      <c r="AH197" s="44">
        <f t="shared" si="417"/>
        <v>16858649.388359156</v>
      </c>
      <c r="AI197" s="44">
        <f t="shared" si="417"/>
        <v>16858649.388359156</v>
      </c>
      <c r="AJ197" s="44">
        <f t="shared" si="417"/>
        <v>16858649.388359156</v>
      </c>
      <c r="AK197" s="44">
        <f t="shared" si="417"/>
        <v>16858649.388359156</v>
      </c>
      <c r="AL197" s="44">
        <f t="shared" si="417"/>
        <v>16858649.388359156</v>
      </c>
      <c r="AM197" s="44">
        <f t="shared" si="417"/>
        <v>16858649.388359156</v>
      </c>
      <c r="AN197" s="44">
        <f t="shared" ref="AN197:BS197" si="418">AN41</f>
        <v>16858649.388359156</v>
      </c>
      <c r="AO197" s="44">
        <f t="shared" si="418"/>
        <v>16858649.388359156</v>
      </c>
      <c r="AP197" s="44">
        <f t="shared" si="418"/>
        <v>16858649.388359156</v>
      </c>
      <c r="AQ197" s="44">
        <f t="shared" si="418"/>
        <v>16858649.388359156</v>
      </c>
      <c r="AR197" s="44">
        <f t="shared" si="418"/>
        <v>16858649.388359156</v>
      </c>
      <c r="AS197" s="44">
        <f t="shared" si="418"/>
        <v>16858649.388359156</v>
      </c>
      <c r="AT197" s="44">
        <f t="shared" si="418"/>
        <v>16858649.388359156</v>
      </c>
      <c r="AU197" s="44">
        <f t="shared" si="418"/>
        <v>16858649.388359156</v>
      </c>
      <c r="AV197" s="44">
        <f t="shared" si="418"/>
        <v>16858649.388359156</v>
      </c>
      <c r="AW197" s="44">
        <f t="shared" si="418"/>
        <v>16858649.388359156</v>
      </c>
      <c r="AX197" s="44">
        <f t="shared" si="418"/>
        <v>16858649.388359156</v>
      </c>
      <c r="AY197" s="44">
        <f t="shared" si="418"/>
        <v>16858649.388359156</v>
      </c>
      <c r="AZ197" s="44">
        <f t="shared" si="418"/>
        <v>16858649.388359156</v>
      </c>
      <c r="BA197" s="44">
        <f t="shared" si="418"/>
        <v>16858649.388359156</v>
      </c>
      <c r="BB197" s="44">
        <f t="shared" si="418"/>
        <v>16858649.388359156</v>
      </c>
      <c r="BC197" s="44">
        <f t="shared" si="418"/>
        <v>16858649.388359156</v>
      </c>
      <c r="BD197" s="44">
        <f t="shared" si="418"/>
        <v>16858649.388359156</v>
      </c>
      <c r="BE197" s="44">
        <f t="shared" si="418"/>
        <v>16858649.388359156</v>
      </c>
      <c r="BF197" s="44">
        <f t="shared" si="418"/>
        <v>16858649.388359156</v>
      </c>
      <c r="BG197" s="44">
        <f t="shared" si="418"/>
        <v>16858649.388359156</v>
      </c>
      <c r="BH197" s="44">
        <f t="shared" si="418"/>
        <v>16858649.388359156</v>
      </c>
      <c r="BI197" s="44">
        <f t="shared" si="418"/>
        <v>16858649.388359156</v>
      </c>
      <c r="BJ197" s="44">
        <f t="shared" si="418"/>
        <v>16858649.388359156</v>
      </c>
      <c r="BK197" s="44">
        <f t="shared" si="418"/>
        <v>16858649.388359156</v>
      </c>
      <c r="BL197" s="44">
        <f t="shared" si="418"/>
        <v>16858649.388359156</v>
      </c>
      <c r="BM197" s="44">
        <f t="shared" si="418"/>
        <v>16858649.388359156</v>
      </c>
      <c r="BN197" s="44">
        <f t="shared" si="418"/>
        <v>16858649.388359156</v>
      </c>
      <c r="BO197" s="44">
        <f t="shared" si="418"/>
        <v>16858649.388359156</v>
      </c>
      <c r="BP197" s="44">
        <f t="shared" si="418"/>
        <v>16858649.388359156</v>
      </c>
      <c r="BQ197" s="44">
        <f t="shared" si="418"/>
        <v>16858649.388359156</v>
      </c>
      <c r="BR197" s="44">
        <f t="shared" si="418"/>
        <v>16858649.388359156</v>
      </c>
      <c r="BS197" s="44">
        <f t="shared" si="418"/>
        <v>16858649.388359156</v>
      </c>
      <c r="BT197" s="44">
        <f t="shared" ref="BT197:CY197" si="419">BT41</f>
        <v>16858649.388359156</v>
      </c>
      <c r="BU197" s="44">
        <f t="shared" si="419"/>
        <v>16858649.388359156</v>
      </c>
      <c r="BV197" s="44">
        <f t="shared" si="419"/>
        <v>16858649.388359156</v>
      </c>
      <c r="BW197" s="44">
        <f t="shared" si="419"/>
        <v>16858649.388359156</v>
      </c>
      <c r="BX197" s="44">
        <f t="shared" si="419"/>
        <v>16858649.388359156</v>
      </c>
      <c r="BY197" s="44">
        <f t="shared" si="419"/>
        <v>16858649.388359156</v>
      </c>
      <c r="BZ197" s="44">
        <f t="shared" si="419"/>
        <v>16858649.388359156</v>
      </c>
      <c r="CA197" s="44">
        <f t="shared" si="419"/>
        <v>16858649.388359156</v>
      </c>
      <c r="CB197" s="44">
        <f t="shared" si="419"/>
        <v>16858649.388359156</v>
      </c>
      <c r="CC197" s="44">
        <f t="shared" si="419"/>
        <v>16858649.388359156</v>
      </c>
      <c r="CD197" s="44">
        <f t="shared" si="419"/>
        <v>16858649.388359156</v>
      </c>
      <c r="CE197" s="44">
        <f t="shared" si="419"/>
        <v>16858649.388359156</v>
      </c>
      <c r="CF197" s="44">
        <f t="shared" si="419"/>
        <v>16858649.388359156</v>
      </c>
      <c r="CG197" s="44">
        <f t="shared" si="419"/>
        <v>16858649.388359156</v>
      </c>
      <c r="CH197" s="44">
        <f t="shared" si="419"/>
        <v>16858649.388359156</v>
      </c>
      <c r="CI197" s="44">
        <f t="shared" si="419"/>
        <v>16858649.388359156</v>
      </c>
      <c r="CJ197" s="44">
        <f t="shared" si="419"/>
        <v>16858649.388359156</v>
      </c>
      <c r="CK197" s="44">
        <f t="shared" si="419"/>
        <v>16858649.388359156</v>
      </c>
      <c r="CL197" s="44">
        <f t="shared" si="419"/>
        <v>16858649.388359156</v>
      </c>
      <c r="CM197" s="44">
        <f t="shared" si="419"/>
        <v>16858649.388359156</v>
      </c>
      <c r="CN197" s="44">
        <f t="shared" si="419"/>
        <v>16858649.388359156</v>
      </c>
      <c r="CO197" s="44">
        <f t="shared" si="419"/>
        <v>16858649.388359156</v>
      </c>
      <c r="CP197" s="44">
        <f t="shared" si="419"/>
        <v>16858649.388359156</v>
      </c>
      <c r="CQ197" s="44">
        <f t="shared" si="419"/>
        <v>16858649.388359156</v>
      </c>
      <c r="CR197" s="44">
        <f t="shared" si="419"/>
        <v>16858649.388359156</v>
      </c>
      <c r="CS197" s="44">
        <f t="shared" si="419"/>
        <v>16858649.388359156</v>
      </c>
      <c r="CT197" s="44">
        <f t="shared" si="419"/>
        <v>16858649.388359156</v>
      </c>
      <c r="CU197" s="44">
        <f t="shared" si="419"/>
        <v>16858649.388359156</v>
      </c>
      <c r="CV197" s="44">
        <f t="shared" si="419"/>
        <v>16858649.388359156</v>
      </c>
      <c r="CW197" s="44">
        <f t="shared" si="419"/>
        <v>16858649.388359156</v>
      </c>
      <c r="CX197" s="44">
        <f t="shared" si="419"/>
        <v>16858649.388359156</v>
      </c>
      <c r="CY197" s="44">
        <f t="shared" si="419"/>
        <v>16858649.388359156</v>
      </c>
      <c r="CZ197" s="44">
        <f t="shared" ref="CZ197:EE197" si="420">CZ41</f>
        <v>16858649.388359156</v>
      </c>
      <c r="DA197" s="44">
        <f t="shared" si="420"/>
        <v>16858649.388359156</v>
      </c>
      <c r="DB197" s="44">
        <f t="shared" si="420"/>
        <v>16858649.388359156</v>
      </c>
      <c r="DC197" s="44">
        <f t="shared" si="420"/>
        <v>16858649.388359156</v>
      </c>
      <c r="DD197" s="44">
        <f t="shared" si="420"/>
        <v>16858649.388359156</v>
      </c>
      <c r="DE197" s="44">
        <f t="shared" si="420"/>
        <v>16858649.388359156</v>
      </c>
      <c r="DF197" s="44">
        <f t="shared" si="420"/>
        <v>16858649.388359156</v>
      </c>
      <c r="DG197" s="44">
        <f t="shared" si="420"/>
        <v>16858649.388359156</v>
      </c>
      <c r="DH197" s="44">
        <f t="shared" si="420"/>
        <v>16858649.388359156</v>
      </c>
      <c r="DI197" s="44">
        <f t="shared" si="420"/>
        <v>16858649.388359156</v>
      </c>
      <c r="DJ197" s="44">
        <f t="shared" si="420"/>
        <v>16858649.388359156</v>
      </c>
      <c r="DK197" s="44">
        <f t="shared" si="420"/>
        <v>16858649.388359156</v>
      </c>
      <c r="DL197" s="44">
        <f t="shared" si="420"/>
        <v>16858649.388359156</v>
      </c>
      <c r="DM197" s="44">
        <f t="shared" si="420"/>
        <v>16858649.388359156</v>
      </c>
      <c r="DN197" s="44">
        <f t="shared" si="420"/>
        <v>16858649.388359156</v>
      </c>
      <c r="DO197" s="44">
        <f t="shared" si="420"/>
        <v>16858649.388359156</v>
      </c>
      <c r="DP197" s="44">
        <f t="shared" si="420"/>
        <v>16858649.388359156</v>
      </c>
      <c r="DQ197" s="44">
        <f t="shared" si="420"/>
        <v>16858649.388359156</v>
      </c>
      <c r="DR197" s="44">
        <f t="shared" si="420"/>
        <v>16858649.388359156</v>
      </c>
      <c r="DS197" s="44">
        <f t="shared" si="420"/>
        <v>16858649.388359156</v>
      </c>
      <c r="DT197" s="44">
        <f t="shared" si="420"/>
        <v>16858649.388359156</v>
      </c>
      <c r="DU197" s="44">
        <f t="shared" si="420"/>
        <v>16858649.388359156</v>
      </c>
      <c r="DV197" s="44">
        <f t="shared" si="420"/>
        <v>16858649.388359156</v>
      </c>
      <c r="DW197" s="44">
        <f t="shared" si="420"/>
        <v>16858649.388359156</v>
      </c>
      <c r="DX197" s="44">
        <f t="shared" si="420"/>
        <v>16858649.388359156</v>
      </c>
      <c r="DY197" s="44">
        <f t="shared" si="420"/>
        <v>16858649.388359156</v>
      </c>
      <c r="DZ197" s="44">
        <f t="shared" si="420"/>
        <v>16858649.388359156</v>
      </c>
      <c r="EA197" s="44">
        <f t="shared" si="420"/>
        <v>16858649.388359156</v>
      </c>
      <c r="EB197" s="44">
        <f t="shared" si="420"/>
        <v>16858649.388359156</v>
      </c>
      <c r="EC197" s="44">
        <f t="shared" si="420"/>
        <v>16858649.388359156</v>
      </c>
      <c r="ED197" s="44">
        <f t="shared" si="420"/>
        <v>16858649.388359156</v>
      </c>
      <c r="EE197" s="44">
        <f t="shared" si="420"/>
        <v>16858649.388359156</v>
      </c>
      <c r="EF197" s="44">
        <f t="shared" ref="EF197:EN197" si="421">EF41</f>
        <v>16858649.388359156</v>
      </c>
      <c r="EG197" s="44">
        <f t="shared" si="421"/>
        <v>16858649.388359156</v>
      </c>
      <c r="EH197" s="44">
        <f t="shared" si="421"/>
        <v>16858649.388359156</v>
      </c>
      <c r="EI197" s="44">
        <f t="shared" si="421"/>
        <v>16858649.388359156</v>
      </c>
      <c r="EJ197" s="44">
        <f t="shared" si="421"/>
        <v>16858649.388359156</v>
      </c>
      <c r="EK197" s="44">
        <f t="shared" si="421"/>
        <v>16858649.388359156</v>
      </c>
      <c r="EL197" s="44">
        <f t="shared" si="421"/>
        <v>16858649.388359156</v>
      </c>
      <c r="EM197" s="44">
        <f t="shared" si="421"/>
        <v>16858649.388359156</v>
      </c>
      <c r="EN197" s="44">
        <f t="shared" si="421"/>
        <v>16858649.388359156</v>
      </c>
    </row>
    <row r="198" spans="2:144">
      <c r="C198" s="151" t="str">
        <f t="shared" si="411"/>
        <v>Гостиница 3*</v>
      </c>
      <c r="D198" s="45"/>
      <c r="E198" s="44"/>
      <c r="F198" s="44"/>
      <c r="G198" s="45"/>
      <c r="H198" s="44">
        <f t="shared" ref="H198:AM198" si="422">H52</f>
        <v>0</v>
      </c>
      <c r="I198" s="44">
        <f t="shared" si="422"/>
        <v>0</v>
      </c>
      <c r="J198" s="44">
        <f t="shared" si="422"/>
        <v>0</v>
      </c>
      <c r="K198" s="44">
        <f t="shared" si="422"/>
        <v>0</v>
      </c>
      <c r="L198" s="44">
        <f t="shared" si="422"/>
        <v>0</v>
      </c>
      <c r="M198" s="44">
        <f t="shared" si="422"/>
        <v>0</v>
      </c>
      <c r="N198" s="44">
        <f t="shared" si="422"/>
        <v>0</v>
      </c>
      <c r="O198" s="44">
        <f t="shared" si="422"/>
        <v>0</v>
      </c>
      <c r="P198" s="44">
        <f t="shared" si="422"/>
        <v>0</v>
      </c>
      <c r="Q198" s="44">
        <f t="shared" si="422"/>
        <v>0</v>
      </c>
      <c r="R198" s="44">
        <f t="shared" si="422"/>
        <v>0</v>
      </c>
      <c r="S198" s="44">
        <f t="shared" si="422"/>
        <v>0</v>
      </c>
      <c r="T198" s="44">
        <f t="shared" si="422"/>
        <v>0</v>
      </c>
      <c r="U198" s="44">
        <f t="shared" si="422"/>
        <v>0</v>
      </c>
      <c r="V198" s="44">
        <f t="shared" si="422"/>
        <v>6664658.5840949174</v>
      </c>
      <c r="W198" s="44">
        <f t="shared" si="422"/>
        <v>6664658.5840949174</v>
      </c>
      <c r="X198" s="44">
        <f>X52</f>
        <v>6664658.5840949174</v>
      </c>
      <c r="Y198" s="44">
        <f t="shared" si="422"/>
        <v>6664658.5840949174</v>
      </c>
      <c r="Z198" s="44">
        <f t="shared" si="422"/>
        <v>6664658.5840949174</v>
      </c>
      <c r="AA198" s="44">
        <f t="shared" si="422"/>
        <v>6664658.5840949174</v>
      </c>
      <c r="AB198" s="44">
        <f t="shared" si="422"/>
        <v>6664658.5840949174</v>
      </c>
      <c r="AC198" s="44">
        <f t="shared" si="422"/>
        <v>6664658.5840949174</v>
      </c>
      <c r="AD198" s="44">
        <f t="shared" si="422"/>
        <v>6664658.5840949174</v>
      </c>
      <c r="AE198" s="44">
        <f t="shared" si="422"/>
        <v>6664658.5840949174</v>
      </c>
      <c r="AF198" s="44">
        <f t="shared" si="422"/>
        <v>6664658.5840949174</v>
      </c>
      <c r="AG198" s="44">
        <f t="shared" si="422"/>
        <v>6664658.5840949174</v>
      </c>
      <c r="AH198" s="44">
        <f t="shared" si="422"/>
        <v>6664658.5840949174</v>
      </c>
      <c r="AI198" s="44">
        <f t="shared" si="422"/>
        <v>6664658.5840949174</v>
      </c>
      <c r="AJ198" s="44">
        <f t="shared" si="422"/>
        <v>6664658.5840949174</v>
      </c>
      <c r="AK198" s="44">
        <f t="shared" si="422"/>
        <v>6664658.5840949174</v>
      </c>
      <c r="AL198" s="44">
        <f t="shared" si="422"/>
        <v>6664658.5840949174</v>
      </c>
      <c r="AM198" s="44">
        <f t="shared" si="422"/>
        <v>6664658.5840949174</v>
      </c>
      <c r="AN198" s="44">
        <f t="shared" ref="AN198:BS198" si="423">AN52</f>
        <v>6664658.5840949174</v>
      </c>
      <c r="AO198" s="44">
        <f t="shared" si="423"/>
        <v>6664658.5840949174</v>
      </c>
      <c r="AP198" s="44">
        <f t="shared" si="423"/>
        <v>6664658.5840949174</v>
      </c>
      <c r="AQ198" s="44">
        <f t="shared" si="423"/>
        <v>6664658.5840949174</v>
      </c>
      <c r="AR198" s="44">
        <f t="shared" si="423"/>
        <v>6664658.5840949174</v>
      </c>
      <c r="AS198" s="44">
        <f t="shared" si="423"/>
        <v>6664658.5840949174</v>
      </c>
      <c r="AT198" s="44">
        <f t="shared" si="423"/>
        <v>6664658.5840949174</v>
      </c>
      <c r="AU198" s="44">
        <f t="shared" si="423"/>
        <v>6664658.5840949174</v>
      </c>
      <c r="AV198" s="44">
        <f t="shared" si="423"/>
        <v>6664658.5840949174</v>
      </c>
      <c r="AW198" s="44">
        <f t="shared" si="423"/>
        <v>6664658.5840949174</v>
      </c>
      <c r="AX198" s="44">
        <f t="shared" si="423"/>
        <v>6664658.5840949174</v>
      </c>
      <c r="AY198" s="44">
        <f t="shared" si="423"/>
        <v>6664658.5840949174</v>
      </c>
      <c r="AZ198" s="44">
        <f t="shared" si="423"/>
        <v>6664658.5840949174</v>
      </c>
      <c r="BA198" s="44">
        <f t="shared" si="423"/>
        <v>6664658.5840949174</v>
      </c>
      <c r="BB198" s="44">
        <f t="shared" si="423"/>
        <v>6664658.5840949174</v>
      </c>
      <c r="BC198" s="44">
        <f t="shared" si="423"/>
        <v>6664658.5840949174</v>
      </c>
      <c r="BD198" s="44">
        <f t="shared" si="423"/>
        <v>6664658.5840949174</v>
      </c>
      <c r="BE198" s="44">
        <f t="shared" si="423"/>
        <v>6664658.5840949174</v>
      </c>
      <c r="BF198" s="44">
        <f t="shared" si="423"/>
        <v>6664658.5840949174</v>
      </c>
      <c r="BG198" s="44">
        <f t="shared" si="423"/>
        <v>6664658.5840949174</v>
      </c>
      <c r="BH198" s="44">
        <f t="shared" si="423"/>
        <v>6664658.5840949174</v>
      </c>
      <c r="BI198" s="44">
        <f t="shared" si="423"/>
        <v>6664658.5840949174</v>
      </c>
      <c r="BJ198" s="44">
        <f t="shared" si="423"/>
        <v>6664658.5840949174</v>
      </c>
      <c r="BK198" s="44">
        <f t="shared" si="423"/>
        <v>6664658.5840949174</v>
      </c>
      <c r="BL198" s="44">
        <f t="shared" si="423"/>
        <v>6664658.5840949174</v>
      </c>
      <c r="BM198" s="44">
        <f t="shared" si="423"/>
        <v>6664658.5840949174</v>
      </c>
      <c r="BN198" s="44">
        <f t="shared" si="423"/>
        <v>6664658.5840949174</v>
      </c>
      <c r="BO198" s="44">
        <f t="shared" si="423"/>
        <v>6664658.5840949174</v>
      </c>
      <c r="BP198" s="44">
        <f t="shared" si="423"/>
        <v>6664658.5840949174</v>
      </c>
      <c r="BQ198" s="44">
        <f t="shared" si="423"/>
        <v>6664658.5840949174</v>
      </c>
      <c r="BR198" s="44">
        <f t="shared" si="423"/>
        <v>6664658.5840949174</v>
      </c>
      <c r="BS198" s="44">
        <f t="shared" si="423"/>
        <v>6664658.5840949174</v>
      </c>
      <c r="BT198" s="44">
        <f t="shared" ref="BT198:CY198" si="424">BT52</f>
        <v>6664658.5840949174</v>
      </c>
      <c r="BU198" s="44">
        <f t="shared" si="424"/>
        <v>6664658.5840949174</v>
      </c>
      <c r="BV198" s="44">
        <f t="shared" si="424"/>
        <v>6664658.5840949174</v>
      </c>
      <c r="BW198" s="44">
        <f t="shared" si="424"/>
        <v>6664658.5840949174</v>
      </c>
      <c r="BX198" s="44">
        <f t="shared" si="424"/>
        <v>6664658.5840949174</v>
      </c>
      <c r="BY198" s="44">
        <f t="shared" si="424"/>
        <v>6664658.5840949174</v>
      </c>
      <c r="BZ198" s="44">
        <f t="shared" si="424"/>
        <v>6664658.5840949174</v>
      </c>
      <c r="CA198" s="44">
        <f t="shared" si="424"/>
        <v>6664658.5840949174</v>
      </c>
      <c r="CB198" s="44">
        <f t="shared" si="424"/>
        <v>6664658.5840949174</v>
      </c>
      <c r="CC198" s="44">
        <f t="shared" si="424"/>
        <v>6664658.5840949174</v>
      </c>
      <c r="CD198" s="44">
        <f t="shared" si="424"/>
        <v>6664658.5840949174</v>
      </c>
      <c r="CE198" s="44">
        <f t="shared" si="424"/>
        <v>6664658.5840949174</v>
      </c>
      <c r="CF198" s="44">
        <f t="shared" si="424"/>
        <v>6664658.5840949174</v>
      </c>
      <c r="CG198" s="44">
        <f t="shared" si="424"/>
        <v>6664658.5840949174</v>
      </c>
      <c r="CH198" s="44">
        <f t="shared" si="424"/>
        <v>6664658.5840949174</v>
      </c>
      <c r="CI198" s="44">
        <f t="shared" si="424"/>
        <v>6664658.5840949174</v>
      </c>
      <c r="CJ198" s="44">
        <f t="shared" si="424"/>
        <v>6664658.5840949174</v>
      </c>
      <c r="CK198" s="44">
        <f t="shared" si="424"/>
        <v>6664658.5840949174</v>
      </c>
      <c r="CL198" s="44">
        <f t="shared" si="424"/>
        <v>6664658.5840949174</v>
      </c>
      <c r="CM198" s="44">
        <f t="shared" si="424"/>
        <v>6664658.5840949174</v>
      </c>
      <c r="CN198" s="44">
        <f t="shared" si="424"/>
        <v>6664658.5840949174</v>
      </c>
      <c r="CO198" s="44">
        <f t="shared" si="424"/>
        <v>6664658.5840949174</v>
      </c>
      <c r="CP198" s="44">
        <f t="shared" si="424"/>
        <v>6664658.5840949174</v>
      </c>
      <c r="CQ198" s="44">
        <f t="shared" si="424"/>
        <v>6664658.5840949174</v>
      </c>
      <c r="CR198" s="44">
        <f t="shared" si="424"/>
        <v>6664658.5840949174</v>
      </c>
      <c r="CS198" s="44">
        <f t="shared" si="424"/>
        <v>6664658.5840949174</v>
      </c>
      <c r="CT198" s="44">
        <f t="shared" si="424"/>
        <v>6664658.5840949174</v>
      </c>
      <c r="CU198" s="44">
        <f t="shared" si="424"/>
        <v>6664658.5840949174</v>
      </c>
      <c r="CV198" s="44">
        <f t="shared" si="424"/>
        <v>6664658.5840949174</v>
      </c>
      <c r="CW198" s="44">
        <f t="shared" si="424"/>
        <v>6664658.5840949174</v>
      </c>
      <c r="CX198" s="44">
        <f t="shared" si="424"/>
        <v>6664658.5840949174</v>
      </c>
      <c r="CY198" s="44">
        <f t="shared" si="424"/>
        <v>6664658.5840949174</v>
      </c>
      <c r="CZ198" s="44">
        <f t="shared" ref="CZ198:EE198" si="425">CZ52</f>
        <v>6664658.5840949174</v>
      </c>
      <c r="DA198" s="44">
        <f t="shared" si="425"/>
        <v>6664658.5840949174</v>
      </c>
      <c r="DB198" s="44">
        <f t="shared" si="425"/>
        <v>6664658.5840949174</v>
      </c>
      <c r="DC198" s="44">
        <f t="shared" si="425"/>
        <v>6664658.5840949174</v>
      </c>
      <c r="DD198" s="44">
        <f t="shared" si="425"/>
        <v>6664658.5840949174</v>
      </c>
      <c r="DE198" s="44">
        <f t="shared" si="425"/>
        <v>6664658.5840949174</v>
      </c>
      <c r="DF198" s="44">
        <f t="shared" si="425"/>
        <v>6664658.5840949174</v>
      </c>
      <c r="DG198" s="44">
        <f t="shared" si="425"/>
        <v>6664658.5840949174</v>
      </c>
      <c r="DH198" s="44">
        <f t="shared" si="425"/>
        <v>6664658.5840949174</v>
      </c>
      <c r="DI198" s="44">
        <f t="shared" si="425"/>
        <v>6664658.5840949174</v>
      </c>
      <c r="DJ198" s="44">
        <f t="shared" si="425"/>
        <v>6664658.5840949174</v>
      </c>
      <c r="DK198" s="44">
        <f t="shared" si="425"/>
        <v>6664658.5840949174</v>
      </c>
      <c r="DL198" s="44">
        <f t="shared" si="425"/>
        <v>6664658.5840949174</v>
      </c>
      <c r="DM198" s="44">
        <f t="shared" si="425"/>
        <v>6664658.5840949174</v>
      </c>
      <c r="DN198" s="44">
        <f t="shared" si="425"/>
        <v>6664658.5840949174</v>
      </c>
      <c r="DO198" s="44">
        <f t="shared" si="425"/>
        <v>6664658.5840949174</v>
      </c>
      <c r="DP198" s="44">
        <f t="shared" si="425"/>
        <v>6664658.5840949174</v>
      </c>
      <c r="DQ198" s="44">
        <f t="shared" si="425"/>
        <v>6664658.5840949174</v>
      </c>
      <c r="DR198" s="44">
        <f t="shared" si="425"/>
        <v>6664658.5840949174</v>
      </c>
      <c r="DS198" s="44">
        <f t="shared" si="425"/>
        <v>6664658.5840949174</v>
      </c>
      <c r="DT198" s="44">
        <f t="shared" si="425"/>
        <v>6664658.5840949174</v>
      </c>
      <c r="DU198" s="44">
        <f t="shared" si="425"/>
        <v>6664658.5840949174</v>
      </c>
      <c r="DV198" s="44">
        <f t="shared" si="425"/>
        <v>6664658.5840949174</v>
      </c>
      <c r="DW198" s="44">
        <f t="shared" si="425"/>
        <v>6664658.5840949174</v>
      </c>
      <c r="DX198" s="44">
        <f t="shared" si="425"/>
        <v>6664658.5840949174</v>
      </c>
      <c r="DY198" s="44">
        <f t="shared" si="425"/>
        <v>6664658.5840949174</v>
      </c>
      <c r="DZ198" s="44">
        <f t="shared" si="425"/>
        <v>6664658.5840949174</v>
      </c>
      <c r="EA198" s="44">
        <f t="shared" si="425"/>
        <v>6664658.5840949174</v>
      </c>
      <c r="EB198" s="44">
        <f t="shared" si="425"/>
        <v>6664658.5840949174</v>
      </c>
      <c r="EC198" s="44">
        <f t="shared" si="425"/>
        <v>6664658.5840949174</v>
      </c>
      <c r="ED198" s="44">
        <f t="shared" si="425"/>
        <v>6664658.5840949174</v>
      </c>
      <c r="EE198" s="44">
        <f t="shared" si="425"/>
        <v>6664658.5840949174</v>
      </c>
      <c r="EF198" s="44">
        <f t="shared" ref="EF198:EN198" si="426">EF52</f>
        <v>6664658.5840949174</v>
      </c>
      <c r="EG198" s="44">
        <f t="shared" si="426"/>
        <v>6664658.5840949174</v>
      </c>
      <c r="EH198" s="44">
        <f t="shared" si="426"/>
        <v>6664658.5840949174</v>
      </c>
      <c r="EI198" s="44">
        <f t="shared" si="426"/>
        <v>6664658.5840949174</v>
      </c>
      <c r="EJ198" s="44">
        <f t="shared" si="426"/>
        <v>6664658.5840949174</v>
      </c>
      <c r="EK198" s="44">
        <f t="shared" si="426"/>
        <v>6664658.5840949174</v>
      </c>
      <c r="EL198" s="44">
        <f t="shared" si="426"/>
        <v>0</v>
      </c>
      <c r="EM198" s="44">
        <f t="shared" si="426"/>
        <v>0</v>
      </c>
      <c r="EN198" s="44">
        <f t="shared" si="426"/>
        <v>0</v>
      </c>
    </row>
    <row r="199" spans="2:144">
      <c r="C199" s="151" t="str">
        <f t="shared" si="411"/>
        <v>Гостиница 2*</v>
      </c>
      <c r="D199" s="45"/>
      <c r="E199" s="44"/>
      <c r="F199" s="44"/>
      <c r="G199" s="45"/>
      <c r="H199" s="44">
        <f t="shared" ref="H199:AM199" si="427">H63</f>
        <v>0</v>
      </c>
      <c r="I199" s="44">
        <f t="shared" si="427"/>
        <v>0</v>
      </c>
      <c r="J199" s="44">
        <f t="shared" si="427"/>
        <v>0</v>
      </c>
      <c r="K199" s="44">
        <f t="shared" si="427"/>
        <v>0</v>
      </c>
      <c r="L199" s="44">
        <f t="shared" si="427"/>
        <v>0</v>
      </c>
      <c r="M199" s="44">
        <f t="shared" si="427"/>
        <v>0</v>
      </c>
      <c r="N199" s="44">
        <f t="shared" si="427"/>
        <v>0</v>
      </c>
      <c r="O199" s="44">
        <f t="shared" si="427"/>
        <v>0</v>
      </c>
      <c r="P199" s="44">
        <f t="shared" si="427"/>
        <v>0</v>
      </c>
      <c r="Q199" s="44">
        <f t="shared" si="427"/>
        <v>0</v>
      </c>
      <c r="R199" s="44">
        <f t="shared" si="427"/>
        <v>0</v>
      </c>
      <c r="S199" s="44">
        <f t="shared" si="427"/>
        <v>0</v>
      </c>
      <c r="T199" s="44">
        <f t="shared" si="427"/>
        <v>0</v>
      </c>
      <c r="U199" s="44">
        <f t="shared" si="427"/>
        <v>0</v>
      </c>
      <c r="V199" s="44">
        <f t="shared" si="427"/>
        <v>0</v>
      </c>
      <c r="W199" s="44">
        <f t="shared" si="427"/>
        <v>0</v>
      </c>
      <c r="X199" s="44">
        <f t="shared" si="427"/>
        <v>0</v>
      </c>
      <c r="Y199" s="44">
        <f t="shared" si="427"/>
        <v>0</v>
      </c>
      <c r="Z199" s="44">
        <f t="shared" si="427"/>
        <v>0</v>
      </c>
      <c r="AA199" s="44">
        <f t="shared" si="427"/>
        <v>0</v>
      </c>
      <c r="AB199" s="44">
        <f t="shared" si="427"/>
        <v>0</v>
      </c>
      <c r="AC199" s="44">
        <f t="shared" si="427"/>
        <v>0</v>
      </c>
      <c r="AD199" s="44">
        <f t="shared" si="427"/>
        <v>0</v>
      </c>
      <c r="AE199" s="44">
        <f t="shared" si="427"/>
        <v>0</v>
      </c>
      <c r="AF199" s="44">
        <f t="shared" si="427"/>
        <v>0</v>
      </c>
      <c r="AG199" s="44">
        <f t="shared" si="427"/>
        <v>0</v>
      </c>
      <c r="AH199" s="44">
        <f t="shared" si="427"/>
        <v>0</v>
      </c>
      <c r="AI199" s="44">
        <f t="shared" si="427"/>
        <v>0</v>
      </c>
      <c r="AJ199" s="44">
        <f t="shared" si="427"/>
        <v>0</v>
      </c>
      <c r="AK199" s="44">
        <f t="shared" si="427"/>
        <v>0</v>
      </c>
      <c r="AL199" s="44">
        <f t="shared" si="427"/>
        <v>0</v>
      </c>
      <c r="AM199" s="44">
        <f t="shared" si="427"/>
        <v>0</v>
      </c>
      <c r="AN199" s="44">
        <f t="shared" ref="AN199:BS199" si="428">AN63</f>
        <v>0</v>
      </c>
      <c r="AO199" s="44">
        <f t="shared" si="428"/>
        <v>0</v>
      </c>
      <c r="AP199" s="44">
        <f t="shared" si="428"/>
        <v>0</v>
      </c>
      <c r="AQ199" s="44">
        <f t="shared" si="428"/>
        <v>0</v>
      </c>
      <c r="AR199" s="44">
        <f t="shared" si="428"/>
        <v>0</v>
      </c>
      <c r="AS199" s="44">
        <f t="shared" si="428"/>
        <v>0</v>
      </c>
      <c r="AT199" s="44">
        <f t="shared" si="428"/>
        <v>0</v>
      </c>
      <c r="AU199" s="44">
        <f t="shared" si="428"/>
        <v>0</v>
      </c>
      <c r="AV199" s="44">
        <f t="shared" si="428"/>
        <v>0</v>
      </c>
      <c r="AW199" s="44">
        <f t="shared" si="428"/>
        <v>0</v>
      </c>
      <c r="AX199" s="44">
        <f t="shared" si="428"/>
        <v>0</v>
      </c>
      <c r="AY199" s="44">
        <f t="shared" si="428"/>
        <v>0</v>
      </c>
      <c r="AZ199" s="44">
        <f t="shared" si="428"/>
        <v>0</v>
      </c>
      <c r="BA199" s="44">
        <f t="shared" si="428"/>
        <v>0</v>
      </c>
      <c r="BB199" s="44">
        <f t="shared" si="428"/>
        <v>0</v>
      </c>
      <c r="BC199" s="44">
        <f t="shared" si="428"/>
        <v>0</v>
      </c>
      <c r="BD199" s="44">
        <f t="shared" si="428"/>
        <v>0</v>
      </c>
      <c r="BE199" s="44">
        <f t="shared" si="428"/>
        <v>0</v>
      </c>
      <c r="BF199" s="44">
        <f t="shared" si="428"/>
        <v>0</v>
      </c>
      <c r="BG199" s="44">
        <f t="shared" si="428"/>
        <v>0</v>
      </c>
      <c r="BH199" s="44">
        <f t="shared" si="428"/>
        <v>0</v>
      </c>
      <c r="BI199" s="44">
        <f t="shared" si="428"/>
        <v>0</v>
      </c>
      <c r="BJ199" s="44">
        <f t="shared" si="428"/>
        <v>0</v>
      </c>
      <c r="BK199" s="44">
        <f t="shared" si="428"/>
        <v>0</v>
      </c>
      <c r="BL199" s="44">
        <f t="shared" si="428"/>
        <v>0</v>
      </c>
      <c r="BM199" s="44">
        <f t="shared" si="428"/>
        <v>0</v>
      </c>
      <c r="BN199" s="44">
        <f t="shared" si="428"/>
        <v>0</v>
      </c>
      <c r="BO199" s="44">
        <f t="shared" si="428"/>
        <v>0</v>
      </c>
      <c r="BP199" s="44">
        <f t="shared" si="428"/>
        <v>0</v>
      </c>
      <c r="BQ199" s="44">
        <f t="shared" si="428"/>
        <v>0</v>
      </c>
      <c r="BR199" s="44">
        <f t="shared" si="428"/>
        <v>0</v>
      </c>
      <c r="BS199" s="44">
        <f t="shared" si="428"/>
        <v>0</v>
      </c>
      <c r="BT199" s="44">
        <f t="shared" ref="BT199:CY199" si="429">BT63</f>
        <v>0</v>
      </c>
      <c r="BU199" s="44">
        <f t="shared" si="429"/>
        <v>0</v>
      </c>
      <c r="BV199" s="44">
        <f t="shared" si="429"/>
        <v>0</v>
      </c>
      <c r="BW199" s="44">
        <f t="shared" si="429"/>
        <v>0</v>
      </c>
      <c r="BX199" s="44">
        <f t="shared" si="429"/>
        <v>0</v>
      </c>
      <c r="BY199" s="44">
        <f t="shared" si="429"/>
        <v>0</v>
      </c>
      <c r="BZ199" s="44">
        <f t="shared" si="429"/>
        <v>0</v>
      </c>
      <c r="CA199" s="44">
        <f t="shared" si="429"/>
        <v>0</v>
      </c>
      <c r="CB199" s="44">
        <f t="shared" si="429"/>
        <v>0</v>
      </c>
      <c r="CC199" s="44">
        <f t="shared" si="429"/>
        <v>0</v>
      </c>
      <c r="CD199" s="44">
        <f t="shared" si="429"/>
        <v>0</v>
      </c>
      <c r="CE199" s="44">
        <f t="shared" si="429"/>
        <v>0</v>
      </c>
      <c r="CF199" s="44">
        <f t="shared" si="429"/>
        <v>0</v>
      </c>
      <c r="CG199" s="44">
        <f t="shared" si="429"/>
        <v>0</v>
      </c>
      <c r="CH199" s="44">
        <f t="shared" si="429"/>
        <v>0</v>
      </c>
      <c r="CI199" s="44">
        <f t="shared" si="429"/>
        <v>0</v>
      </c>
      <c r="CJ199" s="44">
        <f t="shared" si="429"/>
        <v>0</v>
      </c>
      <c r="CK199" s="44">
        <f t="shared" si="429"/>
        <v>0</v>
      </c>
      <c r="CL199" s="44">
        <f t="shared" si="429"/>
        <v>0</v>
      </c>
      <c r="CM199" s="44">
        <f t="shared" si="429"/>
        <v>0</v>
      </c>
      <c r="CN199" s="44">
        <f t="shared" si="429"/>
        <v>0</v>
      </c>
      <c r="CO199" s="44">
        <f t="shared" si="429"/>
        <v>0</v>
      </c>
      <c r="CP199" s="44">
        <f t="shared" si="429"/>
        <v>0</v>
      </c>
      <c r="CQ199" s="44">
        <f t="shared" si="429"/>
        <v>0</v>
      </c>
      <c r="CR199" s="44">
        <f t="shared" si="429"/>
        <v>0</v>
      </c>
      <c r="CS199" s="44">
        <f t="shared" si="429"/>
        <v>0</v>
      </c>
      <c r="CT199" s="44">
        <f t="shared" si="429"/>
        <v>0</v>
      </c>
      <c r="CU199" s="44">
        <f t="shared" si="429"/>
        <v>0</v>
      </c>
      <c r="CV199" s="44">
        <f t="shared" si="429"/>
        <v>0</v>
      </c>
      <c r="CW199" s="44">
        <f t="shared" si="429"/>
        <v>0</v>
      </c>
      <c r="CX199" s="44">
        <f t="shared" si="429"/>
        <v>0</v>
      </c>
      <c r="CY199" s="44">
        <f t="shared" si="429"/>
        <v>0</v>
      </c>
      <c r="CZ199" s="44">
        <f t="shared" ref="CZ199:EE199" si="430">CZ63</f>
        <v>0</v>
      </c>
      <c r="DA199" s="44">
        <f t="shared" si="430"/>
        <v>0</v>
      </c>
      <c r="DB199" s="44">
        <f t="shared" si="430"/>
        <v>0</v>
      </c>
      <c r="DC199" s="44">
        <f t="shared" si="430"/>
        <v>0</v>
      </c>
      <c r="DD199" s="44">
        <f t="shared" si="430"/>
        <v>0</v>
      </c>
      <c r="DE199" s="44">
        <f t="shared" si="430"/>
        <v>0</v>
      </c>
      <c r="DF199" s="44">
        <f t="shared" si="430"/>
        <v>0</v>
      </c>
      <c r="DG199" s="44">
        <f t="shared" si="430"/>
        <v>0</v>
      </c>
      <c r="DH199" s="44">
        <f t="shared" si="430"/>
        <v>0</v>
      </c>
      <c r="DI199" s="44">
        <f t="shared" si="430"/>
        <v>0</v>
      </c>
      <c r="DJ199" s="44">
        <f t="shared" si="430"/>
        <v>0</v>
      </c>
      <c r="DK199" s="44">
        <f t="shared" si="430"/>
        <v>0</v>
      </c>
      <c r="DL199" s="44">
        <f t="shared" si="430"/>
        <v>0</v>
      </c>
      <c r="DM199" s="44">
        <f t="shared" si="430"/>
        <v>0</v>
      </c>
      <c r="DN199" s="44">
        <f t="shared" si="430"/>
        <v>0</v>
      </c>
      <c r="DO199" s="44">
        <f t="shared" si="430"/>
        <v>0</v>
      </c>
      <c r="DP199" s="44">
        <f t="shared" si="430"/>
        <v>0</v>
      </c>
      <c r="DQ199" s="44">
        <f t="shared" si="430"/>
        <v>0</v>
      </c>
      <c r="DR199" s="44">
        <f t="shared" si="430"/>
        <v>0</v>
      </c>
      <c r="DS199" s="44">
        <f t="shared" si="430"/>
        <v>0</v>
      </c>
      <c r="DT199" s="44">
        <f t="shared" si="430"/>
        <v>0</v>
      </c>
      <c r="DU199" s="44">
        <f t="shared" si="430"/>
        <v>0</v>
      </c>
      <c r="DV199" s="44">
        <f t="shared" si="430"/>
        <v>0</v>
      </c>
      <c r="DW199" s="44">
        <f t="shared" si="430"/>
        <v>0</v>
      </c>
      <c r="DX199" s="44">
        <f t="shared" si="430"/>
        <v>0</v>
      </c>
      <c r="DY199" s="44">
        <f t="shared" si="430"/>
        <v>0</v>
      </c>
      <c r="DZ199" s="44">
        <f t="shared" si="430"/>
        <v>0</v>
      </c>
      <c r="EA199" s="44">
        <f t="shared" si="430"/>
        <v>0</v>
      </c>
      <c r="EB199" s="44">
        <f t="shared" si="430"/>
        <v>0</v>
      </c>
      <c r="EC199" s="44">
        <f t="shared" si="430"/>
        <v>0</v>
      </c>
      <c r="ED199" s="44">
        <f t="shared" si="430"/>
        <v>0</v>
      </c>
      <c r="EE199" s="44">
        <f t="shared" si="430"/>
        <v>0</v>
      </c>
      <c r="EF199" s="44">
        <f t="shared" ref="EF199:EN199" si="431">EF63</f>
        <v>0</v>
      </c>
      <c r="EG199" s="44">
        <f t="shared" si="431"/>
        <v>0</v>
      </c>
      <c r="EH199" s="44">
        <f t="shared" si="431"/>
        <v>0</v>
      </c>
      <c r="EI199" s="44">
        <f t="shared" si="431"/>
        <v>0</v>
      </c>
      <c r="EJ199" s="44">
        <f t="shared" si="431"/>
        <v>0</v>
      </c>
      <c r="EK199" s="44">
        <f t="shared" si="431"/>
        <v>0</v>
      </c>
      <c r="EL199" s="44">
        <f t="shared" si="431"/>
        <v>0</v>
      </c>
      <c r="EM199" s="44">
        <f t="shared" si="431"/>
        <v>0</v>
      </c>
      <c r="EN199" s="44">
        <f t="shared" si="431"/>
        <v>0</v>
      </c>
    </row>
    <row r="200" spans="2:144" ht="14.25" customHeight="1">
      <c r="C200" s="151" t="str">
        <f t="shared" si="411"/>
        <v>МФЦ, в том числе хостел Jo&amp;JOE</v>
      </c>
      <c r="D200" s="45"/>
      <c r="E200" s="44"/>
      <c r="F200" s="44"/>
      <c r="G200" s="45"/>
      <c r="H200" s="44">
        <f t="shared" ref="H200:AM200" si="432">H74</f>
        <v>0</v>
      </c>
      <c r="I200" s="44">
        <f t="shared" si="432"/>
        <v>0</v>
      </c>
      <c r="J200" s="44">
        <f t="shared" si="432"/>
        <v>0</v>
      </c>
      <c r="K200" s="44">
        <f t="shared" si="432"/>
        <v>0</v>
      </c>
      <c r="L200" s="44">
        <f t="shared" si="432"/>
        <v>0</v>
      </c>
      <c r="M200" s="44">
        <f t="shared" si="432"/>
        <v>0</v>
      </c>
      <c r="N200" s="44">
        <f t="shared" si="432"/>
        <v>0</v>
      </c>
      <c r="O200" s="44">
        <f t="shared" si="432"/>
        <v>0</v>
      </c>
      <c r="P200" s="44">
        <f t="shared" si="432"/>
        <v>0</v>
      </c>
      <c r="Q200" s="44">
        <f t="shared" si="432"/>
        <v>0</v>
      </c>
      <c r="R200" s="44">
        <f t="shared" si="432"/>
        <v>0</v>
      </c>
      <c r="S200" s="44">
        <f t="shared" si="432"/>
        <v>0</v>
      </c>
      <c r="T200" s="44">
        <f t="shared" si="432"/>
        <v>0</v>
      </c>
      <c r="U200" s="44">
        <f t="shared" si="432"/>
        <v>0</v>
      </c>
      <c r="V200" s="44">
        <f t="shared" si="432"/>
        <v>7628509.8507575877</v>
      </c>
      <c r="W200" s="44">
        <f t="shared" si="432"/>
        <v>7628509.8507575877</v>
      </c>
      <c r="X200" s="44">
        <f t="shared" si="432"/>
        <v>7628509.8507575877</v>
      </c>
      <c r="Y200" s="44">
        <f t="shared" si="432"/>
        <v>7628509.8507575877</v>
      </c>
      <c r="Z200" s="44">
        <f t="shared" si="432"/>
        <v>7628509.8507575877</v>
      </c>
      <c r="AA200" s="44">
        <f t="shared" si="432"/>
        <v>7628509.8507575877</v>
      </c>
      <c r="AB200" s="44">
        <f t="shared" si="432"/>
        <v>7628509.8507575877</v>
      </c>
      <c r="AC200" s="44">
        <f t="shared" si="432"/>
        <v>7628509.8507575877</v>
      </c>
      <c r="AD200" s="44">
        <f t="shared" si="432"/>
        <v>7628509.8507575877</v>
      </c>
      <c r="AE200" s="44">
        <f t="shared" si="432"/>
        <v>7628509.8507575877</v>
      </c>
      <c r="AF200" s="44">
        <f t="shared" si="432"/>
        <v>7628509.8507575877</v>
      </c>
      <c r="AG200" s="44">
        <f t="shared" si="432"/>
        <v>7628509.8507575877</v>
      </c>
      <c r="AH200" s="44">
        <f t="shared" si="432"/>
        <v>7628509.8507575877</v>
      </c>
      <c r="AI200" s="44">
        <f t="shared" si="432"/>
        <v>7628509.8507575877</v>
      </c>
      <c r="AJ200" s="44">
        <f t="shared" si="432"/>
        <v>7628509.8507575877</v>
      </c>
      <c r="AK200" s="44">
        <f t="shared" si="432"/>
        <v>7628509.8507575877</v>
      </c>
      <c r="AL200" s="44">
        <f t="shared" si="432"/>
        <v>7628509.8507575877</v>
      </c>
      <c r="AM200" s="44">
        <f t="shared" si="432"/>
        <v>7628509.8507575877</v>
      </c>
      <c r="AN200" s="44">
        <f t="shared" ref="AN200:BS200" si="433">AN74</f>
        <v>7628509.8507575877</v>
      </c>
      <c r="AO200" s="44">
        <f t="shared" si="433"/>
        <v>7628509.8507575877</v>
      </c>
      <c r="AP200" s="44">
        <f t="shared" si="433"/>
        <v>7628509.8507575877</v>
      </c>
      <c r="AQ200" s="44">
        <f t="shared" si="433"/>
        <v>7628509.8507575877</v>
      </c>
      <c r="AR200" s="44">
        <f t="shared" si="433"/>
        <v>7628509.8507575877</v>
      </c>
      <c r="AS200" s="44">
        <f t="shared" si="433"/>
        <v>7628509.8507575877</v>
      </c>
      <c r="AT200" s="44">
        <f t="shared" si="433"/>
        <v>7628509.8507575877</v>
      </c>
      <c r="AU200" s="44">
        <f t="shared" si="433"/>
        <v>7628509.8507575877</v>
      </c>
      <c r="AV200" s="44">
        <f t="shared" si="433"/>
        <v>7628509.8507575877</v>
      </c>
      <c r="AW200" s="44">
        <f t="shared" si="433"/>
        <v>7628509.8507575877</v>
      </c>
      <c r="AX200" s="44">
        <f t="shared" si="433"/>
        <v>7628509.8507575877</v>
      </c>
      <c r="AY200" s="44">
        <f t="shared" si="433"/>
        <v>7628509.8507575877</v>
      </c>
      <c r="AZ200" s="44">
        <f t="shared" si="433"/>
        <v>7628509.8507575877</v>
      </c>
      <c r="BA200" s="44">
        <f t="shared" si="433"/>
        <v>7628509.8507575877</v>
      </c>
      <c r="BB200" s="44">
        <f t="shared" si="433"/>
        <v>7628509.8507575877</v>
      </c>
      <c r="BC200" s="44">
        <f t="shared" si="433"/>
        <v>7628509.8507575877</v>
      </c>
      <c r="BD200" s="44">
        <f t="shared" si="433"/>
        <v>7628509.8507575877</v>
      </c>
      <c r="BE200" s="44">
        <f t="shared" si="433"/>
        <v>7628509.8507575877</v>
      </c>
      <c r="BF200" s="44">
        <f t="shared" si="433"/>
        <v>7628509.8507575877</v>
      </c>
      <c r="BG200" s="44">
        <f t="shared" si="433"/>
        <v>7628509.8507575877</v>
      </c>
      <c r="BH200" s="44">
        <f t="shared" si="433"/>
        <v>7628509.8507575877</v>
      </c>
      <c r="BI200" s="44">
        <f t="shared" si="433"/>
        <v>7628509.8507575877</v>
      </c>
      <c r="BJ200" s="44">
        <f t="shared" si="433"/>
        <v>7628509.8507575877</v>
      </c>
      <c r="BK200" s="44">
        <f t="shared" si="433"/>
        <v>7628509.8507575877</v>
      </c>
      <c r="BL200" s="44">
        <f t="shared" si="433"/>
        <v>7628509.8507575877</v>
      </c>
      <c r="BM200" s="44">
        <f t="shared" si="433"/>
        <v>7628509.8507575877</v>
      </c>
      <c r="BN200" s="44">
        <f t="shared" si="433"/>
        <v>7628509.8507575877</v>
      </c>
      <c r="BO200" s="44">
        <f t="shared" si="433"/>
        <v>7628509.8507575877</v>
      </c>
      <c r="BP200" s="44">
        <f t="shared" si="433"/>
        <v>7628509.8507575877</v>
      </c>
      <c r="BQ200" s="44">
        <f t="shared" si="433"/>
        <v>7628509.8507575877</v>
      </c>
      <c r="BR200" s="44">
        <f t="shared" si="433"/>
        <v>7628509.8507575877</v>
      </c>
      <c r="BS200" s="44">
        <f t="shared" si="433"/>
        <v>7628509.8507575877</v>
      </c>
      <c r="BT200" s="44">
        <f t="shared" ref="BT200:CY200" si="434">BT74</f>
        <v>7628509.8507575877</v>
      </c>
      <c r="BU200" s="44">
        <f t="shared" si="434"/>
        <v>7628509.8507575877</v>
      </c>
      <c r="BV200" s="44">
        <f t="shared" si="434"/>
        <v>7628509.8507575877</v>
      </c>
      <c r="BW200" s="44">
        <f t="shared" si="434"/>
        <v>7628509.8507575877</v>
      </c>
      <c r="BX200" s="44">
        <f t="shared" si="434"/>
        <v>7628509.8507575877</v>
      </c>
      <c r="BY200" s="44">
        <f t="shared" si="434"/>
        <v>7628509.8507575877</v>
      </c>
      <c r="BZ200" s="44">
        <f t="shared" si="434"/>
        <v>7628509.8507575877</v>
      </c>
      <c r="CA200" s="44">
        <f t="shared" si="434"/>
        <v>7628509.8507575877</v>
      </c>
      <c r="CB200" s="44">
        <f t="shared" si="434"/>
        <v>7628509.8507575877</v>
      </c>
      <c r="CC200" s="44">
        <f t="shared" si="434"/>
        <v>7628509.8507575877</v>
      </c>
      <c r="CD200" s="44">
        <f t="shared" si="434"/>
        <v>7628509.8507575877</v>
      </c>
      <c r="CE200" s="44">
        <f t="shared" si="434"/>
        <v>7628509.8507575877</v>
      </c>
      <c r="CF200" s="44">
        <f t="shared" si="434"/>
        <v>7628509.8507575877</v>
      </c>
      <c r="CG200" s="44">
        <f t="shared" si="434"/>
        <v>7628509.8507575877</v>
      </c>
      <c r="CH200" s="44">
        <f t="shared" si="434"/>
        <v>7628509.8507575877</v>
      </c>
      <c r="CI200" s="44">
        <f t="shared" si="434"/>
        <v>7628509.8507575877</v>
      </c>
      <c r="CJ200" s="44">
        <f t="shared" si="434"/>
        <v>7628509.8507575877</v>
      </c>
      <c r="CK200" s="44">
        <f t="shared" si="434"/>
        <v>7628509.8507575877</v>
      </c>
      <c r="CL200" s="44">
        <f t="shared" si="434"/>
        <v>7628509.8507575877</v>
      </c>
      <c r="CM200" s="44">
        <f t="shared" si="434"/>
        <v>7628509.8507575877</v>
      </c>
      <c r="CN200" s="44">
        <f t="shared" si="434"/>
        <v>7628509.8507575877</v>
      </c>
      <c r="CO200" s="44">
        <f t="shared" si="434"/>
        <v>7628509.8507575877</v>
      </c>
      <c r="CP200" s="44">
        <f t="shared" si="434"/>
        <v>7628509.8507575877</v>
      </c>
      <c r="CQ200" s="44">
        <f t="shared" si="434"/>
        <v>7628509.8507575877</v>
      </c>
      <c r="CR200" s="44">
        <f t="shared" si="434"/>
        <v>7628509.8507575877</v>
      </c>
      <c r="CS200" s="44">
        <f t="shared" si="434"/>
        <v>7628509.8507575877</v>
      </c>
      <c r="CT200" s="44">
        <f t="shared" si="434"/>
        <v>7628509.8507575877</v>
      </c>
      <c r="CU200" s="44">
        <f t="shared" si="434"/>
        <v>7628509.8507575877</v>
      </c>
      <c r="CV200" s="44">
        <f t="shared" si="434"/>
        <v>7628509.8507575877</v>
      </c>
      <c r="CW200" s="44">
        <f t="shared" si="434"/>
        <v>7628509.8507575877</v>
      </c>
      <c r="CX200" s="44">
        <f t="shared" si="434"/>
        <v>7628509.8507575877</v>
      </c>
      <c r="CY200" s="44">
        <f t="shared" si="434"/>
        <v>7628509.8507575877</v>
      </c>
      <c r="CZ200" s="44">
        <f t="shared" ref="CZ200:EE200" si="435">CZ74</f>
        <v>7628509.8507575877</v>
      </c>
      <c r="DA200" s="44">
        <f t="shared" si="435"/>
        <v>7628509.8507575877</v>
      </c>
      <c r="DB200" s="44">
        <f t="shared" si="435"/>
        <v>7628509.8507575877</v>
      </c>
      <c r="DC200" s="44">
        <f t="shared" si="435"/>
        <v>7628509.8507575877</v>
      </c>
      <c r="DD200" s="44">
        <f t="shared" si="435"/>
        <v>7628509.8507575877</v>
      </c>
      <c r="DE200" s="44">
        <f t="shared" si="435"/>
        <v>7628509.8507575877</v>
      </c>
      <c r="DF200" s="44">
        <f t="shared" si="435"/>
        <v>7628509.8507575877</v>
      </c>
      <c r="DG200" s="44">
        <f t="shared" si="435"/>
        <v>7628509.8507575877</v>
      </c>
      <c r="DH200" s="44">
        <f t="shared" si="435"/>
        <v>7628509.8507575877</v>
      </c>
      <c r="DI200" s="44">
        <f t="shared" si="435"/>
        <v>7628509.8507575877</v>
      </c>
      <c r="DJ200" s="44">
        <f t="shared" si="435"/>
        <v>7628509.8507575877</v>
      </c>
      <c r="DK200" s="44">
        <f t="shared" si="435"/>
        <v>7628509.8507575877</v>
      </c>
      <c r="DL200" s="44">
        <f t="shared" si="435"/>
        <v>7628509.8507575877</v>
      </c>
      <c r="DM200" s="44">
        <f t="shared" si="435"/>
        <v>7628509.8507575877</v>
      </c>
      <c r="DN200" s="44">
        <f t="shared" si="435"/>
        <v>7628509.8507575877</v>
      </c>
      <c r="DO200" s="44">
        <f t="shared" si="435"/>
        <v>7628509.8507575877</v>
      </c>
      <c r="DP200" s="44">
        <f t="shared" si="435"/>
        <v>7628509.8507575877</v>
      </c>
      <c r="DQ200" s="44">
        <f t="shared" si="435"/>
        <v>7628509.8507575877</v>
      </c>
      <c r="DR200" s="44">
        <f t="shared" si="435"/>
        <v>7628509.8507575877</v>
      </c>
      <c r="DS200" s="44">
        <f t="shared" si="435"/>
        <v>7628509.8507575877</v>
      </c>
      <c r="DT200" s="44">
        <f t="shared" si="435"/>
        <v>7628509.8507575877</v>
      </c>
      <c r="DU200" s="44">
        <f t="shared" si="435"/>
        <v>7628509.8507575877</v>
      </c>
      <c r="DV200" s="44">
        <f t="shared" si="435"/>
        <v>7628509.8507575877</v>
      </c>
      <c r="DW200" s="44">
        <f t="shared" si="435"/>
        <v>7628509.8507575877</v>
      </c>
      <c r="DX200" s="44">
        <f t="shared" si="435"/>
        <v>7628509.8507575877</v>
      </c>
      <c r="DY200" s="44">
        <f t="shared" si="435"/>
        <v>7628509.8507575877</v>
      </c>
      <c r="DZ200" s="44">
        <f t="shared" si="435"/>
        <v>7628509.8507575877</v>
      </c>
      <c r="EA200" s="44">
        <f t="shared" si="435"/>
        <v>7628509.8507575877</v>
      </c>
      <c r="EB200" s="44">
        <f t="shared" si="435"/>
        <v>7628509.8507575877</v>
      </c>
      <c r="EC200" s="44">
        <f t="shared" si="435"/>
        <v>7628509.8507575877</v>
      </c>
      <c r="ED200" s="44">
        <f t="shared" si="435"/>
        <v>7628509.8507575877</v>
      </c>
      <c r="EE200" s="44">
        <f t="shared" si="435"/>
        <v>7628509.8507575877</v>
      </c>
      <c r="EF200" s="44">
        <f t="shared" ref="EF200:EN200" si="436">EF74</f>
        <v>7628509.8507575877</v>
      </c>
      <c r="EG200" s="44">
        <f t="shared" si="436"/>
        <v>7628509.8507575877</v>
      </c>
      <c r="EH200" s="44">
        <f t="shared" si="436"/>
        <v>7628509.8507575877</v>
      </c>
      <c r="EI200" s="44">
        <f t="shared" si="436"/>
        <v>7628509.8507575877</v>
      </c>
      <c r="EJ200" s="44">
        <f t="shared" si="436"/>
        <v>7628509.8507575877</v>
      </c>
      <c r="EK200" s="44">
        <f t="shared" si="436"/>
        <v>7628509.8507575877</v>
      </c>
      <c r="EL200" s="44">
        <f t="shared" si="436"/>
        <v>0</v>
      </c>
      <c r="EM200" s="44">
        <f t="shared" si="436"/>
        <v>0</v>
      </c>
      <c r="EN200" s="44">
        <f t="shared" si="436"/>
        <v>0</v>
      </c>
    </row>
    <row r="201" spans="2:144">
      <c r="C201" s="151" t="str">
        <f t="shared" si="411"/>
        <v>Шале</v>
      </c>
      <c r="D201" s="45"/>
      <c r="E201" s="44"/>
      <c r="F201" s="44"/>
      <c r="G201" s="45"/>
      <c r="H201" s="44">
        <f t="shared" ref="H201:AM201" si="437">H85</f>
        <v>0</v>
      </c>
      <c r="I201" s="44">
        <f t="shared" si="437"/>
        <v>0</v>
      </c>
      <c r="J201" s="44">
        <f t="shared" si="437"/>
        <v>0</v>
      </c>
      <c r="K201" s="44">
        <f t="shared" si="437"/>
        <v>0</v>
      </c>
      <c r="L201" s="44">
        <f t="shared" si="437"/>
        <v>0</v>
      </c>
      <c r="M201" s="44">
        <f t="shared" si="437"/>
        <v>0</v>
      </c>
      <c r="N201" s="44">
        <f t="shared" si="437"/>
        <v>0</v>
      </c>
      <c r="O201" s="44">
        <f t="shared" si="437"/>
        <v>0</v>
      </c>
      <c r="P201" s="44">
        <f t="shared" si="437"/>
        <v>0</v>
      </c>
      <c r="Q201" s="44">
        <f t="shared" si="437"/>
        <v>0</v>
      </c>
      <c r="R201" s="44">
        <f t="shared" si="437"/>
        <v>0</v>
      </c>
      <c r="S201" s="44">
        <f t="shared" si="437"/>
        <v>0</v>
      </c>
      <c r="T201" s="44">
        <f t="shared" si="437"/>
        <v>0</v>
      </c>
      <c r="U201" s="44">
        <f t="shared" si="437"/>
        <v>0</v>
      </c>
      <c r="V201" s="44">
        <f t="shared" si="437"/>
        <v>0</v>
      </c>
      <c r="W201" s="44">
        <f t="shared" si="437"/>
        <v>0</v>
      </c>
      <c r="X201" s="44">
        <f t="shared" si="437"/>
        <v>0</v>
      </c>
      <c r="Y201" s="44">
        <f t="shared" si="437"/>
        <v>0</v>
      </c>
      <c r="Z201" s="44">
        <f t="shared" si="437"/>
        <v>1829349.8744249402</v>
      </c>
      <c r="AA201" s="44">
        <f t="shared" si="437"/>
        <v>1829349.8744249402</v>
      </c>
      <c r="AB201" s="44">
        <f t="shared" si="437"/>
        <v>1829349.8744249402</v>
      </c>
      <c r="AC201" s="44">
        <f t="shared" si="437"/>
        <v>1829349.8744249402</v>
      </c>
      <c r="AD201" s="44">
        <f t="shared" si="437"/>
        <v>1829349.8744249402</v>
      </c>
      <c r="AE201" s="44">
        <f t="shared" si="437"/>
        <v>1829349.8744249402</v>
      </c>
      <c r="AF201" s="44">
        <f t="shared" si="437"/>
        <v>1829349.8744249402</v>
      </c>
      <c r="AG201" s="44">
        <f t="shared" si="437"/>
        <v>1829349.8744249402</v>
      </c>
      <c r="AH201" s="44">
        <f t="shared" si="437"/>
        <v>1829349.8744249402</v>
      </c>
      <c r="AI201" s="44">
        <f t="shared" si="437"/>
        <v>1829349.8744249402</v>
      </c>
      <c r="AJ201" s="44">
        <f t="shared" si="437"/>
        <v>1829349.8744249402</v>
      </c>
      <c r="AK201" s="44">
        <f t="shared" si="437"/>
        <v>1829349.8744249402</v>
      </c>
      <c r="AL201" s="44">
        <f t="shared" si="437"/>
        <v>1829349.8744249402</v>
      </c>
      <c r="AM201" s="44">
        <f t="shared" si="437"/>
        <v>1829349.8744249402</v>
      </c>
      <c r="AN201" s="44">
        <f t="shared" ref="AN201:BS201" si="438">AN85</f>
        <v>1829349.8744249402</v>
      </c>
      <c r="AO201" s="44">
        <f t="shared" si="438"/>
        <v>1829349.8744249402</v>
      </c>
      <c r="AP201" s="44">
        <f t="shared" si="438"/>
        <v>1829349.8744249402</v>
      </c>
      <c r="AQ201" s="44">
        <f t="shared" si="438"/>
        <v>1829349.8744249402</v>
      </c>
      <c r="AR201" s="44">
        <f t="shared" si="438"/>
        <v>1829349.8744249402</v>
      </c>
      <c r="AS201" s="44">
        <f t="shared" si="438"/>
        <v>1829349.8744249402</v>
      </c>
      <c r="AT201" s="44">
        <f t="shared" si="438"/>
        <v>1829349.8744249402</v>
      </c>
      <c r="AU201" s="44">
        <f t="shared" si="438"/>
        <v>1829349.8744249402</v>
      </c>
      <c r="AV201" s="44">
        <f t="shared" si="438"/>
        <v>1829349.8744249402</v>
      </c>
      <c r="AW201" s="44">
        <f t="shared" si="438"/>
        <v>1829349.8744249402</v>
      </c>
      <c r="AX201" s="44">
        <f t="shared" si="438"/>
        <v>1829349.8744249402</v>
      </c>
      <c r="AY201" s="44">
        <f t="shared" si="438"/>
        <v>1829349.8744249402</v>
      </c>
      <c r="AZ201" s="44">
        <f t="shared" si="438"/>
        <v>1829349.8744249402</v>
      </c>
      <c r="BA201" s="44">
        <f t="shared" si="438"/>
        <v>1829349.8744249402</v>
      </c>
      <c r="BB201" s="44">
        <f t="shared" si="438"/>
        <v>1829349.8744249402</v>
      </c>
      <c r="BC201" s="44">
        <f t="shared" si="438"/>
        <v>1829349.8744249402</v>
      </c>
      <c r="BD201" s="44">
        <f t="shared" si="438"/>
        <v>1829349.8744249402</v>
      </c>
      <c r="BE201" s="44">
        <f t="shared" si="438"/>
        <v>1829349.8744249402</v>
      </c>
      <c r="BF201" s="44">
        <f t="shared" si="438"/>
        <v>1829349.8744249402</v>
      </c>
      <c r="BG201" s="44">
        <f t="shared" si="438"/>
        <v>1829349.8744249402</v>
      </c>
      <c r="BH201" s="44">
        <f t="shared" si="438"/>
        <v>1829349.8744249402</v>
      </c>
      <c r="BI201" s="44">
        <f t="shared" si="438"/>
        <v>1829349.8744249402</v>
      </c>
      <c r="BJ201" s="44">
        <f t="shared" si="438"/>
        <v>1829349.8744249402</v>
      </c>
      <c r="BK201" s="44">
        <f t="shared" si="438"/>
        <v>1829349.8744249402</v>
      </c>
      <c r="BL201" s="44">
        <f t="shared" si="438"/>
        <v>1829349.8744249402</v>
      </c>
      <c r="BM201" s="44">
        <f t="shared" si="438"/>
        <v>1829349.8744249402</v>
      </c>
      <c r="BN201" s="44">
        <f t="shared" si="438"/>
        <v>1829349.8744249402</v>
      </c>
      <c r="BO201" s="44">
        <f t="shared" si="438"/>
        <v>1829349.8744249402</v>
      </c>
      <c r="BP201" s="44">
        <f t="shared" si="438"/>
        <v>1829349.8744249402</v>
      </c>
      <c r="BQ201" s="44">
        <f t="shared" si="438"/>
        <v>1829349.8744249402</v>
      </c>
      <c r="BR201" s="44">
        <f t="shared" si="438"/>
        <v>1829349.8744249402</v>
      </c>
      <c r="BS201" s="44">
        <f t="shared" si="438"/>
        <v>1829349.8744249402</v>
      </c>
      <c r="BT201" s="44">
        <f t="shared" ref="BT201:CY201" si="439">BT85</f>
        <v>1829349.8744249402</v>
      </c>
      <c r="BU201" s="44">
        <f t="shared" si="439"/>
        <v>1829349.8744249402</v>
      </c>
      <c r="BV201" s="44">
        <f t="shared" si="439"/>
        <v>1829349.8744249402</v>
      </c>
      <c r="BW201" s="44">
        <f t="shared" si="439"/>
        <v>1829349.8744249402</v>
      </c>
      <c r="BX201" s="44">
        <f t="shared" si="439"/>
        <v>1829349.8744249402</v>
      </c>
      <c r="BY201" s="44">
        <f t="shared" si="439"/>
        <v>1829349.8744249402</v>
      </c>
      <c r="BZ201" s="44">
        <f t="shared" si="439"/>
        <v>1829349.8744249402</v>
      </c>
      <c r="CA201" s="44">
        <f t="shared" si="439"/>
        <v>1829349.8744249402</v>
      </c>
      <c r="CB201" s="44">
        <f t="shared" si="439"/>
        <v>1829349.8744249402</v>
      </c>
      <c r="CC201" s="44">
        <f t="shared" si="439"/>
        <v>1829349.8744249402</v>
      </c>
      <c r="CD201" s="44">
        <f t="shared" si="439"/>
        <v>1829349.8744249402</v>
      </c>
      <c r="CE201" s="44">
        <f t="shared" si="439"/>
        <v>1829349.8744249402</v>
      </c>
      <c r="CF201" s="44">
        <f t="shared" si="439"/>
        <v>1829349.8744249402</v>
      </c>
      <c r="CG201" s="44">
        <f t="shared" si="439"/>
        <v>1829349.8744249402</v>
      </c>
      <c r="CH201" s="44">
        <f t="shared" si="439"/>
        <v>1829349.8744249402</v>
      </c>
      <c r="CI201" s="44">
        <f t="shared" si="439"/>
        <v>1829349.8744249402</v>
      </c>
      <c r="CJ201" s="44">
        <f t="shared" si="439"/>
        <v>1829349.8744249402</v>
      </c>
      <c r="CK201" s="44">
        <f t="shared" si="439"/>
        <v>1829349.8744249402</v>
      </c>
      <c r="CL201" s="44">
        <f t="shared" si="439"/>
        <v>1829349.8744249402</v>
      </c>
      <c r="CM201" s="44">
        <f t="shared" si="439"/>
        <v>1829349.8744249402</v>
      </c>
      <c r="CN201" s="44">
        <f t="shared" si="439"/>
        <v>1829349.8744249402</v>
      </c>
      <c r="CO201" s="44">
        <f t="shared" si="439"/>
        <v>1829349.8744249402</v>
      </c>
      <c r="CP201" s="44">
        <f t="shared" si="439"/>
        <v>1829349.8744249402</v>
      </c>
      <c r="CQ201" s="44">
        <f t="shared" si="439"/>
        <v>1829349.8744249402</v>
      </c>
      <c r="CR201" s="44">
        <f t="shared" si="439"/>
        <v>1829349.8744249402</v>
      </c>
      <c r="CS201" s="44">
        <f t="shared" si="439"/>
        <v>1829349.8744249402</v>
      </c>
      <c r="CT201" s="44">
        <f t="shared" si="439"/>
        <v>1829349.8744249402</v>
      </c>
      <c r="CU201" s="44">
        <f t="shared" si="439"/>
        <v>1829349.8744249402</v>
      </c>
      <c r="CV201" s="44">
        <f t="shared" si="439"/>
        <v>1829349.8744249402</v>
      </c>
      <c r="CW201" s="44">
        <f t="shared" si="439"/>
        <v>1829349.8744249402</v>
      </c>
      <c r="CX201" s="44">
        <f t="shared" si="439"/>
        <v>1829349.8744249402</v>
      </c>
      <c r="CY201" s="44">
        <f t="shared" si="439"/>
        <v>1829349.8744249402</v>
      </c>
      <c r="CZ201" s="44">
        <f t="shared" ref="CZ201:EE201" si="440">CZ85</f>
        <v>1829349.8744249402</v>
      </c>
      <c r="DA201" s="44">
        <f t="shared" si="440"/>
        <v>1829349.8744249402</v>
      </c>
      <c r="DB201" s="44">
        <f t="shared" si="440"/>
        <v>1829349.8744249402</v>
      </c>
      <c r="DC201" s="44">
        <f t="shared" si="440"/>
        <v>1829349.8744249402</v>
      </c>
      <c r="DD201" s="44">
        <f t="shared" si="440"/>
        <v>1829349.8744249402</v>
      </c>
      <c r="DE201" s="44">
        <f t="shared" si="440"/>
        <v>1829349.8744249402</v>
      </c>
      <c r="DF201" s="44">
        <f t="shared" si="440"/>
        <v>1829349.8744249402</v>
      </c>
      <c r="DG201" s="44">
        <f t="shared" si="440"/>
        <v>1829349.8744249402</v>
      </c>
      <c r="DH201" s="44">
        <f t="shared" si="440"/>
        <v>1829349.8744249402</v>
      </c>
      <c r="DI201" s="44">
        <f t="shared" si="440"/>
        <v>1829349.8744249402</v>
      </c>
      <c r="DJ201" s="44">
        <f t="shared" si="440"/>
        <v>1829349.8744249402</v>
      </c>
      <c r="DK201" s="44">
        <f t="shared" si="440"/>
        <v>1829349.8744249402</v>
      </c>
      <c r="DL201" s="44">
        <f t="shared" si="440"/>
        <v>1829349.8744249402</v>
      </c>
      <c r="DM201" s="44">
        <f t="shared" si="440"/>
        <v>1829349.8744249402</v>
      </c>
      <c r="DN201" s="44">
        <f t="shared" si="440"/>
        <v>1829349.8744249402</v>
      </c>
      <c r="DO201" s="44">
        <f t="shared" si="440"/>
        <v>1829349.8744249402</v>
      </c>
      <c r="DP201" s="44">
        <f t="shared" si="440"/>
        <v>1829349.8744249402</v>
      </c>
      <c r="DQ201" s="44">
        <f t="shared" si="440"/>
        <v>1829349.8744249402</v>
      </c>
      <c r="DR201" s="44">
        <f t="shared" si="440"/>
        <v>1829349.8744249402</v>
      </c>
      <c r="DS201" s="44">
        <f t="shared" si="440"/>
        <v>1829349.8744249402</v>
      </c>
      <c r="DT201" s="44">
        <f t="shared" si="440"/>
        <v>1829349.8744249402</v>
      </c>
      <c r="DU201" s="44">
        <f t="shared" si="440"/>
        <v>1829349.8744249402</v>
      </c>
      <c r="DV201" s="44">
        <f t="shared" si="440"/>
        <v>1829349.8744249402</v>
      </c>
      <c r="DW201" s="44">
        <f t="shared" si="440"/>
        <v>1829349.8744249402</v>
      </c>
      <c r="DX201" s="44">
        <f t="shared" si="440"/>
        <v>1829349.8744249402</v>
      </c>
      <c r="DY201" s="44">
        <f t="shared" si="440"/>
        <v>1829349.8744249402</v>
      </c>
      <c r="DZ201" s="44">
        <f t="shared" si="440"/>
        <v>1829349.8744249402</v>
      </c>
      <c r="EA201" s="44">
        <f t="shared" si="440"/>
        <v>1829349.8744249402</v>
      </c>
      <c r="EB201" s="44">
        <f t="shared" si="440"/>
        <v>1829349.8744249402</v>
      </c>
      <c r="EC201" s="44">
        <f t="shared" si="440"/>
        <v>1829349.8744249402</v>
      </c>
      <c r="ED201" s="44">
        <f t="shared" si="440"/>
        <v>1829349.8744249402</v>
      </c>
      <c r="EE201" s="44">
        <f t="shared" si="440"/>
        <v>1829349.8744249402</v>
      </c>
      <c r="EF201" s="44">
        <f t="shared" ref="EF201:EN201" si="441">EF85</f>
        <v>1829349.8744249402</v>
      </c>
      <c r="EG201" s="44">
        <f t="shared" si="441"/>
        <v>1829349.8744249402</v>
      </c>
      <c r="EH201" s="44">
        <f t="shared" si="441"/>
        <v>1829349.8744249402</v>
      </c>
      <c r="EI201" s="44">
        <f t="shared" si="441"/>
        <v>1829349.8744249402</v>
      </c>
      <c r="EJ201" s="44">
        <f t="shared" si="441"/>
        <v>1829349.8744249402</v>
      </c>
      <c r="EK201" s="44">
        <f t="shared" si="441"/>
        <v>1829349.8744249402</v>
      </c>
      <c r="EL201" s="44">
        <f t="shared" si="441"/>
        <v>1829349.8744249402</v>
      </c>
      <c r="EM201" s="44">
        <f t="shared" si="441"/>
        <v>1829349.8744249402</v>
      </c>
      <c r="EN201" s="44">
        <f t="shared" si="441"/>
        <v>1829349.8744249402</v>
      </c>
    </row>
    <row r="202" spans="2:144">
      <c r="C202" s="151" t="str">
        <f t="shared" si="411"/>
        <v>Туристские резиденции</v>
      </c>
      <c r="D202" s="45"/>
      <c r="E202" s="44"/>
      <c r="F202" s="44"/>
      <c r="G202" s="45"/>
      <c r="H202" s="44">
        <f t="shared" ref="H202:AM202" si="442">H96</f>
        <v>0</v>
      </c>
      <c r="I202" s="44">
        <f t="shared" si="442"/>
        <v>0</v>
      </c>
      <c r="J202" s="44">
        <f t="shared" si="442"/>
        <v>0</v>
      </c>
      <c r="K202" s="44">
        <f t="shared" si="442"/>
        <v>0</v>
      </c>
      <c r="L202" s="44">
        <f t="shared" si="442"/>
        <v>0</v>
      </c>
      <c r="M202" s="44">
        <f t="shared" si="442"/>
        <v>0</v>
      </c>
      <c r="N202" s="44">
        <f t="shared" si="442"/>
        <v>0</v>
      </c>
      <c r="O202" s="44">
        <f t="shared" si="442"/>
        <v>0</v>
      </c>
      <c r="P202" s="44">
        <f t="shared" si="442"/>
        <v>0</v>
      </c>
      <c r="Q202" s="44">
        <f t="shared" si="442"/>
        <v>0</v>
      </c>
      <c r="R202" s="44">
        <f t="shared" si="442"/>
        <v>0</v>
      </c>
      <c r="S202" s="44">
        <f t="shared" si="442"/>
        <v>0</v>
      </c>
      <c r="T202" s="44">
        <f t="shared" si="442"/>
        <v>0</v>
      </c>
      <c r="U202" s="44">
        <f t="shared" si="442"/>
        <v>0</v>
      </c>
      <c r="V202" s="44">
        <f t="shared" si="442"/>
        <v>0</v>
      </c>
      <c r="W202" s="44">
        <f t="shared" si="442"/>
        <v>0</v>
      </c>
      <c r="X202" s="44">
        <f t="shared" si="442"/>
        <v>0</v>
      </c>
      <c r="Y202" s="44">
        <f t="shared" si="442"/>
        <v>0</v>
      </c>
      <c r="Z202" s="44">
        <f t="shared" si="442"/>
        <v>0</v>
      </c>
      <c r="AA202" s="44">
        <f t="shared" si="442"/>
        <v>0</v>
      </c>
      <c r="AB202" s="44">
        <f t="shared" si="442"/>
        <v>0</v>
      </c>
      <c r="AC202" s="44">
        <f t="shared" si="442"/>
        <v>0</v>
      </c>
      <c r="AD202" s="44">
        <f t="shared" si="442"/>
        <v>0</v>
      </c>
      <c r="AE202" s="44">
        <f t="shared" si="442"/>
        <v>0</v>
      </c>
      <c r="AF202" s="44">
        <f t="shared" si="442"/>
        <v>0</v>
      </c>
      <c r="AG202" s="44">
        <f t="shared" si="442"/>
        <v>0</v>
      </c>
      <c r="AH202" s="44">
        <f t="shared" si="442"/>
        <v>0</v>
      </c>
      <c r="AI202" s="44">
        <f t="shared" si="442"/>
        <v>0</v>
      </c>
      <c r="AJ202" s="44">
        <f t="shared" si="442"/>
        <v>0</v>
      </c>
      <c r="AK202" s="44">
        <f t="shared" si="442"/>
        <v>0</v>
      </c>
      <c r="AL202" s="44">
        <f t="shared" si="442"/>
        <v>0</v>
      </c>
      <c r="AM202" s="44">
        <f t="shared" si="442"/>
        <v>0</v>
      </c>
      <c r="AN202" s="44">
        <f t="shared" ref="AN202:BS202" si="443">AN96</f>
        <v>0</v>
      </c>
      <c r="AO202" s="44">
        <f t="shared" si="443"/>
        <v>0</v>
      </c>
      <c r="AP202" s="44">
        <f t="shared" si="443"/>
        <v>0</v>
      </c>
      <c r="AQ202" s="44">
        <f t="shared" si="443"/>
        <v>0</v>
      </c>
      <c r="AR202" s="44">
        <f t="shared" si="443"/>
        <v>0</v>
      </c>
      <c r="AS202" s="44">
        <f t="shared" si="443"/>
        <v>0</v>
      </c>
      <c r="AT202" s="44">
        <f t="shared" si="443"/>
        <v>0</v>
      </c>
      <c r="AU202" s="44">
        <f t="shared" si="443"/>
        <v>0</v>
      </c>
      <c r="AV202" s="44">
        <f t="shared" si="443"/>
        <v>0</v>
      </c>
      <c r="AW202" s="44">
        <f t="shared" si="443"/>
        <v>0</v>
      </c>
      <c r="AX202" s="44">
        <f t="shared" si="443"/>
        <v>0</v>
      </c>
      <c r="AY202" s="44">
        <f t="shared" si="443"/>
        <v>0</v>
      </c>
      <c r="AZ202" s="44">
        <f t="shared" si="443"/>
        <v>0</v>
      </c>
      <c r="BA202" s="44">
        <f t="shared" si="443"/>
        <v>0</v>
      </c>
      <c r="BB202" s="44">
        <f t="shared" si="443"/>
        <v>0</v>
      </c>
      <c r="BC202" s="44">
        <f t="shared" si="443"/>
        <v>0</v>
      </c>
      <c r="BD202" s="44">
        <f t="shared" si="443"/>
        <v>0</v>
      </c>
      <c r="BE202" s="44">
        <f t="shared" si="443"/>
        <v>0</v>
      </c>
      <c r="BF202" s="44">
        <f t="shared" si="443"/>
        <v>0</v>
      </c>
      <c r="BG202" s="44">
        <f t="shared" si="443"/>
        <v>0</v>
      </c>
      <c r="BH202" s="44">
        <f t="shared" si="443"/>
        <v>0</v>
      </c>
      <c r="BI202" s="44">
        <f t="shared" si="443"/>
        <v>0</v>
      </c>
      <c r="BJ202" s="44">
        <f t="shared" si="443"/>
        <v>0</v>
      </c>
      <c r="BK202" s="44">
        <f t="shared" si="443"/>
        <v>0</v>
      </c>
      <c r="BL202" s="44">
        <f t="shared" si="443"/>
        <v>0</v>
      </c>
      <c r="BM202" s="44">
        <f t="shared" si="443"/>
        <v>0</v>
      </c>
      <c r="BN202" s="44">
        <f t="shared" si="443"/>
        <v>0</v>
      </c>
      <c r="BO202" s="44">
        <f t="shared" si="443"/>
        <v>0</v>
      </c>
      <c r="BP202" s="44">
        <f t="shared" si="443"/>
        <v>0</v>
      </c>
      <c r="BQ202" s="44">
        <f t="shared" si="443"/>
        <v>0</v>
      </c>
      <c r="BR202" s="44">
        <f t="shared" si="443"/>
        <v>0</v>
      </c>
      <c r="BS202" s="44">
        <f t="shared" si="443"/>
        <v>0</v>
      </c>
      <c r="BT202" s="44">
        <f t="shared" ref="BT202:CY202" si="444">BT96</f>
        <v>0</v>
      </c>
      <c r="BU202" s="44">
        <f t="shared" si="444"/>
        <v>0</v>
      </c>
      <c r="BV202" s="44">
        <f t="shared" si="444"/>
        <v>0</v>
      </c>
      <c r="BW202" s="44">
        <f t="shared" si="444"/>
        <v>0</v>
      </c>
      <c r="BX202" s="44">
        <f t="shared" si="444"/>
        <v>0</v>
      </c>
      <c r="BY202" s="44">
        <f t="shared" si="444"/>
        <v>0</v>
      </c>
      <c r="BZ202" s="44">
        <f t="shared" si="444"/>
        <v>0</v>
      </c>
      <c r="CA202" s="44">
        <f t="shared" si="444"/>
        <v>0</v>
      </c>
      <c r="CB202" s="44">
        <f t="shared" si="444"/>
        <v>0</v>
      </c>
      <c r="CC202" s="44">
        <f t="shared" si="444"/>
        <v>0</v>
      </c>
      <c r="CD202" s="44">
        <f t="shared" si="444"/>
        <v>0</v>
      </c>
      <c r="CE202" s="44">
        <f t="shared" si="444"/>
        <v>0</v>
      </c>
      <c r="CF202" s="44">
        <f t="shared" si="444"/>
        <v>0</v>
      </c>
      <c r="CG202" s="44">
        <f t="shared" si="444"/>
        <v>0</v>
      </c>
      <c r="CH202" s="44">
        <f t="shared" si="444"/>
        <v>0</v>
      </c>
      <c r="CI202" s="44">
        <f t="shared" si="444"/>
        <v>0</v>
      </c>
      <c r="CJ202" s="44">
        <f t="shared" si="444"/>
        <v>0</v>
      </c>
      <c r="CK202" s="44">
        <f t="shared" si="444"/>
        <v>0</v>
      </c>
      <c r="CL202" s="44">
        <f t="shared" si="444"/>
        <v>0</v>
      </c>
      <c r="CM202" s="44">
        <f t="shared" si="444"/>
        <v>0</v>
      </c>
      <c r="CN202" s="44">
        <f t="shared" si="444"/>
        <v>0</v>
      </c>
      <c r="CO202" s="44">
        <f t="shared" si="444"/>
        <v>0</v>
      </c>
      <c r="CP202" s="44">
        <f t="shared" si="444"/>
        <v>0</v>
      </c>
      <c r="CQ202" s="44">
        <f t="shared" si="444"/>
        <v>0</v>
      </c>
      <c r="CR202" s="44">
        <f t="shared" si="444"/>
        <v>0</v>
      </c>
      <c r="CS202" s="44">
        <f t="shared" si="444"/>
        <v>0</v>
      </c>
      <c r="CT202" s="44">
        <f t="shared" si="444"/>
        <v>0</v>
      </c>
      <c r="CU202" s="44">
        <f t="shared" si="444"/>
        <v>0</v>
      </c>
      <c r="CV202" s="44">
        <f t="shared" si="444"/>
        <v>0</v>
      </c>
      <c r="CW202" s="44">
        <f t="shared" si="444"/>
        <v>0</v>
      </c>
      <c r="CX202" s="44">
        <f t="shared" si="444"/>
        <v>0</v>
      </c>
      <c r="CY202" s="44">
        <f t="shared" si="444"/>
        <v>0</v>
      </c>
      <c r="CZ202" s="44">
        <f t="shared" ref="CZ202:EE202" si="445">CZ96</f>
        <v>0</v>
      </c>
      <c r="DA202" s="44">
        <f t="shared" si="445"/>
        <v>0</v>
      </c>
      <c r="DB202" s="44">
        <f t="shared" si="445"/>
        <v>0</v>
      </c>
      <c r="DC202" s="44">
        <f t="shared" si="445"/>
        <v>0</v>
      </c>
      <c r="DD202" s="44">
        <f t="shared" si="445"/>
        <v>0</v>
      </c>
      <c r="DE202" s="44">
        <f t="shared" si="445"/>
        <v>0</v>
      </c>
      <c r="DF202" s="44">
        <f t="shared" si="445"/>
        <v>0</v>
      </c>
      <c r="DG202" s="44">
        <f t="shared" si="445"/>
        <v>0</v>
      </c>
      <c r="DH202" s="44">
        <f t="shared" si="445"/>
        <v>0</v>
      </c>
      <c r="DI202" s="44">
        <f t="shared" si="445"/>
        <v>0</v>
      </c>
      <c r="DJ202" s="44">
        <f t="shared" si="445"/>
        <v>0</v>
      </c>
      <c r="DK202" s="44">
        <f t="shared" si="445"/>
        <v>0</v>
      </c>
      <c r="DL202" s="44">
        <f t="shared" si="445"/>
        <v>0</v>
      </c>
      <c r="DM202" s="44">
        <f t="shared" si="445"/>
        <v>0</v>
      </c>
      <c r="DN202" s="44">
        <f t="shared" si="445"/>
        <v>0</v>
      </c>
      <c r="DO202" s="44">
        <f t="shared" si="445"/>
        <v>0</v>
      </c>
      <c r="DP202" s="44">
        <f t="shared" si="445"/>
        <v>0</v>
      </c>
      <c r="DQ202" s="44">
        <f t="shared" si="445"/>
        <v>0</v>
      </c>
      <c r="DR202" s="44">
        <f t="shared" si="445"/>
        <v>0</v>
      </c>
      <c r="DS202" s="44">
        <f t="shared" si="445"/>
        <v>0</v>
      </c>
      <c r="DT202" s="44">
        <f t="shared" si="445"/>
        <v>0</v>
      </c>
      <c r="DU202" s="44">
        <f t="shared" si="445"/>
        <v>0</v>
      </c>
      <c r="DV202" s="44">
        <f t="shared" si="445"/>
        <v>0</v>
      </c>
      <c r="DW202" s="44">
        <f t="shared" si="445"/>
        <v>0</v>
      </c>
      <c r="DX202" s="44">
        <f t="shared" si="445"/>
        <v>0</v>
      </c>
      <c r="DY202" s="44">
        <f t="shared" si="445"/>
        <v>0</v>
      </c>
      <c r="DZ202" s="44">
        <f t="shared" si="445"/>
        <v>0</v>
      </c>
      <c r="EA202" s="44">
        <f t="shared" si="445"/>
        <v>0</v>
      </c>
      <c r="EB202" s="44">
        <f t="shared" si="445"/>
        <v>0</v>
      </c>
      <c r="EC202" s="44">
        <f t="shared" si="445"/>
        <v>0</v>
      </c>
      <c r="ED202" s="44">
        <f t="shared" si="445"/>
        <v>0</v>
      </c>
      <c r="EE202" s="44">
        <f t="shared" si="445"/>
        <v>0</v>
      </c>
      <c r="EF202" s="44">
        <f t="shared" ref="EF202:EN202" si="446">EF96</f>
        <v>0</v>
      </c>
      <c r="EG202" s="44">
        <f t="shared" si="446"/>
        <v>0</v>
      </c>
      <c r="EH202" s="44">
        <f t="shared" si="446"/>
        <v>0</v>
      </c>
      <c r="EI202" s="44">
        <f t="shared" si="446"/>
        <v>0</v>
      </c>
      <c r="EJ202" s="44">
        <f t="shared" si="446"/>
        <v>0</v>
      </c>
      <c r="EK202" s="44">
        <f t="shared" si="446"/>
        <v>0</v>
      </c>
      <c r="EL202" s="44">
        <f t="shared" si="446"/>
        <v>0</v>
      </c>
      <c r="EM202" s="44">
        <f t="shared" si="446"/>
        <v>0</v>
      </c>
      <c r="EN202" s="44">
        <f t="shared" si="446"/>
        <v>0</v>
      </c>
    </row>
    <row r="203" spans="2:144">
      <c r="C203" s="151" t="str">
        <f t="shared" si="411"/>
        <v>Ресторан в зоне катания</v>
      </c>
      <c r="D203" s="45"/>
      <c r="E203" s="44"/>
      <c r="F203" s="44"/>
      <c r="G203" s="45"/>
      <c r="H203" s="44">
        <f t="shared" ref="H203:AM203" si="447">H107</f>
        <v>0</v>
      </c>
      <c r="I203" s="44">
        <f t="shared" si="447"/>
        <v>0</v>
      </c>
      <c r="J203" s="44">
        <f t="shared" si="447"/>
        <v>0</v>
      </c>
      <c r="K203" s="44">
        <f t="shared" si="447"/>
        <v>0</v>
      </c>
      <c r="L203" s="44">
        <f t="shared" si="447"/>
        <v>0</v>
      </c>
      <c r="M203" s="44">
        <f t="shared" si="447"/>
        <v>0</v>
      </c>
      <c r="N203" s="44">
        <f t="shared" si="447"/>
        <v>0</v>
      </c>
      <c r="O203" s="44">
        <f t="shared" si="447"/>
        <v>0</v>
      </c>
      <c r="P203" s="44">
        <f t="shared" si="447"/>
        <v>0</v>
      </c>
      <c r="Q203" s="44">
        <f t="shared" si="447"/>
        <v>0</v>
      </c>
      <c r="R203" s="44">
        <f t="shared" si="447"/>
        <v>0</v>
      </c>
      <c r="S203" s="44">
        <f t="shared" si="447"/>
        <v>0</v>
      </c>
      <c r="T203" s="44">
        <f t="shared" si="447"/>
        <v>0</v>
      </c>
      <c r="U203" s="44">
        <f t="shared" si="447"/>
        <v>0</v>
      </c>
      <c r="V203" s="44">
        <f t="shared" si="447"/>
        <v>1513449.5783172669</v>
      </c>
      <c r="W203" s="44">
        <f t="shared" si="447"/>
        <v>1513449.5783172669</v>
      </c>
      <c r="X203" s="44">
        <f t="shared" si="447"/>
        <v>1513449.5783172669</v>
      </c>
      <c r="Y203" s="44">
        <f t="shared" si="447"/>
        <v>1513449.5783172669</v>
      </c>
      <c r="Z203" s="44">
        <f t="shared" si="447"/>
        <v>1513449.5783172669</v>
      </c>
      <c r="AA203" s="44">
        <f t="shared" si="447"/>
        <v>1513449.5783172669</v>
      </c>
      <c r="AB203" s="44">
        <f t="shared" si="447"/>
        <v>1513449.5783172669</v>
      </c>
      <c r="AC203" s="44">
        <f t="shared" si="447"/>
        <v>1513449.5783172669</v>
      </c>
      <c r="AD203" s="44">
        <f t="shared" si="447"/>
        <v>1513449.5783172669</v>
      </c>
      <c r="AE203" s="44">
        <f t="shared" si="447"/>
        <v>1513449.5783172669</v>
      </c>
      <c r="AF203" s="44">
        <f t="shared" si="447"/>
        <v>1513449.5783172669</v>
      </c>
      <c r="AG203" s="44">
        <f t="shared" si="447"/>
        <v>1513449.5783172669</v>
      </c>
      <c r="AH203" s="44">
        <f t="shared" si="447"/>
        <v>1513449.5783172669</v>
      </c>
      <c r="AI203" s="44">
        <f t="shared" si="447"/>
        <v>1513449.5783172669</v>
      </c>
      <c r="AJ203" s="44">
        <f t="shared" si="447"/>
        <v>1513449.5783172669</v>
      </c>
      <c r="AK203" s="44">
        <f t="shared" si="447"/>
        <v>1513449.5783172669</v>
      </c>
      <c r="AL203" s="44">
        <f t="shared" si="447"/>
        <v>1513449.5783172669</v>
      </c>
      <c r="AM203" s="44">
        <f t="shared" si="447"/>
        <v>1513449.5783172669</v>
      </c>
      <c r="AN203" s="44">
        <f t="shared" ref="AN203:BS203" si="448">AN107</f>
        <v>1513449.5783172669</v>
      </c>
      <c r="AO203" s="44">
        <f t="shared" si="448"/>
        <v>1513449.5783172669</v>
      </c>
      <c r="AP203" s="44">
        <f t="shared" si="448"/>
        <v>1513449.5783172669</v>
      </c>
      <c r="AQ203" s="44">
        <f t="shared" si="448"/>
        <v>1513449.5783172669</v>
      </c>
      <c r="AR203" s="44">
        <f t="shared" si="448"/>
        <v>1513449.5783172669</v>
      </c>
      <c r="AS203" s="44">
        <f t="shared" si="448"/>
        <v>1513449.5783172669</v>
      </c>
      <c r="AT203" s="44">
        <f t="shared" si="448"/>
        <v>1513449.5783172669</v>
      </c>
      <c r="AU203" s="44">
        <f t="shared" si="448"/>
        <v>1513449.5783172669</v>
      </c>
      <c r="AV203" s="44">
        <f t="shared" si="448"/>
        <v>1513449.5783172669</v>
      </c>
      <c r="AW203" s="44">
        <f t="shared" si="448"/>
        <v>1513449.5783172669</v>
      </c>
      <c r="AX203" s="44">
        <f t="shared" si="448"/>
        <v>1513449.5783172669</v>
      </c>
      <c r="AY203" s="44">
        <f t="shared" si="448"/>
        <v>1513449.5783172669</v>
      </c>
      <c r="AZ203" s="44">
        <f t="shared" si="448"/>
        <v>1513449.5783172669</v>
      </c>
      <c r="BA203" s="44">
        <f t="shared" si="448"/>
        <v>1513449.5783172669</v>
      </c>
      <c r="BB203" s="44">
        <f t="shared" si="448"/>
        <v>1513449.5783172669</v>
      </c>
      <c r="BC203" s="44">
        <f t="shared" si="448"/>
        <v>1513449.5783172669</v>
      </c>
      <c r="BD203" s="44">
        <f t="shared" si="448"/>
        <v>1513449.5783172669</v>
      </c>
      <c r="BE203" s="44">
        <f t="shared" si="448"/>
        <v>1513449.5783172669</v>
      </c>
      <c r="BF203" s="44">
        <f t="shared" si="448"/>
        <v>1513449.5783172669</v>
      </c>
      <c r="BG203" s="44">
        <f t="shared" si="448"/>
        <v>1513449.5783172669</v>
      </c>
      <c r="BH203" s="44">
        <f t="shared" si="448"/>
        <v>1513449.5783172669</v>
      </c>
      <c r="BI203" s="44">
        <f t="shared" si="448"/>
        <v>1513449.5783172669</v>
      </c>
      <c r="BJ203" s="44">
        <f t="shared" si="448"/>
        <v>1513449.5783172669</v>
      </c>
      <c r="BK203" s="44">
        <f t="shared" si="448"/>
        <v>1513449.5783172669</v>
      </c>
      <c r="BL203" s="44">
        <f t="shared" si="448"/>
        <v>1513449.5783172669</v>
      </c>
      <c r="BM203" s="44">
        <f t="shared" si="448"/>
        <v>1513449.5783172669</v>
      </c>
      <c r="BN203" s="44">
        <f t="shared" si="448"/>
        <v>1513449.5783172669</v>
      </c>
      <c r="BO203" s="44">
        <f t="shared" si="448"/>
        <v>1513449.5783172669</v>
      </c>
      <c r="BP203" s="44">
        <f t="shared" si="448"/>
        <v>1513449.5783172669</v>
      </c>
      <c r="BQ203" s="44">
        <f t="shared" si="448"/>
        <v>1513449.5783172669</v>
      </c>
      <c r="BR203" s="44">
        <f t="shared" si="448"/>
        <v>1513449.5783172669</v>
      </c>
      <c r="BS203" s="44">
        <f t="shared" si="448"/>
        <v>1513449.5783172669</v>
      </c>
      <c r="BT203" s="44">
        <f t="shared" ref="BT203:CY203" si="449">BT107</f>
        <v>1513449.5783172669</v>
      </c>
      <c r="BU203" s="44">
        <f t="shared" si="449"/>
        <v>1513449.5783172669</v>
      </c>
      <c r="BV203" s="44">
        <f t="shared" si="449"/>
        <v>1513449.5783172669</v>
      </c>
      <c r="BW203" s="44">
        <f t="shared" si="449"/>
        <v>1513449.5783172669</v>
      </c>
      <c r="BX203" s="44">
        <f t="shared" si="449"/>
        <v>1513449.5783172669</v>
      </c>
      <c r="BY203" s="44">
        <f t="shared" si="449"/>
        <v>1513449.5783172669</v>
      </c>
      <c r="BZ203" s="44">
        <f t="shared" si="449"/>
        <v>1513449.5783172669</v>
      </c>
      <c r="CA203" s="44">
        <f t="shared" si="449"/>
        <v>1513449.5783172669</v>
      </c>
      <c r="CB203" s="44">
        <f t="shared" si="449"/>
        <v>1513449.5783172669</v>
      </c>
      <c r="CC203" s="44">
        <f t="shared" si="449"/>
        <v>1513449.5783172669</v>
      </c>
      <c r="CD203" s="44">
        <f t="shared" si="449"/>
        <v>1513449.5783172669</v>
      </c>
      <c r="CE203" s="44">
        <f t="shared" si="449"/>
        <v>1513449.5783172669</v>
      </c>
      <c r="CF203" s="44">
        <f t="shared" si="449"/>
        <v>1513449.5783172669</v>
      </c>
      <c r="CG203" s="44">
        <f t="shared" si="449"/>
        <v>1513449.5783172669</v>
      </c>
      <c r="CH203" s="44">
        <f t="shared" si="449"/>
        <v>1513449.5783172669</v>
      </c>
      <c r="CI203" s="44">
        <f t="shared" si="449"/>
        <v>1513449.5783172669</v>
      </c>
      <c r="CJ203" s="44">
        <f t="shared" si="449"/>
        <v>1513449.5783172669</v>
      </c>
      <c r="CK203" s="44">
        <f t="shared" si="449"/>
        <v>1513449.5783172669</v>
      </c>
      <c r="CL203" s="44">
        <f t="shared" si="449"/>
        <v>1513449.5783172669</v>
      </c>
      <c r="CM203" s="44">
        <f t="shared" si="449"/>
        <v>1513449.5783172669</v>
      </c>
      <c r="CN203" s="44">
        <f t="shared" si="449"/>
        <v>1513449.5783172669</v>
      </c>
      <c r="CO203" s="44">
        <f t="shared" si="449"/>
        <v>1513449.5783172669</v>
      </c>
      <c r="CP203" s="44">
        <f t="shared" si="449"/>
        <v>1513449.5783172669</v>
      </c>
      <c r="CQ203" s="44">
        <f t="shared" si="449"/>
        <v>1513449.5783172669</v>
      </c>
      <c r="CR203" s="44">
        <f t="shared" si="449"/>
        <v>1513449.5783172669</v>
      </c>
      <c r="CS203" s="44">
        <f t="shared" si="449"/>
        <v>1513449.5783172669</v>
      </c>
      <c r="CT203" s="44">
        <f t="shared" si="449"/>
        <v>1513449.5783172669</v>
      </c>
      <c r="CU203" s="44">
        <f t="shared" si="449"/>
        <v>1513449.5783172669</v>
      </c>
      <c r="CV203" s="44">
        <f t="shared" si="449"/>
        <v>1513449.5783172669</v>
      </c>
      <c r="CW203" s="44">
        <f t="shared" si="449"/>
        <v>1513449.5783172669</v>
      </c>
      <c r="CX203" s="44">
        <f t="shared" si="449"/>
        <v>1513449.5783172669</v>
      </c>
      <c r="CY203" s="44">
        <f t="shared" si="449"/>
        <v>1513449.5783172669</v>
      </c>
      <c r="CZ203" s="44">
        <f t="shared" ref="CZ203:EE203" si="450">CZ107</f>
        <v>1513449.5783172669</v>
      </c>
      <c r="DA203" s="44">
        <f t="shared" si="450"/>
        <v>1513449.5783172669</v>
      </c>
      <c r="DB203" s="44">
        <f t="shared" si="450"/>
        <v>1513449.5783172669</v>
      </c>
      <c r="DC203" s="44">
        <f t="shared" si="450"/>
        <v>1513449.5783172669</v>
      </c>
      <c r="DD203" s="44">
        <f t="shared" si="450"/>
        <v>1513449.5783172669</v>
      </c>
      <c r="DE203" s="44">
        <f t="shared" si="450"/>
        <v>1513449.5783172669</v>
      </c>
      <c r="DF203" s="44">
        <f t="shared" si="450"/>
        <v>1513449.5783172669</v>
      </c>
      <c r="DG203" s="44">
        <f t="shared" si="450"/>
        <v>1513449.5783172669</v>
      </c>
      <c r="DH203" s="44">
        <f t="shared" si="450"/>
        <v>1513449.5783172669</v>
      </c>
      <c r="DI203" s="44">
        <f t="shared" si="450"/>
        <v>1513449.5783172669</v>
      </c>
      <c r="DJ203" s="44">
        <f t="shared" si="450"/>
        <v>1513449.5783172669</v>
      </c>
      <c r="DK203" s="44">
        <f t="shared" si="450"/>
        <v>1513449.5783172669</v>
      </c>
      <c r="DL203" s="44">
        <f t="shared" si="450"/>
        <v>1513449.5783172669</v>
      </c>
      <c r="DM203" s="44">
        <f t="shared" si="450"/>
        <v>1513449.5783172669</v>
      </c>
      <c r="DN203" s="44">
        <f t="shared" si="450"/>
        <v>1513449.5783172669</v>
      </c>
      <c r="DO203" s="44">
        <f t="shared" si="450"/>
        <v>1513449.5783172669</v>
      </c>
      <c r="DP203" s="44">
        <f t="shared" si="450"/>
        <v>1513449.5783172669</v>
      </c>
      <c r="DQ203" s="44">
        <f t="shared" si="450"/>
        <v>1513449.5783172669</v>
      </c>
      <c r="DR203" s="44">
        <f t="shared" si="450"/>
        <v>1513449.5783172669</v>
      </c>
      <c r="DS203" s="44">
        <f t="shared" si="450"/>
        <v>1513449.5783172669</v>
      </c>
      <c r="DT203" s="44">
        <f t="shared" si="450"/>
        <v>1513449.5783172669</v>
      </c>
      <c r="DU203" s="44">
        <f t="shared" si="450"/>
        <v>1513449.5783172669</v>
      </c>
      <c r="DV203" s="44">
        <f t="shared" si="450"/>
        <v>1513449.5783172669</v>
      </c>
      <c r="DW203" s="44">
        <f t="shared" si="450"/>
        <v>1513449.5783172669</v>
      </c>
      <c r="DX203" s="44">
        <f t="shared" si="450"/>
        <v>1513449.5783172669</v>
      </c>
      <c r="DY203" s="44">
        <f t="shared" si="450"/>
        <v>1513449.5783172669</v>
      </c>
      <c r="DZ203" s="44">
        <f t="shared" si="450"/>
        <v>1513449.5783172669</v>
      </c>
      <c r="EA203" s="44">
        <f t="shared" si="450"/>
        <v>1513449.5783172669</v>
      </c>
      <c r="EB203" s="44">
        <f t="shared" si="450"/>
        <v>1513449.5783172669</v>
      </c>
      <c r="EC203" s="44">
        <f t="shared" si="450"/>
        <v>1513449.5783172669</v>
      </c>
      <c r="ED203" s="44">
        <f t="shared" si="450"/>
        <v>1513449.5783172669</v>
      </c>
      <c r="EE203" s="44">
        <f t="shared" si="450"/>
        <v>1513449.5783172669</v>
      </c>
      <c r="EF203" s="44">
        <f t="shared" ref="EF203:EN203" si="451">EF107</f>
        <v>1513449.5783172669</v>
      </c>
      <c r="EG203" s="44">
        <f t="shared" si="451"/>
        <v>1513449.5783172669</v>
      </c>
      <c r="EH203" s="44">
        <f t="shared" si="451"/>
        <v>1513449.5783172669</v>
      </c>
      <c r="EI203" s="44">
        <f t="shared" si="451"/>
        <v>1513449.5783172669</v>
      </c>
      <c r="EJ203" s="44">
        <f t="shared" si="451"/>
        <v>1513449.5783172669</v>
      </c>
      <c r="EK203" s="44">
        <f t="shared" si="451"/>
        <v>1513449.5783172669</v>
      </c>
      <c r="EL203" s="44">
        <f t="shared" si="451"/>
        <v>0</v>
      </c>
      <c r="EM203" s="44">
        <f t="shared" si="451"/>
        <v>0</v>
      </c>
      <c r="EN203" s="44">
        <f t="shared" si="451"/>
        <v>0</v>
      </c>
    </row>
    <row r="204" spans="2:144">
      <c r="C204" s="151" t="str">
        <f t="shared" si="411"/>
        <v>SPA-комплекс</v>
      </c>
      <c r="D204" s="45"/>
      <c r="E204" s="44"/>
      <c r="F204" s="44"/>
      <c r="G204" s="45"/>
      <c r="H204" s="44">
        <f t="shared" ref="H204:AM204" si="452">H118</f>
        <v>0</v>
      </c>
      <c r="I204" s="44">
        <f t="shared" si="452"/>
        <v>0</v>
      </c>
      <c r="J204" s="44">
        <f t="shared" si="452"/>
        <v>0</v>
      </c>
      <c r="K204" s="44">
        <f t="shared" si="452"/>
        <v>0</v>
      </c>
      <c r="L204" s="44">
        <f t="shared" si="452"/>
        <v>0</v>
      </c>
      <c r="M204" s="44">
        <f t="shared" si="452"/>
        <v>0</v>
      </c>
      <c r="N204" s="44">
        <f t="shared" si="452"/>
        <v>0</v>
      </c>
      <c r="O204" s="44">
        <f t="shared" si="452"/>
        <v>0</v>
      </c>
      <c r="P204" s="44">
        <f t="shared" si="452"/>
        <v>0</v>
      </c>
      <c r="Q204" s="44">
        <f t="shared" si="452"/>
        <v>0</v>
      </c>
      <c r="R204" s="44">
        <f t="shared" si="452"/>
        <v>0</v>
      </c>
      <c r="S204" s="44">
        <f t="shared" si="452"/>
        <v>0</v>
      </c>
      <c r="T204" s="44">
        <f t="shared" si="452"/>
        <v>0</v>
      </c>
      <c r="U204" s="44">
        <f t="shared" si="452"/>
        <v>0</v>
      </c>
      <c r="V204" s="44">
        <f t="shared" si="452"/>
        <v>2616915.1693530604</v>
      </c>
      <c r="W204" s="44">
        <f t="shared" si="452"/>
        <v>2616915.1693530604</v>
      </c>
      <c r="X204" s="44">
        <f t="shared" si="452"/>
        <v>2616915.1693530604</v>
      </c>
      <c r="Y204" s="44">
        <f t="shared" si="452"/>
        <v>2616915.1693530604</v>
      </c>
      <c r="Z204" s="44">
        <f t="shared" si="452"/>
        <v>2616915.1693530604</v>
      </c>
      <c r="AA204" s="44">
        <f t="shared" si="452"/>
        <v>2616915.1693530604</v>
      </c>
      <c r="AB204" s="44">
        <f t="shared" si="452"/>
        <v>2616915.1693530604</v>
      </c>
      <c r="AC204" s="44">
        <f t="shared" si="452"/>
        <v>2616915.1693530604</v>
      </c>
      <c r="AD204" s="44">
        <f t="shared" si="452"/>
        <v>2616915.1693530604</v>
      </c>
      <c r="AE204" s="44">
        <f t="shared" si="452"/>
        <v>2616915.1693530604</v>
      </c>
      <c r="AF204" s="44">
        <f t="shared" si="452"/>
        <v>2616915.1693530604</v>
      </c>
      <c r="AG204" s="44">
        <f t="shared" si="452"/>
        <v>2616915.1693530604</v>
      </c>
      <c r="AH204" s="44">
        <f t="shared" si="452"/>
        <v>2616915.1693530604</v>
      </c>
      <c r="AI204" s="44">
        <f t="shared" si="452"/>
        <v>2616915.1693530604</v>
      </c>
      <c r="AJ204" s="44">
        <f t="shared" si="452"/>
        <v>2616915.1693530604</v>
      </c>
      <c r="AK204" s="44">
        <f t="shared" si="452"/>
        <v>2616915.1693530604</v>
      </c>
      <c r="AL204" s="44">
        <f t="shared" si="452"/>
        <v>2616915.1693530604</v>
      </c>
      <c r="AM204" s="44">
        <f t="shared" si="452"/>
        <v>2616915.1693530604</v>
      </c>
      <c r="AN204" s="44">
        <f t="shared" ref="AN204:BS204" si="453">AN118</f>
        <v>2616915.1693530604</v>
      </c>
      <c r="AO204" s="44">
        <f t="shared" si="453"/>
        <v>2616915.1693530604</v>
      </c>
      <c r="AP204" s="44">
        <f t="shared" si="453"/>
        <v>2616915.1693530604</v>
      </c>
      <c r="AQ204" s="44">
        <f t="shared" si="453"/>
        <v>2616915.1693530604</v>
      </c>
      <c r="AR204" s="44">
        <f t="shared" si="453"/>
        <v>2616915.1693530604</v>
      </c>
      <c r="AS204" s="44">
        <f t="shared" si="453"/>
        <v>2616915.1693530604</v>
      </c>
      <c r="AT204" s="44">
        <f t="shared" si="453"/>
        <v>2616915.1693530604</v>
      </c>
      <c r="AU204" s="44">
        <f t="shared" si="453"/>
        <v>2616915.1693530604</v>
      </c>
      <c r="AV204" s="44">
        <f t="shared" si="453"/>
        <v>2616915.1693530604</v>
      </c>
      <c r="AW204" s="44">
        <f t="shared" si="453"/>
        <v>2616915.1693530604</v>
      </c>
      <c r="AX204" s="44">
        <f t="shared" si="453"/>
        <v>2616915.1693530604</v>
      </c>
      <c r="AY204" s="44">
        <f t="shared" si="453"/>
        <v>2616915.1693530604</v>
      </c>
      <c r="AZ204" s="44">
        <f t="shared" si="453"/>
        <v>2616915.1693530604</v>
      </c>
      <c r="BA204" s="44">
        <f t="shared" si="453"/>
        <v>2616915.1693530604</v>
      </c>
      <c r="BB204" s="44">
        <f t="shared" si="453"/>
        <v>2616915.1693530604</v>
      </c>
      <c r="BC204" s="44">
        <f t="shared" si="453"/>
        <v>2616915.1693530604</v>
      </c>
      <c r="BD204" s="44">
        <f t="shared" si="453"/>
        <v>2616915.1693530604</v>
      </c>
      <c r="BE204" s="44">
        <f t="shared" si="453"/>
        <v>2616915.1693530604</v>
      </c>
      <c r="BF204" s="44">
        <f t="shared" si="453"/>
        <v>2616915.1693530604</v>
      </c>
      <c r="BG204" s="44">
        <f t="shared" si="453"/>
        <v>2616915.1693530604</v>
      </c>
      <c r="BH204" s="44">
        <f t="shared" si="453"/>
        <v>2616915.1693530604</v>
      </c>
      <c r="BI204" s="44">
        <f t="shared" si="453"/>
        <v>2616915.1693530604</v>
      </c>
      <c r="BJ204" s="44">
        <f t="shared" si="453"/>
        <v>2616915.1693530604</v>
      </c>
      <c r="BK204" s="44">
        <f t="shared" si="453"/>
        <v>2616915.1693530604</v>
      </c>
      <c r="BL204" s="44">
        <f t="shared" si="453"/>
        <v>2616915.1693530604</v>
      </c>
      <c r="BM204" s="44">
        <f t="shared" si="453"/>
        <v>2616915.1693530604</v>
      </c>
      <c r="BN204" s="44">
        <f t="shared" si="453"/>
        <v>2616915.1693530604</v>
      </c>
      <c r="BO204" s="44">
        <f t="shared" si="453"/>
        <v>2616915.1693530604</v>
      </c>
      <c r="BP204" s="44">
        <f t="shared" si="453"/>
        <v>2616915.1693530604</v>
      </c>
      <c r="BQ204" s="44">
        <f t="shared" si="453"/>
        <v>2616915.1693530604</v>
      </c>
      <c r="BR204" s="44">
        <f t="shared" si="453"/>
        <v>2616915.1693530604</v>
      </c>
      <c r="BS204" s="44">
        <f t="shared" si="453"/>
        <v>2616915.1693530604</v>
      </c>
      <c r="BT204" s="44">
        <f t="shared" ref="BT204:CY204" si="454">BT118</f>
        <v>2616915.1693530604</v>
      </c>
      <c r="BU204" s="44">
        <f t="shared" si="454"/>
        <v>2616915.1693530604</v>
      </c>
      <c r="BV204" s="44">
        <f t="shared" si="454"/>
        <v>2616915.1693530604</v>
      </c>
      <c r="BW204" s="44">
        <f t="shared" si="454"/>
        <v>2616915.1693530604</v>
      </c>
      <c r="BX204" s="44">
        <f t="shared" si="454"/>
        <v>2616915.1693530604</v>
      </c>
      <c r="BY204" s="44">
        <f t="shared" si="454"/>
        <v>2616915.1693530604</v>
      </c>
      <c r="BZ204" s="44">
        <f t="shared" si="454"/>
        <v>2616915.1693530604</v>
      </c>
      <c r="CA204" s="44">
        <f t="shared" si="454"/>
        <v>2616915.1693530604</v>
      </c>
      <c r="CB204" s="44">
        <f t="shared" si="454"/>
        <v>2616915.1693530604</v>
      </c>
      <c r="CC204" s="44">
        <f t="shared" si="454"/>
        <v>2616915.1693530604</v>
      </c>
      <c r="CD204" s="44">
        <f t="shared" si="454"/>
        <v>2616915.1693530604</v>
      </c>
      <c r="CE204" s="44">
        <f t="shared" si="454"/>
        <v>2616915.1693530604</v>
      </c>
      <c r="CF204" s="44">
        <f t="shared" si="454"/>
        <v>2616915.1693530604</v>
      </c>
      <c r="CG204" s="44">
        <f t="shared" si="454"/>
        <v>2616915.1693530604</v>
      </c>
      <c r="CH204" s="44">
        <f t="shared" si="454"/>
        <v>2616915.1693530604</v>
      </c>
      <c r="CI204" s="44">
        <f t="shared" si="454"/>
        <v>2616915.1693530604</v>
      </c>
      <c r="CJ204" s="44">
        <f t="shared" si="454"/>
        <v>2616915.1693530604</v>
      </c>
      <c r="CK204" s="44">
        <f t="shared" si="454"/>
        <v>2616915.1693530604</v>
      </c>
      <c r="CL204" s="44">
        <f t="shared" si="454"/>
        <v>2616915.1693530604</v>
      </c>
      <c r="CM204" s="44">
        <f t="shared" si="454"/>
        <v>2616915.1693530604</v>
      </c>
      <c r="CN204" s="44">
        <f t="shared" si="454"/>
        <v>2616915.1693530604</v>
      </c>
      <c r="CO204" s="44">
        <f t="shared" si="454"/>
        <v>2616915.1693530604</v>
      </c>
      <c r="CP204" s="44">
        <f t="shared" si="454"/>
        <v>2616915.1693530604</v>
      </c>
      <c r="CQ204" s="44">
        <f t="shared" si="454"/>
        <v>2616915.1693530604</v>
      </c>
      <c r="CR204" s="44">
        <f t="shared" si="454"/>
        <v>2616915.1693530604</v>
      </c>
      <c r="CS204" s="44">
        <f t="shared" si="454"/>
        <v>2616915.1693530604</v>
      </c>
      <c r="CT204" s="44">
        <f t="shared" si="454"/>
        <v>2616915.1693530604</v>
      </c>
      <c r="CU204" s="44">
        <f t="shared" si="454"/>
        <v>2616915.1693530604</v>
      </c>
      <c r="CV204" s="44">
        <f t="shared" si="454"/>
        <v>2616915.1693530604</v>
      </c>
      <c r="CW204" s="44">
        <f t="shared" si="454"/>
        <v>2616915.1693530604</v>
      </c>
      <c r="CX204" s="44">
        <f t="shared" si="454"/>
        <v>2616915.1693530604</v>
      </c>
      <c r="CY204" s="44">
        <f t="shared" si="454"/>
        <v>2616915.1693530604</v>
      </c>
      <c r="CZ204" s="44">
        <f t="shared" ref="CZ204:EE204" si="455">CZ118</f>
        <v>2616915.1693530604</v>
      </c>
      <c r="DA204" s="44">
        <f t="shared" si="455"/>
        <v>2616915.1693530604</v>
      </c>
      <c r="DB204" s="44">
        <f t="shared" si="455"/>
        <v>2616915.1693530604</v>
      </c>
      <c r="DC204" s="44">
        <f t="shared" si="455"/>
        <v>2616915.1693530604</v>
      </c>
      <c r="DD204" s="44">
        <f t="shared" si="455"/>
        <v>2616915.1693530604</v>
      </c>
      <c r="DE204" s="44">
        <f t="shared" si="455"/>
        <v>2616915.1693530604</v>
      </c>
      <c r="DF204" s="44">
        <f t="shared" si="455"/>
        <v>2616915.1693530604</v>
      </c>
      <c r="DG204" s="44">
        <f t="shared" si="455"/>
        <v>2616915.1693530604</v>
      </c>
      <c r="DH204" s="44">
        <f t="shared" si="455"/>
        <v>2616915.1693530604</v>
      </c>
      <c r="DI204" s="44">
        <f t="shared" si="455"/>
        <v>2616915.1693530604</v>
      </c>
      <c r="DJ204" s="44">
        <f t="shared" si="455"/>
        <v>2616915.1693530604</v>
      </c>
      <c r="DK204" s="44">
        <f t="shared" si="455"/>
        <v>2616915.1693530604</v>
      </c>
      <c r="DL204" s="44">
        <f t="shared" si="455"/>
        <v>2616915.1693530604</v>
      </c>
      <c r="DM204" s="44">
        <f t="shared" si="455"/>
        <v>2616915.1693530604</v>
      </c>
      <c r="DN204" s="44">
        <f t="shared" si="455"/>
        <v>2616915.1693530604</v>
      </c>
      <c r="DO204" s="44">
        <f t="shared" si="455"/>
        <v>2616915.1693530604</v>
      </c>
      <c r="DP204" s="44">
        <f t="shared" si="455"/>
        <v>2616915.1693530604</v>
      </c>
      <c r="DQ204" s="44">
        <f t="shared" si="455"/>
        <v>2616915.1693530604</v>
      </c>
      <c r="DR204" s="44">
        <f t="shared" si="455"/>
        <v>2616915.1693530604</v>
      </c>
      <c r="DS204" s="44">
        <f t="shared" si="455"/>
        <v>2616915.1693530604</v>
      </c>
      <c r="DT204" s="44">
        <f t="shared" si="455"/>
        <v>2616915.1693530604</v>
      </c>
      <c r="DU204" s="44">
        <f t="shared" si="455"/>
        <v>2616915.1693530604</v>
      </c>
      <c r="DV204" s="44">
        <f t="shared" si="455"/>
        <v>2616915.1693530604</v>
      </c>
      <c r="DW204" s="44">
        <f t="shared" si="455"/>
        <v>2616915.1693530604</v>
      </c>
      <c r="DX204" s="44">
        <f t="shared" si="455"/>
        <v>2616915.1693530604</v>
      </c>
      <c r="DY204" s="44">
        <f t="shared" si="455"/>
        <v>2616915.1693530604</v>
      </c>
      <c r="DZ204" s="44">
        <f t="shared" si="455"/>
        <v>2616915.1693530604</v>
      </c>
      <c r="EA204" s="44">
        <f t="shared" si="455"/>
        <v>2616915.1693530604</v>
      </c>
      <c r="EB204" s="44">
        <f t="shared" si="455"/>
        <v>2616915.1693530604</v>
      </c>
      <c r="EC204" s="44">
        <f t="shared" si="455"/>
        <v>2616915.1693530604</v>
      </c>
      <c r="ED204" s="44">
        <f t="shared" si="455"/>
        <v>2616915.1693530604</v>
      </c>
      <c r="EE204" s="44">
        <f t="shared" si="455"/>
        <v>2616915.1693530604</v>
      </c>
      <c r="EF204" s="44">
        <f t="shared" ref="EF204:EN204" si="456">EF118</f>
        <v>2616915.1693530604</v>
      </c>
      <c r="EG204" s="44">
        <f t="shared" si="456"/>
        <v>2616915.1693530604</v>
      </c>
      <c r="EH204" s="44">
        <f t="shared" si="456"/>
        <v>2616915.1693530604</v>
      </c>
      <c r="EI204" s="44">
        <f t="shared" si="456"/>
        <v>2616915.1693530604</v>
      </c>
      <c r="EJ204" s="44">
        <f t="shared" si="456"/>
        <v>2616915.1693530604</v>
      </c>
      <c r="EK204" s="44">
        <f t="shared" si="456"/>
        <v>2616915.1693530604</v>
      </c>
      <c r="EL204" s="44">
        <f t="shared" si="456"/>
        <v>0</v>
      </c>
      <c r="EM204" s="44">
        <f t="shared" si="456"/>
        <v>0</v>
      </c>
      <c r="EN204" s="44">
        <f t="shared" si="456"/>
        <v>0</v>
      </c>
    </row>
    <row r="205" spans="2:144">
      <c r="C205" s="151" t="str">
        <f t="shared" si="411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05" s="45"/>
      <c r="E205" s="44"/>
      <c r="F205" s="44"/>
      <c r="G205" s="45"/>
      <c r="H205" s="44">
        <f t="shared" ref="H205:AM205" si="457">H129</f>
        <v>0</v>
      </c>
      <c r="I205" s="44">
        <f t="shared" si="457"/>
        <v>0</v>
      </c>
      <c r="J205" s="44">
        <f t="shared" si="457"/>
        <v>0</v>
      </c>
      <c r="K205" s="44">
        <f t="shared" si="457"/>
        <v>0</v>
      </c>
      <c r="L205" s="44">
        <f t="shared" si="457"/>
        <v>0</v>
      </c>
      <c r="M205" s="44">
        <f t="shared" si="457"/>
        <v>0</v>
      </c>
      <c r="N205" s="44">
        <f t="shared" si="457"/>
        <v>0</v>
      </c>
      <c r="O205" s="44">
        <f t="shared" si="457"/>
        <v>0</v>
      </c>
      <c r="P205" s="44">
        <f t="shared" si="457"/>
        <v>0</v>
      </c>
      <c r="Q205" s="44">
        <f t="shared" si="457"/>
        <v>0</v>
      </c>
      <c r="R205" s="44">
        <f t="shared" si="457"/>
        <v>0</v>
      </c>
      <c r="S205" s="44">
        <f t="shared" si="457"/>
        <v>0</v>
      </c>
      <c r="T205" s="44">
        <f t="shared" si="457"/>
        <v>0</v>
      </c>
      <c r="U205" s="44">
        <f t="shared" si="457"/>
        <v>0</v>
      </c>
      <c r="V205" s="44">
        <f t="shared" si="457"/>
        <v>160687.77355676689</v>
      </c>
      <c r="W205" s="44">
        <f t="shared" si="457"/>
        <v>160687.77355676689</v>
      </c>
      <c r="X205" s="44">
        <f t="shared" si="457"/>
        <v>160687.77355676689</v>
      </c>
      <c r="Y205" s="44">
        <f t="shared" si="457"/>
        <v>160687.77355676689</v>
      </c>
      <c r="Z205" s="44">
        <f t="shared" si="457"/>
        <v>160687.77355676689</v>
      </c>
      <c r="AA205" s="44">
        <f t="shared" si="457"/>
        <v>160687.77355676689</v>
      </c>
      <c r="AB205" s="44">
        <f t="shared" si="457"/>
        <v>160687.77355676689</v>
      </c>
      <c r="AC205" s="44">
        <f t="shared" si="457"/>
        <v>160687.77355676689</v>
      </c>
      <c r="AD205" s="44">
        <f t="shared" si="457"/>
        <v>160687.77355676689</v>
      </c>
      <c r="AE205" s="44">
        <f t="shared" si="457"/>
        <v>160687.77355676689</v>
      </c>
      <c r="AF205" s="44">
        <f t="shared" si="457"/>
        <v>160687.77355676689</v>
      </c>
      <c r="AG205" s="44">
        <f t="shared" si="457"/>
        <v>160687.77355676689</v>
      </c>
      <c r="AH205" s="44">
        <f t="shared" si="457"/>
        <v>160687.77355676689</v>
      </c>
      <c r="AI205" s="44">
        <f t="shared" si="457"/>
        <v>160687.77355676689</v>
      </c>
      <c r="AJ205" s="44">
        <f t="shared" si="457"/>
        <v>160687.77355676689</v>
      </c>
      <c r="AK205" s="44">
        <f t="shared" si="457"/>
        <v>160687.77355676689</v>
      </c>
      <c r="AL205" s="44">
        <f t="shared" si="457"/>
        <v>160687.77355676689</v>
      </c>
      <c r="AM205" s="44">
        <f t="shared" si="457"/>
        <v>160687.77355676689</v>
      </c>
      <c r="AN205" s="44">
        <f t="shared" ref="AN205:BS205" si="458">AN129</f>
        <v>160687.77355676689</v>
      </c>
      <c r="AO205" s="44">
        <f t="shared" si="458"/>
        <v>160687.77355676689</v>
      </c>
      <c r="AP205" s="44">
        <f t="shared" si="458"/>
        <v>160687.77355676689</v>
      </c>
      <c r="AQ205" s="44">
        <f t="shared" si="458"/>
        <v>160687.77355676689</v>
      </c>
      <c r="AR205" s="44">
        <f t="shared" si="458"/>
        <v>160687.77355676689</v>
      </c>
      <c r="AS205" s="44">
        <f t="shared" si="458"/>
        <v>160687.77355676689</v>
      </c>
      <c r="AT205" s="44">
        <f t="shared" si="458"/>
        <v>160687.77355676689</v>
      </c>
      <c r="AU205" s="44">
        <f t="shared" si="458"/>
        <v>160687.77355676689</v>
      </c>
      <c r="AV205" s="44">
        <f t="shared" si="458"/>
        <v>160687.77355676689</v>
      </c>
      <c r="AW205" s="44">
        <f t="shared" si="458"/>
        <v>160687.77355676689</v>
      </c>
      <c r="AX205" s="44">
        <f t="shared" si="458"/>
        <v>160687.77355676689</v>
      </c>
      <c r="AY205" s="44">
        <f t="shared" si="458"/>
        <v>160687.77355676689</v>
      </c>
      <c r="AZ205" s="44">
        <f t="shared" si="458"/>
        <v>160687.77355676689</v>
      </c>
      <c r="BA205" s="44">
        <f t="shared" si="458"/>
        <v>160687.77355676689</v>
      </c>
      <c r="BB205" s="44">
        <f t="shared" si="458"/>
        <v>160687.77355676689</v>
      </c>
      <c r="BC205" s="44">
        <f t="shared" si="458"/>
        <v>160687.77355676689</v>
      </c>
      <c r="BD205" s="44">
        <f t="shared" si="458"/>
        <v>160687.77355676689</v>
      </c>
      <c r="BE205" s="44">
        <f t="shared" si="458"/>
        <v>160687.77355676689</v>
      </c>
      <c r="BF205" s="44">
        <f t="shared" si="458"/>
        <v>160687.77355676689</v>
      </c>
      <c r="BG205" s="44">
        <f t="shared" si="458"/>
        <v>160687.77355676689</v>
      </c>
      <c r="BH205" s="44">
        <f t="shared" si="458"/>
        <v>160687.77355676689</v>
      </c>
      <c r="BI205" s="44">
        <f t="shared" si="458"/>
        <v>160687.77355676689</v>
      </c>
      <c r="BJ205" s="44">
        <f t="shared" si="458"/>
        <v>160687.77355676689</v>
      </c>
      <c r="BK205" s="44">
        <f t="shared" si="458"/>
        <v>160687.77355676689</v>
      </c>
      <c r="BL205" s="44">
        <f t="shared" si="458"/>
        <v>160687.77355676689</v>
      </c>
      <c r="BM205" s="44">
        <f t="shared" si="458"/>
        <v>160687.77355676689</v>
      </c>
      <c r="BN205" s="44">
        <f t="shared" si="458"/>
        <v>160687.77355676689</v>
      </c>
      <c r="BO205" s="44">
        <f t="shared" si="458"/>
        <v>160687.77355676689</v>
      </c>
      <c r="BP205" s="44">
        <f t="shared" si="458"/>
        <v>160687.77355676689</v>
      </c>
      <c r="BQ205" s="44">
        <f t="shared" si="458"/>
        <v>160687.77355676689</v>
      </c>
      <c r="BR205" s="44">
        <f t="shared" si="458"/>
        <v>160687.77355676689</v>
      </c>
      <c r="BS205" s="44">
        <f t="shared" si="458"/>
        <v>160687.77355676689</v>
      </c>
      <c r="BT205" s="44">
        <f t="shared" ref="BT205:CY205" si="459">BT129</f>
        <v>160687.77355676689</v>
      </c>
      <c r="BU205" s="44">
        <f t="shared" si="459"/>
        <v>160687.77355676689</v>
      </c>
      <c r="BV205" s="44">
        <f t="shared" si="459"/>
        <v>160687.77355676689</v>
      </c>
      <c r="BW205" s="44">
        <f t="shared" si="459"/>
        <v>160687.77355676689</v>
      </c>
      <c r="BX205" s="44">
        <f t="shared" si="459"/>
        <v>160687.77355676689</v>
      </c>
      <c r="BY205" s="44">
        <f t="shared" si="459"/>
        <v>160687.77355676689</v>
      </c>
      <c r="BZ205" s="44">
        <f t="shared" si="459"/>
        <v>160687.77355676689</v>
      </c>
      <c r="CA205" s="44">
        <f t="shared" si="459"/>
        <v>160687.77355676689</v>
      </c>
      <c r="CB205" s="44">
        <f t="shared" si="459"/>
        <v>160687.77355676689</v>
      </c>
      <c r="CC205" s="44">
        <f t="shared" si="459"/>
        <v>160687.77355676689</v>
      </c>
      <c r="CD205" s="44">
        <f t="shared" si="459"/>
        <v>160687.77355676689</v>
      </c>
      <c r="CE205" s="44">
        <f t="shared" si="459"/>
        <v>160687.77355676689</v>
      </c>
      <c r="CF205" s="44">
        <f t="shared" si="459"/>
        <v>160687.77355676689</v>
      </c>
      <c r="CG205" s="44">
        <f t="shared" si="459"/>
        <v>160687.77355676689</v>
      </c>
      <c r="CH205" s="44">
        <f t="shared" si="459"/>
        <v>160687.77355676689</v>
      </c>
      <c r="CI205" s="44">
        <f t="shared" si="459"/>
        <v>160687.77355676689</v>
      </c>
      <c r="CJ205" s="44">
        <f t="shared" si="459"/>
        <v>160687.77355676689</v>
      </c>
      <c r="CK205" s="44">
        <f t="shared" si="459"/>
        <v>160687.77355676689</v>
      </c>
      <c r="CL205" s="44">
        <f t="shared" si="459"/>
        <v>160687.77355676689</v>
      </c>
      <c r="CM205" s="44">
        <f t="shared" si="459"/>
        <v>160687.77355676689</v>
      </c>
      <c r="CN205" s="44">
        <f t="shared" si="459"/>
        <v>160687.77355676689</v>
      </c>
      <c r="CO205" s="44">
        <f t="shared" si="459"/>
        <v>160687.77355676689</v>
      </c>
      <c r="CP205" s="44">
        <f t="shared" si="459"/>
        <v>160687.77355676689</v>
      </c>
      <c r="CQ205" s="44">
        <f t="shared" si="459"/>
        <v>160687.77355676689</v>
      </c>
      <c r="CR205" s="44">
        <f t="shared" si="459"/>
        <v>160687.77355676689</v>
      </c>
      <c r="CS205" s="44">
        <f t="shared" si="459"/>
        <v>160687.77355676689</v>
      </c>
      <c r="CT205" s="44">
        <f t="shared" si="459"/>
        <v>160687.77355676689</v>
      </c>
      <c r="CU205" s="44">
        <f t="shared" si="459"/>
        <v>160687.77355676689</v>
      </c>
      <c r="CV205" s="44">
        <f t="shared" si="459"/>
        <v>160687.77355676689</v>
      </c>
      <c r="CW205" s="44">
        <f t="shared" si="459"/>
        <v>160687.77355676689</v>
      </c>
      <c r="CX205" s="44">
        <f t="shared" si="459"/>
        <v>160687.77355676689</v>
      </c>
      <c r="CY205" s="44">
        <f t="shared" si="459"/>
        <v>160687.77355676689</v>
      </c>
      <c r="CZ205" s="44">
        <f t="shared" ref="CZ205:EE205" si="460">CZ129</f>
        <v>160687.77355676689</v>
      </c>
      <c r="DA205" s="44">
        <f t="shared" si="460"/>
        <v>160687.77355676689</v>
      </c>
      <c r="DB205" s="44">
        <f t="shared" si="460"/>
        <v>160687.77355676689</v>
      </c>
      <c r="DC205" s="44">
        <f t="shared" si="460"/>
        <v>160687.77355676689</v>
      </c>
      <c r="DD205" s="44">
        <f t="shared" si="460"/>
        <v>160687.77355676689</v>
      </c>
      <c r="DE205" s="44">
        <f t="shared" si="460"/>
        <v>160687.77355676689</v>
      </c>
      <c r="DF205" s="44">
        <f t="shared" si="460"/>
        <v>160687.77355676689</v>
      </c>
      <c r="DG205" s="44">
        <f t="shared" si="460"/>
        <v>160687.77355676689</v>
      </c>
      <c r="DH205" s="44">
        <f t="shared" si="460"/>
        <v>160687.77355676689</v>
      </c>
      <c r="DI205" s="44">
        <f t="shared" si="460"/>
        <v>160687.77355676689</v>
      </c>
      <c r="DJ205" s="44">
        <f t="shared" si="460"/>
        <v>160687.77355676689</v>
      </c>
      <c r="DK205" s="44">
        <f t="shared" si="460"/>
        <v>160687.77355676689</v>
      </c>
      <c r="DL205" s="44">
        <f t="shared" si="460"/>
        <v>160687.77355676689</v>
      </c>
      <c r="DM205" s="44">
        <f t="shared" si="460"/>
        <v>160687.77355676689</v>
      </c>
      <c r="DN205" s="44">
        <f t="shared" si="460"/>
        <v>160687.77355676689</v>
      </c>
      <c r="DO205" s="44">
        <f t="shared" si="460"/>
        <v>160687.77355676689</v>
      </c>
      <c r="DP205" s="44">
        <f t="shared" si="460"/>
        <v>160687.77355676689</v>
      </c>
      <c r="DQ205" s="44">
        <f t="shared" si="460"/>
        <v>160687.77355676689</v>
      </c>
      <c r="DR205" s="44">
        <f t="shared" si="460"/>
        <v>160687.77355676689</v>
      </c>
      <c r="DS205" s="44">
        <f t="shared" si="460"/>
        <v>160687.77355676689</v>
      </c>
      <c r="DT205" s="44">
        <f t="shared" si="460"/>
        <v>160687.77355676689</v>
      </c>
      <c r="DU205" s="44">
        <f t="shared" si="460"/>
        <v>160687.77355676689</v>
      </c>
      <c r="DV205" s="44">
        <f t="shared" si="460"/>
        <v>160687.77355676689</v>
      </c>
      <c r="DW205" s="44">
        <f t="shared" si="460"/>
        <v>160687.77355676689</v>
      </c>
      <c r="DX205" s="44">
        <f t="shared" si="460"/>
        <v>160687.77355676689</v>
      </c>
      <c r="DY205" s="44">
        <f t="shared" si="460"/>
        <v>160687.77355676689</v>
      </c>
      <c r="DZ205" s="44">
        <f t="shared" si="460"/>
        <v>160687.77355676689</v>
      </c>
      <c r="EA205" s="44">
        <f t="shared" si="460"/>
        <v>160687.77355676689</v>
      </c>
      <c r="EB205" s="44">
        <f t="shared" si="460"/>
        <v>160687.77355676689</v>
      </c>
      <c r="EC205" s="44">
        <f t="shared" si="460"/>
        <v>160687.77355676689</v>
      </c>
      <c r="ED205" s="44">
        <f t="shared" si="460"/>
        <v>160687.77355676689</v>
      </c>
      <c r="EE205" s="44">
        <f t="shared" si="460"/>
        <v>160687.77355676689</v>
      </c>
      <c r="EF205" s="44">
        <f t="shared" ref="EF205:EN205" si="461">EF129</f>
        <v>160687.77355676689</v>
      </c>
      <c r="EG205" s="44">
        <f t="shared" si="461"/>
        <v>160687.77355676689</v>
      </c>
      <c r="EH205" s="44">
        <f t="shared" si="461"/>
        <v>160687.77355676689</v>
      </c>
      <c r="EI205" s="44">
        <f t="shared" si="461"/>
        <v>160687.77355676689</v>
      </c>
      <c r="EJ205" s="44">
        <f t="shared" si="461"/>
        <v>160687.77355676689</v>
      </c>
      <c r="EK205" s="44">
        <f t="shared" si="461"/>
        <v>160687.77355676689</v>
      </c>
      <c r="EL205" s="44">
        <f t="shared" si="461"/>
        <v>0</v>
      </c>
      <c r="EM205" s="44">
        <f t="shared" si="461"/>
        <v>0</v>
      </c>
      <c r="EN205" s="44">
        <f t="shared" si="461"/>
        <v>0</v>
      </c>
    </row>
    <row r="206" spans="2:144">
      <c r="C206" s="151" t="str">
        <f t="shared" si="411"/>
        <v>Наземный паркинг</v>
      </c>
      <c r="D206" s="45"/>
      <c r="E206" s="44"/>
      <c r="F206" s="44"/>
      <c r="G206" s="45"/>
      <c r="H206" s="44">
        <f t="shared" ref="H206:AM206" si="462">H140</f>
        <v>0</v>
      </c>
      <c r="I206" s="44">
        <f t="shared" si="462"/>
        <v>0</v>
      </c>
      <c r="J206" s="44">
        <f t="shared" si="462"/>
        <v>0</v>
      </c>
      <c r="K206" s="44">
        <f t="shared" si="462"/>
        <v>0</v>
      </c>
      <c r="L206" s="44">
        <f t="shared" si="462"/>
        <v>0</v>
      </c>
      <c r="M206" s="44">
        <f t="shared" si="462"/>
        <v>0</v>
      </c>
      <c r="N206" s="44">
        <f t="shared" si="462"/>
        <v>0</v>
      </c>
      <c r="O206" s="44">
        <f t="shared" si="462"/>
        <v>0</v>
      </c>
      <c r="P206" s="44">
        <f t="shared" si="462"/>
        <v>0</v>
      </c>
      <c r="Q206" s="44">
        <f t="shared" si="462"/>
        <v>0</v>
      </c>
      <c r="R206" s="44">
        <f t="shared" si="462"/>
        <v>0</v>
      </c>
      <c r="S206" s="44">
        <f t="shared" si="462"/>
        <v>0</v>
      </c>
      <c r="T206" s="44">
        <f t="shared" si="462"/>
        <v>0</v>
      </c>
      <c r="U206" s="44">
        <f t="shared" si="462"/>
        <v>0</v>
      </c>
      <c r="V206" s="44">
        <f t="shared" si="462"/>
        <v>117072.52073421584</v>
      </c>
      <c r="W206" s="44">
        <f t="shared" si="462"/>
        <v>117072.52073421584</v>
      </c>
      <c r="X206" s="44">
        <f t="shared" si="462"/>
        <v>117072.52073421584</v>
      </c>
      <c r="Y206" s="44">
        <f t="shared" si="462"/>
        <v>117072.52073421584</v>
      </c>
      <c r="Z206" s="44">
        <f t="shared" si="462"/>
        <v>117072.52073421584</v>
      </c>
      <c r="AA206" s="44">
        <f t="shared" si="462"/>
        <v>117072.52073421584</v>
      </c>
      <c r="AB206" s="44">
        <f t="shared" si="462"/>
        <v>117072.52073421584</v>
      </c>
      <c r="AC206" s="44">
        <f t="shared" si="462"/>
        <v>117072.52073421584</v>
      </c>
      <c r="AD206" s="44">
        <f t="shared" si="462"/>
        <v>117072.52073421584</v>
      </c>
      <c r="AE206" s="44">
        <f t="shared" si="462"/>
        <v>117072.52073421584</v>
      </c>
      <c r="AF206" s="44">
        <f t="shared" si="462"/>
        <v>117072.52073421584</v>
      </c>
      <c r="AG206" s="44">
        <f t="shared" si="462"/>
        <v>117072.52073421584</v>
      </c>
      <c r="AH206" s="44">
        <f t="shared" si="462"/>
        <v>117072.52073421584</v>
      </c>
      <c r="AI206" s="44">
        <f t="shared" si="462"/>
        <v>117072.52073421584</v>
      </c>
      <c r="AJ206" s="44">
        <f t="shared" si="462"/>
        <v>117072.52073421584</v>
      </c>
      <c r="AK206" s="44">
        <f t="shared" si="462"/>
        <v>117072.52073421584</v>
      </c>
      <c r="AL206" s="44">
        <f t="shared" si="462"/>
        <v>117072.52073421584</v>
      </c>
      <c r="AM206" s="44">
        <f t="shared" si="462"/>
        <v>117072.52073421584</v>
      </c>
      <c r="AN206" s="44">
        <f t="shared" ref="AN206:BS206" si="463">AN140</f>
        <v>117072.52073421584</v>
      </c>
      <c r="AO206" s="44">
        <f t="shared" si="463"/>
        <v>117072.52073421584</v>
      </c>
      <c r="AP206" s="44">
        <f t="shared" si="463"/>
        <v>117072.52073421584</v>
      </c>
      <c r="AQ206" s="44">
        <f t="shared" si="463"/>
        <v>117072.52073421584</v>
      </c>
      <c r="AR206" s="44">
        <f t="shared" si="463"/>
        <v>117072.52073421584</v>
      </c>
      <c r="AS206" s="44">
        <f t="shared" si="463"/>
        <v>117072.52073421584</v>
      </c>
      <c r="AT206" s="44">
        <f t="shared" si="463"/>
        <v>117072.52073421584</v>
      </c>
      <c r="AU206" s="44">
        <f t="shared" si="463"/>
        <v>117072.52073421584</v>
      </c>
      <c r="AV206" s="44">
        <f t="shared" si="463"/>
        <v>117072.52073421584</v>
      </c>
      <c r="AW206" s="44">
        <f t="shared" si="463"/>
        <v>117072.52073421584</v>
      </c>
      <c r="AX206" s="44">
        <f t="shared" si="463"/>
        <v>117072.52073421584</v>
      </c>
      <c r="AY206" s="44">
        <f t="shared" si="463"/>
        <v>117072.52073421584</v>
      </c>
      <c r="AZ206" s="44">
        <f t="shared" si="463"/>
        <v>117072.52073421584</v>
      </c>
      <c r="BA206" s="44">
        <f t="shared" si="463"/>
        <v>117072.52073421584</v>
      </c>
      <c r="BB206" s="44">
        <f t="shared" si="463"/>
        <v>117072.52073421584</v>
      </c>
      <c r="BC206" s="44">
        <f t="shared" si="463"/>
        <v>117072.52073421584</v>
      </c>
      <c r="BD206" s="44">
        <f t="shared" si="463"/>
        <v>117072.52073421584</v>
      </c>
      <c r="BE206" s="44">
        <f t="shared" si="463"/>
        <v>117072.52073421584</v>
      </c>
      <c r="BF206" s="44">
        <f t="shared" si="463"/>
        <v>117072.52073421584</v>
      </c>
      <c r="BG206" s="44">
        <f t="shared" si="463"/>
        <v>117072.52073421584</v>
      </c>
      <c r="BH206" s="44">
        <f t="shared" si="463"/>
        <v>117072.52073421584</v>
      </c>
      <c r="BI206" s="44">
        <f t="shared" si="463"/>
        <v>117072.52073421584</v>
      </c>
      <c r="BJ206" s="44">
        <f t="shared" si="463"/>
        <v>117072.52073421584</v>
      </c>
      <c r="BK206" s="44">
        <f t="shared" si="463"/>
        <v>117072.52073421584</v>
      </c>
      <c r="BL206" s="44">
        <f t="shared" si="463"/>
        <v>117072.52073421584</v>
      </c>
      <c r="BM206" s="44">
        <f t="shared" si="463"/>
        <v>117072.52073421584</v>
      </c>
      <c r="BN206" s="44">
        <f t="shared" si="463"/>
        <v>117072.52073421584</v>
      </c>
      <c r="BO206" s="44">
        <f t="shared" si="463"/>
        <v>117072.52073421584</v>
      </c>
      <c r="BP206" s="44">
        <f t="shared" si="463"/>
        <v>117072.52073421584</v>
      </c>
      <c r="BQ206" s="44">
        <f t="shared" si="463"/>
        <v>117072.52073421584</v>
      </c>
      <c r="BR206" s="44">
        <f t="shared" si="463"/>
        <v>117072.52073421584</v>
      </c>
      <c r="BS206" s="44">
        <f t="shared" si="463"/>
        <v>117072.52073421584</v>
      </c>
      <c r="BT206" s="44">
        <f t="shared" ref="BT206:CY206" si="464">BT140</f>
        <v>117072.52073421584</v>
      </c>
      <c r="BU206" s="44">
        <f t="shared" si="464"/>
        <v>117072.52073421584</v>
      </c>
      <c r="BV206" s="44">
        <f t="shared" si="464"/>
        <v>117072.52073421584</v>
      </c>
      <c r="BW206" s="44">
        <f t="shared" si="464"/>
        <v>117072.52073421584</v>
      </c>
      <c r="BX206" s="44">
        <f t="shared" si="464"/>
        <v>117072.52073421584</v>
      </c>
      <c r="BY206" s="44">
        <f t="shared" si="464"/>
        <v>117072.52073421584</v>
      </c>
      <c r="BZ206" s="44">
        <f t="shared" si="464"/>
        <v>117072.52073421584</v>
      </c>
      <c r="CA206" s="44">
        <f t="shared" si="464"/>
        <v>117072.52073421584</v>
      </c>
      <c r="CB206" s="44">
        <f t="shared" si="464"/>
        <v>117072.52073421584</v>
      </c>
      <c r="CC206" s="44">
        <f t="shared" si="464"/>
        <v>117072.52073421584</v>
      </c>
      <c r="CD206" s="44">
        <f t="shared" si="464"/>
        <v>117072.52073421584</v>
      </c>
      <c r="CE206" s="44">
        <f t="shared" si="464"/>
        <v>117072.52073421584</v>
      </c>
      <c r="CF206" s="44">
        <f t="shared" si="464"/>
        <v>117072.52073421584</v>
      </c>
      <c r="CG206" s="44">
        <f t="shared" si="464"/>
        <v>117072.52073421584</v>
      </c>
      <c r="CH206" s="44">
        <f t="shared" si="464"/>
        <v>117072.52073421584</v>
      </c>
      <c r="CI206" s="44">
        <f t="shared" si="464"/>
        <v>117072.52073421584</v>
      </c>
      <c r="CJ206" s="44">
        <f t="shared" si="464"/>
        <v>117072.52073421584</v>
      </c>
      <c r="CK206" s="44">
        <f t="shared" si="464"/>
        <v>117072.52073421584</v>
      </c>
      <c r="CL206" s="44">
        <f t="shared" si="464"/>
        <v>117072.52073421584</v>
      </c>
      <c r="CM206" s="44">
        <f t="shared" si="464"/>
        <v>117072.52073421584</v>
      </c>
      <c r="CN206" s="44">
        <f t="shared" si="464"/>
        <v>117072.52073421584</v>
      </c>
      <c r="CO206" s="44">
        <f t="shared" si="464"/>
        <v>117072.52073421584</v>
      </c>
      <c r="CP206" s="44">
        <f t="shared" si="464"/>
        <v>117072.52073421584</v>
      </c>
      <c r="CQ206" s="44">
        <f t="shared" si="464"/>
        <v>117072.52073421584</v>
      </c>
      <c r="CR206" s="44">
        <f t="shared" si="464"/>
        <v>117072.52073421584</v>
      </c>
      <c r="CS206" s="44">
        <f t="shared" si="464"/>
        <v>117072.52073421584</v>
      </c>
      <c r="CT206" s="44">
        <f t="shared" si="464"/>
        <v>117072.52073421584</v>
      </c>
      <c r="CU206" s="44">
        <f t="shared" si="464"/>
        <v>117072.52073421584</v>
      </c>
      <c r="CV206" s="44">
        <f t="shared" si="464"/>
        <v>117072.52073421584</v>
      </c>
      <c r="CW206" s="44">
        <f t="shared" si="464"/>
        <v>117072.52073421584</v>
      </c>
      <c r="CX206" s="44">
        <f t="shared" si="464"/>
        <v>117072.52073421584</v>
      </c>
      <c r="CY206" s="44">
        <f t="shared" si="464"/>
        <v>117072.52073421584</v>
      </c>
      <c r="CZ206" s="44">
        <f t="shared" ref="CZ206:EE206" si="465">CZ140</f>
        <v>117072.52073421584</v>
      </c>
      <c r="DA206" s="44">
        <f t="shared" si="465"/>
        <v>117072.52073421584</v>
      </c>
      <c r="DB206" s="44">
        <f t="shared" si="465"/>
        <v>117072.52073421584</v>
      </c>
      <c r="DC206" s="44">
        <f t="shared" si="465"/>
        <v>117072.52073421584</v>
      </c>
      <c r="DD206" s="44">
        <f t="shared" si="465"/>
        <v>117072.52073421584</v>
      </c>
      <c r="DE206" s="44">
        <f t="shared" si="465"/>
        <v>117072.52073421584</v>
      </c>
      <c r="DF206" s="44">
        <f t="shared" si="465"/>
        <v>117072.52073421584</v>
      </c>
      <c r="DG206" s="44">
        <f t="shared" si="465"/>
        <v>117072.52073421584</v>
      </c>
      <c r="DH206" s="44">
        <f t="shared" si="465"/>
        <v>117072.52073421584</v>
      </c>
      <c r="DI206" s="44">
        <f t="shared" si="465"/>
        <v>117072.52073421584</v>
      </c>
      <c r="DJ206" s="44">
        <f t="shared" si="465"/>
        <v>117072.52073421584</v>
      </c>
      <c r="DK206" s="44">
        <f t="shared" si="465"/>
        <v>117072.52073421584</v>
      </c>
      <c r="DL206" s="44">
        <f t="shared" si="465"/>
        <v>117072.52073421584</v>
      </c>
      <c r="DM206" s="44">
        <f t="shared" si="465"/>
        <v>117072.52073421584</v>
      </c>
      <c r="DN206" s="44">
        <f t="shared" si="465"/>
        <v>117072.52073421584</v>
      </c>
      <c r="DO206" s="44">
        <f t="shared" si="465"/>
        <v>117072.52073421584</v>
      </c>
      <c r="DP206" s="44">
        <f t="shared" si="465"/>
        <v>117072.52073421584</v>
      </c>
      <c r="DQ206" s="44">
        <f t="shared" si="465"/>
        <v>117072.52073421584</v>
      </c>
      <c r="DR206" s="44">
        <f t="shared" si="465"/>
        <v>117072.52073421584</v>
      </c>
      <c r="DS206" s="44">
        <f t="shared" si="465"/>
        <v>117072.52073421584</v>
      </c>
      <c r="DT206" s="44">
        <f t="shared" si="465"/>
        <v>117072.52073421584</v>
      </c>
      <c r="DU206" s="44">
        <f t="shared" si="465"/>
        <v>117072.52073421584</v>
      </c>
      <c r="DV206" s="44">
        <f t="shared" si="465"/>
        <v>117072.52073421584</v>
      </c>
      <c r="DW206" s="44">
        <f t="shared" si="465"/>
        <v>117072.52073421584</v>
      </c>
      <c r="DX206" s="44">
        <f t="shared" si="465"/>
        <v>117072.52073421584</v>
      </c>
      <c r="DY206" s="44">
        <f t="shared" si="465"/>
        <v>117072.52073421584</v>
      </c>
      <c r="DZ206" s="44">
        <f t="shared" si="465"/>
        <v>117072.52073421584</v>
      </c>
      <c r="EA206" s="44">
        <f t="shared" si="465"/>
        <v>117072.52073421584</v>
      </c>
      <c r="EB206" s="44">
        <f t="shared" si="465"/>
        <v>117072.52073421584</v>
      </c>
      <c r="EC206" s="44">
        <f t="shared" si="465"/>
        <v>117072.52073421584</v>
      </c>
      <c r="ED206" s="44">
        <f t="shared" si="465"/>
        <v>117072.52073421584</v>
      </c>
      <c r="EE206" s="44">
        <f t="shared" si="465"/>
        <v>117072.52073421584</v>
      </c>
      <c r="EF206" s="44">
        <f t="shared" ref="EF206:EN206" si="466">EF140</f>
        <v>117072.52073421584</v>
      </c>
      <c r="EG206" s="44">
        <f t="shared" si="466"/>
        <v>117072.52073421584</v>
      </c>
      <c r="EH206" s="44">
        <f t="shared" si="466"/>
        <v>117072.52073421584</v>
      </c>
      <c r="EI206" s="44">
        <f t="shared" si="466"/>
        <v>117072.52073421584</v>
      </c>
      <c r="EJ206" s="44">
        <f t="shared" si="466"/>
        <v>117072.52073421584</v>
      </c>
      <c r="EK206" s="44">
        <f t="shared" si="466"/>
        <v>117072.52073421584</v>
      </c>
      <c r="EL206" s="44">
        <f t="shared" si="466"/>
        <v>0</v>
      </c>
      <c r="EM206" s="44">
        <f t="shared" si="466"/>
        <v>0</v>
      </c>
      <c r="EN206" s="44">
        <f t="shared" si="466"/>
        <v>0</v>
      </c>
    </row>
    <row r="207" spans="2:144">
      <c r="C207" s="151" t="str">
        <f t="shared" si="411"/>
        <v>Организация набережных</v>
      </c>
      <c r="D207" s="45"/>
      <c r="E207" s="44"/>
      <c r="F207" s="44"/>
      <c r="G207" s="45"/>
      <c r="H207" s="44">
        <f t="shared" ref="H207:AM207" si="467">H151</f>
        <v>0</v>
      </c>
      <c r="I207" s="44">
        <f t="shared" si="467"/>
        <v>0</v>
      </c>
      <c r="J207" s="44">
        <f t="shared" si="467"/>
        <v>0</v>
      </c>
      <c r="K207" s="44">
        <f t="shared" si="467"/>
        <v>0</v>
      </c>
      <c r="L207" s="44">
        <f t="shared" si="467"/>
        <v>0</v>
      </c>
      <c r="M207" s="44">
        <f t="shared" si="467"/>
        <v>0</v>
      </c>
      <c r="N207" s="44">
        <f t="shared" si="467"/>
        <v>0</v>
      </c>
      <c r="O207" s="44">
        <f t="shared" si="467"/>
        <v>0</v>
      </c>
      <c r="P207" s="44">
        <f t="shared" si="467"/>
        <v>0</v>
      </c>
      <c r="Q207" s="44">
        <f t="shared" si="467"/>
        <v>0</v>
      </c>
      <c r="R207" s="44">
        <f t="shared" si="467"/>
        <v>0</v>
      </c>
      <c r="S207" s="44">
        <f t="shared" si="467"/>
        <v>0</v>
      </c>
      <c r="T207" s="44">
        <f t="shared" si="467"/>
        <v>0</v>
      </c>
      <c r="U207" s="44">
        <f t="shared" si="467"/>
        <v>0</v>
      </c>
      <c r="V207" s="44">
        <f t="shared" si="467"/>
        <v>1101859.0186749727</v>
      </c>
      <c r="W207" s="44">
        <f t="shared" si="467"/>
        <v>1101859.0186749727</v>
      </c>
      <c r="X207" s="44">
        <f t="shared" si="467"/>
        <v>1101859.0186749727</v>
      </c>
      <c r="Y207" s="44">
        <f t="shared" si="467"/>
        <v>1101859.0186749727</v>
      </c>
      <c r="Z207" s="44">
        <f t="shared" si="467"/>
        <v>1101859.0186749727</v>
      </c>
      <c r="AA207" s="44">
        <f t="shared" si="467"/>
        <v>1101859.0186749727</v>
      </c>
      <c r="AB207" s="44">
        <f t="shared" si="467"/>
        <v>1101859.0186749727</v>
      </c>
      <c r="AC207" s="44">
        <f t="shared" si="467"/>
        <v>1101859.0186749727</v>
      </c>
      <c r="AD207" s="44">
        <f t="shared" si="467"/>
        <v>1101859.0186749727</v>
      </c>
      <c r="AE207" s="44">
        <f t="shared" si="467"/>
        <v>1101859.0186749727</v>
      </c>
      <c r="AF207" s="44">
        <f t="shared" si="467"/>
        <v>1101859.0186749727</v>
      </c>
      <c r="AG207" s="44">
        <f t="shared" si="467"/>
        <v>1101859.0186749727</v>
      </c>
      <c r="AH207" s="44">
        <f t="shared" si="467"/>
        <v>1101859.0186749727</v>
      </c>
      <c r="AI207" s="44">
        <f t="shared" si="467"/>
        <v>1101859.0186749727</v>
      </c>
      <c r="AJ207" s="44">
        <f t="shared" si="467"/>
        <v>1101859.0186749727</v>
      </c>
      <c r="AK207" s="44">
        <f t="shared" si="467"/>
        <v>1101859.0186749727</v>
      </c>
      <c r="AL207" s="44">
        <f t="shared" si="467"/>
        <v>1101859.0186749727</v>
      </c>
      <c r="AM207" s="44">
        <f t="shared" si="467"/>
        <v>1101859.0186749727</v>
      </c>
      <c r="AN207" s="44">
        <f t="shared" ref="AN207:BS207" si="468">AN151</f>
        <v>1101859.0186749727</v>
      </c>
      <c r="AO207" s="44">
        <f t="shared" si="468"/>
        <v>1101859.0186749727</v>
      </c>
      <c r="AP207" s="44">
        <f t="shared" si="468"/>
        <v>1101859.0186749727</v>
      </c>
      <c r="AQ207" s="44">
        <f t="shared" si="468"/>
        <v>1101859.0186749727</v>
      </c>
      <c r="AR207" s="44">
        <f t="shared" si="468"/>
        <v>1101859.0186749727</v>
      </c>
      <c r="AS207" s="44">
        <f t="shared" si="468"/>
        <v>1101859.0186749727</v>
      </c>
      <c r="AT207" s="44">
        <f t="shared" si="468"/>
        <v>1101859.0186749727</v>
      </c>
      <c r="AU207" s="44">
        <f t="shared" si="468"/>
        <v>1101859.0186749727</v>
      </c>
      <c r="AV207" s="44">
        <f t="shared" si="468"/>
        <v>1101859.0186749727</v>
      </c>
      <c r="AW207" s="44">
        <f t="shared" si="468"/>
        <v>1101859.0186749727</v>
      </c>
      <c r="AX207" s="44">
        <f t="shared" si="468"/>
        <v>1101859.0186749727</v>
      </c>
      <c r="AY207" s="44">
        <f t="shared" si="468"/>
        <v>1101859.0186749727</v>
      </c>
      <c r="AZ207" s="44">
        <f t="shared" si="468"/>
        <v>1101859.0186749727</v>
      </c>
      <c r="BA207" s="44">
        <f t="shared" si="468"/>
        <v>1101859.0186749727</v>
      </c>
      <c r="BB207" s="44">
        <f t="shared" si="468"/>
        <v>1101859.0186749727</v>
      </c>
      <c r="BC207" s="44">
        <f t="shared" si="468"/>
        <v>1101859.0186749727</v>
      </c>
      <c r="BD207" s="44">
        <f t="shared" si="468"/>
        <v>1101859.0186749727</v>
      </c>
      <c r="BE207" s="44">
        <f t="shared" si="468"/>
        <v>1101859.0186749727</v>
      </c>
      <c r="BF207" s="44">
        <f t="shared" si="468"/>
        <v>1101859.0186749727</v>
      </c>
      <c r="BG207" s="44">
        <f t="shared" si="468"/>
        <v>1101859.0186749727</v>
      </c>
      <c r="BH207" s="44">
        <f t="shared" si="468"/>
        <v>1101859.0186749727</v>
      </c>
      <c r="BI207" s="44">
        <f t="shared" si="468"/>
        <v>1101859.0186749727</v>
      </c>
      <c r="BJ207" s="44">
        <f t="shared" si="468"/>
        <v>1101859.0186749727</v>
      </c>
      <c r="BK207" s="44">
        <f t="shared" si="468"/>
        <v>1101859.0186749727</v>
      </c>
      <c r="BL207" s="44">
        <f t="shared" si="468"/>
        <v>1101859.0186749727</v>
      </c>
      <c r="BM207" s="44">
        <f t="shared" si="468"/>
        <v>1101859.0186749727</v>
      </c>
      <c r="BN207" s="44">
        <f t="shared" si="468"/>
        <v>1101859.0186749727</v>
      </c>
      <c r="BO207" s="44">
        <f t="shared" si="468"/>
        <v>1101859.0186749727</v>
      </c>
      <c r="BP207" s="44">
        <f t="shared" si="468"/>
        <v>1101859.0186749727</v>
      </c>
      <c r="BQ207" s="44">
        <f t="shared" si="468"/>
        <v>1101859.0186749727</v>
      </c>
      <c r="BR207" s="44">
        <f t="shared" si="468"/>
        <v>1101859.0186749727</v>
      </c>
      <c r="BS207" s="44">
        <f t="shared" si="468"/>
        <v>1101859.0186749727</v>
      </c>
      <c r="BT207" s="44">
        <f t="shared" ref="BT207:CY207" si="469">BT151</f>
        <v>1101859.0186749727</v>
      </c>
      <c r="BU207" s="44">
        <f t="shared" si="469"/>
        <v>1101859.0186749727</v>
      </c>
      <c r="BV207" s="44">
        <f t="shared" si="469"/>
        <v>1101859.0186749727</v>
      </c>
      <c r="BW207" s="44">
        <f t="shared" si="469"/>
        <v>1101859.0186749727</v>
      </c>
      <c r="BX207" s="44">
        <f t="shared" si="469"/>
        <v>1101859.0186749727</v>
      </c>
      <c r="BY207" s="44">
        <f t="shared" si="469"/>
        <v>1101859.0186749727</v>
      </c>
      <c r="BZ207" s="44">
        <f t="shared" si="469"/>
        <v>1101859.0186749727</v>
      </c>
      <c r="CA207" s="44">
        <f t="shared" si="469"/>
        <v>1101859.0186749727</v>
      </c>
      <c r="CB207" s="44">
        <f t="shared" si="469"/>
        <v>1101859.0186749727</v>
      </c>
      <c r="CC207" s="44">
        <f t="shared" si="469"/>
        <v>1101859.0186749727</v>
      </c>
      <c r="CD207" s="44">
        <f t="shared" si="469"/>
        <v>1101859.0186749727</v>
      </c>
      <c r="CE207" s="44">
        <f t="shared" si="469"/>
        <v>1101859.0186749727</v>
      </c>
      <c r="CF207" s="44">
        <f t="shared" si="469"/>
        <v>1101859.0186749727</v>
      </c>
      <c r="CG207" s="44">
        <f t="shared" si="469"/>
        <v>1101859.0186749727</v>
      </c>
      <c r="CH207" s="44">
        <f t="shared" si="469"/>
        <v>1101859.0186749727</v>
      </c>
      <c r="CI207" s="44">
        <f t="shared" si="469"/>
        <v>1101859.0186749727</v>
      </c>
      <c r="CJ207" s="44">
        <f t="shared" si="469"/>
        <v>1101859.0186749727</v>
      </c>
      <c r="CK207" s="44">
        <f t="shared" si="469"/>
        <v>1101859.0186749727</v>
      </c>
      <c r="CL207" s="44">
        <f t="shared" si="469"/>
        <v>1101859.0186749727</v>
      </c>
      <c r="CM207" s="44">
        <f t="shared" si="469"/>
        <v>1101859.0186749727</v>
      </c>
      <c r="CN207" s="44">
        <f t="shared" si="469"/>
        <v>1101859.0186749727</v>
      </c>
      <c r="CO207" s="44">
        <f t="shared" si="469"/>
        <v>1101859.0186749727</v>
      </c>
      <c r="CP207" s="44">
        <f t="shared" si="469"/>
        <v>1101859.0186749727</v>
      </c>
      <c r="CQ207" s="44">
        <f t="shared" si="469"/>
        <v>1101859.0186749727</v>
      </c>
      <c r="CR207" s="44">
        <f t="shared" si="469"/>
        <v>1101859.0186749727</v>
      </c>
      <c r="CS207" s="44">
        <f t="shared" si="469"/>
        <v>1101859.0186749727</v>
      </c>
      <c r="CT207" s="44">
        <f t="shared" si="469"/>
        <v>1101859.0186749727</v>
      </c>
      <c r="CU207" s="44">
        <f t="shared" si="469"/>
        <v>1101859.0186749727</v>
      </c>
      <c r="CV207" s="44">
        <f t="shared" si="469"/>
        <v>1101859.0186749727</v>
      </c>
      <c r="CW207" s="44">
        <f t="shared" si="469"/>
        <v>1101859.0186749727</v>
      </c>
      <c r="CX207" s="44">
        <f t="shared" si="469"/>
        <v>1101859.0186749727</v>
      </c>
      <c r="CY207" s="44">
        <f t="shared" si="469"/>
        <v>1101859.0186749727</v>
      </c>
      <c r="CZ207" s="44">
        <f t="shared" ref="CZ207:EE207" si="470">CZ151</f>
        <v>1101859.0186749727</v>
      </c>
      <c r="DA207" s="44">
        <f t="shared" si="470"/>
        <v>1101859.0186749727</v>
      </c>
      <c r="DB207" s="44">
        <f t="shared" si="470"/>
        <v>1101859.0186749727</v>
      </c>
      <c r="DC207" s="44">
        <f t="shared" si="470"/>
        <v>1101859.0186749727</v>
      </c>
      <c r="DD207" s="44">
        <f t="shared" si="470"/>
        <v>1101859.0186749727</v>
      </c>
      <c r="DE207" s="44">
        <f t="shared" si="470"/>
        <v>1101859.0186749727</v>
      </c>
      <c r="DF207" s="44">
        <f t="shared" si="470"/>
        <v>1101859.0186749727</v>
      </c>
      <c r="DG207" s="44">
        <f t="shared" si="470"/>
        <v>1101859.0186749727</v>
      </c>
      <c r="DH207" s="44">
        <f t="shared" si="470"/>
        <v>1101859.0186749727</v>
      </c>
      <c r="DI207" s="44">
        <f t="shared" si="470"/>
        <v>1101859.0186749727</v>
      </c>
      <c r="DJ207" s="44">
        <f t="shared" si="470"/>
        <v>1101859.0186749727</v>
      </c>
      <c r="DK207" s="44">
        <f t="shared" si="470"/>
        <v>1101859.0186749727</v>
      </c>
      <c r="DL207" s="44">
        <f t="shared" si="470"/>
        <v>1101859.0186749727</v>
      </c>
      <c r="DM207" s="44">
        <f t="shared" si="470"/>
        <v>1101859.0186749727</v>
      </c>
      <c r="DN207" s="44">
        <f t="shared" si="470"/>
        <v>1101859.0186749727</v>
      </c>
      <c r="DO207" s="44">
        <f t="shared" si="470"/>
        <v>1101859.0186749727</v>
      </c>
      <c r="DP207" s="44">
        <f t="shared" si="470"/>
        <v>1101859.0186749727</v>
      </c>
      <c r="DQ207" s="44">
        <f t="shared" si="470"/>
        <v>1101859.0186749727</v>
      </c>
      <c r="DR207" s="44">
        <f t="shared" si="470"/>
        <v>1101859.0186749727</v>
      </c>
      <c r="DS207" s="44">
        <f t="shared" si="470"/>
        <v>1101859.0186749727</v>
      </c>
      <c r="DT207" s="44">
        <f t="shared" si="470"/>
        <v>1101859.0186749727</v>
      </c>
      <c r="DU207" s="44">
        <f t="shared" si="470"/>
        <v>1101859.0186749727</v>
      </c>
      <c r="DV207" s="44">
        <f t="shared" si="470"/>
        <v>1101859.0186749727</v>
      </c>
      <c r="DW207" s="44">
        <f t="shared" si="470"/>
        <v>1101859.0186749727</v>
      </c>
      <c r="DX207" s="44">
        <f t="shared" si="470"/>
        <v>1101859.0186749727</v>
      </c>
      <c r="DY207" s="44">
        <f t="shared" si="470"/>
        <v>1101859.0186749727</v>
      </c>
      <c r="DZ207" s="44">
        <f t="shared" si="470"/>
        <v>1101859.0186749727</v>
      </c>
      <c r="EA207" s="44">
        <f t="shared" si="470"/>
        <v>1101859.0186749727</v>
      </c>
      <c r="EB207" s="44">
        <f t="shared" si="470"/>
        <v>1101859.0186749727</v>
      </c>
      <c r="EC207" s="44">
        <f t="shared" si="470"/>
        <v>1101859.0186749727</v>
      </c>
      <c r="ED207" s="44">
        <f t="shared" si="470"/>
        <v>1101859.0186749727</v>
      </c>
      <c r="EE207" s="44">
        <f t="shared" si="470"/>
        <v>1101859.0186749727</v>
      </c>
      <c r="EF207" s="44">
        <f t="shared" ref="EF207:EN207" si="471">EF151</f>
        <v>1101859.0186749727</v>
      </c>
      <c r="EG207" s="44">
        <f t="shared" si="471"/>
        <v>1101859.0186749727</v>
      </c>
      <c r="EH207" s="44">
        <f t="shared" si="471"/>
        <v>1101859.0186749727</v>
      </c>
      <c r="EI207" s="44">
        <f t="shared" si="471"/>
        <v>1101859.0186749727</v>
      </c>
      <c r="EJ207" s="44">
        <f t="shared" si="471"/>
        <v>1101859.0186749727</v>
      </c>
      <c r="EK207" s="44">
        <f t="shared" si="471"/>
        <v>1101859.0186749727</v>
      </c>
      <c r="EL207" s="44">
        <f t="shared" si="471"/>
        <v>0</v>
      </c>
      <c r="EM207" s="44">
        <f t="shared" si="471"/>
        <v>0</v>
      </c>
      <c r="EN207" s="44">
        <f t="shared" si="471"/>
        <v>0</v>
      </c>
    </row>
    <row r="208" spans="2:144">
      <c r="C208" s="151" t="str">
        <f t="shared" si="411"/>
        <v>Трансформаторная подстанция</v>
      </c>
      <c r="D208" s="45"/>
      <c r="E208" s="44"/>
      <c r="F208" s="44"/>
      <c r="G208" s="45"/>
      <c r="H208" s="44">
        <f t="shared" ref="H208:AM208" si="472">H162</f>
        <v>0</v>
      </c>
      <c r="I208" s="44">
        <f t="shared" si="472"/>
        <v>0</v>
      </c>
      <c r="J208" s="44">
        <f t="shared" si="472"/>
        <v>0</v>
      </c>
      <c r="K208" s="44">
        <f t="shared" si="472"/>
        <v>0</v>
      </c>
      <c r="L208" s="44">
        <f t="shared" si="472"/>
        <v>0</v>
      </c>
      <c r="M208" s="44">
        <f t="shared" si="472"/>
        <v>0</v>
      </c>
      <c r="N208" s="44">
        <f t="shared" si="472"/>
        <v>0</v>
      </c>
      <c r="O208" s="44">
        <f t="shared" si="472"/>
        <v>0</v>
      </c>
      <c r="P208" s="44">
        <f t="shared" si="472"/>
        <v>0</v>
      </c>
      <c r="Q208" s="44">
        <f t="shared" si="472"/>
        <v>0</v>
      </c>
      <c r="R208" s="44">
        <f t="shared" si="472"/>
        <v>0</v>
      </c>
      <c r="S208" s="44">
        <f t="shared" si="472"/>
        <v>0</v>
      </c>
      <c r="T208" s="44">
        <f t="shared" si="472"/>
        <v>0</v>
      </c>
      <c r="U208" s="44">
        <f t="shared" si="472"/>
        <v>0</v>
      </c>
      <c r="V208" s="44">
        <f t="shared" si="472"/>
        <v>110185.90186749728</v>
      </c>
      <c r="W208" s="44">
        <f t="shared" si="472"/>
        <v>110185.90186749728</v>
      </c>
      <c r="X208" s="44">
        <f t="shared" si="472"/>
        <v>110185.90186749728</v>
      </c>
      <c r="Y208" s="44">
        <f t="shared" si="472"/>
        <v>110185.90186749728</v>
      </c>
      <c r="Z208" s="44">
        <f t="shared" si="472"/>
        <v>110185.90186749728</v>
      </c>
      <c r="AA208" s="44">
        <f t="shared" si="472"/>
        <v>110185.90186749728</v>
      </c>
      <c r="AB208" s="44">
        <f t="shared" si="472"/>
        <v>110185.90186749728</v>
      </c>
      <c r="AC208" s="44">
        <f t="shared" si="472"/>
        <v>110185.90186749728</v>
      </c>
      <c r="AD208" s="44">
        <f t="shared" si="472"/>
        <v>110185.90186749728</v>
      </c>
      <c r="AE208" s="44">
        <f t="shared" si="472"/>
        <v>110185.90186749728</v>
      </c>
      <c r="AF208" s="44">
        <f t="shared" si="472"/>
        <v>110185.90186749728</v>
      </c>
      <c r="AG208" s="44">
        <f t="shared" si="472"/>
        <v>110185.90186749728</v>
      </c>
      <c r="AH208" s="44">
        <f t="shared" si="472"/>
        <v>110185.90186749728</v>
      </c>
      <c r="AI208" s="44">
        <f t="shared" si="472"/>
        <v>110185.90186749728</v>
      </c>
      <c r="AJ208" s="44">
        <f t="shared" si="472"/>
        <v>110185.90186749728</v>
      </c>
      <c r="AK208" s="44">
        <f t="shared" si="472"/>
        <v>110185.90186749728</v>
      </c>
      <c r="AL208" s="44">
        <f t="shared" si="472"/>
        <v>110185.90186749728</v>
      </c>
      <c r="AM208" s="44">
        <f t="shared" si="472"/>
        <v>110185.90186749728</v>
      </c>
      <c r="AN208" s="44">
        <f t="shared" ref="AN208:BS208" si="473">AN162</f>
        <v>110185.90186749728</v>
      </c>
      <c r="AO208" s="44">
        <f t="shared" si="473"/>
        <v>110185.90186749728</v>
      </c>
      <c r="AP208" s="44">
        <f t="shared" si="473"/>
        <v>110185.90186749728</v>
      </c>
      <c r="AQ208" s="44">
        <f t="shared" si="473"/>
        <v>110185.90186749728</v>
      </c>
      <c r="AR208" s="44">
        <f t="shared" si="473"/>
        <v>110185.90186749728</v>
      </c>
      <c r="AS208" s="44">
        <f t="shared" si="473"/>
        <v>110185.90186749728</v>
      </c>
      <c r="AT208" s="44">
        <f t="shared" si="473"/>
        <v>110185.90186749728</v>
      </c>
      <c r="AU208" s="44">
        <f t="shared" si="473"/>
        <v>110185.90186749728</v>
      </c>
      <c r="AV208" s="44">
        <f t="shared" si="473"/>
        <v>110185.90186749728</v>
      </c>
      <c r="AW208" s="44">
        <f t="shared" si="473"/>
        <v>110185.90186749728</v>
      </c>
      <c r="AX208" s="44">
        <f t="shared" si="473"/>
        <v>110185.90186749728</v>
      </c>
      <c r="AY208" s="44">
        <f t="shared" si="473"/>
        <v>110185.90186749728</v>
      </c>
      <c r="AZ208" s="44">
        <f t="shared" si="473"/>
        <v>110185.90186749728</v>
      </c>
      <c r="BA208" s="44">
        <f t="shared" si="473"/>
        <v>110185.90186749728</v>
      </c>
      <c r="BB208" s="44">
        <f t="shared" si="473"/>
        <v>110185.90186749728</v>
      </c>
      <c r="BC208" s="44">
        <f t="shared" si="473"/>
        <v>110185.90186749728</v>
      </c>
      <c r="BD208" s="44">
        <f t="shared" si="473"/>
        <v>110185.90186749728</v>
      </c>
      <c r="BE208" s="44">
        <f t="shared" si="473"/>
        <v>110185.90186749728</v>
      </c>
      <c r="BF208" s="44">
        <f t="shared" si="473"/>
        <v>110185.90186749728</v>
      </c>
      <c r="BG208" s="44">
        <f t="shared" si="473"/>
        <v>110185.90186749728</v>
      </c>
      <c r="BH208" s="44">
        <f t="shared" si="473"/>
        <v>110185.90186749728</v>
      </c>
      <c r="BI208" s="44">
        <f t="shared" si="473"/>
        <v>110185.90186749728</v>
      </c>
      <c r="BJ208" s="44">
        <f t="shared" si="473"/>
        <v>110185.90186749728</v>
      </c>
      <c r="BK208" s="44">
        <f t="shared" si="473"/>
        <v>110185.90186749728</v>
      </c>
      <c r="BL208" s="44">
        <f t="shared" si="473"/>
        <v>110185.90186749728</v>
      </c>
      <c r="BM208" s="44">
        <f t="shared" si="473"/>
        <v>110185.90186749728</v>
      </c>
      <c r="BN208" s="44">
        <f t="shared" si="473"/>
        <v>110185.90186749728</v>
      </c>
      <c r="BO208" s="44">
        <f t="shared" si="473"/>
        <v>110185.90186749728</v>
      </c>
      <c r="BP208" s="44">
        <f t="shared" si="473"/>
        <v>110185.90186749728</v>
      </c>
      <c r="BQ208" s="44">
        <f t="shared" si="473"/>
        <v>110185.90186749728</v>
      </c>
      <c r="BR208" s="44">
        <f t="shared" si="473"/>
        <v>110185.90186749728</v>
      </c>
      <c r="BS208" s="44">
        <f t="shared" si="473"/>
        <v>110185.90186749728</v>
      </c>
      <c r="BT208" s="44">
        <f t="shared" ref="BT208:CY208" si="474">BT162</f>
        <v>110185.90186749728</v>
      </c>
      <c r="BU208" s="44">
        <f t="shared" si="474"/>
        <v>110185.90186749728</v>
      </c>
      <c r="BV208" s="44">
        <f t="shared" si="474"/>
        <v>110185.90186749728</v>
      </c>
      <c r="BW208" s="44">
        <f t="shared" si="474"/>
        <v>110185.90186749728</v>
      </c>
      <c r="BX208" s="44">
        <f t="shared" si="474"/>
        <v>110185.90186749728</v>
      </c>
      <c r="BY208" s="44">
        <f t="shared" si="474"/>
        <v>110185.90186749728</v>
      </c>
      <c r="BZ208" s="44">
        <f t="shared" si="474"/>
        <v>110185.90186749728</v>
      </c>
      <c r="CA208" s="44">
        <f t="shared" si="474"/>
        <v>110185.90186749728</v>
      </c>
      <c r="CB208" s="44">
        <f t="shared" si="474"/>
        <v>110185.90186749728</v>
      </c>
      <c r="CC208" s="44">
        <f t="shared" si="474"/>
        <v>110185.90186749728</v>
      </c>
      <c r="CD208" s="44">
        <f t="shared" si="474"/>
        <v>110185.90186749728</v>
      </c>
      <c r="CE208" s="44">
        <f t="shared" si="474"/>
        <v>110185.90186749728</v>
      </c>
      <c r="CF208" s="44">
        <f t="shared" si="474"/>
        <v>110185.90186749728</v>
      </c>
      <c r="CG208" s="44">
        <f t="shared" si="474"/>
        <v>110185.90186749728</v>
      </c>
      <c r="CH208" s="44">
        <f t="shared" si="474"/>
        <v>110185.90186749728</v>
      </c>
      <c r="CI208" s="44">
        <f t="shared" si="474"/>
        <v>110185.90186749728</v>
      </c>
      <c r="CJ208" s="44">
        <f t="shared" si="474"/>
        <v>110185.90186749728</v>
      </c>
      <c r="CK208" s="44">
        <f t="shared" si="474"/>
        <v>110185.90186749728</v>
      </c>
      <c r="CL208" s="44">
        <f t="shared" si="474"/>
        <v>110185.90186749728</v>
      </c>
      <c r="CM208" s="44">
        <f t="shared" si="474"/>
        <v>110185.90186749728</v>
      </c>
      <c r="CN208" s="44">
        <f t="shared" si="474"/>
        <v>110185.90186749728</v>
      </c>
      <c r="CO208" s="44">
        <f t="shared" si="474"/>
        <v>110185.90186749728</v>
      </c>
      <c r="CP208" s="44">
        <f t="shared" si="474"/>
        <v>110185.90186749728</v>
      </c>
      <c r="CQ208" s="44">
        <f t="shared" si="474"/>
        <v>110185.90186749728</v>
      </c>
      <c r="CR208" s="44">
        <f t="shared" si="474"/>
        <v>110185.90186749728</v>
      </c>
      <c r="CS208" s="44">
        <f t="shared" si="474"/>
        <v>110185.90186749728</v>
      </c>
      <c r="CT208" s="44">
        <f t="shared" si="474"/>
        <v>110185.90186749728</v>
      </c>
      <c r="CU208" s="44">
        <f t="shared" si="474"/>
        <v>110185.90186749728</v>
      </c>
      <c r="CV208" s="44">
        <f t="shared" si="474"/>
        <v>110185.90186749728</v>
      </c>
      <c r="CW208" s="44">
        <f t="shared" si="474"/>
        <v>110185.90186749728</v>
      </c>
      <c r="CX208" s="44">
        <f t="shared" si="474"/>
        <v>110185.90186749728</v>
      </c>
      <c r="CY208" s="44">
        <f t="shared" si="474"/>
        <v>110185.90186749728</v>
      </c>
      <c r="CZ208" s="44">
        <f t="shared" ref="CZ208:EE208" si="475">CZ162</f>
        <v>110185.90186749728</v>
      </c>
      <c r="DA208" s="44">
        <f t="shared" si="475"/>
        <v>110185.90186749728</v>
      </c>
      <c r="DB208" s="44">
        <f t="shared" si="475"/>
        <v>110185.90186749728</v>
      </c>
      <c r="DC208" s="44">
        <f t="shared" si="475"/>
        <v>110185.90186749728</v>
      </c>
      <c r="DD208" s="44">
        <f t="shared" si="475"/>
        <v>110185.90186749728</v>
      </c>
      <c r="DE208" s="44">
        <f t="shared" si="475"/>
        <v>110185.90186749728</v>
      </c>
      <c r="DF208" s="44">
        <f t="shared" si="475"/>
        <v>110185.90186749728</v>
      </c>
      <c r="DG208" s="44">
        <f t="shared" si="475"/>
        <v>110185.90186749728</v>
      </c>
      <c r="DH208" s="44">
        <f t="shared" si="475"/>
        <v>110185.90186749728</v>
      </c>
      <c r="DI208" s="44">
        <f t="shared" si="475"/>
        <v>110185.90186749728</v>
      </c>
      <c r="DJ208" s="44">
        <f t="shared" si="475"/>
        <v>110185.90186749728</v>
      </c>
      <c r="DK208" s="44">
        <f t="shared" si="475"/>
        <v>110185.90186749728</v>
      </c>
      <c r="DL208" s="44">
        <f t="shared" si="475"/>
        <v>110185.90186749728</v>
      </c>
      <c r="DM208" s="44">
        <f t="shared" si="475"/>
        <v>110185.90186749728</v>
      </c>
      <c r="DN208" s="44">
        <f t="shared" si="475"/>
        <v>110185.90186749728</v>
      </c>
      <c r="DO208" s="44">
        <f t="shared" si="475"/>
        <v>110185.90186749728</v>
      </c>
      <c r="DP208" s="44">
        <f t="shared" si="475"/>
        <v>110185.90186749728</v>
      </c>
      <c r="DQ208" s="44">
        <f t="shared" si="475"/>
        <v>110185.90186749728</v>
      </c>
      <c r="DR208" s="44">
        <f t="shared" si="475"/>
        <v>110185.90186749728</v>
      </c>
      <c r="DS208" s="44">
        <f t="shared" si="475"/>
        <v>110185.90186749728</v>
      </c>
      <c r="DT208" s="44">
        <f t="shared" si="475"/>
        <v>110185.90186749728</v>
      </c>
      <c r="DU208" s="44">
        <f t="shared" si="475"/>
        <v>110185.90186749728</v>
      </c>
      <c r="DV208" s="44">
        <f t="shared" si="475"/>
        <v>110185.90186749728</v>
      </c>
      <c r="DW208" s="44">
        <f t="shared" si="475"/>
        <v>110185.90186749728</v>
      </c>
      <c r="DX208" s="44">
        <f t="shared" si="475"/>
        <v>110185.90186749728</v>
      </c>
      <c r="DY208" s="44">
        <f t="shared" si="475"/>
        <v>110185.90186749728</v>
      </c>
      <c r="DZ208" s="44">
        <f t="shared" si="475"/>
        <v>110185.90186749728</v>
      </c>
      <c r="EA208" s="44">
        <f t="shared" si="475"/>
        <v>110185.90186749728</v>
      </c>
      <c r="EB208" s="44">
        <f t="shared" si="475"/>
        <v>110185.90186749728</v>
      </c>
      <c r="EC208" s="44">
        <f t="shared" si="475"/>
        <v>110185.90186749728</v>
      </c>
      <c r="ED208" s="44">
        <f t="shared" si="475"/>
        <v>110185.90186749728</v>
      </c>
      <c r="EE208" s="44">
        <f t="shared" si="475"/>
        <v>110185.90186749728</v>
      </c>
      <c r="EF208" s="44">
        <f t="shared" ref="EF208:EN208" si="476">EF162</f>
        <v>110185.90186749728</v>
      </c>
      <c r="EG208" s="44">
        <f t="shared" si="476"/>
        <v>110185.90186749728</v>
      </c>
      <c r="EH208" s="44">
        <f t="shared" si="476"/>
        <v>110185.90186749728</v>
      </c>
      <c r="EI208" s="44">
        <f t="shared" si="476"/>
        <v>110185.90186749728</v>
      </c>
      <c r="EJ208" s="44">
        <f t="shared" si="476"/>
        <v>110185.90186749728</v>
      </c>
      <c r="EK208" s="44">
        <f t="shared" si="476"/>
        <v>110185.90186749728</v>
      </c>
      <c r="EL208" s="44">
        <f t="shared" si="476"/>
        <v>0</v>
      </c>
      <c r="EM208" s="44">
        <f t="shared" si="476"/>
        <v>0</v>
      </c>
      <c r="EN208" s="44">
        <f t="shared" si="476"/>
        <v>0</v>
      </c>
    </row>
    <row r="209" spans="2:144">
      <c r="B209" s="139" t="s">
        <v>489</v>
      </c>
      <c r="C209" s="151" t="str">
        <f t="shared" si="411"/>
        <v>Канализационная насосная станция</v>
      </c>
      <c r="D209" s="45"/>
      <c r="E209" s="44"/>
      <c r="F209" s="44"/>
      <c r="G209" s="45"/>
      <c r="H209" s="44">
        <f t="shared" ref="H209:AM209" si="477">H173</f>
        <v>0</v>
      </c>
      <c r="I209" s="44">
        <f t="shared" si="477"/>
        <v>0</v>
      </c>
      <c r="J209" s="44">
        <f t="shared" si="477"/>
        <v>0</v>
      </c>
      <c r="K209" s="44">
        <f t="shared" si="477"/>
        <v>0</v>
      </c>
      <c r="L209" s="44">
        <f t="shared" si="477"/>
        <v>0</v>
      </c>
      <c r="M209" s="44">
        <f t="shared" si="477"/>
        <v>0</v>
      </c>
      <c r="N209" s="44">
        <f t="shared" si="477"/>
        <v>0</v>
      </c>
      <c r="O209" s="44">
        <f t="shared" si="477"/>
        <v>0</v>
      </c>
      <c r="P209" s="44">
        <f t="shared" si="477"/>
        <v>0</v>
      </c>
      <c r="Q209" s="44">
        <f t="shared" si="477"/>
        <v>0</v>
      </c>
      <c r="R209" s="44">
        <f t="shared" si="477"/>
        <v>0</v>
      </c>
      <c r="S209" s="44">
        <f t="shared" si="477"/>
        <v>0</v>
      </c>
      <c r="T209" s="44">
        <f t="shared" si="477"/>
        <v>0</v>
      </c>
      <c r="U209" s="44">
        <f t="shared" si="477"/>
        <v>0</v>
      </c>
      <c r="V209" s="44">
        <f t="shared" si="477"/>
        <v>41870.642709648964</v>
      </c>
      <c r="W209" s="44">
        <f t="shared" si="477"/>
        <v>41870.642709648964</v>
      </c>
      <c r="X209" s="44">
        <f t="shared" si="477"/>
        <v>41870.642709648964</v>
      </c>
      <c r="Y209" s="44">
        <f t="shared" si="477"/>
        <v>41870.642709648964</v>
      </c>
      <c r="Z209" s="44">
        <f t="shared" si="477"/>
        <v>41870.642709648964</v>
      </c>
      <c r="AA209" s="44">
        <f t="shared" si="477"/>
        <v>41870.642709648964</v>
      </c>
      <c r="AB209" s="44">
        <f t="shared" si="477"/>
        <v>41870.642709648964</v>
      </c>
      <c r="AC209" s="44">
        <f t="shared" si="477"/>
        <v>41870.642709648964</v>
      </c>
      <c r="AD209" s="44">
        <f t="shared" si="477"/>
        <v>41870.642709648964</v>
      </c>
      <c r="AE209" s="44">
        <f t="shared" si="477"/>
        <v>41870.642709648964</v>
      </c>
      <c r="AF209" s="44">
        <f t="shared" si="477"/>
        <v>41870.642709648964</v>
      </c>
      <c r="AG209" s="44">
        <f t="shared" si="477"/>
        <v>41870.642709648964</v>
      </c>
      <c r="AH209" s="44">
        <f t="shared" si="477"/>
        <v>41870.642709648964</v>
      </c>
      <c r="AI209" s="44">
        <f t="shared" si="477"/>
        <v>41870.642709648964</v>
      </c>
      <c r="AJ209" s="44">
        <f t="shared" si="477"/>
        <v>41870.642709648964</v>
      </c>
      <c r="AK209" s="44">
        <f t="shared" si="477"/>
        <v>41870.642709648964</v>
      </c>
      <c r="AL209" s="44">
        <f t="shared" si="477"/>
        <v>41870.642709648964</v>
      </c>
      <c r="AM209" s="44">
        <f t="shared" si="477"/>
        <v>41870.642709648964</v>
      </c>
      <c r="AN209" s="44">
        <f t="shared" ref="AN209:BS209" si="478">AN173</f>
        <v>41870.642709648964</v>
      </c>
      <c r="AO209" s="44">
        <f t="shared" si="478"/>
        <v>41870.642709648964</v>
      </c>
      <c r="AP209" s="44">
        <f t="shared" si="478"/>
        <v>41870.642709648964</v>
      </c>
      <c r="AQ209" s="44">
        <f t="shared" si="478"/>
        <v>41870.642709648964</v>
      </c>
      <c r="AR209" s="44">
        <f t="shared" si="478"/>
        <v>41870.642709648964</v>
      </c>
      <c r="AS209" s="44">
        <f t="shared" si="478"/>
        <v>41870.642709648964</v>
      </c>
      <c r="AT209" s="44">
        <f t="shared" si="478"/>
        <v>41870.642709648964</v>
      </c>
      <c r="AU209" s="44">
        <f t="shared" si="478"/>
        <v>41870.642709648964</v>
      </c>
      <c r="AV209" s="44">
        <f t="shared" si="478"/>
        <v>41870.642709648964</v>
      </c>
      <c r="AW209" s="44">
        <f t="shared" si="478"/>
        <v>41870.642709648964</v>
      </c>
      <c r="AX209" s="44">
        <f t="shared" si="478"/>
        <v>41870.642709648964</v>
      </c>
      <c r="AY209" s="44">
        <f t="shared" si="478"/>
        <v>41870.642709648964</v>
      </c>
      <c r="AZ209" s="44">
        <f t="shared" si="478"/>
        <v>41870.642709648964</v>
      </c>
      <c r="BA209" s="44">
        <f t="shared" si="478"/>
        <v>41870.642709648964</v>
      </c>
      <c r="BB209" s="44">
        <f t="shared" si="478"/>
        <v>41870.642709648964</v>
      </c>
      <c r="BC209" s="44">
        <f t="shared" si="478"/>
        <v>41870.642709648964</v>
      </c>
      <c r="BD209" s="44">
        <f t="shared" si="478"/>
        <v>41870.642709648964</v>
      </c>
      <c r="BE209" s="44">
        <f t="shared" si="478"/>
        <v>41870.642709648964</v>
      </c>
      <c r="BF209" s="44">
        <f t="shared" si="478"/>
        <v>41870.642709648964</v>
      </c>
      <c r="BG209" s="44">
        <f t="shared" si="478"/>
        <v>41870.642709648964</v>
      </c>
      <c r="BH209" s="44">
        <f t="shared" si="478"/>
        <v>41870.642709648964</v>
      </c>
      <c r="BI209" s="44">
        <f t="shared" si="478"/>
        <v>41870.642709648964</v>
      </c>
      <c r="BJ209" s="44">
        <f t="shared" si="478"/>
        <v>41870.642709648964</v>
      </c>
      <c r="BK209" s="44">
        <f t="shared" si="478"/>
        <v>41870.642709648964</v>
      </c>
      <c r="BL209" s="44">
        <f t="shared" si="478"/>
        <v>41870.642709648964</v>
      </c>
      <c r="BM209" s="44">
        <f t="shared" si="478"/>
        <v>41870.642709648964</v>
      </c>
      <c r="BN209" s="44">
        <f t="shared" si="478"/>
        <v>41870.642709648964</v>
      </c>
      <c r="BO209" s="44">
        <f t="shared" si="478"/>
        <v>41870.642709648964</v>
      </c>
      <c r="BP209" s="44">
        <f t="shared" si="478"/>
        <v>41870.642709648964</v>
      </c>
      <c r="BQ209" s="44">
        <f t="shared" si="478"/>
        <v>41870.642709648964</v>
      </c>
      <c r="BR209" s="44">
        <f t="shared" si="478"/>
        <v>41870.642709648964</v>
      </c>
      <c r="BS209" s="44">
        <f t="shared" si="478"/>
        <v>41870.642709648964</v>
      </c>
      <c r="BT209" s="44">
        <f t="shared" ref="BT209:CY209" si="479">BT173</f>
        <v>41870.642709648964</v>
      </c>
      <c r="BU209" s="44">
        <f t="shared" si="479"/>
        <v>41870.642709648964</v>
      </c>
      <c r="BV209" s="44">
        <f t="shared" si="479"/>
        <v>41870.642709648964</v>
      </c>
      <c r="BW209" s="44">
        <f t="shared" si="479"/>
        <v>41870.642709648964</v>
      </c>
      <c r="BX209" s="44">
        <f t="shared" si="479"/>
        <v>41870.642709648964</v>
      </c>
      <c r="BY209" s="44">
        <f t="shared" si="479"/>
        <v>41870.642709648964</v>
      </c>
      <c r="BZ209" s="44">
        <f t="shared" si="479"/>
        <v>41870.642709648964</v>
      </c>
      <c r="CA209" s="44">
        <f t="shared" si="479"/>
        <v>41870.642709648964</v>
      </c>
      <c r="CB209" s="44">
        <f t="shared" si="479"/>
        <v>41870.642709648964</v>
      </c>
      <c r="CC209" s="44">
        <f t="shared" si="479"/>
        <v>41870.642709648964</v>
      </c>
      <c r="CD209" s="44">
        <f t="shared" si="479"/>
        <v>41870.642709648964</v>
      </c>
      <c r="CE209" s="44">
        <f t="shared" si="479"/>
        <v>41870.642709648964</v>
      </c>
      <c r="CF209" s="44">
        <f t="shared" si="479"/>
        <v>41870.642709648964</v>
      </c>
      <c r="CG209" s="44">
        <f t="shared" si="479"/>
        <v>41870.642709648964</v>
      </c>
      <c r="CH209" s="44">
        <f t="shared" si="479"/>
        <v>41870.642709648964</v>
      </c>
      <c r="CI209" s="44">
        <f t="shared" si="479"/>
        <v>41870.642709648964</v>
      </c>
      <c r="CJ209" s="44">
        <f t="shared" si="479"/>
        <v>41870.642709648964</v>
      </c>
      <c r="CK209" s="44">
        <f t="shared" si="479"/>
        <v>41870.642709648964</v>
      </c>
      <c r="CL209" s="44">
        <f t="shared" si="479"/>
        <v>41870.642709648964</v>
      </c>
      <c r="CM209" s="44">
        <f t="shared" si="479"/>
        <v>41870.642709648964</v>
      </c>
      <c r="CN209" s="44">
        <f t="shared" si="479"/>
        <v>41870.642709648964</v>
      </c>
      <c r="CO209" s="44">
        <f t="shared" si="479"/>
        <v>41870.642709648964</v>
      </c>
      <c r="CP209" s="44">
        <f t="shared" si="479"/>
        <v>41870.642709648964</v>
      </c>
      <c r="CQ209" s="44">
        <f t="shared" si="479"/>
        <v>41870.642709648964</v>
      </c>
      <c r="CR209" s="44">
        <f t="shared" si="479"/>
        <v>41870.642709648964</v>
      </c>
      <c r="CS209" s="44">
        <f t="shared" si="479"/>
        <v>41870.642709648964</v>
      </c>
      <c r="CT209" s="44">
        <f t="shared" si="479"/>
        <v>41870.642709648964</v>
      </c>
      <c r="CU209" s="44">
        <f t="shared" si="479"/>
        <v>41870.642709648964</v>
      </c>
      <c r="CV209" s="44">
        <f t="shared" si="479"/>
        <v>41870.642709648964</v>
      </c>
      <c r="CW209" s="44">
        <f t="shared" si="479"/>
        <v>41870.642709648964</v>
      </c>
      <c r="CX209" s="44">
        <f t="shared" si="479"/>
        <v>41870.642709648964</v>
      </c>
      <c r="CY209" s="44">
        <f t="shared" si="479"/>
        <v>41870.642709648964</v>
      </c>
      <c r="CZ209" s="44">
        <f t="shared" ref="CZ209:EE209" si="480">CZ173</f>
        <v>41870.642709648964</v>
      </c>
      <c r="DA209" s="44">
        <f t="shared" si="480"/>
        <v>41870.642709648964</v>
      </c>
      <c r="DB209" s="44">
        <f t="shared" si="480"/>
        <v>41870.642709648964</v>
      </c>
      <c r="DC209" s="44">
        <f t="shared" si="480"/>
        <v>41870.642709648964</v>
      </c>
      <c r="DD209" s="44">
        <f t="shared" si="480"/>
        <v>41870.642709648964</v>
      </c>
      <c r="DE209" s="44">
        <f t="shared" si="480"/>
        <v>41870.642709648964</v>
      </c>
      <c r="DF209" s="44">
        <f t="shared" si="480"/>
        <v>41870.642709648964</v>
      </c>
      <c r="DG209" s="44">
        <f t="shared" si="480"/>
        <v>41870.642709648964</v>
      </c>
      <c r="DH209" s="44">
        <f t="shared" si="480"/>
        <v>41870.642709648964</v>
      </c>
      <c r="DI209" s="44">
        <f t="shared" si="480"/>
        <v>41870.642709648964</v>
      </c>
      <c r="DJ209" s="44">
        <f t="shared" si="480"/>
        <v>41870.642709648964</v>
      </c>
      <c r="DK209" s="44">
        <f t="shared" si="480"/>
        <v>41870.642709648964</v>
      </c>
      <c r="DL209" s="44">
        <f t="shared" si="480"/>
        <v>41870.642709648964</v>
      </c>
      <c r="DM209" s="44">
        <f t="shared" si="480"/>
        <v>41870.642709648964</v>
      </c>
      <c r="DN209" s="44">
        <f t="shared" si="480"/>
        <v>41870.642709648964</v>
      </c>
      <c r="DO209" s="44">
        <f t="shared" si="480"/>
        <v>41870.642709648964</v>
      </c>
      <c r="DP209" s="44">
        <f t="shared" si="480"/>
        <v>41870.642709648964</v>
      </c>
      <c r="DQ209" s="44">
        <f t="shared" si="480"/>
        <v>41870.642709648964</v>
      </c>
      <c r="DR209" s="44">
        <f t="shared" si="480"/>
        <v>41870.642709648964</v>
      </c>
      <c r="DS209" s="44">
        <f t="shared" si="480"/>
        <v>41870.642709648964</v>
      </c>
      <c r="DT209" s="44">
        <f t="shared" si="480"/>
        <v>41870.642709648964</v>
      </c>
      <c r="DU209" s="44">
        <f t="shared" si="480"/>
        <v>41870.642709648964</v>
      </c>
      <c r="DV209" s="44">
        <f t="shared" si="480"/>
        <v>41870.642709648964</v>
      </c>
      <c r="DW209" s="44">
        <f t="shared" si="480"/>
        <v>41870.642709648964</v>
      </c>
      <c r="DX209" s="44">
        <f t="shared" si="480"/>
        <v>41870.642709648964</v>
      </c>
      <c r="DY209" s="44">
        <f t="shared" si="480"/>
        <v>41870.642709648964</v>
      </c>
      <c r="DZ209" s="44">
        <f t="shared" si="480"/>
        <v>41870.642709648964</v>
      </c>
      <c r="EA209" s="44">
        <f t="shared" si="480"/>
        <v>41870.642709648964</v>
      </c>
      <c r="EB209" s="44">
        <f t="shared" si="480"/>
        <v>41870.642709648964</v>
      </c>
      <c r="EC209" s="44">
        <f t="shared" si="480"/>
        <v>41870.642709648964</v>
      </c>
      <c r="ED209" s="44">
        <f t="shared" si="480"/>
        <v>41870.642709648964</v>
      </c>
      <c r="EE209" s="44">
        <f t="shared" si="480"/>
        <v>41870.642709648964</v>
      </c>
      <c r="EF209" s="44">
        <f t="shared" ref="EF209:EN209" si="481">EF173</f>
        <v>41870.642709648964</v>
      </c>
      <c r="EG209" s="44">
        <f t="shared" si="481"/>
        <v>41870.642709648964</v>
      </c>
      <c r="EH209" s="44">
        <f t="shared" si="481"/>
        <v>41870.642709648964</v>
      </c>
      <c r="EI209" s="44">
        <f t="shared" si="481"/>
        <v>41870.642709648964</v>
      </c>
      <c r="EJ209" s="44">
        <f t="shared" si="481"/>
        <v>41870.642709648964</v>
      </c>
      <c r="EK209" s="44">
        <f t="shared" si="481"/>
        <v>41870.642709648964</v>
      </c>
      <c r="EL209" s="44">
        <f t="shared" si="481"/>
        <v>0</v>
      </c>
      <c r="EM209" s="44">
        <f t="shared" si="481"/>
        <v>0</v>
      </c>
      <c r="EN209" s="44">
        <f t="shared" si="481"/>
        <v>0</v>
      </c>
    </row>
    <row r="210" spans="2:144">
      <c r="B210" s="774">
        <f>$B$19</f>
        <v>15</v>
      </c>
      <c r="C210" s="775" t="str">
        <f t="shared" si="411"/>
        <v>Стоимость проектных работ - 4% от СМР (мебель и технологическое оборудование не учитываются)</v>
      </c>
      <c r="D210" s="45"/>
      <c r="E210" s="44"/>
      <c r="F210" s="44"/>
      <c r="G210" s="45"/>
      <c r="H210" s="44">
        <f t="shared" ref="H210:AM210" si="482">H184</f>
        <v>0</v>
      </c>
      <c r="I210" s="44">
        <f t="shared" si="482"/>
        <v>0</v>
      </c>
      <c r="J210" s="44">
        <f t="shared" si="482"/>
        <v>0</v>
      </c>
      <c r="K210" s="44">
        <f t="shared" si="482"/>
        <v>0</v>
      </c>
      <c r="L210" s="44">
        <f t="shared" si="482"/>
        <v>0</v>
      </c>
      <c r="M210" s="44">
        <f t="shared" si="482"/>
        <v>0</v>
      </c>
      <c r="N210" s="44">
        <f t="shared" si="482"/>
        <v>0</v>
      </c>
      <c r="O210" s="44">
        <f t="shared" si="482"/>
        <v>0</v>
      </c>
      <c r="P210" s="44">
        <f t="shared" si="482"/>
        <v>0</v>
      </c>
      <c r="Q210" s="44">
        <f t="shared" si="482"/>
        <v>0</v>
      </c>
      <c r="R210" s="44">
        <f t="shared" si="482"/>
        <v>0</v>
      </c>
      <c r="S210" s="44">
        <f t="shared" si="482"/>
        <v>0</v>
      </c>
      <c r="T210" s="44">
        <f t="shared" si="482"/>
        <v>0</v>
      </c>
      <c r="U210" s="44">
        <f t="shared" si="482"/>
        <v>0</v>
      </c>
      <c r="V210" s="44">
        <f t="shared" si="482"/>
        <v>1986742.5408152372</v>
      </c>
      <c r="W210" s="44">
        <f t="shared" si="482"/>
        <v>1986742.5408152372</v>
      </c>
      <c r="X210" s="44">
        <f t="shared" si="482"/>
        <v>1986742.5408152372</v>
      </c>
      <c r="Y210" s="44">
        <f t="shared" si="482"/>
        <v>1986742.5408152372</v>
      </c>
      <c r="Z210" s="44">
        <f t="shared" si="482"/>
        <v>1986742.5408152372</v>
      </c>
      <c r="AA210" s="44">
        <f t="shared" si="482"/>
        <v>1986742.5408152372</v>
      </c>
      <c r="AB210" s="44">
        <f t="shared" si="482"/>
        <v>1986742.5408152372</v>
      </c>
      <c r="AC210" s="44">
        <f t="shared" si="482"/>
        <v>1986742.5408152372</v>
      </c>
      <c r="AD210" s="44">
        <f t="shared" si="482"/>
        <v>1986742.5408152372</v>
      </c>
      <c r="AE210" s="44">
        <f t="shared" si="482"/>
        <v>1986742.5408152372</v>
      </c>
      <c r="AF210" s="44">
        <f t="shared" si="482"/>
        <v>1986742.5408152372</v>
      </c>
      <c r="AG210" s="44">
        <f t="shared" si="482"/>
        <v>1986742.5408152372</v>
      </c>
      <c r="AH210" s="44">
        <f t="shared" si="482"/>
        <v>1986742.5408152372</v>
      </c>
      <c r="AI210" s="44">
        <f t="shared" si="482"/>
        <v>1986742.5408152372</v>
      </c>
      <c r="AJ210" s="44">
        <f t="shared" si="482"/>
        <v>1986742.5408152372</v>
      </c>
      <c r="AK210" s="44">
        <f t="shared" si="482"/>
        <v>1986742.5408152372</v>
      </c>
      <c r="AL210" s="44">
        <f t="shared" si="482"/>
        <v>1986742.5408152372</v>
      </c>
      <c r="AM210" s="44">
        <f t="shared" si="482"/>
        <v>1986742.5408152372</v>
      </c>
      <c r="AN210" s="44">
        <f t="shared" ref="AN210:BS210" si="483">AN184</f>
        <v>1986742.5408152372</v>
      </c>
      <c r="AO210" s="44">
        <f t="shared" si="483"/>
        <v>1986742.5408152372</v>
      </c>
      <c r="AP210" s="44">
        <f t="shared" si="483"/>
        <v>1986742.5408152372</v>
      </c>
      <c r="AQ210" s="44">
        <f t="shared" si="483"/>
        <v>1986742.5408152372</v>
      </c>
      <c r="AR210" s="44">
        <f t="shared" si="483"/>
        <v>1986742.5408152372</v>
      </c>
      <c r="AS210" s="44">
        <f t="shared" si="483"/>
        <v>1986742.5408152372</v>
      </c>
      <c r="AT210" s="44">
        <f t="shared" si="483"/>
        <v>1986742.5408152372</v>
      </c>
      <c r="AU210" s="44">
        <f t="shared" si="483"/>
        <v>1986742.5408152372</v>
      </c>
      <c r="AV210" s="44">
        <f t="shared" si="483"/>
        <v>1986742.5408152372</v>
      </c>
      <c r="AW210" s="44">
        <f t="shared" si="483"/>
        <v>1986742.5408152372</v>
      </c>
      <c r="AX210" s="44">
        <f t="shared" si="483"/>
        <v>1986742.5408152372</v>
      </c>
      <c r="AY210" s="44">
        <f t="shared" si="483"/>
        <v>1986742.5408152372</v>
      </c>
      <c r="AZ210" s="44">
        <f t="shared" si="483"/>
        <v>1986742.5408152372</v>
      </c>
      <c r="BA210" s="44">
        <f t="shared" si="483"/>
        <v>1986742.5408152372</v>
      </c>
      <c r="BB210" s="44">
        <f t="shared" si="483"/>
        <v>1986742.5408152372</v>
      </c>
      <c r="BC210" s="44">
        <f t="shared" si="483"/>
        <v>1986742.5408152372</v>
      </c>
      <c r="BD210" s="44">
        <f t="shared" si="483"/>
        <v>1986742.5408152372</v>
      </c>
      <c r="BE210" s="44">
        <f t="shared" si="483"/>
        <v>1986742.5408152372</v>
      </c>
      <c r="BF210" s="44">
        <f t="shared" si="483"/>
        <v>1986742.5408152372</v>
      </c>
      <c r="BG210" s="44">
        <f t="shared" si="483"/>
        <v>1986742.5408152372</v>
      </c>
      <c r="BH210" s="44">
        <f t="shared" si="483"/>
        <v>1986742.5408152372</v>
      </c>
      <c r="BI210" s="44">
        <f t="shared" si="483"/>
        <v>1986742.5408152372</v>
      </c>
      <c r="BJ210" s="44">
        <f t="shared" si="483"/>
        <v>1986742.5408152372</v>
      </c>
      <c r="BK210" s="44">
        <f t="shared" si="483"/>
        <v>1986742.5408152372</v>
      </c>
      <c r="BL210" s="44">
        <f t="shared" si="483"/>
        <v>1986742.5408152372</v>
      </c>
      <c r="BM210" s="44">
        <f t="shared" si="483"/>
        <v>1986742.5408152372</v>
      </c>
      <c r="BN210" s="44">
        <f t="shared" si="483"/>
        <v>1986742.5408152372</v>
      </c>
      <c r="BO210" s="44">
        <f t="shared" si="483"/>
        <v>1986742.5408152372</v>
      </c>
      <c r="BP210" s="44">
        <f t="shared" si="483"/>
        <v>1986742.5408152372</v>
      </c>
      <c r="BQ210" s="44">
        <f t="shared" si="483"/>
        <v>1986742.5408152372</v>
      </c>
      <c r="BR210" s="44">
        <f t="shared" si="483"/>
        <v>1986742.5408152372</v>
      </c>
      <c r="BS210" s="44">
        <f t="shared" si="483"/>
        <v>1986742.5408152372</v>
      </c>
      <c r="BT210" s="44">
        <f t="shared" ref="BT210:CY210" si="484">BT184</f>
        <v>1986742.5408152372</v>
      </c>
      <c r="BU210" s="44">
        <f t="shared" si="484"/>
        <v>1986742.5408152372</v>
      </c>
      <c r="BV210" s="44">
        <f t="shared" si="484"/>
        <v>1986742.5408152372</v>
      </c>
      <c r="BW210" s="44">
        <f t="shared" si="484"/>
        <v>1986742.5408152372</v>
      </c>
      <c r="BX210" s="44">
        <f t="shared" si="484"/>
        <v>1986742.5408152372</v>
      </c>
      <c r="BY210" s="44">
        <f t="shared" si="484"/>
        <v>1986742.5408152372</v>
      </c>
      <c r="BZ210" s="44">
        <f t="shared" si="484"/>
        <v>1986742.5408152372</v>
      </c>
      <c r="CA210" s="44">
        <f t="shared" si="484"/>
        <v>1986742.5408152372</v>
      </c>
      <c r="CB210" s="44">
        <f t="shared" si="484"/>
        <v>1986742.5408152372</v>
      </c>
      <c r="CC210" s="44">
        <f t="shared" si="484"/>
        <v>1986742.5408152372</v>
      </c>
      <c r="CD210" s="44">
        <f t="shared" si="484"/>
        <v>1986742.5408152372</v>
      </c>
      <c r="CE210" s="44">
        <f t="shared" si="484"/>
        <v>1986742.5408152372</v>
      </c>
      <c r="CF210" s="44">
        <f t="shared" si="484"/>
        <v>1986742.5408152372</v>
      </c>
      <c r="CG210" s="44">
        <f t="shared" si="484"/>
        <v>1986742.5408152372</v>
      </c>
      <c r="CH210" s="44">
        <f t="shared" si="484"/>
        <v>1986742.5408152372</v>
      </c>
      <c r="CI210" s="44">
        <f t="shared" si="484"/>
        <v>1986742.5408152372</v>
      </c>
      <c r="CJ210" s="44">
        <f t="shared" si="484"/>
        <v>1986742.5408152372</v>
      </c>
      <c r="CK210" s="44">
        <f t="shared" si="484"/>
        <v>1986742.5408152372</v>
      </c>
      <c r="CL210" s="44">
        <f t="shared" si="484"/>
        <v>1986742.5408152372</v>
      </c>
      <c r="CM210" s="44">
        <f t="shared" si="484"/>
        <v>1986742.5408152372</v>
      </c>
      <c r="CN210" s="44">
        <f t="shared" si="484"/>
        <v>1986742.5408152372</v>
      </c>
      <c r="CO210" s="44">
        <f t="shared" si="484"/>
        <v>1986742.5408152372</v>
      </c>
      <c r="CP210" s="44">
        <f t="shared" si="484"/>
        <v>1986742.5408152372</v>
      </c>
      <c r="CQ210" s="44">
        <f t="shared" si="484"/>
        <v>1986742.5408152372</v>
      </c>
      <c r="CR210" s="44">
        <f t="shared" si="484"/>
        <v>1986742.5408152372</v>
      </c>
      <c r="CS210" s="44">
        <f t="shared" si="484"/>
        <v>1986742.5408152372</v>
      </c>
      <c r="CT210" s="44">
        <f t="shared" si="484"/>
        <v>1986742.5408152372</v>
      </c>
      <c r="CU210" s="44">
        <f t="shared" si="484"/>
        <v>1986742.5408152372</v>
      </c>
      <c r="CV210" s="44">
        <f t="shared" si="484"/>
        <v>1986742.5408152372</v>
      </c>
      <c r="CW210" s="44">
        <f t="shared" si="484"/>
        <v>1986742.5408152372</v>
      </c>
      <c r="CX210" s="44">
        <f t="shared" si="484"/>
        <v>1986742.5408152372</v>
      </c>
      <c r="CY210" s="44">
        <f t="shared" si="484"/>
        <v>1986742.5408152372</v>
      </c>
      <c r="CZ210" s="44">
        <f t="shared" ref="CZ210:EE210" si="485">CZ184</f>
        <v>1986742.5408152372</v>
      </c>
      <c r="DA210" s="44">
        <f t="shared" si="485"/>
        <v>1986742.5408152372</v>
      </c>
      <c r="DB210" s="44">
        <f t="shared" si="485"/>
        <v>1986742.5408152372</v>
      </c>
      <c r="DC210" s="44">
        <f t="shared" si="485"/>
        <v>1986742.5408152372</v>
      </c>
      <c r="DD210" s="44">
        <f t="shared" si="485"/>
        <v>1986742.5408152372</v>
      </c>
      <c r="DE210" s="44">
        <f t="shared" si="485"/>
        <v>1986742.5408152372</v>
      </c>
      <c r="DF210" s="44">
        <f t="shared" si="485"/>
        <v>1986742.5408152372</v>
      </c>
      <c r="DG210" s="44">
        <f t="shared" si="485"/>
        <v>1986742.5408152372</v>
      </c>
      <c r="DH210" s="44">
        <f t="shared" si="485"/>
        <v>1986742.5408152372</v>
      </c>
      <c r="DI210" s="44">
        <f t="shared" si="485"/>
        <v>1986742.5408152372</v>
      </c>
      <c r="DJ210" s="44">
        <f t="shared" si="485"/>
        <v>1986742.5408152372</v>
      </c>
      <c r="DK210" s="44">
        <f t="shared" si="485"/>
        <v>1986742.5408152372</v>
      </c>
      <c r="DL210" s="44">
        <f t="shared" si="485"/>
        <v>1986742.5408152372</v>
      </c>
      <c r="DM210" s="44">
        <f t="shared" si="485"/>
        <v>1986742.5408152372</v>
      </c>
      <c r="DN210" s="44">
        <f t="shared" si="485"/>
        <v>1986742.5408152372</v>
      </c>
      <c r="DO210" s="44">
        <f t="shared" si="485"/>
        <v>1986742.5408152372</v>
      </c>
      <c r="DP210" s="44">
        <f t="shared" si="485"/>
        <v>1986742.5408152372</v>
      </c>
      <c r="DQ210" s="44">
        <f t="shared" si="485"/>
        <v>1986742.5408152372</v>
      </c>
      <c r="DR210" s="44">
        <f t="shared" si="485"/>
        <v>1986742.5408152372</v>
      </c>
      <c r="DS210" s="44">
        <f t="shared" si="485"/>
        <v>1986742.5408152372</v>
      </c>
      <c r="DT210" s="44">
        <f t="shared" si="485"/>
        <v>1986742.5408152372</v>
      </c>
      <c r="DU210" s="44">
        <f t="shared" si="485"/>
        <v>1986742.5408152372</v>
      </c>
      <c r="DV210" s="44">
        <f t="shared" si="485"/>
        <v>1986742.5408152372</v>
      </c>
      <c r="DW210" s="44">
        <f t="shared" si="485"/>
        <v>1986742.5408152372</v>
      </c>
      <c r="DX210" s="44">
        <f t="shared" si="485"/>
        <v>1986742.5408152372</v>
      </c>
      <c r="DY210" s="44">
        <f t="shared" si="485"/>
        <v>1986742.5408152372</v>
      </c>
      <c r="DZ210" s="44">
        <f t="shared" si="485"/>
        <v>1986742.5408152372</v>
      </c>
      <c r="EA210" s="44">
        <f t="shared" si="485"/>
        <v>1986742.5408152372</v>
      </c>
      <c r="EB210" s="44">
        <f t="shared" si="485"/>
        <v>1986742.5408152372</v>
      </c>
      <c r="EC210" s="44">
        <f t="shared" si="485"/>
        <v>1986742.5408152372</v>
      </c>
      <c r="ED210" s="44">
        <f t="shared" si="485"/>
        <v>1986742.5408152372</v>
      </c>
      <c r="EE210" s="44">
        <f t="shared" si="485"/>
        <v>1986742.5408152372</v>
      </c>
      <c r="EF210" s="44">
        <f t="shared" ref="EF210:EN210" si="486">EF184</f>
        <v>1986742.5408152372</v>
      </c>
      <c r="EG210" s="44">
        <f t="shared" si="486"/>
        <v>1986742.5408152372</v>
      </c>
      <c r="EH210" s="44">
        <f t="shared" si="486"/>
        <v>1986742.5408152372</v>
      </c>
      <c r="EI210" s="44">
        <f t="shared" si="486"/>
        <v>1986742.5408152372</v>
      </c>
      <c r="EJ210" s="44">
        <f t="shared" si="486"/>
        <v>1986742.5408152372</v>
      </c>
      <c r="EK210" s="44">
        <f t="shared" si="486"/>
        <v>1986742.5408152372</v>
      </c>
      <c r="EL210" s="44">
        <f t="shared" si="486"/>
        <v>0</v>
      </c>
      <c r="EM210" s="44">
        <f t="shared" si="486"/>
        <v>0</v>
      </c>
      <c r="EN210" s="44">
        <f t="shared" si="486"/>
        <v>0</v>
      </c>
    </row>
    <row r="211" spans="2:144" ht="15.75">
      <c r="B211" s="40"/>
      <c r="C211" s="22"/>
      <c r="E211" s="40"/>
      <c r="F211" s="40"/>
      <c r="G211" s="40"/>
      <c r="H211" s="463">
        <f t="shared" ref="H211:BD211" si="487">YEAR(H213)</f>
        <v>2022</v>
      </c>
      <c r="I211" s="463">
        <f t="shared" si="487"/>
        <v>2022</v>
      </c>
      <c r="J211" s="463">
        <f t="shared" si="487"/>
        <v>2022</v>
      </c>
      <c r="K211" s="463">
        <f t="shared" si="487"/>
        <v>2022</v>
      </c>
      <c r="L211" s="463">
        <f t="shared" si="487"/>
        <v>2023</v>
      </c>
      <c r="M211" s="463">
        <f t="shared" si="487"/>
        <v>2023</v>
      </c>
      <c r="N211" s="463">
        <f t="shared" si="487"/>
        <v>2023</v>
      </c>
      <c r="O211" s="463">
        <f t="shared" si="487"/>
        <v>2023</v>
      </c>
      <c r="P211" s="463">
        <f t="shared" si="487"/>
        <v>2024</v>
      </c>
      <c r="Q211" s="463">
        <f t="shared" si="487"/>
        <v>2024</v>
      </c>
      <c r="R211" s="463">
        <f t="shared" si="487"/>
        <v>2024</v>
      </c>
      <c r="S211" s="463">
        <f t="shared" si="487"/>
        <v>2024</v>
      </c>
      <c r="T211" s="463">
        <f t="shared" si="487"/>
        <v>2025</v>
      </c>
      <c r="U211" s="463">
        <f t="shared" si="487"/>
        <v>2025</v>
      </c>
      <c r="V211" s="463">
        <f t="shared" si="487"/>
        <v>2025</v>
      </c>
      <c r="W211" s="463">
        <f t="shared" si="487"/>
        <v>2025</v>
      </c>
      <c r="X211" s="463">
        <f t="shared" si="487"/>
        <v>2026</v>
      </c>
      <c r="Y211" s="463">
        <f t="shared" si="487"/>
        <v>2026</v>
      </c>
      <c r="Z211" s="463">
        <f t="shared" si="487"/>
        <v>2026</v>
      </c>
      <c r="AA211" s="463">
        <f t="shared" si="487"/>
        <v>2026</v>
      </c>
      <c r="AB211" s="463">
        <f t="shared" si="487"/>
        <v>2027</v>
      </c>
      <c r="AC211" s="463">
        <f t="shared" si="487"/>
        <v>2027</v>
      </c>
      <c r="AD211" s="463">
        <f t="shared" si="487"/>
        <v>2027</v>
      </c>
      <c r="AE211" s="463">
        <f t="shared" si="487"/>
        <v>2027</v>
      </c>
      <c r="AF211" s="463">
        <f t="shared" si="487"/>
        <v>2028</v>
      </c>
      <c r="AG211" s="463">
        <f t="shared" si="487"/>
        <v>2028</v>
      </c>
      <c r="AH211" s="463">
        <f t="shared" si="487"/>
        <v>2028</v>
      </c>
      <c r="AI211" s="463">
        <f t="shared" si="487"/>
        <v>2028</v>
      </c>
      <c r="AJ211" s="463">
        <f t="shared" si="487"/>
        <v>2029</v>
      </c>
      <c r="AK211" s="463">
        <f t="shared" si="487"/>
        <v>2029</v>
      </c>
      <c r="AL211" s="463">
        <f t="shared" si="487"/>
        <v>2029</v>
      </c>
      <c r="AM211" s="463">
        <f t="shared" si="487"/>
        <v>2029</v>
      </c>
      <c r="AN211" s="463">
        <f t="shared" si="487"/>
        <v>2030</v>
      </c>
      <c r="AO211" s="463">
        <f t="shared" si="487"/>
        <v>2030</v>
      </c>
      <c r="AP211" s="463">
        <f t="shared" si="487"/>
        <v>2030</v>
      </c>
      <c r="AQ211" s="463">
        <f t="shared" si="487"/>
        <v>2030</v>
      </c>
      <c r="AR211" s="463">
        <f t="shared" si="487"/>
        <v>2031</v>
      </c>
      <c r="AS211" s="463">
        <f t="shared" si="487"/>
        <v>2031</v>
      </c>
      <c r="AT211" s="463">
        <f t="shared" si="487"/>
        <v>2031</v>
      </c>
      <c r="AU211" s="463">
        <f t="shared" si="487"/>
        <v>2031</v>
      </c>
      <c r="AV211" s="463">
        <f t="shared" si="487"/>
        <v>2032</v>
      </c>
      <c r="AW211" s="463">
        <f t="shared" si="487"/>
        <v>2032</v>
      </c>
      <c r="AX211" s="463">
        <f t="shared" si="487"/>
        <v>2032</v>
      </c>
      <c r="AY211" s="463">
        <f t="shared" si="487"/>
        <v>2032</v>
      </c>
      <c r="AZ211" s="463">
        <f t="shared" si="487"/>
        <v>2033</v>
      </c>
      <c r="BA211" s="463">
        <f t="shared" si="487"/>
        <v>2033</v>
      </c>
      <c r="BB211" s="463">
        <f t="shared" si="487"/>
        <v>2033</v>
      </c>
      <c r="BC211" s="463">
        <f t="shared" si="487"/>
        <v>2033</v>
      </c>
      <c r="BD211" s="463">
        <f t="shared" si="487"/>
        <v>2034</v>
      </c>
      <c r="BE211" s="463">
        <f>YEAR(BE213)</f>
        <v>2034</v>
      </c>
      <c r="BF211" s="463">
        <f>YEAR(BF213)</f>
        <v>2034</v>
      </c>
      <c r="BG211" s="463">
        <f t="shared" ref="BG211:DR211" si="488">YEAR(BG213)</f>
        <v>2034</v>
      </c>
      <c r="BH211" s="463">
        <f t="shared" si="488"/>
        <v>2035</v>
      </c>
      <c r="BI211" s="463">
        <f t="shared" si="488"/>
        <v>2035</v>
      </c>
      <c r="BJ211" s="463">
        <f t="shared" si="488"/>
        <v>2035</v>
      </c>
      <c r="BK211" s="463">
        <f t="shared" si="488"/>
        <v>2035</v>
      </c>
      <c r="BL211" s="463">
        <f t="shared" si="488"/>
        <v>2036</v>
      </c>
      <c r="BM211" s="463">
        <f t="shared" si="488"/>
        <v>2036</v>
      </c>
      <c r="BN211" s="463">
        <f t="shared" si="488"/>
        <v>2036</v>
      </c>
      <c r="BO211" s="463">
        <f t="shared" si="488"/>
        <v>2036</v>
      </c>
      <c r="BP211" s="463">
        <f t="shared" si="488"/>
        <v>2037</v>
      </c>
      <c r="BQ211" s="463">
        <f t="shared" si="488"/>
        <v>2037</v>
      </c>
      <c r="BR211" s="463">
        <f t="shared" si="488"/>
        <v>2037</v>
      </c>
      <c r="BS211" s="463">
        <f t="shared" si="488"/>
        <v>2037</v>
      </c>
      <c r="BT211" s="463">
        <f t="shared" si="488"/>
        <v>2038</v>
      </c>
      <c r="BU211" s="463">
        <f t="shared" si="488"/>
        <v>2038</v>
      </c>
      <c r="BV211" s="463">
        <f t="shared" si="488"/>
        <v>2038</v>
      </c>
      <c r="BW211" s="463">
        <f t="shared" si="488"/>
        <v>2038</v>
      </c>
      <c r="BX211" s="463">
        <f t="shared" si="488"/>
        <v>2039</v>
      </c>
      <c r="BY211" s="463">
        <f t="shared" si="488"/>
        <v>2039</v>
      </c>
      <c r="BZ211" s="463">
        <f t="shared" si="488"/>
        <v>2039</v>
      </c>
      <c r="CA211" s="463">
        <f t="shared" si="488"/>
        <v>2039</v>
      </c>
      <c r="CB211" s="463">
        <f t="shared" si="488"/>
        <v>2040</v>
      </c>
      <c r="CC211" s="463">
        <f t="shared" si="488"/>
        <v>2040</v>
      </c>
      <c r="CD211" s="463">
        <f t="shared" si="488"/>
        <v>2040</v>
      </c>
      <c r="CE211" s="463">
        <f t="shared" si="488"/>
        <v>2040</v>
      </c>
      <c r="CF211" s="463">
        <f t="shared" si="488"/>
        <v>2041</v>
      </c>
      <c r="CG211" s="463">
        <f t="shared" si="488"/>
        <v>2041</v>
      </c>
      <c r="CH211" s="463">
        <f t="shared" si="488"/>
        <v>2041</v>
      </c>
      <c r="CI211" s="463">
        <f t="shared" si="488"/>
        <v>2041</v>
      </c>
      <c r="CJ211" s="463">
        <f t="shared" si="488"/>
        <v>2042</v>
      </c>
      <c r="CK211" s="463">
        <f t="shared" si="488"/>
        <v>2042</v>
      </c>
      <c r="CL211" s="463">
        <f t="shared" si="488"/>
        <v>2042</v>
      </c>
      <c r="CM211" s="463">
        <f t="shared" si="488"/>
        <v>2042</v>
      </c>
      <c r="CN211" s="463">
        <f t="shared" si="488"/>
        <v>2043</v>
      </c>
      <c r="CO211" s="463">
        <f t="shared" si="488"/>
        <v>2043</v>
      </c>
      <c r="CP211" s="463">
        <f t="shared" si="488"/>
        <v>2043</v>
      </c>
      <c r="CQ211" s="463">
        <f t="shared" si="488"/>
        <v>2043</v>
      </c>
      <c r="CR211" s="463">
        <f t="shared" si="488"/>
        <v>2044</v>
      </c>
      <c r="CS211" s="463">
        <f t="shared" si="488"/>
        <v>2044</v>
      </c>
      <c r="CT211" s="463">
        <f t="shared" si="488"/>
        <v>2044</v>
      </c>
      <c r="CU211" s="463">
        <f t="shared" si="488"/>
        <v>2044</v>
      </c>
      <c r="CV211" s="463">
        <f t="shared" si="488"/>
        <v>2045</v>
      </c>
      <c r="CW211" s="463">
        <f t="shared" si="488"/>
        <v>2045</v>
      </c>
      <c r="CX211" s="463">
        <f t="shared" si="488"/>
        <v>2045</v>
      </c>
      <c r="CY211" s="463">
        <f t="shared" si="488"/>
        <v>2045</v>
      </c>
      <c r="CZ211" s="463">
        <f t="shared" si="488"/>
        <v>2046</v>
      </c>
      <c r="DA211" s="463">
        <f t="shared" si="488"/>
        <v>2046</v>
      </c>
      <c r="DB211" s="463">
        <f t="shared" si="488"/>
        <v>2046</v>
      </c>
      <c r="DC211" s="463">
        <f t="shared" si="488"/>
        <v>2046</v>
      </c>
      <c r="DD211" s="463">
        <f t="shared" si="488"/>
        <v>2047</v>
      </c>
      <c r="DE211" s="463">
        <f t="shared" si="488"/>
        <v>2047</v>
      </c>
      <c r="DF211" s="463">
        <f t="shared" si="488"/>
        <v>2047</v>
      </c>
      <c r="DG211" s="463">
        <f t="shared" si="488"/>
        <v>2047</v>
      </c>
      <c r="DH211" s="463">
        <f t="shared" si="488"/>
        <v>2048</v>
      </c>
      <c r="DI211" s="463">
        <f t="shared" si="488"/>
        <v>2048</v>
      </c>
      <c r="DJ211" s="463">
        <f t="shared" si="488"/>
        <v>2048</v>
      </c>
      <c r="DK211" s="463">
        <f t="shared" si="488"/>
        <v>2048</v>
      </c>
      <c r="DL211" s="463">
        <f t="shared" si="488"/>
        <v>2049</v>
      </c>
      <c r="DM211" s="463">
        <f t="shared" si="488"/>
        <v>2049</v>
      </c>
      <c r="DN211" s="463">
        <f t="shared" si="488"/>
        <v>2049</v>
      </c>
      <c r="DO211" s="463">
        <f t="shared" si="488"/>
        <v>2049</v>
      </c>
      <c r="DP211" s="463">
        <f t="shared" si="488"/>
        <v>2050</v>
      </c>
      <c r="DQ211" s="463">
        <f t="shared" si="488"/>
        <v>2050</v>
      </c>
      <c r="DR211" s="463">
        <f t="shared" si="488"/>
        <v>2050</v>
      </c>
      <c r="DS211" s="463">
        <f t="shared" ref="DS211:EN211" si="489">YEAR(DS213)</f>
        <v>2050</v>
      </c>
      <c r="DT211" s="463">
        <f t="shared" si="489"/>
        <v>2051</v>
      </c>
      <c r="DU211" s="463">
        <f t="shared" si="489"/>
        <v>2051</v>
      </c>
      <c r="DV211" s="463">
        <f t="shared" si="489"/>
        <v>2051</v>
      </c>
      <c r="DW211" s="463">
        <f t="shared" si="489"/>
        <v>2051</v>
      </c>
      <c r="DX211" s="463">
        <f t="shared" si="489"/>
        <v>2052</v>
      </c>
      <c r="DY211" s="463">
        <f t="shared" si="489"/>
        <v>2052</v>
      </c>
      <c r="DZ211" s="463">
        <f t="shared" si="489"/>
        <v>2052</v>
      </c>
      <c r="EA211" s="463">
        <f t="shared" si="489"/>
        <v>2052</v>
      </c>
      <c r="EB211" s="463">
        <f t="shared" si="489"/>
        <v>2053</v>
      </c>
      <c r="EC211" s="463">
        <f t="shared" si="489"/>
        <v>2053</v>
      </c>
      <c r="ED211" s="463">
        <f t="shared" si="489"/>
        <v>2053</v>
      </c>
      <c r="EE211" s="463">
        <f t="shared" si="489"/>
        <v>2053</v>
      </c>
      <c r="EF211" s="463">
        <f t="shared" si="489"/>
        <v>2054</v>
      </c>
      <c r="EG211" s="463">
        <f t="shared" si="489"/>
        <v>2054</v>
      </c>
      <c r="EH211" s="463">
        <f t="shared" si="489"/>
        <v>2054</v>
      </c>
      <c r="EI211" s="463">
        <f t="shared" si="489"/>
        <v>2054</v>
      </c>
      <c r="EJ211" s="463">
        <f t="shared" si="489"/>
        <v>2055</v>
      </c>
      <c r="EK211" s="463">
        <f t="shared" si="489"/>
        <v>2055</v>
      </c>
      <c r="EL211" s="463">
        <f t="shared" si="489"/>
        <v>2055</v>
      </c>
      <c r="EM211" s="463">
        <f t="shared" si="489"/>
        <v>2055</v>
      </c>
      <c r="EN211" s="463">
        <f t="shared" si="489"/>
        <v>2056</v>
      </c>
    </row>
    <row r="212" spans="2:144" ht="15.75">
      <c r="B212" s="40"/>
      <c r="C212" s="22"/>
      <c r="E212" s="40"/>
      <c r="F212" s="40"/>
      <c r="G212" s="40"/>
      <c r="H212" s="464">
        <f>H193</f>
        <v>44593</v>
      </c>
      <c r="I212" s="464">
        <f t="shared" ref="I212:BT212" si="490">I193</f>
        <v>44652</v>
      </c>
      <c r="J212" s="464">
        <f t="shared" si="490"/>
        <v>44743</v>
      </c>
      <c r="K212" s="464">
        <f t="shared" si="490"/>
        <v>44835</v>
      </c>
      <c r="L212" s="464">
        <f t="shared" si="490"/>
        <v>44927</v>
      </c>
      <c r="M212" s="464">
        <f t="shared" si="490"/>
        <v>45017</v>
      </c>
      <c r="N212" s="464">
        <f t="shared" si="490"/>
        <v>45108</v>
      </c>
      <c r="O212" s="464">
        <f t="shared" si="490"/>
        <v>45200</v>
      </c>
      <c r="P212" s="464">
        <f t="shared" si="490"/>
        <v>45292</v>
      </c>
      <c r="Q212" s="464">
        <f t="shared" si="490"/>
        <v>45383</v>
      </c>
      <c r="R212" s="464">
        <f t="shared" si="490"/>
        <v>45474</v>
      </c>
      <c r="S212" s="464">
        <f t="shared" si="490"/>
        <v>45566</v>
      </c>
      <c r="T212" s="464">
        <f t="shared" si="490"/>
        <v>45658</v>
      </c>
      <c r="U212" s="464">
        <f t="shared" si="490"/>
        <v>45748</v>
      </c>
      <c r="V212" s="464">
        <f t="shared" si="490"/>
        <v>45839</v>
      </c>
      <c r="W212" s="464">
        <f t="shared" si="490"/>
        <v>45931</v>
      </c>
      <c r="X212" s="464">
        <f t="shared" si="490"/>
        <v>46023</v>
      </c>
      <c r="Y212" s="464">
        <f t="shared" si="490"/>
        <v>46113</v>
      </c>
      <c r="Z212" s="464">
        <f t="shared" si="490"/>
        <v>46204</v>
      </c>
      <c r="AA212" s="464">
        <f t="shared" si="490"/>
        <v>46296</v>
      </c>
      <c r="AB212" s="464">
        <f t="shared" si="490"/>
        <v>46388</v>
      </c>
      <c r="AC212" s="464">
        <f t="shared" si="490"/>
        <v>46478</v>
      </c>
      <c r="AD212" s="464">
        <f t="shared" si="490"/>
        <v>46569</v>
      </c>
      <c r="AE212" s="464">
        <f t="shared" si="490"/>
        <v>46661</v>
      </c>
      <c r="AF212" s="464">
        <f t="shared" si="490"/>
        <v>46753</v>
      </c>
      <c r="AG212" s="464">
        <f t="shared" si="490"/>
        <v>46844</v>
      </c>
      <c r="AH212" s="464">
        <f t="shared" si="490"/>
        <v>46935</v>
      </c>
      <c r="AI212" s="464">
        <f t="shared" si="490"/>
        <v>47027</v>
      </c>
      <c r="AJ212" s="464">
        <f t="shared" si="490"/>
        <v>47119</v>
      </c>
      <c r="AK212" s="464">
        <f t="shared" si="490"/>
        <v>47209</v>
      </c>
      <c r="AL212" s="464">
        <f t="shared" si="490"/>
        <v>47300</v>
      </c>
      <c r="AM212" s="464">
        <f t="shared" si="490"/>
        <v>47392</v>
      </c>
      <c r="AN212" s="464">
        <f t="shared" si="490"/>
        <v>47484</v>
      </c>
      <c r="AO212" s="464">
        <f t="shared" si="490"/>
        <v>47574</v>
      </c>
      <c r="AP212" s="464">
        <f t="shared" si="490"/>
        <v>47665</v>
      </c>
      <c r="AQ212" s="464">
        <f t="shared" si="490"/>
        <v>47757</v>
      </c>
      <c r="AR212" s="464">
        <f t="shared" si="490"/>
        <v>47849</v>
      </c>
      <c r="AS212" s="464">
        <f t="shared" si="490"/>
        <v>47939</v>
      </c>
      <c r="AT212" s="464">
        <f t="shared" si="490"/>
        <v>48030</v>
      </c>
      <c r="AU212" s="464">
        <f t="shared" si="490"/>
        <v>48122</v>
      </c>
      <c r="AV212" s="464">
        <f t="shared" si="490"/>
        <v>48214</v>
      </c>
      <c r="AW212" s="464">
        <f t="shared" si="490"/>
        <v>48305</v>
      </c>
      <c r="AX212" s="464">
        <f t="shared" si="490"/>
        <v>48396</v>
      </c>
      <c r="AY212" s="464">
        <f t="shared" si="490"/>
        <v>48488</v>
      </c>
      <c r="AZ212" s="464">
        <f t="shared" si="490"/>
        <v>48580</v>
      </c>
      <c r="BA212" s="464">
        <f t="shared" si="490"/>
        <v>48670</v>
      </c>
      <c r="BB212" s="464">
        <f t="shared" si="490"/>
        <v>48761</v>
      </c>
      <c r="BC212" s="464">
        <f t="shared" si="490"/>
        <v>48853</v>
      </c>
      <c r="BD212" s="464">
        <f t="shared" si="490"/>
        <v>48945</v>
      </c>
      <c r="BE212" s="464">
        <f t="shared" si="490"/>
        <v>49035</v>
      </c>
      <c r="BF212" s="464">
        <f t="shared" si="490"/>
        <v>49126</v>
      </c>
      <c r="BG212" s="464">
        <f t="shared" si="490"/>
        <v>49218</v>
      </c>
      <c r="BH212" s="464">
        <f t="shared" si="490"/>
        <v>49310</v>
      </c>
      <c r="BI212" s="464">
        <f t="shared" si="490"/>
        <v>49400</v>
      </c>
      <c r="BJ212" s="464">
        <f t="shared" si="490"/>
        <v>49491</v>
      </c>
      <c r="BK212" s="464">
        <f t="shared" si="490"/>
        <v>49583</v>
      </c>
      <c r="BL212" s="464">
        <f t="shared" si="490"/>
        <v>49675</v>
      </c>
      <c r="BM212" s="464">
        <f t="shared" si="490"/>
        <v>49766</v>
      </c>
      <c r="BN212" s="464">
        <f t="shared" si="490"/>
        <v>49857</v>
      </c>
      <c r="BO212" s="464">
        <f t="shared" si="490"/>
        <v>49949</v>
      </c>
      <c r="BP212" s="464">
        <f t="shared" si="490"/>
        <v>50041</v>
      </c>
      <c r="BQ212" s="464">
        <f t="shared" si="490"/>
        <v>50131</v>
      </c>
      <c r="BR212" s="464">
        <f t="shared" si="490"/>
        <v>50222</v>
      </c>
      <c r="BS212" s="464">
        <f t="shared" si="490"/>
        <v>50314</v>
      </c>
      <c r="BT212" s="464">
        <f t="shared" si="490"/>
        <v>50406</v>
      </c>
      <c r="BU212" s="464">
        <f t="shared" ref="BU212:EF212" si="491">BU193</f>
        <v>50496</v>
      </c>
      <c r="BV212" s="464">
        <f t="shared" si="491"/>
        <v>50587</v>
      </c>
      <c r="BW212" s="464">
        <f t="shared" si="491"/>
        <v>50679</v>
      </c>
      <c r="BX212" s="464">
        <f t="shared" si="491"/>
        <v>50771</v>
      </c>
      <c r="BY212" s="464">
        <f t="shared" si="491"/>
        <v>50861</v>
      </c>
      <c r="BZ212" s="464">
        <f t="shared" si="491"/>
        <v>50952</v>
      </c>
      <c r="CA212" s="464">
        <f t="shared" si="491"/>
        <v>51044</v>
      </c>
      <c r="CB212" s="464">
        <f t="shared" si="491"/>
        <v>51136</v>
      </c>
      <c r="CC212" s="464">
        <f t="shared" si="491"/>
        <v>51227</v>
      </c>
      <c r="CD212" s="464">
        <f t="shared" si="491"/>
        <v>51318</v>
      </c>
      <c r="CE212" s="464">
        <f t="shared" si="491"/>
        <v>51410</v>
      </c>
      <c r="CF212" s="464">
        <f t="shared" si="491"/>
        <v>51502</v>
      </c>
      <c r="CG212" s="464">
        <f t="shared" si="491"/>
        <v>51592</v>
      </c>
      <c r="CH212" s="464">
        <f t="shared" si="491"/>
        <v>51683</v>
      </c>
      <c r="CI212" s="464">
        <f t="shared" si="491"/>
        <v>51775</v>
      </c>
      <c r="CJ212" s="464">
        <f t="shared" si="491"/>
        <v>51867</v>
      </c>
      <c r="CK212" s="464">
        <f t="shared" si="491"/>
        <v>51957</v>
      </c>
      <c r="CL212" s="464">
        <f t="shared" si="491"/>
        <v>52048</v>
      </c>
      <c r="CM212" s="464">
        <f t="shared" si="491"/>
        <v>52140</v>
      </c>
      <c r="CN212" s="464">
        <f t="shared" si="491"/>
        <v>52232</v>
      </c>
      <c r="CO212" s="464">
        <f t="shared" si="491"/>
        <v>52322</v>
      </c>
      <c r="CP212" s="464">
        <f t="shared" si="491"/>
        <v>52413</v>
      </c>
      <c r="CQ212" s="464">
        <f t="shared" si="491"/>
        <v>52505</v>
      </c>
      <c r="CR212" s="464">
        <f t="shared" si="491"/>
        <v>52597</v>
      </c>
      <c r="CS212" s="464">
        <f t="shared" si="491"/>
        <v>52688</v>
      </c>
      <c r="CT212" s="464">
        <f t="shared" si="491"/>
        <v>52779</v>
      </c>
      <c r="CU212" s="464">
        <f t="shared" si="491"/>
        <v>52871</v>
      </c>
      <c r="CV212" s="464">
        <f t="shared" si="491"/>
        <v>52963</v>
      </c>
      <c r="CW212" s="464">
        <f t="shared" si="491"/>
        <v>53053</v>
      </c>
      <c r="CX212" s="464">
        <f t="shared" si="491"/>
        <v>53144</v>
      </c>
      <c r="CY212" s="464">
        <f t="shared" si="491"/>
        <v>53236</v>
      </c>
      <c r="CZ212" s="464">
        <f t="shared" si="491"/>
        <v>53328</v>
      </c>
      <c r="DA212" s="464">
        <f t="shared" si="491"/>
        <v>53418</v>
      </c>
      <c r="DB212" s="464">
        <f t="shared" si="491"/>
        <v>53509</v>
      </c>
      <c r="DC212" s="464">
        <f t="shared" si="491"/>
        <v>53601</v>
      </c>
      <c r="DD212" s="464">
        <f t="shared" si="491"/>
        <v>53693</v>
      </c>
      <c r="DE212" s="464">
        <f t="shared" si="491"/>
        <v>53783</v>
      </c>
      <c r="DF212" s="464">
        <f t="shared" si="491"/>
        <v>53874</v>
      </c>
      <c r="DG212" s="464">
        <f t="shared" si="491"/>
        <v>53966</v>
      </c>
      <c r="DH212" s="464">
        <f t="shared" si="491"/>
        <v>54058</v>
      </c>
      <c r="DI212" s="464">
        <f t="shared" si="491"/>
        <v>54149</v>
      </c>
      <c r="DJ212" s="464">
        <f t="shared" si="491"/>
        <v>54240</v>
      </c>
      <c r="DK212" s="464">
        <f t="shared" si="491"/>
        <v>54332</v>
      </c>
      <c r="DL212" s="464">
        <f t="shared" si="491"/>
        <v>54424</v>
      </c>
      <c r="DM212" s="464">
        <f t="shared" si="491"/>
        <v>54514</v>
      </c>
      <c r="DN212" s="464">
        <f t="shared" si="491"/>
        <v>54605</v>
      </c>
      <c r="DO212" s="464">
        <f t="shared" si="491"/>
        <v>54697</v>
      </c>
      <c r="DP212" s="464">
        <f t="shared" si="491"/>
        <v>54789</v>
      </c>
      <c r="DQ212" s="464">
        <f t="shared" si="491"/>
        <v>54879</v>
      </c>
      <c r="DR212" s="464">
        <f t="shared" si="491"/>
        <v>54970</v>
      </c>
      <c r="DS212" s="464">
        <f t="shared" si="491"/>
        <v>55062</v>
      </c>
      <c r="DT212" s="464">
        <f t="shared" si="491"/>
        <v>55154</v>
      </c>
      <c r="DU212" s="464">
        <f t="shared" si="491"/>
        <v>55244</v>
      </c>
      <c r="DV212" s="464">
        <f t="shared" si="491"/>
        <v>55335</v>
      </c>
      <c r="DW212" s="464">
        <f t="shared" si="491"/>
        <v>55427</v>
      </c>
      <c r="DX212" s="464">
        <f t="shared" si="491"/>
        <v>55519</v>
      </c>
      <c r="DY212" s="464">
        <f t="shared" si="491"/>
        <v>55610</v>
      </c>
      <c r="DZ212" s="464">
        <f t="shared" si="491"/>
        <v>55701</v>
      </c>
      <c r="EA212" s="464">
        <f t="shared" si="491"/>
        <v>55793</v>
      </c>
      <c r="EB212" s="464">
        <f t="shared" si="491"/>
        <v>55885</v>
      </c>
      <c r="EC212" s="464">
        <f t="shared" si="491"/>
        <v>55975</v>
      </c>
      <c r="ED212" s="464">
        <f t="shared" si="491"/>
        <v>56066</v>
      </c>
      <c r="EE212" s="464">
        <f t="shared" si="491"/>
        <v>56158</v>
      </c>
      <c r="EF212" s="464">
        <f t="shared" si="491"/>
        <v>56250</v>
      </c>
      <c r="EG212" s="464">
        <f t="shared" ref="EG212:EN212" si="492">EG193</f>
        <v>56340</v>
      </c>
      <c r="EH212" s="464">
        <f t="shared" si="492"/>
        <v>56431</v>
      </c>
      <c r="EI212" s="464">
        <f t="shared" si="492"/>
        <v>56523</v>
      </c>
      <c r="EJ212" s="464">
        <f t="shared" si="492"/>
        <v>56615</v>
      </c>
      <c r="EK212" s="464">
        <f t="shared" si="492"/>
        <v>56705</v>
      </c>
      <c r="EL212" s="464">
        <f t="shared" si="492"/>
        <v>56796</v>
      </c>
      <c r="EM212" s="464">
        <f t="shared" si="492"/>
        <v>56888</v>
      </c>
      <c r="EN212" s="464">
        <f t="shared" si="492"/>
        <v>56980</v>
      </c>
    </row>
    <row r="213" spans="2:144" ht="15.75">
      <c r="B213" s="40"/>
      <c r="C213" s="22" t="s">
        <v>488</v>
      </c>
      <c r="E213" s="42"/>
      <c r="F213" s="42"/>
      <c r="G213" s="42"/>
      <c r="H213" s="464">
        <f>H194</f>
        <v>44651</v>
      </c>
      <c r="I213" s="464">
        <f t="shared" ref="I213:BT213" si="493">I194</f>
        <v>44742</v>
      </c>
      <c r="J213" s="464">
        <f t="shared" si="493"/>
        <v>44834</v>
      </c>
      <c r="K213" s="464">
        <f t="shared" si="493"/>
        <v>44926</v>
      </c>
      <c r="L213" s="464">
        <f t="shared" si="493"/>
        <v>45016</v>
      </c>
      <c r="M213" s="464">
        <f t="shared" si="493"/>
        <v>45107</v>
      </c>
      <c r="N213" s="464">
        <f t="shared" si="493"/>
        <v>45199</v>
      </c>
      <c r="O213" s="464">
        <f t="shared" si="493"/>
        <v>45291</v>
      </c>
      <c r="P213" s="464">
        <f t="shared" si="493"/>
        <v>45382</v>
      </c>
      <c r="Q213" s="464">
        <f t="shared" si="493"/>
        <v>45473</v>
      </c>
      <c r="R213" s="464">
        <f t="shared" si="493"/>
        <v>45565</v>
      </c>
      <c r="S213" s="464">
        <f t="shared" si="493"/>
        <v>45657</v>
      </c>
      <c r="T213" s="464">
        <f t="shared" si="493"/>
        <v>45747</v>
      </c>
      <c r="U213" s="464">
        <f t="shared" si="493"/>
        <v>45838</v>
      </c>
      <c r="V213" s="464">
        <f t="shared" si="493"/>
        <v>45930</v>
      </c>
      <c r="W213" s="464">
        <f t="shared" si="493"/>
        <v>46022</v>
      </c>
      <c r="X213" s="464">
        <f t="shared" si="493"/>
        <v>46112</v>
      </c>
      <c r="Y213" s="464">
        <f t="shared" si="493"/>
        <v>46203</v>
      </c>
      <c r="Z213" s="464">
        <f t="shared" si="493"/>
        <v>46295</v>
      </c>
      <c r="AA213" s="464">
        <f t="shared" si="493"/>
        <v>46387</v>
      </c>
      <c r="AB213" s="464">
        <f t="shared" si="493"/>
        <v>46477</v>
      </c>
      <c r="AC213" s="464">
        <f t="shared" si="493"/>
        <v>46568</v>
      </c>
      <c r="AD213" s="464">
        <f t="shared" si="493"/>
        <v>46660</v>
      </c>
      <c r="AE213" s="464">
        <f t="shared" si="493"/>
        <v>46752</v>
      </c>
      <c r="AF213" s="464">
        <f t="shared" si="493"/>
        <v>46843</v>
      </c>
      <c r="AG213" s="464">
        <f t="shared" si="493"/>
        <v>46934</v>
      </c>
      <c r="AH213" s="464">
        <f t="shared" si="493"/>
        <v>47026</v>
      </c>
      <c r="AI213" s="464">
        <f t="shared" si="493"/>
        <v>47118</v>
      </c>
      <c r="AJ213" s="464">
        <f t="shared" si="493"/>
        <v>47208</v>
      </c>
      <c r="AK213" s="464">
        <f t="shared" si="493"/>
        <v>47299</v>
      </c>
      <c r="AL213" s="464">
        <f t="shared" si="493"/>
        <v>47391</v>
      </c>
      <c r="AM213" s="464">
        <f t="shared" si="493"/>
        <v>47483</v>
      </c>
      <c r="AN213" s="464">
        <f t="shared" si="493"/>
        <v>47573</v>
      </c>
      <c r="AO213" s="464">
        <f t="shared" si="493"/>
        <v>47664</v>
      </c>
      <c r="AP213" s="464">
        <f t="shared" si="493"/>
        <v>47756</v>
      </c>
      <c r="AQ213" s="464">
        <f t="shared" si="493"/>
        <v>47848</v>
      </c>
      <c r="AR213" s="464">
        <f t="shared" si="493"/>
        <v>47938</v>
      </c>
      <c r="AS213" s="464">
        <f t="shared" si="493"/>
        <v>48029</v>
      </c>
      <c r="AT213" s="464">
        <f t="shared" si="493"/>
        <v>48121</v>
      </c>
      <c r="AU213" s="464">
        <f t="shared" si="493"/>
        <v>48213</v>
      </c>
      <c r="AV213" s="464">
        <f t="shared" si="493"/>
        <v>48304</v>
      </c>
      <c r="AW213" s="464">
        <f t="shared" si="493"/>
        <v>48395</v>
      </c>
      <c r="AX213" s="464">
        <f t="shared" si="493"/>
        <v>48487</v>
      </c>
      <c r="AY213" s="464">
        <f t="shared" si="493"/>
        <v>48579</v>
      </c>
      <c r="AZ213" s="464">
        <f t="shared" si="493"/>
        <v>48669</v>
      </c>
      <c r="BA213" s="464">
        <f t="shared" si="493"/>
        <v>48760</v>
      </c>
      <c r="BB213" s="464">
        <f t="shared" si="493"/>
        <v>48852</v>
      </c>
      <c r="BC213" s="464">
        <f t="shared" si="493"/>
        <v>48944</v>
      </c>
      <c r="BD213" s="464">
        <f t="shared" si="493"/>
        <v>49034</v>
      </c>
      <c r="BE213" s="464">
        <f t="shared" si="493"/>
        <v>49125</v>
      </c>
      <c r="BF213" s="464">
        <f t="shared" si="493"/>
        <v>49217</v>
      </c>
      <c r="BG213" s="464">
        <f t="shared" si="493"/>
        <v>49309</v>
      </c>
      <c r="BH213" s="464">
        <f t="shared" si="493"/>
        <v>49399</v>
      </c>
      <c r="BI213" s="464">
        <f t="shared" si="493"/>
        <v>49490</v>
      </c>
      <c r="BJ213" s="464">
        <f t="shared" si="493"/>
        <v>49582</v>
      </c>
      <c r="BK213" s="464">
        <f t="shared" si="493"/>
        <v>49674</v>
      </c>
      <c r="BL213" s="464">
        <f t="shared" si="493"/>
        <v>49765</v>
      </c>
      <c r="BM213" s="464">
        <f t="shared" si="493"/>
        <v>49856</v>
      </c>
      <c r="BN213" s="464">
        <f t="shared" si="493"/>
        <v>49948</v>
      </c>
      <c r="BO213" s="464">
        <f t="shared" si="493"/>
        <v>50040</v>
      </c>
      <c r="BP213" s="464">
        <f t="shared" si="493"/>
        <v>50130</v>
      </c>
      <c r="BQ213" s="464">
        <f t="shared" si="493"/>
        <v>50221</v>
      </c>
      <c r="BR213" s="464">
        <f t="shared" si="493"/>
        <v>50313</v>
      </c>
      <c r="BS213" s="464">
        <f t="shared" si="493"/>
        <v>50405</v>
      </c>
      <c r="BT213" s="464">
        <f t="shared" si="493"/>
        <v>50495</v>
      </c>
      <c r="BU213" s="464">
        <f t="shared" ref="BU213:EF213" si="494">BU194</f>
        <v>50586</v>
      </c>
      <c r="BV213" s="464">
        <f t="shared" si="494"/>
        <v>50678</v>
      </c>
      <c r="BW213" s="464">
        <f t="shared" si="494"/>
        <v>50770</v>
      </c>
      <c r="BX213" s="464">
        <f t="shared" si="494"/>
        <v>50860</v>
      </c>
      <c r="BY213" s="464">
        <f t="shared" si="494"/>
        <v>50951</v>
      </c>
      <c r="BZ213" s="464">
        <f t="shared" si="494"/>
        <v>51043</v>
      </c>
      <c r="CA213" s="464">
        <f t="shared" si="494"/>
        <v>51135</v>
      </c>
      <c r="CB213" s="464">
        <f t="shared" si="494"/>
        <v>51226</v>
      </c>
      <c r="CC213" s="464">
        <f t="shared" si="494"/>
        <v>51317</v>
      </c>
      <c r="CD213" s="464">
        <f t="shared" si="494"/>
        <v>51409</v>
      </c>
      <c r="CE213" s="464">
        <f t="shared" si="494"/>
        <v>51501</v>
      </c>
      <c r="CF213" s="464">
        <f t="shared" si="494"/>
        <v>51591</v>
      </c>
      <c r="CG213" s="464">
        <f t="shared" si="494"/>
        <v>51682</v>
      </c>
      <c r="CH213" s="464">
        <f t="shared" si="494"/>
        <v>51774</v>
      </c>
      <c r="CI213" s="464">
        <f t="shared" si="494"/>
        <v>51866</v>
      </c>
      <c r="CJ213" s="464">
        <f t="shared" si="494"/>
        <v>51956</v>
      </c>
      <c r="CK213" s="464">
        <f t="shared" si="494"/>
        <v>52047</v>
      </c>
      <c r="CL213" s="464">
        <f t="shared" si="494"/>
        <v>52139</v>
      </c>
      <c r="CM213" s="464">
        <f t="shared" si="494"/>
        <v>52231</v>
      </c>
      <c r="CN213" s="464">
        <f t="shared" si="494"/>
        <v>52321</v>
      </c>
      <c r="CO213" s="464">
        <f t="shared" si="494"/>
        <v>52412</v>
      </c>
      <c r="CP213" s="464">
        <f t="shared" si="494"/>
        <v>52504</v>
      </c>
      <c r="CQ213" s="464">
        <f t="shared" si="494"/>
        <v>52596</v>
      </c>
      <c r="CR213" s="464">
        <f t="shared" si="494"/>
        <v>52687</v>
      </c>
      <c r="CS213" s="464">
        <f t="shared" si="494"/>
        <v>52778</v>
      </c>
      <c r="CT213" s="464">
        <f t="shared" si="494"/>
        <v>52870</v>
      </c>
      <c r="CU213" s="464">
        <f t="shared" si="494"/>
        <v>52962</v>
      </c>
      <c r="CV213" s="464">
        <f t="shared" si="494"/>
        <v>53052</v>
      </c>
      <c r="CW213" s="464">
        <f t="shared" si="494"/>
        <v>53143</v>
      </c>
      <c r="CX213" s="464">
        <f t="shared" si="494"/>
        <v>53235</v>
      </c>
      <c r="CY213" s="464">
        <f t="shared" si="494"/>
        <v>53327</v>
      </c>
      <c r="CZ213" s="464">
        <f t="shared" si="494"/>
        <v>53417</v>
      </c>
      <c r="DA213" s="464">
        <f t="shared" si="494"/>
        <v>53508</v>
      </c>
      <c r="DB213" s="464">
        <f t="shared" si="494"/>
        <v>53600</v>
      </c>
      <c r="DC213" s="464">
        <f t="shared" si="494"/>
        <v>53692</v>
      </c>
      <c r="DD213" s="464">
        <f t="shared" si="494"/>
        <v>53782</v>
      </c>
      <c r="DE213" s="464">
        <f t="shared" si="494"/>
        <v>53873</v>
      </c>
      <c r="DF213" s="464">
        <f t="shared" si="494"/>
        <v>53965</v>
      </c>
      <c r="DG213" s="464">
        <f t="shared" si="494"/>
        <v>54057</v>
      </c>
      <c r="DH213" s="464">
        <f t="shared" si="494"/>
        <v>54148</v>
      </c>
      <c r="DI213" s="464">
        <f t="shared" si="494"/>
        <v>54239</v>
      </c>
      <c r="DJ213" s="464">
        <f t="shared" si="494"/>
        <v>54331</v>
      </c>
      <c r="DK213" s="464">
        <f t="shared" si="494"/>
        <v>54423</v>
      </c>
      <c r="DL213" s="464">
        <f t="shared" si="494"/>
        <v>54513</v>
      </c>
      <c r="DM213" s="464">
        <f t="shared" si="494"/>
        <v>54604</v>
      </c>
      <c r="DN213" s="464">
        <f t="shared" si="494"/>
        <v>54696</v>
      </c>
      <c r="DO213" s="464">
        <f t="shared" si="494"/>
        <v>54788</v>
      </c>
      <c r="DP213" s="464">
        <f t="shared" si="494"/>
        <v>54878</v>
      </c>
      <c r="DQ213" s="464">
        <f t="shared" si="494"/>
        <v>54969</v>
      </c>
      <c r="DR213" s="464">
        <f t="shared" si="494"/>
        <v>55061</v>
      </c>
      <c r="DS213" s="464">
        <f t="shared" si="494"/>
        <v>55153</v>
      </c>
      <c r="DT213" s="464">
        <f t="shared" si="494"/>
        <v>55243</v>
      </c>
      <c r="DU213" s="464">
        <f t="shared" si="494"/>
        <v>55334</v>
      </c>
      <c r="DV213" s="464">
        <f t="shared" si="494"/>
        <v>55426</v>
      </c>
      <c r="DW213" s="464">
        <f t="shared" si="494"/>
        <v>55518</v>
      </c>
      <c r="DX213" s="464">
        <f t="shared" si="494"/>
        <v>55609</v>
      </c>
      <c r="DY213" s="464">
        <f t="shared" si="494"/>
        <v>55700</v>
      </c>
      <c r="DZ213" s="464">
        <f t="shared" si="494"/>
        <v>55792</v>
      </c>
      <c r="EA213" s="464">
        <f t="shared" si="494"/>
        <v>55884</v>
      </c>
      <c r="EB213" s="464">
        <f t="shared" si="494"/>
        <v>55974</v>
      </c>
      <c r="EC213" s="464">
        <f t="shared" si="494"/>
        <v>56065</v>
      </c>
      <c r="ED213" s="464">
        <f t="shared" si="494"/>
        <v>56157</v>
      </c>
      <c r="EE213" s="464">
        <f t="shared" si="494"/>
        <v>56249</v>
      </c>
      <c r="EF213" s="464">
        <f t="shared" si="494"/>
        <v>56339</v>
      </c>
      <c r="EG213" s="464">
        <f t="shared" ref="EG213:EN213" si="495">EG194</f>
        <v>56430</v>
      </c>
      <c r="EH213" s="464">
        <f t="shared" si="495"/>
        <v>56522</v>
      </c>
      <c r="EI213" s="464">
        <f t="shared" si="495"/>
        <v>56614</v>
      </c>
      <c r="EJ213" s="464">
        <f t="shared" si="495"/>
        <v>56704</v>
      </c>
      <c r="EK213" s="464">
        <f t="shared" si="495"/>
        <v>56795</v>
      </c>
      <c r="EL213" s="464">
        <f t="shared" si="495"/>
        <v>56887</v>
      </c>
      <c r="EM213" s="464">
        <f t="shared" si="495"/>
        <v>56979</v>
      </c>
      <c r="EN213" s="464">
        <f t="shared" si="495"/>
        <v>57070</v>
      </c>
    </row>
    <row r="214" spans="2:144">
      <c r="B214" s="40"/>
      <c r="C214" s="465" t="str">
        <f>C185</f>
        <v>Остаточная ст-ть</v>
      </c>
      <c r="D214" s="465"/>
      <c r="E214" s="465"/>
      <c r="F214" s="465"/>
      <c r="G214" s="465"/>
      <c r="H214" s="465"/>
      <c r="I214" s="465"/>
      <c r="J214" s="465"/>
      <c r="K214" s="465"/>
      <c r="L214" s="465"/>
      <c r="M214" s="465"/>
      <c r="N214" s="465"/>
      <c r="O214" s="465"/>
      <c r="P214" s="465"/>
      <c r="Q214" s="465"/>
      <c r="R214" s="465"/>
      <c r="S214" s="465"/>
      <c r="T214" s="465"/>
      <c r="U214" s="465"/>
      <c r="V214" s="465"/>
      <c r="W214" s="465"/>
      <c r="X214" s="465"/>
      <c r="Y214" s="465"/>
      <c r="Z214" s="465"/>
      <c r="AA214" s="465"/>
      <c r="AB214" s="465"/>
      <c r="AC214" s="465"/>
      <c r="AD214" s="465"/>
      <c r="AE214" s="465"/>
      <c r="AF214" s="465"/>
      <c r="AG214" s="465"/>
      <c r="AH214" s="465"/>
      <c r="AI214" s="465"/>
      <c r="AJ214" s="465"/>
      <c r="AK214" s="465"/>
      <c r="AL214" s="465"/>
      <c r="AM214" s="465"/>
      <c r="AN214" s="465"/>
      <c r="AO214" s="465"/>
      <c r="AP214" s="465"/>
      <c r="AQ214" s="465"/>
      <c r="AR214" s="465"/>
      <c r="AS214" s="465"/>
      <c r="AT214" s="465"/>
      <c r="AU214" s="465"/>
      <c r="AV214" s="465"/>
      <c r="AW214" s="465"/>
      <c r="AX214" s="465"/>
      <c r="AY214" s="465"/>
      <c r="AZ214" s="465"/>
      <c r="BA214" s="465"/>
      <c r="BB214" s="465"/>
      <c r="BC214" s="465"/>
      <c r="BD214" s="465"/>
      <c r="BE214" s="465"/>
      <c r="BF214" s="465"/>
      <c r="BG214" s="465"/>
      <c r="BH214" s="465"/>
      <c r="BI214" s="465"/>
      <c r="BJ214" s="465"/>
      <c r="BK214" s="465"/>
      <c r="BL214" s="465"/>
      <c r="BM214" s="465"/>
      <c r="BN214" s="465"/>
      <c r="BO214" s="465"/>
      <c r="BP214" s="465"/>
      <c r="BQ214" s="465"/>
      <c r="BR214" s="465"/>
      <c r="BS214" s="465"/>
      <c r="BT214" s="465"/>
      <c r="BU214" s="465"/>
      <c r="BV214" s="465"/>
      <c r="BW214" s="465"/>
      <c r="BX214" s="465"/>
      <c r="BY214" s="465"/>
      <c r="BZ214" s="465"/>
      <c r="CA214" s="465"/>
      <c r="CB214" s="465"/>
      <c r="CC214" s="465"/>
      <c r="CD214" s="465"/>
      <c r="CE214" s="465"/>
      <c r="CF214" s="465"/>
      <c r="CG214" s="465"/>
      <c r="CH214" s="465"/>
      <c r="CI214" s="465"/>
      <c r="CJ214" s="465"/>
      <c r="CK214" s="465"/>
      <c r="CL214" s="465"/>
      <c r="CM214" s="465"/>
      <c r="CN214" s="465"/>
      <c r="CO214" s="465"/>
      <c r="CP214" s="465"/>
      <c r="CQ214" s="465"/>
      <c r="CR214" s="465"/>
      <c r="CS214" s="465"/>
      <c r="CT214" s="465"/>
      <c r="CU214" s="465"/>
      <c r="CV214" s="465"/>
      <c r="CW214" s="465"/>
      <c r="CX214" s="465"/>
      <c r="CY214" s="465"/>
      <c r="CZ214" s="465"/>
      <c r="DA214" s="465"/>
      <c r="DB214" s="465"/>
      <c r="DC214" s="465"/>
      <c r="DD214" s="465"/>
      <c r="DE214" s="465"/>
      <c r="DF214" s="465"/>
      <c r="DG214" s="465"/>
      <c r="DH214" s="465"/>
      <c r="DI214" s="465"/>
      <c r="DJ214" s="465"/>
      <c r="DK214" s="465"/>
      <c r="DL214" s="465"/>
      <c r="DM214" s="465"/>
      <c r="DN214" s="465"/>
      <c r="DO214" s="465"/>
      <c r="DP214" s="465"/>
      <c r="DQ214" s="465"/>
      <c r="DR214" s="465"/>
      <c r="DS214" s="465"/>
      <c r="DT214" s="465"/>
      <c r="DU214" s="465"/>
      <c r="DV214" s="465"/>
      <c r="DW214" s="465"/>
      <c r="DX214" s="465"/>
      <c r="DY214" s="465"/>
      <c r="DZ214" s="465"/>
      <c r="EA214" s="465"/>
      <c r="EB214" s="465"/>
      <c r="EC214" s="465"/>
      <c r="ED214" s="465"/>
      <c r="EE214" s="465"/>
      <c r="EF214" s="465"/>
      <c r="EG214" s="465"/>
      <c r="EH214" s="465"/>
      <c r="EI214" s="465"/>
      <c r="EJ214" s="465"/>
      <c r="EK214" s="465"/>
      <c r="EL214" s="465"/>
      <c r="EM214" s="465"/>
      <c r="EN214" s="465"/>
    </row>
    <row r="215" spans="2:144">
      <c r="C215" s="151" t="str">
        <f t="shared" ref="C215:C229" si="496">C196</f>
        <v>Гостиница 5*</v>
      </c>
      <c r="D215" s="45"/>
      <c r="E215" s="44"/>
      <c r="F215" s="44"/>
      <c r="G215" s="45"/>
      <c r="H215" s="44">
        <f t="shared" ref="H215:AM215" si="497">H31</f>
        <v>0</v>
      </c>
      <c r="I215" s="44">
        <f t="shared" si="497"/>
        <v>0</v>
      </c>
      <c r="J215" s="44">
        <f t="shared" si="497"/>
        <v>0</v>
      </c>
      <c r="K215" s="44">
        <f t="shared" si="497"/>
        <v>0</v>
      </c>
      <c r="L215" s="44">
        <f t="shared" si="497"/>
        <v>0</v>
      </c>
      <c r="M215" s="44">
        <f t="shared" si="497"/>
        <v>0</v>
      </c>
      <c r="N215" s="44">
        <f t="shared" si="497"/>
        <v>0</v>
      </c>
      <c r="O215" s="44">
        <f t="shared" si="497"/>
        <v>0</v>
      </c>
      <c r="P215" s="44">
        <f t="shared" si="497"/>
        <v>0</v>
      </c>
      <c r="Q215" s="44">
        <f t="shared" si="497"/>
        <v>0</v>
      </c>
      <c r="R215" s="44">
        <f t="shared" si="497"/>
        <v>0</v>
      </c>
      <c r="S215" s="44">
        <f t="shared" si="497"/>
        <v>0</v>
      </c>
      <c r="T215" s="44">
        <f t="shared" si="497"/>
        <v>0</v>
      </c>
      <c r="U215" s="44">
        <f t="shared" si="497"/>
        <v>0</v>
      </c>
      <c r="V215" s="44">
        <f t="shared" si="497"/>
        <v>0</v>
      </c>
      <c r="W215" s="44">
        <f t="shared" si="497"/>
        <v>0</v>
      </c>
      <c r="X215" s="44">
        <f t="shared" si="497"/>
        <v>0</v>
      </c>
      <c r="Y215" s="44">
        <f t="shared" si="497"/>
        <v>0</v>
      </c>
      <c r="Z215" s="44">
        <f t="shared" si="497"/>
        <v>2118528291.7622168</v>
      </c>
      <c r="AA215" s="44">
        <f t="shared" si="497"/>
        <v>2100725533.0079124</v>
      </c>
      <c r="AB215" s="44">
        <f t="shared" si="497"/>
        <v>2082922774.253608</v>
      </c>
      <c r="AC215" s="44">
        <f t="shared" si="497"/>
        <v>2065120015.4993036</v>
      </c>
      <c r="AD215" s="44">
        <f t="shared" si="497"/>
        <v>2047317256.7449992</v>
      </c>
      <c r="AE215" s="44">
        <f t="shared" si="497"/>
        <v>2029514497.9906948</v>
      </c>
      <c r="AF215" s="44">
        <f t="shared" si="497"/>
        <v>2011711739.2363904</v>
      </c>
      <c r="AG215" s="44">
        <f t="shared" si="497"/>
        <v>1993908980.4820859</v>
      </c>
      <c r="AH215" s="44">
        <f t="shared" si="497"/>
        <v>1976106221.7277815</v>
      </c>
      <c r="AI215" s="44">
        <f t="shared" si="497"/>
        <v>1958303462.9734771</v>
      </c>
      <c r="AJ215" s="44">
        <f t="shared" si="497"/>
        <v>1940500704.2191727</v>
      </c>
      <c r="AK215" s="44">
        <f t="shared" si="497"/>
        <v>1922697945.4648683</v>
      </c>
      <c r="AL215" s="44">
        <f t="shared" si="497"/>
        <v>1904895186.7105639</v>
      </c>
      <c r="AM215" s="44">
        <f t="shared" si="497"/>
        <v>1887092427.9562595</v>
      </c>
      <c r="AN215" s="44">
        <f t="shared" ref="AN215:BS215" si="498">AN31</f>
        <v>1869289669.2019551</v>
      </c>
      <c r="AO215" s="44">
        <f t="shared" si="498"/>
        <v>1851486910.4476507</v>
      </c>
      <c r="AP215" s="44">
        <f t="shared" si="498"/>
        <v>1833684151.6933463</v>
      </c>
      <c r="AQ215" s="44">
        <f t="shared" si="498"/>
        <v>1815881392.9390419</v>
      </c>
      <c r="AR215" s="44">
        <f t="shared" si="498"/>
        <v>1798078634.1847374</v>
      </c>
      <c r="AS215" s="44">
        <f t="shared" si="498"/>
        <v>1780275875.430433</v>
      </c>
      <c r="AT215" s="44">
        <f t="shared" si="498"/>
        <v>1762473116.6761286</v>
      </c>
      <c r="AU215" s="44">
        <f t="shared" si="498"/>
        <v>1744670357.9218242</v>
      </c>
      <c r="AV215" s="44">
        <f t="shared" si="498"/>
        <v>1726867599.1675198</v>
      </c>
      <c r="AW215" s="44">
        <f t="shared" si="498"/>
        <v>1709064840.4132154</v>
      </c>
      <c r="AX215" s="44">
        <f t="shared" si="498"/>
        <v>1691262081.658911</v>
      </c>
      <c r="AY215" s="44">
        <f t="shared" si="498"/>
        <v>1673459322.9046066</v>
      </c>
      <c r="AZ215" s="44">
        <f t="shared" si="498"/>
        <v>1655656564.1503022</v>
      </c>
      <c r="BA215" s="44">
        <f t="shared" si="498"/>
        <v>1637853805.3959978</v>
      </c>
      <c r="BB215" s="44">
        <f t="shared" si="498"/>
        <v>1620051046.6416934</v>
      </c>
      <c r="BC215" s="44">
        <f t="shared" si="498"/>
        <v>1602248287.8873889</v>
      </c>
      <c r="BD215" s="44">
        <f t="shared" si="498"/>
        <v>1584445529.1330845</v>
      </c>
      <c r="BE215" s="44">
        <f t="shared" si="498"/>
        <v>1566642770.3787801</v>
      </c>
      <c r="BF215" s="44">
        <f t="shared" si="498"/>
        <v>1548840011.6244757</v>
      </c>
      <c r="BG215" s="44">
        <f t="shared" si="498"/>
        <v>1531037252.8701713</v>
      </c>
      <c r="BH215" s="44">
        <f t="shared" si="498"/>
        <v>1513234494.1158669</v>
      </c>
      <c r="BI215" s="44">
        <f t="shared" si="498"/>
        <v>1495431735.3615625</v>
      </c>
      <c r="BJ215" s="44">
        <f t="shared" si="498"/>
        <v>1477628976.6072581</v>
      </c>
      <c r="BK215" s="44">
        <f t="shared" si="498"/>
        <v>1459826217.8529537</v>
      </c>
      <c r="BL215" s="44">
        <f t="shared" si="498"/>
        <v>1442023459.0986493</v>
      </c>
      <c r="BM215" s="44">
        <f t="shared" si="498"/>
        <v>1424220700.3443449</v>
      </c>
      <c r="BN215" s="44">
        <f t="shared" si="498"/>
        <v>1406417941.5900404</v>
      </c>
      <c r="BO215" s="44">
        <f t="shared" si="498"/>
        <v>1388615182.835736</v>
      </c>
      <c r="BP215" s="44">
        <f t="shared" si="498"/>
        <v>1370812424.0814316</v>
      </c>
      <c r="BQ215" s="44">
        <f t="shared" si="498"/>
        <v>1353009665.3271272</v>
      </c>
      <c r="BR215" s="44">
        <f t="shared" si="498"/>
        <v>1335206906.5728228</v>
      </c>
      <c r="BS215" s="44">
        <f t="shared" si="498"/>
        <v>1317404147.8185184</v>
      </c>
      <c r="BT215" s="44">
        <f t="shared" ref="BT215:CY215" si="499">BT31</f>
        <v>1299601389.064214</v>
      </c>
      <c r="BU215" s="44">
        <f t="shared" si="499"/>
        <v>1281798630.3099096</v>
      </c>
      <c r="BV215" s="44">
        <f t="shared" si="499"/>
        <v>1263995871.5556052</v>
      </c>
      <c r="BW215" s="44">
        <f t="shared" si="499"/>
        <v>1246193112.8013008</v>
      </c>
      <c r="BX215" s="44">
        <f t="shared" si="499"/>
        <v>1228390354.0469964</v>
      </c>
      <c r="BY215" s="44">
        <f t="shared" si="499"/>
        <v>1210587595.2926919</v>
      </c>
      <c r="BZ215" s="44">
        <f t="shared" si="499"/>
        <v>1192784836.5383875</v>
      </c>
      <c r="CA215" s="44">
        <f t="shared" si="499"/>
        <v>1174982077.7840831</v>
      </c>
      <c r="CB215" s="44">
        <f t="shared" si="499"/>
        <v>1157179319.0297787</v>
      </c>
      <c r="CC215" s="44">
        <f t="shared" si="499"/>
        <v>1139376560.2754743</v>
      </c>
      <c r="CD215" s="44">
        <f t="shared" si="499"/>
        <v>1121573801.5211699</v>
      </c>
      <c r="CE215" s="44">
        <f t="shared" si="499"/>
        <v>1103771042.7668655</v>
      </c>
      <c r="CF215" s="44">
        <f t="shared" si="499"/>
        <v>1085968284.0125611</v>
      </c>
      <c r="CG215" s="44">
        <f t="shared" si="499"/>
        <v>1068165525.2582568</v>
      </c>
      <c r="CH215" s="44">
        <f t="shared" si="499"/>
        <v>1050362766.5039525</v>
      </c>
      <c r="CI215" s="44">
        <f t="shared" si="499"/>
        <v>1032560007.7496482</v>
      </c>
      <c r="CJ215" s="44">
        <f t="shared" si="499"/>
        <v>1014757248.9953439</v>
      </c>
      <c r="CK215" s="44">
        <f t="shared" si="499"/>
        <v>996954490.24103963</v>
      </c>
      <c r="CL215" s="44">
        <f t="shared" si="499"/>
        <v>979151731.48673534</v>
      </c>
      <c r="CM215" s="44">
        <f t="shared" si="499"/>
        <v>961348972.73243105</v>
      </c>
      <c r="CN215" s="44">
        <f t="shared" si="499"/>
        <v>943546213.97812676</v>
      </c>
      <c r="CO215" s="44">
        <f t="shared" si="499"/>
        <v>925743455.22382247</v>
      </c>
      <c r="CP215" s="44">
        <f t="shared" si="499"/>
        <v>907940696.46951818</v>
      </c>
      <c r="CQ215" s="44">
        <f t="shared" si="499"/>
        <v>890137937.71521389</v>
      </c>
      <c r="CR215" s="44">
        <f t="shared" si="499"/>
        <v>872335178.96090961</v>
      </c>
      <c r="CS215" s="44">
        <f t="shared" si="499"/>
        <v>854532420.20660532</v>
      </c>
      <c r="CT215" s="44">
        <f t="shared" si="499"/>
        <v>836729661.45230103</v>
      </c>
      <c r="CU215" s="44">
        <f t="shared" si="499"/>
        <v>818926902.69799674</v>
      </c>
      <c r="CV215" s="44">
        <f t="shared" si="499"/>
        <v>801124143.94369245</v>
      </c>
      <c r="CW215" s="44">
        <f t="shared" si="499"/>
        <v>783321385.18938816</v>
      </c>
      <c r="CX215" s="44">
        <f t="shared" si="499"/>
        <v>765518626.43508387</v>
      </c>
      <c r="CY215" s="44">
        <f t="shared" si="499"/>
        <v>747715867.68077958</v>
      </c>
      <c r="CZ215" s="44">
        <f t="shared" ref="CZ215:EE215" si="500">CZ31</f>
        <v>729913108.92647529</v>
      </c>
      <c r="DA215" s="44">
        <f t="shared" si="500"/>
        <v>712110350.172171</v>
      </c>
      <c r="DB215" s="44">
        <f t="shared" si="500"/>
        <v>694307591.41786671</v>
      </c>
      <c r="DC215" s="44">
        <f t="shared" si="500"/>
        <v>676504832.66356242</v>
      </c>
      <c r="DD215" s="44">
        <f t="shared" si="500"/>
        <v>658702073.90925813</v>
      </c>
      <c r="DE215" s="44">
        <f t="shared" si="500"/>
        <v>640899315.15495384</v>
      </c>
      <c r="DF215" s="44">
        <f t="shared" si="500"/>
        <v>623096556.40064955</v>
      </c>
      <c r="DG215" s="44">
        <f t="shared" si="500"/>
        <v>605293797.64634526</v>
      </c>
      <c r="DH215" s="44">
        <f t="shared" si="500"/>
        <v>587491038.89204097</v>
      </c>
      <c r="DI215" s="44">
        <f t="shared" si="500"/>
        <v>569688280.13773668</v>
      </c>
      <c r="DJ215" s="44">
        <f t="shared" si="500"/>
        <v>551885521.38343239</v>
      </c>
      <c r="DK215" s="44">
        <f t="shared" si="500"/>
        <v>534082762.62912804</v>
      </c>
      <c r="DL215" s="44">
        <f t="shared" si="500"/>
        <v>516280003.87482369</v>
      </c>
      <c r="DM215" s="44">
        <f t="shared" si="500"/>
        <v>498477245.12051934</v>
      </c>
      <c r="DN215" s="44">
        <f t="shared" si="500"/>
        <v>480674486.36621499</v>
      </c>
      <c r="DO215" s="44">
        <f t="shared" si="500"/>
        <v>462871727.61191064</v>
      </c>
      <c r="DP215" s="44">
        <f t="shared" si="500"/>
        <v>445068968.85760629</v>
      </c>
      <c r="DQ215" s="44">
        <f t="shared" si="500"/>
        <v>427266210.10330194</v>
      </c>
      <c r="DR215" s="44">
        <f t="shared" si="500"/>
        <v>409463451.34899759</v>
      </c>
      <c r="DS215" s="44">
        <f t="shared" si="500"/>
        <v>391660692.59469324</v>
      </c>
      <c r="DT215" s="44">
        <f t="shared" si="500"/>
        <v>373857933.84038889</v>
      </c>
      <c r="DU215" s="44">
        <f t="shared" si="500"/>
        <v>356055175.08608454</v>
      </c>
      <c r="DV215" s="44">
        <f t="shared" si="500"/>
        <v>338252416.3317802</v>
      </c>
      <c r="DW215" s="44">
        <f t="shared" si="500"/>
        <v>320449657.57747585</v>
      </c>
      <c r="DX215" s="44">
        <f t="shared" si="500"/>
        <v>302646898.8231715</v>
      </c>
      <c r="DY215" s="44">
        <f t="shared" si="500"/>
        <v>284844140.06886715</v>
      </c>
      <c r="DZ215" s="44">
        <f t="shared" si="500"/>
        <v>267041381.3145628</v>
      </c>
      <c r="EA215" s="44">
        <f t="shared" si="500"/>
        <v>249238622.56025845</v>
      </c>
      <c r="EB215" s="44">
        <f t="shared" si="500"/>
        <v>231435863.8059541</v>
      </c>
      <c r="EC215" s="44">
        <f t="shared" si="500"/>
        <v>213633105.05164975</v>
      </c>
      <c r="ED215" s="44">
        <f t="shared" si="500"/>
        <v>195830346.2973454</v>
      </c>
      <c r="EE215" s="44">
        <f t="shared" si="500"/>
        <v>178027587.54304105</v>
      </c>
      <c r="EF215" s="44">
        <f t="shared" ref="EF215:EN215" si="501">EF31</f>
        <v>160224828.7887367</v>
      </c>
      <c r="EG215" s="44">
        <f t="shared" si="501"/>
        <v>142422070.03443235</v>
      </c>
      <c r="EH215" s="44">
        <f t="shared" si="501"/>
        <v>124619311.280128</v>
      </c>
      <c r="EI215" s="44">
        <f t="shared" si="501"/>
        <v>106816552.52582365</v>
      </c>
      <c r="EJ215" s="44">
        <f t="shared" si="501"/>
        <v>89013793.771519303</v>
      </c>
      <c r="EK215" s="44">
        <f t="shared" si="501"/>
        <v>71211035.017214954</v>
      </c>
      <c r="EL215" s="44">
        <f t="shared" si="501"/>
        <v>53408276.262910612</v>
      </c>
      <c r="EM215" s="44">
        <f t="shared" si="501"/>
        <v>35605517.50860627</v>
      </c>
      <c r="EN215" s="44">
        <f t="shared" si="501"/>
        <v>17802758.754301928</v>
      </c>
    </row>
    <row r="216" spans="2:144">
      <c r="C216" s="151" t="str">
        <f t="shared" si="496"/>
        <v>Гостиница 4*</v>
      </c>
      <c r="D216" s="45"/>
      <c r="E216" s="44"/>
      <c r="F216" s="44"/>
      <c r="G216" s="45"/>
      <c r="H216" s="44">
        <f t="shared" ref="H216:AM216" si="502">H42</f>
        <v>0</v>
      </c>
      <c r="I216" s="44">
        <f t="shared" si="502"/>
        <v>0</v>
      </c>
      <c r="J216" s="44">
        <f t="shared" si="502"/>
        <v>0</v>
      </c>
      <c r="K216" s="44">
        <f t="shared" si="502"/>
        <v>0</v>
      </c>
      <c r="L216" s="44">
        <f t="shared" si="502"/>
        <v>0</v>
      </c>
      <c r="M216" s="44">
        <f t="shared" si="502"/>
        <v>0</v>
      </c>
      <c r="N216" s="44">
        <f t="shared" si="502"/>
        <v>0</v>
      </c>
      <c r="O216" s="44">
        <f t="shared" si="502"/>
        <v>0</v>
      </c>
      <c r="P216" s="44">
        <f t="shared" si="502"/>
        <v>0</v>
      </c>
      <c r="Q216" s="44">
        <f t="shared" si="502"/>
        <v>0</v>
      </c>
      <c r="R216" s="44">
        <f t="shared" si="502"/>
        <v>0</v>
      </c>
      <c r="S216" s="44">
        <f t="shared" si="502"/>
        <v>0</v>
      </c>
      <c r="T216" s="44">
        <f t="shared" si="502"/>
        <v>0</v>
      </c>
      <c r="U216" s="44">
        <f t="shared" si="502"/>
        <v>0</v>
      </c>
      <c r="V216" s="44">
        <f t="shared" si="502"/>
        <v>0</v>
      </c>
      <c r="W216" s="44">
        <f t="shared" si="502"/>
        <v>0</v>
      </c>
      <c r="X216" s="44">
        <f t="shared" si="502"/>
        <v>0</v>
      </c>
      <c r="Y216" s="44">
        <f t="shared" si="502"/>
        <v>0</v>
      </c>
      <c r="Z216" s="44">
        <f t="shared" si="502"/>
        <v>2006179277.2147398</v>
      </c>
      <c r="AA216" s="44">
        <f t="shared" si="502"/>
        <v>1989320627.8263807</v>
      </c>
      <c r="AB216" s="44">
        <f t="shared" si="502"/>
        <v>1972461978.4380217</v>
      </c>
      <c r="AC216" s="44">
        <f t="shared" si="502"/>
        <v>1955603329.0496626</v>
      </c>
      <c r="AD216" s="44">
        <f t="shared" si="502"/>
        <v>1938744679.6613035</v>
      </c>
      <c r="AE216" s="44">
        <f t="shared" si="502"/>
        <v>1921886030.2729445</v>
      </c>
      <c r="AF216" s="44">
        <f t="shared" si="502"/>
        <v>1905027380.8845854</v>
      </c>
      <c r="AG216" s="44">
        <f t="shared" si="502"/>
        <v>1888168731.4962263</v>
      </c>
      <c r="AH216" s="44">
        <f t="shared" si="502"/>
        <v>1871310082.1078672</v>
      </c>
      <c r="AI216" s="44">
        <f t="shared" si="502"/>
        <v>1854451432.7195082</v>
      </c>
      <c r="AJ216" s="44">
        <f t="shared" si="502"/>
        <v>1837592783.3311491</v>
      </c>
      <c r="AK216" s="44">
        <f t="shared" si="502"/>
        <v>1820734133.94279</v>
      </c>
      <c r="AL216" s="44">
        <f t="shared" si="502"/>
        <v>1803875484.554431</v>
      </c>
      <c r="AM216" s="44">
        <f t="shared" si="502"/>
        <v>1787016835.1660719</v>
      </c>
      <c r="AN216" s="44">
        <f t="shared" ref="AN216:BS216" si="503">AN42</f>
        <v>1770158185.7777128</v>
      </c>
      <c r="AO216" s="44">
        <f t="shared" si="503"/>
        <v>1753299536.3893538</v>
      </c>
      <c r="AP216" s="44">
        <f t="shared" si="503"/>
        <v>1736440887.0009947</v>
      </c>
      <c r="AQ216" s="44">
        <f t="shared" si="503"/>
        <v>1719582237.6126356</v>
      </c>
      <c r="AR216" s="44">
        <f t="shared" si="503"/>
        <v>1702723588.2242765</v>
      </c>
      <c r="AS216" s="44">
        <f t="shared" si="503"/>
        <v>1685864938.8359175</v>
      </c>
      <c r="AT216" s="44">
        <f t="shared" si="503"/>
        <v>1669006289.4475584</v>
      </c>
      <c r="AU216" s="44">
        <f t="shared" si="503"/>
        <v>1652147640.0591993</v>
      </c>
      <c r="AV216" s="44">
        <f t="shared" si="503"/>
        <v>1635288990.6708403</v>
      </c>
      <c r="AW216" s="44">
        <f t="shared" si="503"/>
        <v>1618430341.2824812</v>
      </c>
      <c r="AX216" s="44">
        <f t="shared" si="503"/>
        <v>1601571691.8941221</v>
      </c>
      <c r="AY216" s="44">
        <f t="shared" si="503"/>
        <v>1584713042.5057631</v>
      </c>
      <c r="AZ216" s="44">
        <f t="shared" si="503"/>
        <v>1567854393.117404</v>
      </c>
      <c r="BA216" s="44">
        <f t="shared" si="503"/>
        <v>1550995743.7290449</v>
      </c>
      <c r="BB216" s="44">
        <f t="shared" si="503"/>
        <v>1534137094.3406858</v>
      </c>
      <c r="BC216" s="44">
        <f t="shared" si="503"/>
        <v>1517278444.9523268</v>
      </c>
      <c r="BD216" s="44">
        <f t="shared" si="503"/>
        <v>1500419795.5639677</v>
      </c>
      <c r="BE216" s="44">
        <f t="shared" si="503"/>
        <v>1483561146.1756086</v>
      </c>
      <c r="BF216" s="44">
        <f t="shared" si="503"/>
        <v>1466702496.7872496</v>
      </c>
      <c r="BG216" s="44">
        <f t="shared" si="503"/>
        <v>1449843847.3988905</v>
      </c>
      <c r="BH216" s="44">
        <f t="shared" si="503"/>
        <v>1432985198.0105314</v>
      </c>
      <c r="BI216" s="44">
        <f t="shared" si="503"/>
        <v>1416126548.6221724</v>
      </c>
      <c r="BJ216" s="44">
        <f t="shared" si="503"/>
        <v>1399267899.2338133</v>
      </c>
      <c r="BK216" s="44">
        <f t="shared" si="503"/>
        <v>1382409249.8454542</v>
      </c>
      <c r="BL216" s="44">
        <f t="shared" si="503"/>
        <v>1365550600.4570951</v>
      </c>
      <c r="BM216" s="44">
        <f t="shared" si="503"/>
        <v>1348691951.0687361</v>
      </c>
      <c r="BN216" s="44">
        <f t="shared" si="503"/>
        <v>1331833301.680377</v>
      </c>
      <c r="BO216" s="44">
        <f t="shared" si="503"/>
        <v>1314974652.2920179</v>
      </c>
      <c r="BP216" s="44">
        <f t="shared" si="503"/>
        <v>1298116002.9036589</v>
      </c>
      <c r="BQ216" s="44">
        <f t="shared" si="503"/>
        <v>1281257353.5152998</v>
      </c>
      <c r="BR216" s="44">
        <f t="shared" si="503"/>
        <v>1264398704.1269407</v>
      </c>
      <c r="BS216" s="44">
        <f t="shared" si="503"/>
        <v>1247540054.7385817</v>
      </c>
      <c r="BT216" s="44">
        <f t="shared" ref="BT216:CY216" si="504">BT42</f>
        <v>1230681405.3502226</v>
      </c>
      <c r="BU216" s="44">
        <f t="shared" si="504"/>
        <v>1213822755.9618635</v>
      </c>
      <c r="BV216" s="44">
        <f t="shared" si="504"/>
        <v>1196964106.5735044</v>
      </c>
      <c r="BW216" s="44">
        <f t="shared" si="504"/>
        <v>1180105457.1851454</v>
      </c>
      <c r="BX216" s="44">
        <f t="shared" si="504"/>
        <v>1163246807.7967863</v>
      </c>
      <c r="BY216" s="44">
        <f t="shared" si="504"/>
        <v>1146388158.4084272</v>
      </c>
      <c r="BZ216" s="44">
        <f t="shared" si="504"/>
        <v>1129529509.0200682</v>
      </c>
      <c r="CA216" s="44">
        <f t="shared" si="504"/>
        <v>1112670859.6317091</v>
      </c>
      <c r="CB216" s="44">
        <f t="shared" si="504"/>
        <v>1095812210.24335</v>
      </c>
      <c r="CC216" s="44">
        <f t="shared" si="504"/>
        <v>1078953560.854991</v>
      </c>
      <c r="CD216" s="44">
        <f t="shared" si="504"/>
        <v>1062094911.4666318</v>
      </c>
      <c r="CE216" s="44">
        <f t="shared" si="504"/>
        <v>1045236262.0782726</v>
      </c>
      <c r="CF216" s="44">
        <f t="shared" si="504"/>
        <v>1028377612.6899134</v>
      </c>
      <c r="CG216" s="44">
        <f t="shared" si="504"/>
        <v>1011518963.3015542</v>
      </c>
      <c r="CH216" s="44">
        <f t="shared" si="504"/>
        <v>994660313.91319501</v>
      </c>
      <c r="CI216" s="44">
        <f t="shared" si="504"/>
        <v>977801664.52483582</v>
      </c>
      <c r="CJ216" s="44">
        <f t="shared" si="504"/>
        <v>960943015.13647664</v>
      </c>
      <c r="CK216" s="44">
        <f t="shared" si="504"/>
        <v>944084365.74811745</v>
      </c>
      <c r="CL216" s="44">
        <f t="shared" si="504"/>
        <v>927225716.35975826</v>
      </c>
      <c r="CM216" s="44">
        <f t="shared" si="504"/>
        <v>910367066.97139907</v>
      </c>
      <c r="CN216" s="44">
        <f t="shared" si="504"/>
        <v>893508417.58303988</v>
      </c>
      <c r="CO216" s="44">
        <f t="shared" si="504"/>
        <v>876649768.19468069</v>
      </c>
      <c r="CP216" s="44">
        <f t="shared" si="504"/>
        <v>859791118.8063215</v>
      </c>
      <c r="CQ216" s="44">
        <f t="shared" si="504"/>
        <v>842932469.41796231</v>
      </c>
      <c r="CR216" s="44">
        <f t="shared" si="504"/>
        <v>826073820.02960312</v>
      </c>
      <c r="CS216" s="44">
        <f t="shared" si="504"/>
        <v>809215170.64124393</v>
      </c>
      <c r="CT216" s="44">
        <f t="shared" si="504"/>
        <v>792356521.25288475</v>
      </c>
      <c r="CU216" s="44">
        <f t="shared" si="504"/>
        <v>775497871.86452556</v>
      </c>
      <c r="CV216" s="44">
        <f t="shared" si="504"/>
        <v>758639222.47616637</v>
      </c>
      <c r="CW216" s="44">
        <f t="shared" si="504"/>
        <v>741780573.08780718</v>
      </c>
      <c r="CX216" s="44">
        <f t="shared" si="504"/>
        <v>724921923.69944799</v>
      </c>
      <c r="CY216" s="44">
        <f t="shared" si="504"/>
        <v>708063274.3110888</v>
      </c>
      <c r="CZ216" s="44">
        <f t="shared" ref="CZ216:EE216" si="505">CZ42</f>
        <v>691204624.92272961</v>
      </c>
      <c r="DA216" s="44">
        <f t="shared" si="505"/>
        <v>674345975.53437042</v>
      </c>
      <c r="DB216" s="44">
        <f t="shared" si="505"/>
        <v>657487326.14601123</v>
      </c>
      <c r="DC216" s="44">
        <f t="shared" si="505"/>
        <v>640628676.75765204</v>
      </c>
      <c r="DD216" s="44">
        <f t="shared" si="505"/>
        <v>623770027.36929286</v>
      </c>
      <c r="DE216" s="44">
        <f t="shared" si="505"/>
        <v>606911377.98093367</v>
      </c>
      <c r="DF216" s="44">
        <f t="shared" si="505"/>
        <v>590052728.59257448</v>
      </c>
      <c r="DG216" s="44">
        <f t="shared" si="505"/>
        <v>573194079.20421529</v>
      </c>
      <c r="DH216" s="44">
        <f t="shared" si="505"/>
        <v>556335429.8158561</v>
      </c>
      <c r="DI216" s="44">
        <f t="shared" si="505"/>
        <v>539476780.42749691</v>
      </c>
      <c r="DJ216" s="44">
        <f t="shared" si="505"/>
        <v>522618131.03913778</v>
      </c>
      <c r="DK216" s="44">
        <f t="shared" si="505"/>
        <v>505759481.65077865</v>
      </c>
      <c r="DL216" s="44">
        <f t="shared" si="505"/>
        <v>488900832.26241952</v>
      </c>
      <c r="DM216" s="44">
        <f t="shared" si="505"/>
        <v>472042182.87406039</v>
      </c>
      <c r="DN216" s="44">
        <f t="shared" si="505"/>
        <v>455183533.48570126</v>
      </c>
      <c r="DO216" s="44">
        <f t="shared" si="505"/>
        <v>438324884.09734213</v>
      </c>
      <c r="DP216" s="44">
        <f t="shared" si="505"/>
        <v>421466234.708983</v>
      </c>
      <c r="DQ216" s="44">
        <f t="shared" si="505"/>
        <v>404607585.32062387</v>
      </c>
      <c r="DR216" s="44">
        <f t="shared" si="505"/>
        <v>387748935.93226475</v>
      </c>
      <c r="DS216" s="44">
        <f t="shared" si="505"/>
        <v>370890286.54390562</v>
      </c>
      <c r="DT216" s="44">
        <f t="shared" si="505"/>
        <v>354031637.15554649</v>
      </c>
      <c r="DU216" s="44">
        <f t="shared" si="505"/>
        <v>337172987.76718736</v>
      </c>
      <c r="DV216" s="44">
        <f t="shared" si="505"/>
        <v>320314338.37882823</v>
      </c>
      <c r="DW216" s="44">
        <f t="shared" si="505"/>
        <v>303455688.9904691</v>
      </c>
      <c r="DX216" s="44">
        <f t="shared" si="505"/>
        <v>286597039.60210997</v>
      </c>
      <c r="DY216" s="44">
        <f t="shared" si="505"/>
        <v>269738390.21375084</v>
      </c>
      <c r="DZ216" s="44">
        <f t="shared" si="505"/>
        <v>252879740.82539168</v>
      </c>
      <c r="EA216" s="44">
        <f t="shared" si="505"/>
        <v>236021091.43703252</v>
      </c>
      <c r="EB216" s="44">
        <f t="shared" si="505"/>
        <v>219162442.04867336</v>
      </c>
      <c r="EC216" s="44">
        <f t="shared" si="505"/>
        <v>202303792.6603142</v>
      </c>
      <c r="ED216" s="44">
        <f t="shared" si="505"/>
        <v>185445143.27195504</v>
      </c>
      <c r="EE216" s="44">
        <f t="shared" si="505"/>
        <v>168586493.88359588</v>
      </c>
      <c r="EF216" s="44">
        <f t="shared" ref="EF216:EN216" si="506">EF42</f>
        <v>151727844.49523672</v>
      </c>
      <c r="EG216" s="44">
        <f t="shared" si="506"/>
        <v>134869195.10687757</v>
      </c>
      <c r="EH216" s="44">
        <f t="shared" si="506"/>
        <v>118010545.71851841</v>
      </c>
      <c r="EI216" s="44">
        <f t="shared" si="506"/>
        <v>101151896.33015925</v>
      </c>
      <c r="EJ216" s="44">
        <f t="shared" si="506"/>
        <v>84293246.941800088</v>
      </c>
      <c r="EK216" s="44">
        <f t="shared" si="506"/>
        <v>67434597.553440928</v>
      </c>
      <c r="EL216" s="44">
        <f t="shared" si="506"/>
        <v>50575948.165081769</v>
      </c>
      <c r="EM216" s="44">
        <f t="shared" si="506"/>
        <v>33717298.77672261</v>
      </c>
      <c r="EN216" s="44">
        <f t="shared" si="506"/>
        <v>16858649.388363454</v>
      </c>
    </row>
    <row r="217" spans="2:144">
      <c r="C217" s="151" t="str">
        <f t="shared" si="496"/>
        <v>Гостиница 3*</v>
      </c>
      <c r="D217" s="45"/>
      <c r="E217" s="44"/>
      <c r="F217" s="44"/>
      <c r="G217" s="45"/>
      <c r="H217" s="44">
        <f t="shared" ref="H217:AM217" si="507">H53</f>
        <v>0</v>
      </c>
      <c r="I217" s="44">
        <f t="shared" si="507"/>
        <v>0</v>
      </c>
      <c r="J217" s="44">
        <f t="shared" si="507"/>
        <v>0</v>
      </c>
      <c r="K217" s="44">
        <f t="shared" si="507"/>
        <v>0</v>
      </c>
      <c r="L217" s="44">
        <f t="shared" si="507"/>
        <v>0</v>
      </c>
      <c r="M217" s="44">
        <f t="shared" si="507"/>
        <v>0</v>
      </c>
      <c r="N217" s="44">
        <f t="shared" si="507"/>
        <v>0</v>
      </c>
      <c r="O217" s="44">
        <f t="shared" si="507"/>
        <v>0</v>
      </c>
      <c r="P217" s="44">
        <f t="shared" si="507"/>
        <v>0</v>
      </c>
      <c r="Q217" s="44">
        <f t="shared" si="507"/>
        <v>0</v>
      </c>
      <c r="R217" s="44">
        <f t="shared" si="507"/>
        <v>0</v>
      </c>
      <c r="S217" s="44">
        <f t="shared" si="507"/>
        <v>0</v>
      </c>
      <c r="T217" s="44">
        <f t="shared" si="507"/>
        <v>0</v>
      </c>
      <c r="U217" s="44">
        <f t="shared" si="507"/>
        <v>0</v>
      </c>
      <c r="V217" s="44">
        <f t="shared" si="507"/>
        <v>793094371.50729525</v>
      </c>
      <c r="W217" s="44">
        <f t="shared" si="507"/>
        <v>786429712.92320037</v>
      </c>
      <c r="X217" s="44">
        <f t="shared" si="507"/>
        <v>779765054.33910549</v>
      </c>
      <c r="Y217" s="44">
        <f t="shared" si="507"/>
        <v>773100395.7550106</v>
      </c>
      <c r="Z217" s="44">
        <f t="shared" si="507"/>
        <v>766435737.17091572</v>
      </c>
      <c r="AA217" s="44">
        <f t="shared" si="507"/>
        <v>759771078.58682084</v>
      </c>
      <c r="AB217" s="44">
        <f t="shared" si="507"/>
        <v>753106420.00272596</v>
      </c>
      <c r="AC217" s="44">
        <f t="shared" si="507"/>
        <v>746441761.41863108</v>
      </c>
      <c r="AD217" s="44">
        <f t="shared" si="507"/>
        <v>739777102.83453619</v>
      </c>
      <c r="AE217" s="44">
        <f t="shared" si="507"/>
        <v>733112444.25044131</v>
      </c>
      <c r="AF217" s="44">
        <f t="shared" si="507"/>
        <v>726447785.66634643</v>
      </c>
      <c r="AG217" s="44">
        <f t="shared" si="507"/>
        <v>719783127.08225155</v>
      </c>
      <c r="AH217" s="44">
        <f t="shared" si="507"/>
        <v>713118468.49815667</v>
      </c>
      <c r="AI217" s="44">
        <f t="shared" si="507"/>
        <v>706453809.91406178</v>
      </c>
      <c r="AJ217" s="44">
        <f t="shared" si="507"/>
        <v>699789151.3299669</v>
      </c>
      <c r="AK217" s="44">
        <f t="shared" si="507"/>
        <v>693124492.74587202</v>
      </c>
      <c r="AL217" s="44">
        <f t="shared" si="507"/>
        <v>686459834.16177714</v>
      </c>
      <c r="AM217" s="44">
        <f t="shared" si="507"/>
        <v>679795175.57768226</v>
      </c>
      <c r="AN217" s="44">
        <f t="shared" ref="AN217:BS217" si="508">AN53</f>
        <v>673130516.99358737</v>
      </c>
      <c r="AO217" s="44">
        <f t="shared" si="508"/>
        <v>666465858.40949249</v>
      </c>
      <c r="AP217" s="44">
        <f t="shared" si="508"/>
        <v>659801199.82539761</v>
      </c>
      <c r="AQ217" s="44">
        <f t="shared" si="508"/>
        <v>653136541.24130273</v>
      </c>
      <c r="AR217" s="44">
        <f t="shared" si="508"/>
        <v>646471882.65720785</v>
      </c>
      <c r="AS217" s="44">
        <f t="shared" si="508"/>
        <v>639807224.07311296</v>
      </c>
      <c r="AT217" s="44">
        <f t="shared" si="508"/>
        <v>633142565.48901808</v>
      </c>
      <c r="AU217" s="44">
        <f t="shared" si="508"/>
        <v>626477906.9049232</v>
      </c>
      <c r="AV217" s="44">
        <f t="shared" si="508"/>
        <v>619813248.32082832</v>
      </c>
      <c r="AW217" s="44">
        <f t="shared" si="508"/>
        <v>613148589.73673344</v>
      </c>
      <c r="AX217" s="44">
        <f t="shared" si="508"/>
        <v>606483931.15263855</v>
      </c>
      <c r="AY217" s="44">
        <f t="shared" si="508"/>
        <v>599819272.56854367</v>
      </c>
      <c r="AZ217" s="44">
        <f t="shared" si="508"/>
        <v>593154613.98444879</v>
      </c>
      <c r="BA217" s="44">
        <f t="shared" si="508"/>
        <v>586489955.40035391</v>
      </c>
      <c r="BB217" s="44">
        <f t="shared" si="508"/>
        <v>579825296.81625903</v>
      </c>
      <c r="BC217" s="44">
        <f t="shared" si="508"/>
        <v>573160638.23216414</v>
      </c>
      <c r="BD217" s="44">
        <f t="shared" si="508"/>
        <v>566495979.64806926</v>
      </c>
      <c r="BE217" s="44">
        <f t="shared" si="508"/>
        <v>559831321.06397438</v>
      </c>
      <c r="BF217" s="44">
        <f t="shared" si="508"/>
        <v>553166662.4798795</v>
      </c>
      <c r="BG217" s="44">
        <f t="shared" si="508"/>
        <v>546502003.89578462</v>
      </c>
      <c r="BH217" s="44">
        <f t="shared" si="508"/>
        <v>539837345.31168973</v>
      </c>
      <c r="BI217" s="44">
        <f t="shared" si="508"/>
        <v>533172686.72759479</v>
      </c>
      <c r="BJ217" s="44">
        <f t="shared" si="508"/>
        <v>526508028.14349985</v>
      </c>
      <c r="BK217" s="44">
        <f t="shared" si="508"/>
        <v>519843369.55940491</v>
      </c>
      <c r="BL217" s="44">
        <f t="shared" si="508"/>
        <v>513178710.97530997</v>
      </c>
      <c r="BM217" s="44">
        <f t="shared" si="508"/>
        <v>506514052.39121503</v>
      </c>
      <c r="BN217" s="44">
        <f t="shared" si="508"/>
        <v>499849393.80712008</v>
      </c>
      <c r="BO217" s="44">
        <f t="shared" si="508"/>
        <v>493184735.22302514</v>
      </c>
      <c r="BP217" s="44">
        <f t="shared" si="508"/>
        <v>486520076.6389302</v>
      </c>
      <c r="BQ217" s="44">
        <f t="shared" si="508"/>
        <v>479855418.05483526</v>
      </c>
      <c r="BR217" s="44">
        <f t="shared" si="508"/>
        <v>473190759.47074032</v>
      </c>
      <c r="BS217" s="44">
        <f t="shared" si="508"/>
        <v>466526100.88664538</v>
      </c>
      <c r="BT217" s="44">
        <f t="shared" ref="BT217:CY217" si="509">BT53</f>
        <v>459861442.30255044</v>
      </c>
      <c r="BU217" s="44">
        <f t="shared" si="509"/>
        <v>453196783.71845549</v>
      </c>
      <c r="BV217" s="44">
        <f t="shared" si="509"/>
        <v>446532125.13436055</v>
      </c>
      <c r="BW217" s="44">
        <f t="shared" si="509"/>
        <v>439867466.55026561</v>
      </c>
      <c r="BX217" s="44">
        <f t="shared" si="509"/>
        <v>433202807.96617067</v>
      </c>
      <c r="BY217" s="44">
        <f t="shared" si="509"/>
        <v>426538149.38207573</v>
      </c>
      <c r="BZ217" s="44">
        <f t="shared" si="509"/>
        <v>419873490.79798079</v>
      </c>
      <c r="CA217" s="44">
        <f t="shared" si="509"/>
        <v>413208832.21388584</v>
      </c>
      <c r="CB217" s="44">
        <f t="shared" si="509"/>
        <v>406544173.6297909</v>
      </c>
      <c r="CC217" s="44">
        <f t="shared" si="509"/>
        <v>399879515.04569596</v>
      </c>
      <c r="CD217" s="44">
        <f t="shared" si="509"/>
        <v>393214856.46160102</v>
      </c>
      <c r="CE217" s="44">
        <f t="shared" si="509"/>
        <v>386550197.87750608</v>
      </c>
      <c r="CF217" s="44">
        <f t="shared" si="509"/>
        <v>379885539.29341114</v>
      </c>
      <c r="CG217" s="44">
        <f t="shared" si="509"/>
        <v>373220880.70931619</v>
      </c>
      <c r="CH217" s="44">
        <f t="shared" si="509"/>
        <v>366556222.12522125</v>
      </c>
      <c r="CI217" s="44">
        <f t="shared" si="509"/>
        <v>359891563.54112631</v>
      </c>
      <c r="CJ217" s="44">
        <f t="shared" si="509"/>
        <v>353226904.95703137</v>
      </c>
      <c r="CK217" s="44">
        <f t="shared" si="509"/>
        <v>346562246.37293643</v>
      </c>
      <c r="CL217" s="44">
        <f t="shared" si="509"/>
        <v>339897587.78884149</v>
      </c>
      <c r="CM217" s="44">
        <f t="shared" si="509"/>
        <v>333232929.20474654</v>
      </c>
      <c r="CN217" s="44">
        <f t="shared" si="509"/>
        <v>326568270.6206516</v>
      </c>
      <c r="CO217" s="44">
        <f t="shared" si="509"/>
        <v>319903612.03655666</v>
      </c>
      <c r="CP217" s="44">
        <f t="shared" si="509"/>
        <v>313238953.45246172</v>
      </c>
      <c r="CQ217" s="44">
        <f t="shared" si="509"/>
        <v>306574294.86836678</v>
      </c>
      <c r="CR217" s="44">
        <f t="shared" si="509"/>
        <v>299909636.28427184</v>
      </c>
      <c r="CS217" s="44">
        <f t="shared" si="509"/>
        <v>293244977.70017689</v>
      </c>
      <c r="CT217" s="44">
        <f t="shared" si="509"/>
        <v>286580319.11608195</v>
      </c>
      <c r="CU217" s="44">
        <f t="shared" si="509"/>
        <v>279915660.53198701</v>
      </c>
      <c r="CV217" s="44">
        <f t="shared" si="509"/>
        <v>273251001.94789207</v>
      </c>
      <c r="CW217" s="44">
        <f t="shared" si="509"/>
        <v>266586343.36379716</v>
      </c>
      <c r="CX217" s="44">
        <f t="shared" si="509"/>
        <v>259921684.77970225</v>
      </c>
      <c r="CY217" s="44">
        <f t="shared" si="509"/>
        <v>253257026.19560733</v>
      </c>
      <c r="CZ217" s="44">
        <f t="shared" ref="CZ217:EE217" si="510">CZ53</f>
        <v>246592367.61151242</v>
      </c>
      <c r="DA217" s="44">
        <f t="shared" si="510"/>
        <v>239927709.02741751</v>
      </c>
      <c r="DB217" s="44">
        <f t="shared" si="510"/>
        <v>233263050.4433226</v>
      </c>
      <c r="DC217" s="44">
        <f t="shared" si="510"/>
        <v>226598391.85922769</v>
      </c>
      <c r="DD217" s="44">
        <f t="shared" si="510"/>
        <v>219933733.27513278</v>
      </c>
      <c r="DE217" s="44">
        <f t="shared" si="510"/>
        <v>213269074.69103786</v>
      </c>
      <c r="DF217" s="44">
        <f t="shared" si="510"/>
        <v>206604416.10694295</v>
      </c>
      <c r="DG217" s="44">
        <f t="shared" si="510"/>
        <v>199939757.52284804</v>
      </c>
      <c r="DH217" s="44">
        <f t="shared" si="510"/>
        <v>193275098.93875313</v>
      </c>
      <c r="DI217" s="44">
        <f t="shared" si="510"/>
        <v>186610440.35465822</v>
      </c>
      <c r="DJ217" s="44">
        <f t="shared" si="510"/>
        <v>179945781.7705633</v>
      </c>
      <c r="DK217" s="44">
        <f t="shared" si="510"/>
        <v>173281123.18646839</v>
      </c>
      <c r="DL217" s="44">
        <f t="shared" si="510"/>
        <v>166616464.60237348</v>
      </c>
      <c r="DM217" s="44">
        <f t="shared" si="510"/>
        <v>159951806.01827857</v>
      </c>
      <c r="DN217" s="44">
        <f t="shared" si="510"/>
        <v>153287147.43418366</v>
      </c>
      <c r="DO217" s="44">
        <f t="shared" si="510"/>
        <v>146622488.85008875</v>
      </c>
      <c r="DP217" s="44">
        <f t="shared" si="510"/>
        <v>139957830.26599383</v>
      </c>
      <c r="DQ217" s="44">
        <f t="shared" si="510"/>
        <v>133293171.68189892</v>
      </c>
      <c r="DR217" s="44">
        <f t="shared" si="510"/>
        <v>126628513.09780401</v>
      </c>
      <c r="DS217" s="44">
        <f t="shared" si="510"/>
        <v>119963854.5137091</v>
      </c>
      <c r="DT217" s="44">
        <f t="shared" si="510"/>
        <v>113299195.92961419</v>
      </c>
      <c r="DU217" s="44">
        <f t="shared" si="510"/>
        <v>106634537.34551927</v>
      </c>
      <c r="DV217" s="44">
        <f t="shared" si="510"/>
        <v>99969878.761424363</v>
      </c>
      <c r="DW217" s="44">
        <f t="shared" si="510"/>
        <v>93305220.177329451</v>
      </c>
      <c r="DX217" s="44">
        <f t="shared" si="510"/>
        <v>86640561.593234539</v>
      </c>
      <c r="DY217" s="44">
        <f t="shared" si="510"/>
        <v>79975903.009139627</v>
      </c>
      <c r="DZ217" s="44">
        <f t="shared" si="510"/>
        <v>73311244.425044715</v>
      </c>
      <c r="EA217" s="44">
        <f t="shared" si="510"/>
        <v>66646585.840949796</v>
      </c>
      <c r="EB217" s="44">
        <f t="shared" si="510"/>
        <v>59981927.256854877</v>
      </c>
      <c r="EC217" s="44">
        <f t="shared" si="510"/>
        <v>53317268.672759958</v>
      </c>
      <c r="ED217" s="44">
        <f t="shared" si="510"/>
        <v>46652610.088665038</v>
      </c>
      <c r="EE217" s="44">
        <f t="shared" si="510"/>
        <v>39987951.504570119</v>
      </c>
      <c r="EF217" s="44">
        <f t="shared" ref="EF217:EN217" si="511">EF53</f>
        <v>33323292.9204752</v>
      </c>
      <c r="EG217" s="44">
        <f t="shared" si="511"/>
        <v>26658634.336380281</v>
      </c>
      <c r="EH217" s="44">
        <f t="shared" si="511"/>
        <v>19993975.752285361</v>
      </c>
      <c r="EI217" s="44">
        <f t="shared" si="511"/>
        <v>13329317.168190444</v>
      </c>
      <c r="EJ217" s="44">
        <f t="shared" si="511"/>
        <v>6664658.5840955265</v>
      </c>
      <c r="EK217" s="44">
        <f t="shared" si="511"/>
        <v>6.0908496379852295E-7</v>
      </c>
      <c r="EL217" s="44">
        <f t="shared" si="511"/>
        <v>6.0908496379852295E-7</v>
      </c>
      <c r="EM217" s="44">
        <f t="shared" si="511"/>
        <v>6.0908496379852295E-7</v>
      </c>
      <c r="EN217" s="44">
        <f t="shared" si="511"/>
        <v>6.0908496379852295E-7</v>
      </c>
    </row>
    <row r="218" spans="2:144">
      <c r="C218" s="151" t="str">
        <f t="shared" si="496"/>
        <v>Гостиница 2*</v>
      </c>
      <c r="D218" s="45"/>
      <c r="E218" s="44"/>
      <c r="F218" s="44"/>
      <c r="G218" s="45"/>
      <c r="H218" s="44">
        <f t="shared" ref="H218:AM218" si="512">H64</f>
        <v>0</v>
      </c>
      <c r="I218" s="44">
        <f t="shared" si="512"/>
        <v>0</v>
      </c>
      <c r="J218" s="44">
        <f t="shared" si="512"/>
        <v>0</v>
      </c>
      <c r="K218" s="44">
        <f t="shared" si="512"/>
        <v>0</v>
      </c>
      <c r="L218" s="44">
        <f t="shared" si="512"/>
        <v>0</v>
      </c>
      <c r="M218" s="44">
        <f t="shared" si="512"/>
        <v>0</v>
      </c>
      <c r="N218" s="44">
        <f t="shared" si="512"/>
        <v>0</v>
      </c>
      <c r="O218" s="44">
        <f t="shared" si="512"/>
        <v>0</v>
      </c>
      <c r="P218" s="44">
        <f t="shared" si="512"/>
        <v>0</v>
      </c>
      <c r="Q218" s="44">
        <f t="shared" si="512"/>
        <v>0</v>
      </c>
      <c r="R218" s="44">
        <f t="shared" si="512"/>
        <v>0</v>
      </c>
      <c r="S218" s="44">
        <f t="shared" si="512"/>
        <v>0</v>
      </c>
      <c r="T218" s="44">
        <f t="shared" si="512"/>
        <v>0</v>
      </c>
      <c r="U218" s="44">
        <f t="shared" si="512"/>
        <v>0</v>
      </c>
      <c r="V218" s="44">
        <f t="shared" si="512"/>
        <v>0</v>
      </c>
      <c r="W218" s="44">
        <f t="shared" si="512"/>
        <v>0</v>
      </c>
      <c r="X218" s="44">
        <f t="shared" si="512"/>
        <v>0</v>
      </c>
      <c r="Y218" s="44">
        <f t="shared" si="512"/>
        <v>0</v>
      </c>
      <c r="Z218" s="44">
        <f t="shared" si="512"/>
        <v>0</v>
      </c>
      <c r="AA218" s="44">
        <f t="shared" si="512"/>
        <v>0</v>
      </c>
      <c r="AB218" s="44">
        <f t="shared" si="512"/>
        <v>0</v>
      </c>
      <c r="AC218" s="44">
        <f t="shared" si="512"/>
        <v>0</v>
      </c>
      <c r="AD218" s="44">
        <f t="shared" si="512"/>
        <v>0</v>
      </c>
      <c r="AE218" s="44">
        <f t="shared" si="512"/>
        <v>0</v>
      </c>
      <c r="AF218" s="44">
        <f t="shared" si="512"/>
        <v>0</v>
      </c>
      <c r="AG218" s="44">
        <f t="shared" si="512"/>
        <v>0</v>
      </c>
      <c r="AH218" s="44">
        <f t="shared" si="512"/>
        <v>0</v>
      </c>
      <c r="AI218" s="44">
        <f t="shared" si="512"/>
        <v>0</v>
      </c>
      <c r="AJ218" s="44">
        <f t="shared" si="512"/>
        <v>0</v>
      </c>
      <c r="AK218" s="44">
        <f t="shared" si="512"/>
        <v>0</v>
      </c>
      <c r="AL218" s="44">
        <f t="shared" si="512"/>
        <v>0</v>
      </c>
      <c r="AM218" s="44">
        <f t="shared" si="512"/>
        <v>0</v>
      </c>
      <c r="AN218" s="44">
        <f t="shared" ref="AN218:BS218" si="513">AN64</f>
        <v>0</v>
      </c>
      <c r="AO218" s="44">
        <f t="shared" si="513"/>
        <v>0</v>
      </c>
      <c r="AP218" s="44">
        <f t="shared" si="513"/>
        <v>0</v>
      </c>
      <c r="AQ218" s="44">
        <f t="shared" si="513"/>
        <v>0</v>
      </c>
      <c r="AR218" s="44">
        <f t="shared" si="513"/>
        <v>0</v>
      </c>
      <c r="AS218" s="44">
        <f t="shared" si="513"/>
        <v>0</v>
      </c>
      <c r="AT218" s="44">
        <f t="shared" si="513"/>
        <v>0</v>
      </c>
      <c r="AU218" s="44">
        <f t="shared" si="513"/>
        <v>0</v>
      </c>
      <c r="AV218" s="44">
        <f t="shared" si="513"/>
        <v>0</v>
      </c>
      <c r="AW218" s="44">
        <f t="shared" si="513"/>
        <v>0</v>
      </c>
      <c r="AX218" s="44">
        <f t="shared" si="513"/>
        <v>0</v>
      </c>
      <c r="AY218" s="44">
        <f t="shared" si="513"/>
        <v>0</v>
      </c>
      <c r="AZ218" s="44">
        <f t="shared" si="513"/>
        <v>0</v>
      </c>
      <c r="BA218" s="44">
        <f t="shared" si="513"/>
        <v>0</v>
      </c>
      <c r="BB218" s="44">
        <f t="shared" si="513"/>
        <v>0</v>
      </c>
      <c r="BC218" s="44">
        <f t="shared" si="513"/>
        <v>0</v>
      </c>
      <c r="BD218" s="44">
        <f t="shared" si="513"/>
        <v>0</v>
      </c>
      <c r="BE218" s="44">
        <f t="shared" si="513"/>
        <v>0</v>
      </c>
      <c r="BF218" s="44">
        <f t="shared" si="513"/>
        <v>0</v>
      </c>
      <c r="BG218" s="44">
        <f t="shared" si="513"/>
        <v>0</v>
      </c>
      <c r="BH218" s="44">
        <f t="shared" si="513"/>
        <v>0</v>
      </c>
      <c r="BI218" s="44">
        <f t="shared" si="513"/>
        <v>0</v>
      </c>
      <c r="BJ218" s="44">
        <f t="shared" si="513"/>
        <v>0</v>
      </c>
      <c r="BK218" s="44">
        <f t="shared" si="513"/>
        <v>0</v>
      </c>
      <c r="BL218" s="44">
        <f t="shared" si="513"/>
        <v>0</v>
      </c>
      <c r="BM218" s="44">
        <f t="shared" si="513"/>
        <v>0</v>
      </c>
      <c r="BN218" s="44">
        <f t="shared" si="513"/>
        <v>0</v>
      </c>
      <c r="BO218" s="44">
        <f t="shared" si="513"/>
        <v>0</v>
      </c>
      <c r="BP218" s="44">
        <f t="shared" si="513"/>
        <v>0</v>
      </c>
      <c r="BQ218" s="44">
        <f t="shared" si="513"/>
        <v>0</v>
      </c>
      <c r="BR218" s="44">
        <f t="shared" si="513"/>
        <v>0</v>
      </c>
      <c r="BS218" s="44">
        <f t="shared" si="513"/>
        <v>0</v>
      </c>
      <c r="BT218" s="44">
        <f t="shared" ref="BT218:CY218" si="514">BT64</f>
        <v>0</v>
      </c>
      <c r="BU218" s="44">
        <f t="shared" si="514"/>
        <v>0</v>
      </c>
      <c r="BV218" s="44">
        <f t="shared" si="514"/>
        <v>0</v>
      </c>
      <c r="BW218" s="44">
        <f t="shared" si="514"/>
        <v>0</v>
      </c>
      <c r="BX218" s="44">
        <f t="shared" si="514"/>
        <v>0</v>
      </c>
      <c r="BY218" s="44">
        <f t="shared" si="514"/>
        <v>0</v>
      </c>
      <c r="BZ218" s="44">
        <f t="shared" si="514"/>
        <v>0</v>
      </c>
      <c r="CA218" s="44">
        <f t="shared" si="514"/>
        <v>0</v>
      </c>
      <c r="CB218" s="44">
        <f t="shared" si="514"/>
        <v>0</v>
      </c>
      <c r="CC218" s="44">
        <f t="shared" si="514"/>
        <v>0</v>
      </c>
      <c r="CD218" s="44">
        <f t="shared" si="514"/>
        <v>0</v>
      </c>
      <c r="CE218" s="44">
        <f t="shared" si="514"/>
        <v>0</v>
      </c>
      <c r="CF218" s="44">
        <f t="shared" si="514"/>
        <v>0</v>
      </c>
      <c r="CG218" s="44">
        <f t="shared" si="514"/>
        <v>0</v>
      </c>
      <c r="CH218" s="44">
        <f t="shared" si="514"/>
        <v>0</v>
      </c>
      <c r="CI218" s="44">
        <f t="shared" si="514"/>
        <v>0</v>
      </c>
      <c r="CJ218" s="44">
        <f t="shared" si="514"/>
        <v>0</v>
      </c>
      <c r="CK218" s="44">
        <f t="shared" si="514"/>
        <v>0</v>
      </c>
      <c r="CL218" s="44">
        <f t="shared" si="514"/>
        <v>0</v>
      </c>
      <c r="CM218" s="44">
        <f t="shared" si="514"/>
        <v>0</v>
      </c>
      <c r="CN218" s="44">
        <f t="shared" si="514"/>
        <v>0</v>
      </c>
      <c r="CO218" s="44">
        <f t="shared" si="514"/>
        <v>0</v>
      </c>
      <c r="CP218" s="44">
        <f t="shared" si="514"/>
        <v>0</v>
      </c>
      <c r="CQ218" s="44">
        <f t="shared" si="514"/>
        <v>0</v>
      </c>
      <c r="CR218" s="44">
        <f t="shared" si="514"/>
        <v>0</v>
      </c>
      <c r="CS218" s="44">
        <f t="shared" si="514"/>
        <v>0</v>
      </c>
      <c r="CT218" s="44">
        <f t="shared" si="514"/>
        <v>0</v>
      </c>
      <c r="CU218" s="44">
        <f t="shared" si="514"/>
        <v>0</v>
      </c>
      <c r="CV218" s="44">
        <f t="shared" si="514"/>
        <v>0</v>
      </c>
      <c r="CW218" s="44">
        <f t="shared" si="514"/>
        <v>0</v>
      </c>
      <c r="CX218" s="44">
        <f t="shared" si="514"/>
        <v>0</v>
      </c>
      <c r="CY218" s="44">
        <f t="shared" si="514"/>
        <v>0</v>
      </c>
      <c r="CZ218" s="44">
        <f t="shared" ref="CZ218:EE218" si="515">CZ64</f>
        <v>0</v>
      </c>
      <c r="DA218" s="44">
        <f t="shared" si="515"/>
        <v>0</v>
      </c>
      <c r="DB218" s="44">
        <f t="shared" si="515"/>
        <v>0</v>
      </c>
      <c r="DC218" s="44">
        <f t="shared" si="515"/>
        <v>0</v>
      </c>
      <c r="DD218" s="44">
        <f t="shared" si="515"/>
        <v>0</v>
      </c>
      <c r="DE218" s="44">
        <f t="shared" si="515"/>
        <v>0</v>
      </c>
      <c r="DF218" s="44">
        <f t="shared" si="515"/>
        <v>0</v>
      </c>
      <c r="DG218" s="44">
        <f t="shared" si="515"/>
        <v>0</v>
      </c>
      <c r="DH218" s="44">
        <f t="shared" si="515"/>
        <v>0</v>
      </c>
      <c r="DI218" s="44">
        <f t="shared" si="515"/>
        <v>0</v>
      </c>
      <c r="DJ218" s="44">
        <f t="shared" si="515"/>
        <v>0</v>
      </c>
      <c r="DK218" s="44">
        <f t="shared" si="515"/>
        <v>0</v>
      </c>
      <c r="DL218" s="44">
        <f t="shared" si="515"/>
        <v>0</v>
      </c>
      <c r="DM218" s="44">
        <f t="shared" si="515"/>
        <v>0</v>
      </c>
      <c r="DN218" s="44">
        <f t="shared" si="515"/>
        <v>0</v>
      </c>
      <c r="DO218" s="44">
        <f t="shared" si="515"/>
        <v>0</v>
      </c>
      <c r="DP218" s="44">
        <f t="shared" si="515"/>
        <v>0</v>
      </c>
      <c r="DQ218" s="44">
        <f t="shared" si="515"/>
        <v>0</v>
      </c>
      <c r="DR218" s="44">
        <f t="shared" si="515"/>
        <v>0</v>
      </c>
      <c r="DS218" s="44">
        <f t="shared" si="515"/>
        <v>0</v>
      </c>
      <c r="DT218" s="44">
        <f t="shared" si="515"/>
        <v>0</v>
      </c>
      <c r="DU218" s="44">
        <f t="shared" si="515"/>
        <v>0</v>
      </c>
      <c r="DV218" s="44">
        <f t="shared" si="515"/>
        <v>0</v>
      </c>
      <c r="DW218" s="44">
        <f t="shared" si="515"/>
        <v>0</v>
      </c>
      <c r="DX218" s="44">
        <f t="shared" si="515"/>
        <v>0</v>
      </c>
      <c r="DY218" s="44">
        <f t="shared" si="515"/>
        <v>0</v>
      </c>
      <c r="DZ218" s="44">
        <f t="shared" si="515"/>
        <v>0</v>
      </c>
      <c r="EA218" s="44">
        <f t="shared" si="515"/>
        <v>0</v>
      </c>
      <c r="EB218" s="44">
        <f t="shared" si="515"/>
        <v>0</v>
      </c>
      <c r="EC218" s="44">
        <f t="shared" si="515"/>
        <v>0</v>
      </c>
      <c r="ED218" s="44">
        <f t="shared" si="515"/>
        <v>0</v>
      </c>
      <c r="EE218" s="44">
        <f t="shared" si="515"/>
        <v>0</v>
      </c>
      <c r="EF218" s="44">
        <f t="shared" ref="EF218:EN218" si="516">EF64</f>
        <v>0</v>
      </c>
      <c r="EG218" s="44">
        <f t="shared" si="516"/>
        <v>0</v>
      </c>
      <c r="EH218" s="44">
        <f t="shared" si="516"/>
        <v>0</v>
      </c>
      <c r="EI218" s="44">
        <f t="shared" si="516"/>
        <v>0</v>
      </c>
      <c r="EJ218" s="44">
        <f t="shared" si="516"/>
        <v>0</v>
      </c>
      <c r="EK218" s="44">
        <f t="shared" si="516"/>
        <v>0</v>
      </c>
      <c r="EL218" s="44">
        <f t="shared" si="516"/>
        <v>0</v>
      </c>
      <c r="EM218" s="44">
        <f t="shared" si="516"/>
        <v>0</v>
      </c>
      <c r="EN218" s="44">
        <f t="shared" si="516"/>
        <v>0</v>
      </c>
    </row>
    <row r="219" spans="2:144">
      <c r="C219" s="151" t="str">
        <f t="shared" si="496"/>
        <v>МФЦ, в том числе хостел Jo&amp;JOE</v>
      </c>
      <c r="D219" s="45"/>
      <c r="E219" s="44"/>
      <c r="F219" s="44"/>
      <c r="G219" s="45"/>
      <c r="H219" s="44">
        <f t="shared" ref="H219:AM219" si="517">H75</f>
        <v>0</v>
      </c>
      <c r="I219" s="44">
        <f t="shared" si="517"/>
        <v>0</v>
      </c>
      <c r="J219" s="44">
        <f t="shared" si="517"/>
        <v>0</v>
      </c>
      <c r="K219" s="44">
        <f t="shared" si="517"/>
        <v>0</v>
      </c>
      <c r="L219" s="44">
        <f t="shared" si="517"/>
        <v>0</v>
      </c>
      <c r="M219" s="44">
        <f t="shared" si="517"/>
        <v>0</v>
      </c>
      <c r="N219" s="44">
        <f t="shared" si="517"/>
        <v>0</v>
      </c>
      <c r="O219" s="44">
        <f t="shared" si="517"/>
        <v>0</v>
      </c>
      <c r="P219" s="44">
        <f t="shared" si="517"/>
        <v>0</v>
      </c>
      <c r="Q219" s="44">
        <f t="shared" si="517"/>
        <v>0</v>
      </c>
      <c r="R219" s="44">
        <f t="shared" si="517"/>
        <v>0</v>
      </c>
      <c r="S219" s="44">
        <f t="shared" si="517"/>
        <v>0</v>
      </c>
      <c r="T219" s="44">
        <f t="shared" si="517"/>
        <v>0</v>
      </c>
      <c r="U219" s="44">
        <f t="shared" si="517"/>
        <v>0</v>
      </c>
      <c r="V219" s="44">
        <f t="shared" si="517"/>
        <v>907792672.24015296</v>
      </c>
      <c r="W219" s="44">
        <f t="shared" si="517"/>
        <v>900164162.38939536</v>
      </c>
      <c r="X219" s="44">
        <f t="shared" si="517"/>
        <v>892535652.53863776</v>
      </c>
      <c r="Y219" s="44">
        <f t="shared" si="517"/>
        <v>884907142.68788016</v>
      </c>
      <c r="Z219" s="44">
        <f t="shared" si="517"/>
        <v>877278632.83712256</v>
      </c>
      <c r="AA219" s="44">
        <f t="shared" si="517"/>
        <v>869650122.98636496</v>
      </c>
      <c r="AB219" s="44">
        <f t="shared" si="517"/>
        <v>862021613.13560736</v>
      </c>
      <c r="AC219" s="44">
        <f t="shared" si="517"/>
        <v>854393103.28484976</v>
      </c>
      <c r="AD219" s="44">
        <f t="shared" si="517"/>
        <v>846764593.43409216</v>
      </c>
      <c r="AE219" s="44">
        <f t="shared" si="517"/>
        <v>839136083.58333457</v>
      </c>
      <c r="AF219" s="44">
        <f t="shared" si="517"/>
        <v>831507573.73257697</v>
      </c>
      <c r="AG219" s="44">
        <f t="shared" si="517"/>
        <v>823879063.88181937</v>
      </c>
      <c r="AH219" s="44">
        <f t="shared" si="517"/>
        <v>816250554.03106177</v>
      </c>
      <c r="AI219" s="44">
        <f t="shared" si="517"/>
        <v>808622044.18030417</v>
      </c>
      <c r="AJ219" s="44">
        <f t="shared" si="517"/>
        <v>800993534.32954657</v>
      </c>
      <c r="AK219" s="44">
        <f t="shared" si="517"/>
        <v>793365024.47878897</v>
      </c>
      <c r="AL219" s="44">
        <f t="shared" si="517"/>
        <v>785736514.62803137</v>
      </c>
      <c r="AM219" s="44">
        <f t="shared" si="517"/>
        <v>778108004.77727377</v>
      </c>
      <c r="AN219" s="44">
        <f t="shared" ref="AN219:BS219" si="518">AN75</f>
        <v>770479494.92651618</v>
      </c>
      <c r="AO219" s="44">
        <f t="shared" si="518"/>
        <v>762850985.07575858</v>
      </c>
      <c r="AP219" s="44">
        <f t="shared" si="518"/>
        <v>755222475.22500098</v>
      </c>
      <c r="AQ219" s="44">
        <f t="shared" si="518"/>
        <v>747593965.37424338</v>
      </c>
      <c r="AR219" s="44">
        <f t="shared" si="518"/>
        <v>739965455.52348578</v>
      </c>
      <c r="AS219" s="44">
        <f t="shared" si="518"/>
        <v>732336945.67272818</v>
      </c>
      <c r="AT219" s="44">
        <f t="shared" si="518"/>
        <v>724708435.82197058</v>
      </c>
      <c r="AU219" s="44">
        <f t="shared" si="518"/>
        <v>717079925.97121298</v>
      </c>
      <c r="AV219" s="44">
        <f t="shared" si="518"/>
        <v>709451416.12045538</v>
      </c>
      <c r="AW219" s="44">
        <f t="shared" si="518"/>
        <v>701822906.26969779</v>
      </c>
      <c r="AX219" s="44">
        <f t="shared" si="518"/>
        <v>694194396.41894019</v>
      </c>
      <c r="AY219" s="44">
        <f t="shared" si="518"/>
        <v>686565886.56818259</v>
      </c>
      <c r="AZ219" s="44">
        <f t="shared" si="518"/>
        <v>678937376.71742499</v>
      </c>
      <c r="BA219" s="44">
        <f t="shared" si="518"/>
        <v>671308866.86666739</v>
      </c>
      <c r="BB219" s="44">
        <f t="shared" si="518"/>
        <v>663680357.01590979</v>
      </c>
      <c r="BC219" s="44">
        <f t="shared" si="518"/>
        <v>656051847.16515219</v>
      </c>
      <c r="BD219" s="44">
        <f t="shared" si="518"/>
        <v>648423337.31439459</v>
      </c>
      <c r="BE219" s="44">
        <f t="shared" si="518"/>
        <v>640794827.46363699</v>
      </c>
      <c r="BF219" s="44">
        <f t="shared" si="518"/>
        <v>633166317.6128794</v>
      </c>
      <c r="BG219" s="44">
        <f t="shared" si="518"/>
        <v>625537807.7621218</v>
      </c>
      <c r="BH219" s="44">
        <f t="shared" si="518"/>
        <v>617909297.9113642</v>
      </c>
      <c r="BI219" s="44">
        <f t="shared" si="518"/>
        <v>610280788.0606066</v>
      </c>
      <c r="BJ219" s="44">
        <f t="shared" si="518"/>
        <v>602652278.209849</v>
      </c>
      <c r="BK219" s="44">
        <f t="shared" si="518"/>
        <v>595023768.3590914</v>
      </c>
      <c r="BL219" s="44">
        <f t="shared" si="518"/>
        <v>587395258.5083338</v>
      </c>
      <c r="BM219" s="44">
        <f t="shared" si="518"/>
        <v>579766748.6575762</v>
      </c>
      <c r="BN219" s="44">
        <f t="shared" si="518"/>
        <v>572138238.8068186</v>
      </c>
      <c r="BO219" s="44">
        <f t="shared" si="518"/>
        <v>564509728.95606101</v>
      </c>
      <c r="BP219" s="44">
        <f t="shared" si="518"/>
        <v>556881219.10530341</v>
      </c>
      <c r="BQ219" s="44">
        <f t="shared" si="518"/>
        <v>549252709.25454581</v>
      </c>
      <c r="BR219" s="44">
        <f t="shared" si="518"/>
        <v>541624199.40378821</v>
      </c>
      <c r="BS219" s="44">
        <f t="shared" si="518"/>
        <v>533995689.55303061</v>
      </c>
      <c r="BT219" s="44">
        <f t="shared" ref="BT219:CY219" si="519">BT75</f>
        <v>526367179.70227301</v>
      </c>
      <c r="BU219" s="44">
        <f t="shared" si="519"/>
        <v>518738669.85151541</v>
      </c>
      <c r="BV219" s="44">
        <f t="shared" si="519"/>
        <v>511110160.00075781</v>
      </c>
      <c r="BW219" s="44">
        <f t="shared" si="519"/>
        <v>503481650.15000021</v>
      </c>
      <c r="BX219" s="44">
        <f t="shared" si="519"/>
        <v>495853140.29924262</v>
      </c>
      <c r="BY219" s="44">
        <f t="shared" si="519"/>
        <v>488224630.44848502</v>
      </c>
      <c r="BZ219" s="44">
        <f t="shared" si="519"/>
        <v>480596120.59772742</v>
      </c>
      <c r="CA219" s="44">
        <f t="shared" si="519"/>
        <v>472967610.74696982</v>
      </c>
      <c r="CB219" s="44">
        <f t="shared" si="519"/>
        <v>465339100.89621222</v>
      </c>
      <c r="CC219" s="44">
        <f t="shared" si="519"/>
        <v>457710591.04545462</v>
      </c>
      <c r="CD219" s="44">
        <f t="shared" si="519"/>
        <v>450082081.19469702</v>
      </c>
      <c r="CE219" s="44">
        <f t="shared" si="519"/>
        <v>442453571.34393942</v>
      </c>
      <c r="CF219" s="44">
        <f t="shared" si="519"/>
        <v>434825061.49318182</v>
      </c>
      <c r="CG219" s="44">
        <f t="shared" si="519"/>
        <v>427196551.64242423</v>
      </c>
      <c r="CH219" s="44">
        <f t="shared" si="519"/>
        <v>419568041.79166663</v>
      </c>
      <c r="CI219" s="44">
        <f t="shared" si="519"/>
        <v>411939531.94090903</v>
      </c>
      <c r="CJ219" s="44">
        <f t="shared" si="519"/>
        <v>404311022.09015143</v>
      </c>
      <c r="CK219" s="44">
        <f t="shared" si="519"/>
        <v>396682512.23939383</v>
      </c>
      <c r="CL219" s="44">
        <f t="shared" si="519"/>
        <v>389054002.38863623</v>
      </c>
      <c r="CM219" s="44">
        <f t="shared" si="519"/>
        <v>381425492.53787863</v>
      </c>
      <c r="CN219" s="44">
        <f t="shared" si="519"/>
        <v>373796982.68712103</v>
      </c>
      <c r="CO219" s="44">
        <f t="shared" si="519"/>
        <v>366168472.83636343</v>
      </c>
      <c r="CP219" s="44">
        <f t="shared" si="519"/>
        <v>358539962.98560584</v>
      </c>
      <c r="CQ219" s="44">
        <f t="shared" si="519"/>
        <v>350911453.13484824</v>
      </c>
      <c r="CR219" s="44">
        <f t="shared" si="519"/>
        <v>343282943.28409064</v>
      </c>
      <c r="CS219" s="44">
        <f t="shared" si="519"/>
        <v>335654433.43333304</v>
      </c>
      <c r="CT219" s="44">
        <f t="shared" si="519"/>
        <v>328025923.58257544</v>
      </c>
      <c r="CU219" s="44">
        <f t="shared" si="519"/>
        <v>320397413.73181784</v>
      </c>
      <c r="CV219" s="44">
        <f t="shared" si="519"/>
        <v>312768903.88106024</v>
      </c>
      <c r="CW219" s="44">
        <f t="shared" si="519"/>
        <v>305140394.03030264</v>
      </c>
      <c r="CX219" s="44">
        <f t="shared" si="519"/>
        <v>297511884.17954504</v>
      </c>
      <c r="CY219" s="44">
        <f t="shared" si="519"/>
        <v>289883374.32878745</v>
      </c>
      <c r="CZ219" s="44">
        <f t="shared" ref="CZ219:EE219" si="520">CZ75</f>
        <v>282254864.47802985</v>
      </c>
      <c r="DA219" s="44">
        <f t="shared" si="520"/>
        <v>274626354.62727225</v>
      </c>
      <c r="DB219" s="44">
        <f t="shared" si="520"/>
        <v>266997844.77651465</v>
      </c>
      <c r="DC219" s="44">
        <f t="shared" si="520"/>
        <v>259369334.92575705</v>
      </c>
      <c r="DD219" s="44">
        <f t="shared" si="520"/>
        <v>251740825.07499945</v>
      </c>
      <c r="DE219" s="44">
        <f t="shared" si="520"/>
        <v>244112315.22424185</v>
      </c>
      <c r="DF219" s="44">
        <f t="shared" si="520"/>
        <v>236483805.37348425</v>
      </c>
      <c r="DG219" s="44">
        <f t="shared" si="520"/>
        <v>228855295.52272666</v>
      </c>
      <c r="DH219" s="44">
        <f t="shared" si="520"/>
        <v>221226785.67196906</v>
      </c>
      <c r="DI219" s="44">
        <f t="shared" si="520"/>
        <v>213598275.82121146</v>
      </c>
      <c r="DJ219" s="44">
        <f t="shared" si="520"/>
        <v>205969765.97045386</v>
      </c>
      <c r="DK219" s="44">
        <f t="shared" si="520"/>
        <v>198341256.11969626</v>
      </c>
      <c r="DL219" s="44">
        <f t="shared" si="520"/>
        <v>190712746.26893866</v>
      </c>
      <c r="DM219" s="44">
        <f t="shared" si="520"/>
        <v>183084236.41818106</v>
      </c>
      <c r="DN219" s="44">
        <f t="shared" si="520"/>
        <v>175455726.56742346</v>
      </c>
      <c r="DO219" s="44">
        <f t="shared" si="520"/>
        <v>167827216.71666586</v>
      </c>
      <c r="DP219" s="44">
        <f t="shared" si="520"/>
        <v>160198706.86590827</v>
      </c>
      <c r="DQ219" s="44">
        <f t="shared" si="520"/>
        <v>152570197.01515067</v>
      </c>
      <c r="DR219" s="44">
        <f t="shared" si="520"/>
        <v>144941687.16439307</v>
      </c>
      <c r="DS219" s="44">
        <f t="shared" si="520"/>
        <v>137313177.31363547</v>
      </c>
      <c r="DT219" s="44">
        <f t="shared" si="520"/>
        <v>129684667.46287788</v>
      </c>
      <c r="DU219" s="44">
        <f t="shared" si="520"/>
        <v>122056157.6121203</v>
      </c>
      <c r="DV219" s="44">
        <f t="shared" si="520"/>
        <v>114427647.76136272</v>
      </c>
      <c r="DW219" s="44">
        <f t="shared" si="520"/>
        <v>106799137.91060513</v>
      </c>
      <c r="DX219" s="44">
        <f t="shared" si="520"/>
        <v>99170628.059847549</v>
      </c>
      <c r="DY219" s="44">
        <f t="shared" si="520"/>
        <v>91542118.209089965</v>
      </c>
      <c r="DZ219" s="44">
        <f t="shared" si="520"/>
        <v>83913608.358332381</v>
      </c>
      <c r="EA219" s="44">
        <f t="shared" si="520"/>
        <v>76285098.507574797</v>
      </c>
      <c r="EB219" s="44">
        <f t="shared" si="520"/>
        <v>68656588.656817213</v>
      </c>
      <c r="EC219" s="44">
        <f t="shared" si="520"/>
        <v>61028078.806059629</v>
      </c>
      <c r="ED219" s="44">
        <f t="shared" si="520"/>
        <v>53399568.955302045</v>
      </c>
      <c r="EE219" s="44">
        <f t="shared" si="520"/>
        <v>45771059.104544461</v>
      </c>
      <c r="EF219" s="44">
        <f t="shared" ref="EF219:EN219" si="521">EF75</f>
        <v>38142549.253786877</v>
      </c>
      <c r="EG219" s="44">
        <f t="shared" si="521"/>
        <v>30514039.403029289</v>
      </c>
      <c r="EH219" s="44">
        <f t="shared" si="521"/>
        <v>22885529.552271701</v>
      </c>
      <c r="EI219" s="44">
        <f t="shared" si="521"/>
        <v>15257019.701514114</v>
      </c>
      <c r="EJ219" s="44">
        <f t="shared" si="521"/>
        <v>7628509.850756526</v>
      </c>
      <c r="EK219" s="44">
        <f t="shared" si="521"/>
        <v>0</v>
      </c>
      <c r="EL219" s="44">
        <f t="shared" si="521"/>
        <v>0</v>
      </c>
      <c r="EM219" s="44">
        <f t="shared" si="521"/>
        <v>0</v>
      </c>
      <c r="EN219" s="44">
        <f t="shared" si="521"/>
        <v>0</v>
      </c>
    </row>
    <row r="220" spans="2:144">
      <c r="C220" s="151" t="str">
        <f t="shared" si="496"/>
        <v>Шале</v>
      </c>
      <c r="D220" s="45"/>
      <c r="E220" s="44"/>
      <c r="F220" s="44"/>
      <c r="G220" s="45"/>
      <c r="H220" s="44">
        <f t="shared" ref="H220:AM220" si="522">H86</f>
        <v>0</v>
      </c>
      <c r="I220" s="44">
        <f t="shared" si="522"/>
        <v>0</v>
      </c>
      <c r="J220" s="44">
        <f t="shared" si="522"/>
        <v>0</v>
      </c>
      <c r="K220" s="44">
        <f t="shared" si="522"/>
        <v>0</v>
      </c>
      <c r="L220" s="44">
        <f t="shared" si="522"/>
        <v>0</v>
      </c>
      <c r="M220" s="44">
        <f t="shared" si="522"/>
        <v>0</v>
      </c>
      <c r="N220" s="44">
        <f t="shared" si="522"/>
        <v>0</v>
      </c>
      <c r="O220" s="44">
        <f t="shared" si="522"/>
        <v>0</v>
      </c>
      <c r="P220" s="44">
        <f t="shared" si="522"/>
        <v>0</v>
      </c>
      <c r="Q220" s="44">
        <f t="shared" si="522"/>
        <v>0</v>
      </c>
      <c r="R220" s="44">
        <f t="shared" si="522"/>
        <v>0</v>
      </c>
      <c r="S220" s="44">
        <f t="shared" si="522"/>
        <v>0</v>
      </c>
      <c r="T220" s="44">
        <f t="shared" si="522"/>
        <v>0</v>
      </c>
      <c r="U220" s="44">
        <f t="shared" si="522"/>
        <v>0</v>
      </c>
      <c r="V220" s="44">
        <f t="shared" si="522"/>
        <v>0</v>
      </c>
      <c r="W220" s="44">
        <f t="shared" si="522"/>
        <v>0</v>
      </c>
      <c r="X220" s="44">
        <f t="shared" si="522"/>
        <v>0</v>
      </c>
      <c r="Y220" s="44">
        <f t="shared" si="522"/>
        <v>0</v>
      </c>
      <c r="Z220" s="44">
        <f t="shared" si="522"/>
        <v>217692635.05656791</v>
      </c>
      <c r="AA220" s="44">
        <f t="shared" si="522"/>
        <v>215863285.18214297</v>
      </c>
      <c r="AB220" s="44">
        <f t="shared" si="522"/>
        <v>214033935.30771804</v>
      </c>
      <c r="AC220" s="44">
        <f t="shared" si="522"/>
        <v>212204585.4332931</v>
      </c>
      <c r="AD220" s="44">
        <f t="shared" si="522"/>
        <v>210375235.55886817</v>
      </c>
      <c r="AE220" s="44">
        <f t="shared" si="522"/>
        <v>208545885.68444324</v>
      </c>
      <c r="AF220" s="44">
        <f t="shared" si="522"/>
        <v>206716535.8100183</v>
      </c>
      <c r="AG220" s="44">
        <f t="shared" si="522"/>
        <v>204887185.93559337</v>
      </c>
      <c r="AH220" s="44">
        <f t="shared" si="522"/>
        <v>203057836.06116843</v>
      </c>
      <c r="AI220" s="44">
        <f t="shared" si="522"/>
        <v>201228486.1867435</v>
      </c>
      <c r="AJ220" s="44">
        <f t="shared" si="522"/>
        <v>199399136.31231856</v>
      </c>
      <c r="AK220" s="44">
        <f t="shared" si="522"/>
        <v>197569786.43789363</v>
      </c>
      <c r="AL220" s="44">
        <f t="shared" si="522"/>
        <v>195740436.56346869</v>
      </c>
      <c r="AM220" s="44">
        <f t="shared" si="522"/>
        <v>193911086.68904376</v>
      </c>
      <c r="AN220" s="44">
        <f t="shared" ref="AN220:BS220" si="523">AN86</f>
        <v>192081736.81461883</v>
      </c>
      <c r="AO220" s="44">
        <f t="shared" si="523"/>
        <v>190252386.94019389</v>
      </c>
      <c r="AP220" s="44">
        <f t="shared" si="523"/>
        <v>188423037.06576896</v>
      </c>
      <c r="AQ220" s="44">
        <f t="shared" si="523"/>
        <v>186593687.19134402</v>
      </c>
      <c r="AR220" s="44">
        <f t="shared" si="523"/>
        <v>184764337.31691909</v>
      </c>
      <c r="AS220" s="44">
        <f t="shared" si="523"/>
        <v>182934987.44249415</v>
      </c>
      <c r="AT220" s="44">
        <f t="shared" si="523"/>
        <v>181105637.56806922</v>
      </c>
      <c r="AU220" s="44">
        <f t="shared" si="523"/>
        <v>179276287.69364429</v>
      </c>
      <c r="AV220" s="44">
        <f t="shared" si="523"/>
        <v>177446937.81921935</v>
      </c>
      <c r="AW220" s="44">
        <f t="shared" si="523"/>
        <v>175617587.94479442</v>
      </c>
      <c r="AX220" s="44">
        <f t="shared" si="523"/>
        <v>173788238.07036948</v>
      </c>
      <c r="AY220" s="44">
        <f t="shared" si="523"/>
        <v>171958888.19594455</v>
      </c>
      <c r="AZ220" s="44">
        <f t="shared" si="523"/>
        <v>170129538.32151961</v>
      </c>
      <c r="BA220" s="44">
        <f t="shared" si="523"/>
        <v>168300188.44709468</v>
      </c>
      <c r="BB220" s="44">
        <f t="shared" si="523"/>
        <v>166470838.57266974</v>
      </c>
      <c r="BC220" s="44">
        <f t="shared" si="523"/>
        <v>164641488.69824481</v>
      </c>
      <c r="BD220" s="44">
        <f t="shared" si="523"/>
        <v>162812138.82381988</v>
      </c>
      <c r="BE220" s="44">
        <f t="shared" si="523"/>
        <v>160982788.94939494</v>
      </c>
      <c r="BF220" s="44">
        <f t="shared" si="523"/>
        <v>159153439.07497001</v>
      </c>
      <c r="BG220" s="44">
        <f t="shared" si="523"/>
        <v>157324089.20054507</v>
      </c>
      <c r="BH220" s="44">
        <f t="shared" si="523"/>
        <v>155494739.32612014</v>
      </c>
      <c r="BI220" s="44">
        <f t="shared" si="523"/>
        <v>153665389.4516952</v>
      </c>
      <c r="BJ220" s="44">
        <f t="shared" si="523"/>
        <v>151836039.57727027</v>
      </c>
      <c r="BK220" s="44">
        <f t="shared" si="523"/>
        <v>150006689.70284534</v>
      </c>
      <c r="BL220" s="44">
        <f t="shared" si="523"/>
        <v>148177339.8284204</v>
      </c>
      <c r="BM220" s="44">
        <f t="shared" si="523"/>
        <v>146347989.95399547</v>
      </c>
      <c r="BN220" s="44">
        <f t="shared" si="523"/>
        <v>144518640.07957053</v>
      </c>
      <c r="BO220" s="44">
        <f t="shared" si="523"/>
        <v>142689290.2051456</v>
      </c>
      <c r="BP220" s="44">
        <f t="shared" si="523"/>
        <v>140859940.33072066</v>
      </c>
      <c r="BQ220" s="44">
        <f t="shared" si="523"/>
        <v>139030590.45629573</v>
      </c>
      <c r="BR220" s="44">
        <f t="shared" si="523"/>
        <v>137201240.58187079</v>
      </c>
      <c r="BS220" s="44">
        <f t="shared" si="523"/>
        <v>135371890.70744586</v>
      </c>
      <c r="BT220" s="44">
        <f t="shared" ref="BT220:CY220" si="524">BT86</f>
        <v>133542540.83302093</v>
      </c>
      <c r="BU220" s="44">
        <f t="shared" si="524"/>
        <v>131713190.95859599</v>
      </c>
      <c r="BV220" s="44">
        <f t="shared" si="524"/>
        <v>129883841.08417106</v>
      </c>
      <c r="BW220" s="44">
        <f t="shared" si="524"/>
        <v>128054491.20974612</v>
      </c>
      <c r="BX220" s="44">
        <f t="shared" si="524"/>
        <v>126225141.33532119</v>
      </c>
      <c r="BY220" s="44">
        <f t="shared" si="524"/>
        <v>124395791.46089625</v>
      </c>
      <c r="BZ220" s="44">
        <f t="shared" si="524"/>
        <v>122566441.58647132</v>
      </c>
      <c r="CA220" s="44">
        <f t="shared" si="524"/>
        <v>120737091.71204638</v>
      </c>
      <c r="CB220" s="44">
        <f t="shared" si="524"/>
        <v>118907741.83762145</v>
      </c>
      <c r="CC220" s="44">
        <f t="shared" si="524"/>
        <v>117078391.96319652</v>
      </c>
      <c r="CD220" s="44">
        <f t="shared" si="524"/>
        <v>115249042.08877158</v>
      </c>
      <c r="CE220" s="44">
        <f t="shared" si="524"/>
        <v>113419692.21434665</v>
      </c>
      <c r="CF220" s="44">
        <f t="shared" si="524"/>
        <v>111590342.33992171</v>
      </c>
      <c r="CG220" s="44">
        <f t="shared" si="524"/>
        <v>109760992.46549678</v>
      </c>
      <c r="CH220" s="44">
        <f t="shared" si="524"/>
        <v>107931642.59107184</v>
      </c>
      <c r="CI220" s="44">
        <f t="shared" si="524"/>
        <v>106102292.71664691</v>
      </c>
      <c r="CJ220" s="44">
        <f t="shared" si="524"/>
        <v>104272942.84222198</v>
      </c>
      <c r="CK220" s="44">
        <f t="shared" si="524"/>
        <v>102443592.96779704</v>
      </c>
      <c r="CL220" s="44">
        <f t="shared" si="524"/>
        <v>100614243.09337211</v>
      </c>
      <c r="CM220" s="44">
        <f t="shared" si="524"/>
        <v>98784893.218947172</v>
      </c>
      <c r="CN220" s="44">
        <f t="shared" si="524"/>
        <v>96955543.344522238</v>
      </c>
      <c r="CO220" s="44">
        <f t="shared" si="524"/>
        <v>95126193.470097303</v>
      </c>
      <c r="CP220" s="44">
        <f t="shared" si="524"/>
        <v>93296843.595672369</v>
      </c>
      <c r="CQ220" s="44">
        <f t="shared" si="524"/>
        <v>91467493.721247435</v>
      </c>
      <c r="CR220" s="44">
        <f t="shared" si="524"/>
        <v>89638143.8468225</v>
      </c>
      <c r="CS220" s="44">
        <f t="shared" si="524"/>
        <v>87808793.972397566</v>
      </c>
      <c r="CT220" s="44">
        <f t="shared" si="524"/>
        <v>85979444.097972631</v>
      </c>
      <c r="CU220" s="44">
        <f t="shared" si="524"/>
        <v>84150094.223547697</v>
      </c>
      <c r="CV220" s="44">
        <f t="shared" si="524"/>
        <v>82320744.349122763</v>
      </c>
      <c r="CW220" s="44">
        <f t="shared" si="524"/>
        <v>80491394.474697828</v>
      </c>
      <c r="CX220" s="44">
        <f t="shared" si="524"/>
        <v>78662044.600272894</v>
      </c>
      <c r="CY220" s="44">
        <f t="shared" si="524"/>
        <v>76832694.72584796</v>
      </c>
      <c r="CZ220" s="44">
        <f t="shared" ref="CZ220:EE220" si="525">CZ86</f>
        <v>75003344.851423025</v>
      </c>
      <c r="DA220" s="44">
        <f t="shared" si="525"/>
        <v>73173994.976998091</v>
      </c>
      <c r="DB220" s="44">
        <f t="shared" si="525"/>
        <v>71344645.102573156</v>
      </c>
      <c r="DC220" s="44">
        <f t="shared" si="525"/>
        <v>69515295.228148222</v>
      </c>
      <c r="DD220" s="44">
        <f t="shared" si="525"/>
        <v>67685945.353723288</v>
      </c>
      <c r="DE220" s="44">
        <f t="shared" si="525"/>
        <v>65856595.479298346</v>
      </c>
      <c r="DF220" s="44">
        <f t="shared" si="525"/>
        <v>64027245.604873404</v>
      </c>
      <c r="DG220" s="44">
        <f t="shared" si="525"/>
        <v>62197895.730448462</v>
      </c>
      <c r="DH220" s="44">
        <f t="shared" si="525"/>
        <v>60368545.85602352</v>
      </c>
      <c r="DI220" s="44">
        <f t="shared" si="525"/>
        <v>58539195.981598578</v>
      </c>
      <c r="DJ220" s="44">
        <f t="shared" si="525"/>
        <v>56709846.107173637</v>
      </c>
      <c r="DK220" s="44">
        <f t="shared" si="525"/>
        <v>54880496.232748695</v>
      </c>
      <c r="DL220" s="44">
        <f t="shared" si="525"/>
        <v>53051146.358323753</v>
      </c>
      <c r="DM220" s="44">
        <f t="shared" si="525"/>
        <v>51221796.483898811</v>
      </c>
      <c r="DN220" s="44">
        <f t="shared" si="525"/>
        <v>49392446.609473869</v>
      </c>
      <c r="DO220" s="44">
        <f t="shared" si="525"/>
        <v>47563096.735048927</v>
      </c>
      <c r="DP220" s="44">
        <f t="shared" si="525"/>
        <v>45733746.860623986</v>
      </c>
      <c r="DQ220" s="44">
        <f t="shared" si="525"/>
        <v>43904396.986199044</v>
      </c>
      <c r="DR220" s="44">
        <f t="shared" si="525"/>
        <v>42075047.111774102</v>
      </c>
      <c r="DS220" s="44">
        <f t="shared" si="525"/>
        <v>40245697.23734916</v>
      </c>
      <c r="DT220" s="44">
        <f t="shared" si="525"/>
        <v>38416347.362924218</v>
      </c>
      <c r="DU220" s="44">
        <f t="shared" si="525"/>
        <v>36586997.488499276</v>
      </c>
      <c r="DV220" s="44">
        <f t="shared" si="525"/>
        <v>34757647.614074335</v>
      </c>
      <c r="DW220" s="44">
        <f t="shared" si="525"/>
        <v>32928297.739649393</v>
      </c>
      <c r="DX220" s="44">
        <f t="shared" si="525"/>
        <v>31098947.865224451</v>
      </c>
      <c r="DY220" s="44">
        <f t="shared" si="525"/>
        <v>29269597.990799509</v>
      </c>
      <c r="DZ220" s="44">
        <f t="shared" si="525"/>
        <v>27440248.116374567</v>
      </c>
      <c r="EA220" s="44">
        <f t="shared" si="525"/>
        <v>25610898.241949625</v>
      </c>
      <c r="EB220" s="44">
        <f t="shared" si="525"/>
        <v>23781548.367524683</v>
      </c>
      <c r="EC220" s="44">
        <f t="shared" si="525"/>
        <v>21952198.493099742</v>
      </c>
      <c r="ED220" s="44">
        <f t="shared" si="525"/>
        <v>20122848.6186748</v>
      </c>
      <c r="EE220" s="44">
        <f t="shared" si="525"/>
        <v>18293498.744249858</v>
      </c>
      <c r="EF220" s="44">
        <f t="shared" ref="EF220:EN220" si="526">EF86</f>
        <v>16464148.869824918</v>
      </c>
      <c r="EG220" s="44">
        <f t="shared" si="526"/>
        <v>14634798.995399978</v>
      </c>
      <c r="EH220" s="44">
        <f t="shared" si="526"/>
        <v>12805449.120975038</v>
      </c>
      <c r="EI220" s="44">
        <f t="shared" si="526"/>
        <v>10976099.246550098</v>
      </c>
      <c r="EJ220" s="44">
        <f t="shared" si="526"/>
        <v>9146749.3721251581</v>
      </c>
      <c r="EK220" s="44">
        <f t="shared" si="526"/>
        <v>7317399.4977002181</v>
      </c>
      <c r="EL220" s="44">
        <f t="shared" si="526"/>
        <v>5488049.6232752781</v>
      </c>
      <c r="EM220" s="44">
        <f t="shared" si="526"/>
        <v>3658699.7488503382</v>
      </c>
      <c r="EN220" s="44">
        <f t="shared" si="526"/>
        <v>1829349.874425398</v>
      </c>
    </row>
    <row r="221" spans="2:144">
      <c r="C221" s="151" t="str">
        <f t="shared" si="496"/>
        <v>Туристские резиденции</v>
      </c>
      <c r="D221" s="45"/>
      <c r="E221" s="44"/>
      <c r="F221" s="44"/>
      <c r="G221" s="45"/>
      <c r="H221" s="44">
        <f t="shared" ref="H221:AM221" si="527">H97</f>
        <v>0</v>
      </c>
      <c r="I221" s="44">
        <f t="shared" si="527"/>
        <v>0</v>
      </c>
      <c r="J221" s="44">
        <f t="shared" si="527"/>
        <v>0</v>
      </c>
      <c r="K221" s="44">
        <f t="shared" si="527"/>
        <v>0</v>
      </c>
      <c r="L221" s="44">
        <f t="shared" si="527"/>
        <v>0</v>
      </c>
      <c r="M221" s="44">
        <f t="shared" si="527"/>
        <v>0</v>
      </c>
      <c r="N221" s="44">
        <f t="shared" si="527"/>
        <v>0</v>
      </c>
      <c r="O221" s="44">
        <f t="shared" si="527"/>
        <v>0</v>
      </c>
      <c r="P221" s="44">
        <f t="shared" si="527"/>
        <v>0</v>
      </c>
      <c r="Q221" s="44">
        <f t="shared" si="527"/>
        <v>0</v>
      </c>
      <c r="R221" s="44">
        <f t="shared" si="527"/>
        <v>0</v>
      </c>
      <c r="S221" s="44">
        <f t="shared" si="527"/>
        <v>0</v>
      </c>
      <c r="T221" s="44">
        <f t="shared" si="527"/>
        <v>0</v>
      </c>
      <c r="U221" s="44">
        <f t="shared" si="527"/>
        <v>0</v>
      </c>
      <c r="V221" s="44">
        <f t="shared" si="527"/>
        <v>0</v>
      </c>
      <c r="W221" s="44">
        <f t="shared" si="527"/>
        <v>0</v>
      </c>
      <c r="X221" s="44">
        <f t="shared" si="527"/>
        <v>0</v>
      </c>
      <c r="Y221" s="44">
        <f t="shared" si="527"/>
        <v>0</v>
      </c>
      <c r="Z221" s="44">
        <f t="shared" si="527"/>
        <v>0</v>
      </c>
      <c r="AA221" s="44">
        <f t="shared" si="527"/>
        <v>0</v>
      </c>
      <c r="AB221" s="44">
        <f t="shared" si="527"/>
        <v>0</v>
      </c>
      <c r="AC221" s="44">
        <f t="shared" si="527"/>
        <v>0</v>
      </c>
      <c r="AD221" s="44">
        <f t="shared" si="527"/>
        <v>0</v>
      </c>
      <c r="AE221" s="44">
        <f t="shared" si="527"/>
        <v>0</v>
      </c>
      <c r="AF221" s="44">
        <f t="shared" si="527"/>
        <v>0</v>
      </c>
      <c r="AG221" s="44">
        <f t="shared" si="527"/>
        <v>0</v>
      </c>
      <c r="AH221" s="44">
        <f t="shared" si="527"/>
        <v>0</v>
      </c>
      <c r="AI221" s="44">
        <f t="shared" si="527"/>
        <v>0</v>
      </c>
      <c r="AJ221" s="44">
        <f t="shared" si="527"/>
        <v>0</v>
      </c>
      <c r="AK221" s="44">
        <f t="shared" si="527"/>
        <v>0</v>
      </c>
      <c r="AL221" s="44">
        <f t="shared" si="527"/>
        <v>0</v>
      </c>
      <c r="AM221" s="44">
        <f t="shared" si="527"/>
        <v>0</v>
      </c>
      <c r="AN221" s="44">
        <f t="shared" ref="AN221:BS221" si="528">AN97</f>
        <v>0</v>
      </c>
      <c r="AO221" s="44">
        <f t="shared" si="528"/>
        <v>0</v>
      </c>
      <c r="AP221" s="44">
        <f t="shared" si="528"/>
        <v>0</v>
      </c>
      <c r="AQ221" s="44">
        <f t="shared" si="528"/>
        <v>0</v>
      </c>
      <c r="AR221" s="44">
        <f t="shared" si="528"/>
        <v>0</v>
      </c>
      <c r="AS221" s="44">
        <f t="shared" si="528"/>
        <v>0</v>
      </c>
      <c r="AT221" s="44">
        <f t="shared" si="528"/>
        <v>0</v>
      </c>
      <c r="AU221" s="44">
        <f t="shared" si="528"/>
        <v>0</v>
      </c>
      <c r="AV221" s="44">
        <f t="shared" si="528"/>
        <v>0</v>
      </c>
      <c r="AW221" s="44">
        <f t="shared" si="528"/>
        <v>0</v>
      </c>
      <c r="AX221" s="44">
        <f t="shared" si="528"/>
        <v>0</v>
      </c>
      <c r="AY221" s="44">
        <f t="shared" si="528"/>
        <v>0</v>
      </c>
      <c r="AZ221" s="44">
        <f t="shared" si="528"/>
        <v>0</v>
      </c>
      <c r="BA221" s="44">
        <f t="shared" si="528"/>
        <v>0</v>
      </c>
      <c r="BB221" s="44">
        <f t="shared" si="528"/>
        <v>0</v>
      </c>
      <c r="BC221" s="44">
        <f t="shared" si="528"/>
        <v>0</v>
      </c>
      <c r="BD221" s="44">
        <f t="shared" si="528"/>
        <v>0</v>
      </c>
      <c r="BE221" s="44">
        <f t="shared" si="528"/>
        <v>0</v>
      </c>
      <c r="BF221" s="44">
        <f t="shared" si="528"/>
        <v>0</v>
      </c>
      <c r="BG221" s="44">
        <f t="shared" si="528"/>
        <v>0</v>
      </c>
      <c r="BH221" s="44">
        <f t="shared" si="528"/>
        <v>0</v>
      </c>
      <c r="BI221" s="44">
        <f t="shared" si="528"/>
        <v>0</v>
      </c>
      <c r="BJ221" s="44">
        <f t="shared" si="528"/>
        <v>0</v>
      </c>
      <c r="BK221" s="44">
        <f t="shared" si="528"/>
        <v>0</v>
      </c>
      <c r="BL221" s="44">
        <f t="shared" si="528"/>
        <v>0</v>
      </c>
      <c r="BM221" s="44">
        <f t="shared" si="528"/>
        <v>0</v>
      </c>
      <c r="BN221" s="44">
        <f t="shared" si="528"/>
        <v>0</v>
      </c>
      <c r="BO221" s="44">
        <f t="shared" si="528"/>
        <v>0</v>
      </c>
      <c r="BP221" s="44">
        <f t="shared" si="528"/>
        <v>0</v>
      </c>
      <c r="BQ221" s="44">
        <f t="shared" si="528"/>
        <v>0</v>
      </c>
      <c r="BR221" s="44">
        <f t="shared" si="528"/>
        <v>0</v>
      </c>
      <c r="BS221" s="44">
        <f t="shared" si="528"/>
        <v>0</v>
      </c>
      <c r="BT221" s="44">
        <f t="shared" ref="BT221:CY221" si="529">BT97</f>
        <v>0</v>
      </c>
      <c r="BU221" s="44">
        <f t="shared" si="529"/>
        <v>0</v>
      </c>
      <c r="BV221" s="44">
        <f t="shared" si="529"/>
        <v>0</v>
      </c>
      <c r="BW221" s="44">
        <f t="shared" si="529"/>
        <v>0</v>
      </c>
      <c r="BX221" s="44">
        <f t="shared" si="529"/>
        <v>0</v>
      </c>
      <c r="BY221" s="44">
        <f t="shared" si="529"/>
        <v>0</v>
      </c>
      <c r="BZ221" s="44">
        <f t="shared" si="529"/>
        <v>0</v>
      </c>
      <c r="CA221" s="44">
        <f t="shared" si="529"/>
        <v>0</v>
      </c>
      <c r="CB221" s="44">
        <f t="shared" si="529"/>
        <v>0</v>
      </c>
      <c r="CC221" s="44">
        <f t="shared" si="529"/>
        <v>0</v>
      </c>
      <c r="CD221" s="44">
        <f t="shared" si="529"/>
        <v>0</v>
      </c>
      <c r="CE221" s="44">
        <f t="shared" si="529"/>
        <v>0</v>
      </c>
      <c r="CF221" s="44">
        <f t="shared" si="529"/>
        <v>0</v>
      </c>
      <c r="CG221" s="44">
        <f t="shared" si="529"/>
        <v>0</v>
      </c>
      <c r="CH221" s="44">
        <f t="shared" si="529"/>
        <v>0</v>
      </c>
      <c r="CI221" s="44">
        <f t="shared" si="529"/>
        <v>0</v>
      </c>
      <c r="CJ221" s="44">
        <f t="shared" si="529"/>
        <v>0</v>
      </c>
      <c r="CK221" s="44">
        <f t="shared" si="529"/>
        <v>0</v>
      </c>
      <c r="CL221" s="44">
        <f t="shared" si="529"/>
        <v>0</v>
      </c>
      <c r="CM221" s="44">
        <f t="shared" si="529"/>
        <v>0</v>
      </c>
      <c r="CN221" s="44">
        <f t="shared" si="529"/>
        <v>0</v>
      </c>
      <c r="CO221" s="44">
        <f t="shared" si="529"/>
        <v>0</v>
      </c>
      <c r="CP221" s="44">
        <f t="shared" si="529"/>
        <v>0</v>
      </c>
      <c r="CQ221" s="44">
        <f t="shared" si="529"/>
        <v>0</v>
      </c>
      <c r="CR221" s="44">
        <f t="shared" si="529"/>
        <v>0</v>
      </c>
      <c r="CS221" s="44">
        <f t="shared" si="529"/>
        <v>0</v>
      </c>
      <c r="CT221" s="44">
        <f t="shared" si="529"/>
        <v>0</v>
      </c>
      <c r="CU221" s="44">
        <f t="shared" si="529"/>
        <v>0</v>
      </c>
      <c r="CV221" s="44">
        <f t="shared" si="529"/>
        <v>0</v>
      </c>
      <c r="CW221" s="44">
        <f t="shared" si="529"/>
        <v>0</v>
      </c>
      <c r="CX221" s="44">
        <f t="shared" si="529"/>
        <v>0</v>
      </c>
      <c r="CY221" s="44">
        <f t="shared" si="529"/>
        <v>0</v>
      </c>
      <c r="CZ221" s="44">
        <f t="shared" ref="CZ221:EE221" si="530">CZ97</f>
        <v>0</v>
      </c>
      <c r="DA221" s="44">
        <f t="shared" si="530"/>
        <v>0</v>
      </c>
      <c r="DB221" s="44">
        <f t="shared" si="530"/>
        <v>0</v>
      </c>
      <c r="DC221" s="44">
        <f t="shared" si="530"/>
        <v>0</v>
      </c>
      <c r="DD221" s="44">
        <f t="shared" si="530"/>
        <v>0</v>
      </c>
      <c r="DE221" s="44">
        <f t="shared" si="530"/>
        <v>0</v>
      </c>
      <c r="DF221" s="44">
        <f t="shared" si="530"/>
        <v>0</v>
      </c>
      <c r="DG221" s="44">
        <f t="shared" si="530"/>
        <v>0</v>
      </c>
      <c r="DH221" s="44">
        <f t="shared" si="530"/>
        <v>0</v>
      </c>
      <c r="DI221" s="44">
        <f t="shared" si="530"/>
        <v>0</v>
      </c>
      <c r="DJ221" s="44">
        <f t="shared" si="530"/>
        <v>0</v>
      </c>
      <c r="DK221" s="44">
        <f t="shared" si="530"/>
        <v>0</v>
      </c>
      <c r="DL221" s="44">
        <f t="shared" si="530"/>
        <v>0</v>
      </c>
      <c r="DM221" s="44">
        <f t="shared" si="530"/>
        <v>0</v>
      </c>
      <c r="DN221" s="44">
        <f t="shared" si="530"/>
        <v>0</v>
      </c>
      <c r="DO221" s="44">
        <f t="shared" si="530"/>
        <v>0</v>
      </c>
      <c r="DP221" s="44">
        <f t="shared" si="530"/>
        <v>0</v>
      </c>
      <c r="DQ221" s="44">
        <f t="shared" si="530"/>
        <v>0</v>
      </c>
      <c r="DR221" s="44">
        <f t="shared" si="530"/>
        <v>0</v>
      </c>
      <c r="DS221" s="44">
        <f t="shared" si="530"/>
        <v>0</v>
      </c>
      <c r="DT221" s="44">
        <f t="shared" si="530"/>
        <v>0</v>
      </c>
      <c r="DU221" s="44">
        <f t="shared" si="530"/>
        <v>0</v>
      </c>
      <c r="DV221" s="44">
        <f t="shared" si="530"/>
        <v>0</v>
      </c>
      <c r="DW221" s="44">
        <f t="shared" si="530"/>
        <v>0</v>
      </c>
      <c r="DX221" s="44">
        <f t="shared" si="530"/>
        <v>0</v>
      </c>
      <c r="DY221" s="44">
        <f t="shared" si="530"/>
        <v>0</v>
      </c>
      <c r="DZ221" s="44">
        <f t="shared" si="530"/>
        <v>0</v>
      </c>
      <c r="EA221" s="44">
        <f t="shared" si="530"/>
        <v>0</v>
      </c>
      <c r="EB221" s="44">
        <f t="shared" si="530"/>
        <v>0</v>
      </c>
      <c r="EC221" s="44">
        <f t="shared" si="530"/>
        <v>0</v>
      </c>
      <c r="ED221" s="44">
        <f t="shared" si="530"/>
        <v>0</v>
      </c>
      <c r="EE221" s="44">
        <f t="shared" si="530"/>
        <v>0</v>
      </c>
      <c r="EF221" s="44">
        <f t="shared" ref="EF221:EN221" si="531">EF97</f>
        <v>0</v>
      </c>
      <c r="EG221" s="44">
        <f t="shared" si="531"/>
        <v>0</v>
      </c>
      <c r="EH221" s="44">
        <f t="shared" si="531"/>
        <v>0</v>
      </c>
      <c r="EI221" s="44">
        <f t="shared" si="531"/>
        <v>0</v>
      </c>
      <c r="EJ221" s="44">
        <f t="shared" si="531"/>
        <v>0</v>
      </c>
      <c r="EK221" s="44">
        <f t="shared" si="531"/>
        <v>0</v>
      </c>
      <c r="EL221" s="44">
        <f t="shared" si="531"/>
        <v>0</v>
      </c>
      <c r="EM221" s="44">
        <f t="shared" si="531"/>
        <v>0</v>
      </c>
      <c r="EN221" s="44">
        <f t="shared" si="531"/>
        <v>0</v>
      </c>
    </row>
    <row r="222" spans="2:144">
      <c r="C222" s="151" t="str">
        <f t="shared" si="496"/>
        <v>Ресторан в зоне катания</v>
      </c>
      <c r="D222" s="45"/>
      <c r="E222" s="44"/>
      <c r="F222" s="44"/>
      <c r="G222" s="45"/>
      <c r="H222" s="44">
        <f t="shared" ref="H222:AM222" si="532">H108</f>
        <v>0</v>
      </c>
      <c r="I222" s="44">
        <f t="shared" si="532"/>
        <v>0</v>
      </c>
      <c r="J222" s="44">
        <f t="shared" si="532"/>
        <v>0</v>
      </c>
      <c r="K222" s="44">
        <f t="shared" si="532"/>
        <v>0</v>
      </c>
      <c r="L222" s="44">
        <f t="shared" si="532"/>
        <v>0</v>
      </c>
      <c r="M222" s="44">
        <f t="shared" si="532"/>
        <v>0</v>
      </c>
      <c r="N222" s="44">
        <f t="shared" si="532"/>
        <v>0</v>
      </c>
      <c r="O222" s="44">
        <f t="shared" si="532"/>
        <v>0</v>
      </c>
      <c r="P222" s="44">
        <f t="shared" si="532"/>
        <v>0</v>
      </c>
      <c r="Q222" s="44">
        <f t="shared" si="532"/>
        <v>0</v>
      </c>
      <c r="R222" s="44">
        <f t="shared" si="532"/>
        <v>0</v>
      </c>
      <c r="S222" s="44">
        <f t="shared" si="532"/>
        <v>0</v>
      </c>
      <c r="T222" s="44">
        <f t="shared" si="532"/>
        <v>0</v>
      </c>
      <c r="U222" s="44">
        <f t="shared" si="532"/>
        <v>0</v>
      </c>
      <c r="V222" s="44">
        <f t="shared" si="532"/>
        <v>180100499.81975478</v>
      </c>
      <c r="W222" s="44">
        <f t="shared" si="532"/>
        <v>178587050.24143752</v>
      </c>
      <c r="X222" s="44">
        <f t="shared" si="532"/>
        <v>177073600.66312027</v>
      </c>
      <c r="Y222" s="44">
        <f t="shared" si="532"/>
        <v>175560151.08480301</v>
      </c>
      <c r="Z222" s="44">
        <f t="shared" si="532"/>
        <v>174046701.50648576</v>
      </c>
      <c r="AA222" s="44">
        <f t="shared" si="532"/>
        <v>172533251.92816851</v>
      </c>
      <c r="AB222" s="44">
        <f t="shared" si="532"/>
        <v>171019802.34985125</v>
      </c>
      <c r="AC222" s="44">
        <f t="shared" si="532"/>
        <v>169506352.771534</v>
      </c>
      <c r="AD222" s="44">
        <f t="shared" si="532"/>
        <v>167992903.19321674</v>
      </c>
      <c r="AE222" s="44">
        <f t="shared" si="532"/>
        <v>166479453.61489949</v>
      </c>
      <c r="AF222" s="44">
        <f t="shared" si="532"/>
        <v>164966004.03658223</v>
      </c>
      <c r="AG222" s="44">
        <f t="shared" si="532"/>
        <v>163452554.45826498</v>
      </c>
      <c r="AH222" s="44">
        <f t="shared" si="532"/>
        <v>161939104.87994772</v>
      </c>
      <c r="AI222" s="44">
        <f t="shared" si="532"/>
        <v>160425655.30163047</v>
      </c>
      <c r="AJ222" s="44">
        <f t="shared" si="532"/>
        <v>158912205.72331321</v>
      </c>
      <c r="AK222" s="44">
        <f t="shared" si="532"/>
        <v>157398756.14499596</v>
      </c>
      <c r="AL222" s="44">
        <f t="shared" si="532"/>
        <v>155885306.5666787</v>
      </c>
      <c r="AM222" s="44">
        <f t="shared" si="532"/>
        <v>154371856.98836145</v>
      </c>
      <c r="AN222" s="44">
        <f t="shared" ref="AN222:BS222" si="533">AN108</f>
        <v>152858407.41004419</v>
      </c>
      <c r="AO222" s="44">
        <f t="shared" si="533"/>
        <v>151344957.83172694</v>
      </c>
      <c r="AP222" s="44">
        <f t="shared" si="533"/>
        <v>149831508.25340968</v>
      </c>
      <c r="AQ222" s="44">
        <f t="shared" si="533"/>
        <v>148318058.67509243</v>
      </c>
      <c r="AR222" s="44">
        <f t="shared" si="533"/>
        <v>146804609.09677517</v>
      </c>
      <c r="AS222" s="44">
        <f t="shared" si="533"/>
        <v>145291159.51845792</v>
      </c>
      <c r="AT222" s="44">
        <f t="shared" si="533"/>
        <v>143777709.94014066</v>
      </c>
      <c r="AU222" s="44">
        <f t="shared" si="533"/>
        <v>142264260.36182341</v>
      </c>
      <c r="AV222" s="44">
        <f t="shared" si="533"/>
        <v>140750810.78350616</v>
      </c>
      <c r="AW222" s="44">
        <f t="shared" si="533"/>
        <v>139237361.2051889</v>
      </c>
      <c r="AX222" s="44">
        <f t="shared" si="533"/>
        <v>137723911.62687165</v>
      </c>
      <c r="AY222" s="44">
        <f t="shared" si="533"/>
        <v>136210462.04855439</v>
      </c>
      <c r="AZ222" s="44">
        <f t="shared" si="533"/>
        <v>134697012.47023714</v>
      </c>
      <c r="BA222" s="44">
        <f t="shared" si="533"/>
        <v>133183562.89191987</v>
      </c>
      <c r="BB222" s="44">
        <f t="shared" si="533"/>
        <v>131670113.3136026</v>
      </c>
      <c r="BC222" s="44">
        <f t="shared" si="533"/>
        <v>130156663.73528533</v>
      </c>
      <c r="BD222" s="44">
        <f t="shared" si="533"/>
        <v>128643214.15696806</v>
      </c>
      <c r="BE222" s="44">
        <f t="shared" si="533"/>
        <v>127129764.57865079</v>
      </c>
      <c r="BF222" s="44">
        <f t="shared" si="533"/>
        <v>125616315.00033352</v>
      </c>
      <c r="BG222" s="44">
        <f t="shared" si="533"/>
        <v>124102865.42201625</v>
      </c>
      <c r="BH222" s="44">
        <f t="shared" si="533"/>
        <v>122589415.84369898</v>
      </c>
      <c r="BI222" s="44">
        <f t="shared" si="533"/>
        <v>121075966.26538171</v>
      </c>
      <c r="BJ222" s="44">
        <f t="shared" si="533"/>
        <v>119562516.68706444</v>
      </c>
      <c r="BK222" s="44">
        <f t="shared" si="533"/>
        <v>118049067.10874717</v>
      </c>
      <c r="BL222" s="44">
        <f t="shared" si="533"/>
        <v>116535617.5304299</v>
      </c>
      <c r="BM222" s="44">
        <f t="shared" si="533"/>
        <v>115022167.95211263</v>
      </c>
      <c r="BN222" s="44">
        <f t="shared" si="533"/>
        <v>113508718.37379536</v>
      </c>
      <c r="BO222" s="44">
        <f t="shared" si="533"/>
        <v>111995268.79547809</v>
      </c>
      <c r="BP222" s="44">
        <f t="shared" si="533"/>
        <v>110481819.21716082</v>
      </c>
      <c r="BQ222" s="44">
        <f t="shared" si="533"/>
        <v>108968369.63884355</v>
      </c>
      <c r="BR222" s="44">
        <f t="shared" si="533"/>
        <v>107454920.06052628</v>
      </c>
      <c r="BS222" s="44">
        <f t="shared" si="533"/>
        <v>105941470.48220901</v>
      </c>
      <c r="BT222" s="44">
        <f t="shared" ref="BT222:CY222" si="534">BT108</f>
        <v>104428020.90389174</v>
      </c>
      <c r="BU222" s="44">
        <f t="shared" si="534"/>
        <v>102914571.32557447</v>
      </c>
      <c r="BV222" s="44">
        <f t="shared" si="534"/>
        <v>101401121.7472572</v>
      </c>
      <c r="BW222" s="44">
        <f t="shared" si="534"/>
        <v>99887672.168939933</v>
      </c>
      <c r="BX222" s="44">
        <f t="shared" si="534"/>
        <v>98374222.590622663</v>
      </c>
      <c r="BY222" s="44">
        <f t="shared" si="534"/>
        <v>96860773.012305394</v>
      </c>
      <c r="BZ222" s="44">
        <f t="shared" si="534"/>
        <v>95347323.433988124</v>
      </c>
      <c r="CA222" s="44">
        <f t="shared" si="534"/>
        <v>93833873.855670854</v>
      </c>
      <c r="CB222" s="44">
        <f t="shared" si="534"/>
        <v>92320424.277353585</v>
      </c>
      <c r="CC222" s="44">
        <f t="shared" si="534"/>
        <v>90806974.699036315</v>
      </c>
      <c r="CD222" s="44">
        <f t="shared" si="534"/>
        <v>89293525.120719045</v>
      </c>
      <c r="CE222" s="44">
        <f t="shared" si="534"/>
        <v>87780075.542401776</v>
      </c>
      <c r="CF222" s="44">
        <f t="shared" si="534"/>
        <v>86266625.964084506</v>
      </c>
      <c r="CG222" s="44">
        <f t="shared" si="534"/>
        <v>84753176.385767236</v>
      </c>
      <c r="CH222" s="44">
        <f t="shared" si="534"/>
        <v>83239726.807449967</v>
      </c>
      <c r="CI222" s="44">
        <f t="shared" si="534"/>
        <v>81726277.229132697</v>
      </c>
      <c r="CJ222" s="44">
        <f t="shared" si="534"/>
        <v>80212827.650815427</v>
      </c>
      <c r="CK222" s="44">
        <f t="shared" si="534"/>
        <v>78699378.072498158</v>
      </c>
      <c r="CL222" s="44">
        <f t="shared" si="534"/>
        <v>77185928.494180888</v>
      </c>
      <c r="CM222" s="44">
        <f t="shared" si="534"/>
        <v>75672478.915863618</v>
      </c>
      <c r="CN222" s="44">
        <f t="shared" si="534"/>
        <v>74159029.337546349</v>
      </c>
      <c r="CO222" s="44">
        <f t="shared" si="534"/>
        <v>72645579.759229079</v>
      </c>
      <c r="CP222" s="44">
        <f t="shared" si="534"/>
        <v>71132130.180911809</v>
      </c>
      <c r="CQ222" s="44">
        <f t="shared" si="534"/>
        <v>69618680.60259454</v>
      </c>
      <c r="CR222" s="44">
        <f t="shared" si="534"/>
        <v>68105231.02427727</v>
      </c>
      <c r="CS222" s="44">
        <f t="shared" si="534"/>
        <v>66591781.44596</v>
      </c>
      <c r="CT222" s="44">
        <f t="shared" si="534"/>
        <v>65078331.86764273</v>
      </c>
      <c r="CU222" s="44">
        <f t="shared" si="534"/>
        <v>63564882.289325461</v>
      </c>
      <c r="CV222" s="44">
        <f t="shared" si="534"/>
        <v>62051432.711008191</v>
      </c>
      <c r="CW222" s="44">
        <f t="shared" si="534"/>
        <v>60537983.132690921</v>
      </c>
      <c r="CX222" s="44">
        <f t="shared" si="534"/>
        <v>59024533.554373652</v>
      </c>
      <c r="CY222" s="44">
        <f t="shared" si="534"/>
        <v>57511083.976056382</v>
      </c>
      <c r="CZ222" s="44">
        <f t="shared" ref="CZ222:EE222" si="535">CZ108</f>
        <v>55997634.397739112</v>
      </c>
      <c r="DA222" s="44">
        <f t="shared" si="535"/>
        <v>54484184.819421843</v>
      </c>
      <c r="DB222" s="44">
        <f t="shared" si="535"/>
        <v>52970735.241104573</v>
      </c>
      <c r="DC222" s="44">
        <f t="shared" si="535"/>
        <v>51457285.662787303</v>
      </c>
      <c r="DD222" s="44">
        <f t="shared" si="535"/>
        <v>49943836.084470034</v>
      </c>
      <c r="DE222" s="44">
        <f t="shared" si="535"/>
        <v>48430386.506152764</v>
      </c>
      <c r="DF222" s="44">
        <f t="shared" si="535"/>
        <v>46916936.927835494</v>
      </c>
      <c r="DG222" s="44">
        <f t="shared" si="535"/>
        <v>45403487.349518225</v>
      </c>
      <c r="DH222" s="44">
        <f t="shared" si="535"/>
        <v>43890037.771200955</v>
      </c>
      <c r="DI222" s="44">
        <f t="shared" si="535"/>
        <v>42376588.192883685</v>
      </c>
      <c r="DJ222" s="44">
        <f t="shared" si="535"/>
        <v>40863138.614566416</v>
      </c>
      <c r="DK222" s="44">
        <f t="shared" si="535"/>
        <v>39349689.036249146</v>
      </c>
      <c r="DL222" s="44">
        <f t="shared" si="535"/>
        <v>37836239.457931876</v>
      </c>
      <c r="DM222" s="44">
        <f t="shared" si="535"/>
        <v>36322789.879614606</v>
      </c>
      <c r="DN222" s="44">
        <f t="shared" si="535"/>
        <v>34809340.301297337</v>
      </c>
      <c r="DO222" s="44">
        <f t="shared" si="535"/>
        <v>33295890.722980071</v>
      </c>
      <c r="DP222" s="44">
        <f t="shared" si="535"/>
        <v>31782441.144662805</v>
      </c>
      <c r="DQ222" s="44">
        <f t="shared" si="535"/>
        <v>30268991.566345539</v>
      </c>
      <c r="DR222" s="44">
        <f t="shared" si="535"/>
        <v>28755541.988028273</v>
      </c>
      <c r="DS222" s="44">
        <f t="shared" si="535"/>
        <v>27242092.409711007</v>
      </c>
      <c r="DT222" s="44">
        <f t="shared" si="535"/>
        <v>25728642.831393741</v>
      </c>
      <c r="DU222" s="44">
        <f t="shared" si="535"/>
        <v>24215193.253076475</v>
      </c>
      <c r="DV222" s="44">
        <f t="shared" si="535"/>
        <v>22701743.674759209</v>
      </c>
      <c r="DW222" s="44">
        <f t="shared" si="535"/>
        <v>21188294.096441943</v>
      </c>
      <c r="DX222" s="44">
        <f t="shared" si="535"/>
        <v>19674844.518124677</v>
      </c>
      <c r="DY222" s="44">
        <f t="shared" si="535"/>
        <v>18161394.939807411</v>
      </c>
      <c r="DZ222" s="44">
        <f t="shared" si="535"/>
        <v>16647945.361490145</v>
      </c>
      <c r="EA222" s="44">
        <f t="shared" si="535"/>
        <v>15134495.783172879</v>
      </c>
      <c r="EB222" s="44">
        <f t="shared" si="535"/>
        <v>13621046.204855613</v>
      </c>
      <c r="EC222" s="44">
        <f t="shared" si="535"/>
        <v>12107596.626538347</v>
      </c>
      <c r="ED222" s="44">
        <f t="shared" si="535"/>
        <v>10594147.048221081</v>
      </c>
      <c r="EE222" s="44">
        <f t="shared" si="535"/>
        <v>9080697.4699038155</v>
      </c>
      <c r="EF222" s="44">
        <f t="shared" ref="EF222:EN222" si="536">EF108</f>
        <v>7567247.8915865486</v>
      </c>
      <c r="EG222" s="44">
        <f t="shared" si="536"/>
        <v>6053798.3132692818</v>
      </c>
      <c r="EH222" s="44">
        <f t="shared" si="536"/>
        <v>4540348.7349520149</v>
      </c>
      <c r="EI222" s="44">
        <f t="shared" si="536"/>
        <v>3026899.156634748</v>
      </c>
      <c r="EJ222" s="44">
        <f t="shared" si="536"/>
        <v>1513449.5783174811</v>
      </c>
      <c r="EK222" s="44">
        <f t="shared" si="536"/>
        <v>2.1420419216156006E-7</v>
      </c>
      <c r="EL222" s="44">
        <f t="shared" si="536"/>
        <v>2.1420419216156006E-7</v>
      </c>
      <c r="EM222" s="44">
        <f t="shared" si="536"/>
        <v>2.1420419216156006E-7</v>
      </c>
      <c r="EN222" s="44">
        <f t="shared" si="536"/>
        <v>2.1420419216156006E-7</v>
      </c>
    </row>
    <row r="223" spans="2:144">
      <c r="C223" s="151" t="str">
        <f t="shared" si="496"/>
        <v>SPA-комплекс</v>
      </c>
      <c r="D223" s="45"/>
      <c r="E223" s="44"/>
      <c r="F223" s="44"/>
      <c r="G223" s="45"/>
      <c r="H223" s="44">
        <f t="shared" ref="H223:AM223" si="537">H119</f>
        <v>0</v>
      </c>
      <c r="I223" s="44">
        <f t="shared" si="537"/>
        <v>0</v>
      </c>
      <c r="J223" s="44">
        <f t="shared" si="537"/>
        <v>0</v>
      </c>
      <c r="K223" s="44">
        <f t="shared" si="537"/>
        <v>0</v>
      </c>
      <c r="L223" s="44">
        <f t="shared" si="537"/>
        <v>0</v>
      </c>
      <c r="M223" s="44">
        <f t="shared" si="537"/>
        <v>0</v>
      </c>
      <c r="N223" s="44">
        <f t="shared" si="537"/>
        <v>0</v>
      </c>
      <c r="O223" s="44">
        <f t="shared" si="537"/>
        <v>0</v>
      </c>
      <c r="P223" s="44">
        <f t="shared" si="537"/>
        <v>0</v>
      </c>
      <c r="Q223" s="44">
        <f t="shared" si="537"/>
        <v>0</v>
      </c>
      <c r="R223" s="44">
        <f t="shared" si="537"/>
        <v>0</v>
      </c>
      <c r="S223" s="44">
        <f t="shared" si="537"/>
        <v>0</v>
      </c>
      <c r="T223" s="44">
        <f t="shared" si="537"/>
        <v>0</v>
      </c>
      <c r="U223" s="44">
        <f t="shared" si="537"/>
        <v>0</v>
      </c>
      <c r="V223" s="44">
        <f t="shared" si="537"/>
        <v>311412905.15301418</v>
      </c>
      <c r="W223" s="44">
        <f t="shared" si="537"/>
        <v>308795989.98366112</v>
      </c>
      <c r="X223" s="44">
        <f t="shared" si="537"/>
        <v>306179074.81430805</v>
      </c>
      <c r="Y223" s="44">
        <f t="shared" si="537"/>
        <v>303562159.64495498</v>
      </c>
      <c r="Z223" s="44">
        <f t="shared" si="537"/>
        <v>300945244.47560191</v>
      </c>
      <c r="AA223" s="44">
        <f t="shared" si="537"/>
        <v>298328329.30624884</v>
      </c>
      <c r="AB223" s="44">
        <f t="shared" si="537"/>
        <v>295711414.13689578</v>
      </c>
      <c r="AC223" s="44">
        <f t="shared" si="537"/>
        <v>293094498.96754271</v>
      </c>
      <c r="AD223" s="44">
        <f t="shared" si="537"/>
        <v>290477583.79818964</v>
      </c>
      <c r="AE223" s="44">
        <f t="shared" si="537"/>
        <v>287860668.62883657</v>
      </c>
      <c r="AF223" s="44">
        <f t="shared" si="537"/>
        <v>285243753.4594835</v>
      </c>
      <c r="AG223" s="44">
        <f t="shared" si="537"/>
        <v>282626838.29013044</v>
      </c>
      <c r="AH223" s="44">
        <f t="shared" si="537"/>
        <v>280009923.12077737</v>
      </c>
      <c r="AI223" s="44">
        <f t="shared" si="537"/>
        <v>277393007.9514243</v>
      </c>
      <c r="AJ223" s="44">
        <f t="shared" si="537"/>
        <v>274776092.78207123</v>
      </c>
      <c r="AK223" s="44">
        <f t="shared" si="537"/>
        <v>272159177.61271816</v>
      </c>
      <c r="AL223" s="44">
        <f t="shared" si="537"/>
        <v>269542262.4433651</v>
      </c>
      <c r="AM223" s="44">
        <f t="shared" si="537"/>
        <v>266925347.27401203</v>
      </c>
      <c r="AN223" s="44">
        <f t="shared" ref="AN223:BS223" si="538">AN119</f>
        <v>264308432.10465896</v>
      </c>
      <c r="AO223" s="44">
        <f t="shared" si="538"/>
        <v>261691516.93530589</v>
      </c>
      <c r="AP223" s="44">
        <f t="shared" si="538"/>
        <v>259074601.76595283</v>
      </c>
      <c r="AQ223" s="44">
        <f t="shared" si="538"/>
        <v>256457686.59659976</v>
      </c>
      <c r="AR223" s="44">
        <f t="shared" si="538"/>
        <v>253840771.42724669</v>
      </c>
      <c r="AS223" s="44">
        <f t="shared" si="538"/>
        <v>251223856.25789362</v>
      </c>
      <c r="AT223" s="44">
        <f t="shared" si="538"/>
        <v>248606941.08854055</v>
      </c>
      <c r="AU223" s="44">
        <f t="shared" si="538"/>
        <v>245990025.91918749</v>
      </c>
      <c r="AV223" s="44">
        <f t="shared" si="538"/>
        <v>243373110.74983442</v>
      </c>
      <c r="AW223" s="44">
        <f t="shared" si="538"/>
        <v>240756195.58048135</v>
      </c>
      <c r="AX223" s="44">
        <f t="shared" si="538"/>
        <v>238139280.41112828</v>
      </c>
      <c r="AY223" s="44">
        <f t="shared" si="538"/>
        <v>235522365.24177521</v>
      </c>
      <c r="AZ223" s="44">
        <f t="shared" si="538"/>
        <v>232905450.07242215</v>
      </c>
      <c r="BA223" s="44">
        <f t="shared" si="538"/>
        <v>230288534.90306908</v>
      </c>
      <c r="BB223" s="44">
        <f t="shared" si="538"/>
        <v>227671619.73371601</v>
      </c>
      <c r="BC223" s="44">
        <f t="shared" si="538"/>
        <v>225054704.56436294</v>
      </c>
      <c r="BD223" s="44">
        <f t="shared" si="538"/>
        <v>222437789.39500988</v>
      </c>
      <c r="BE223" s="44">
        <f t="shared" si="538"/>
        <v>219820874.22565681</v>
      </c>
      <c r="BF223" s="44">
        <f t="shared" si="538"/>
        <v>217203959.05630374</v>
      </c>
      <c r="BG223" s="44">
        <f t="shared" si="538"/>
        <v>214587043.88695067</v>
      </c>
      <c r="BH223" s="44">
        <f t="shared" si="538"/>
        <v>211970128.7175976</v>
      </c>
      <c r="BI223" s="44">
        <f t="shared" si="538"/>
        <v>209353213.54824454</v>
      </c>
      <c r="BJ223" s="44">
        <f t="shared" si="538"/>
        <v>206736298.37889147</v>
      </c>
      <c r="BK223" s="44">
        <f t="shared" si="538"/>
        <v>204119383.2095384</v>
      </c>
      <c r="BL223" s="44">
        <f t="shared" si="538"/>
        <v>201502468.04018533</v>
      </c>
      <c r="BM223" s="44">
        <f t="shared" si="538"/>
        <v>198885552.87083226</v>
      </c>
      <c r="BN223" s="44">
        <f t="shared" si="538"/>
        <v>196268637.7014792</v>
      </c>
      <c r="BO223" s="44">
        <f t="shared" si="538"/>
        <v>193651722.53212613</v>
      </c>
      <c r="BP223" s="44">
        <f t="shared" si="538"/>
        <v>191034807.36277306</v>
      </c>
      <c r="BQ223" s="44">
        <f t="shared" si="538"/>
        <v>188417892.19341999</v>
      </c>
      <c r="BR223" s="44">
        <f t="shared" si="538"/>
        <v>185800977.02406693</v>
      </c>
      <c r="BS223" s="44">
        <f t="shared" si="538"/>
        <v>183184061.85471386</v>
      </c>
      <c r="BT223" s="44">
        <f t="shared" ref="BT223:CY223" si="539">BT119</f>
        <v>180567146.68536079</v>
      </c>
      <c r="BU223" s="44">
        <f t="shared" si="539"/>
        <v>177950231.51600772</v>
      </c>
      <c r="BV223" s="44">
        <f t="shared" si="539"/>
        <v>175333316.34665465</v>
      </c>
      <c r="BW223" s="44">
        <f t="shared" si="539"/>
        <v>172716401.17730159</v>
      </c>
      <c r="BX223" s="44">
        <f t="shared" si="539"/>
        <v>170099486.00794852</v>
      </c>
      <c r="BY223" s="44">
        <f t="shared" si="539"/>
        <v>167482570.83859545</v>
      </c>
      <c r="BZ223" s="44">
        <f t="shared" si="539"/>
        <v>164865655.66924238</v>
      </c>
      <c r="CA223" s="44">
        <f t="shared" si="539"/>
        <v>162248740.49988931</v>
      </c>
      <c r="CB223" s="44">
        <f t="shared" si="539"/>
        <v>159631825.33053625</v>
      </c>
      <c r="CC223" s="44">
        <f t="shared" si="539"/>
        <v>157014910.16118318</v>
      </c>
      <c r="CD223" s="44">
        <f t="shared" si="539"/>
        <v>154397994.99183011</v>
      </c>
      <c r="CE223" s="44">
        <f t="shared" si="539"/>
        <v>151781079.82247704</v>
      </c>
      <c r="CF223" s="44">
        <f t="shared" si="539"/>
        <v>149164164.65312397</v>
      </c>
      <c r="CG223" s="44">
        <f t="shared" si="539"/>
        <v>146547249.48377091</v>
      </c>
      <c r="CH223" s="44">
        <f t="shared" si="539"/>
        <v>143930334.31441784</v>
      </c>
      <c r="CI223" s="44">
        <f t="shared" si="539"/>
        <v>141313419.14506477</v>
      </c>
      <c r="CJ223" s="44">
        <f t="shared" si="539"/>
        <v>138696503.9757117</v>
      </c>
      <c r="CK223" s="44">
        <f t="shared" si="539"/>
        <v>136079588.80635864</v>
      </c>
      <c r="CL223" s="44">
        <f t="shared" si="539"/>
        <v>133462673.63700557</v>
      </c>
      <c r="CM223" s="44">
        <f t="shared" si="539"/>
        <v>130845758.4676525</v>
      </c>
      <c r="CN223" s="44">
        <f t="shared" si="539"/>
        <v>128228843.29829943</v>
      </c>
      <c r="CO223" s="44">
        <f t="shared" si="539"/>
        <v>125611928.12894636</v>
      </c>
      <c r="CP223" s="44">
        <f t="shared" si="539"/>
        <v>122995012.9595933</v>
      </c>
      <c r="CQ223" s="44">
        <f t="shared" si="539"/>
        <v>120378097.79024023</v>
      </c>
      <c r="CR223" s="44">
        <f t="shared" si="539"/>
        <v>117761182.62088716</v>
      </c>
      <c r="CS223" s="44">
        <f t="shared" si="539"/>
        <v>115144267.45153409</v>
      </c>
      <c r="CT223" s="44">
        <f t="shared" si="539"/>
        <v>112527352.28218102</v>
      </c>
      <c r="CU223" s="44">
        <f t="shared" si="539"/>
        <v>109910437.11282796</v>
      </c>
      <c r="CV223" s="44">
        <f t="shared" si="539"/>
        <v>107293521.94347489</v>
      </c>
      <c r="CW223" s="44">
        <f t="shared" si="539"/>
        <v>104676606.77412182</v>
      </c>
      <c r="CX223" s="44">
        <f t="shared" si="539"/>
        <v>102059691.60476875</v>
      </c>
      <c r="CY223" s="44">
        <f t="shared" si="539"/>
        <v>99442776.435415685</v>
      </c>
      <c r="CZ223" s="44">
        <f t="shared" ref="CZ223:EE223" si="540">CZ119</f>
        <v>96825861.266062617</v>
      </c>
      <c r="DA223" s="44">
        <f t="shared" si="540"/>
        <v>94208946.096709549</v>
      </c>
      <c r="DB223" s="44">
        <f t="shared" si="540"/>
        <v>91592030.927356482</v>
      </c>
      <c r="DC223" s="44">
        <f t="shared" si="540"/>
        <v>88975115.758003414</v>
      </c>
      <c r="DD223" s="44">
        <f t="shared" si="540"/>
        <v>86358200.588650346</v>
      </c>
      <c r="DE223" s="44">
        <f t="shared" si="540"/>
        <v>83741285.419297278</v>
      </c>
      <c r="DF223" s="44">
        <f t="shared" si="540"/>
        <v>81124370.24994421</v>
      </c>
      <c r="DG223" s="44">
        <f t="shared" si="540"/>
        <v>78507455.080591142</v>
      </c>
      <c r="DH223" s="44">
        <f t="shared" si="540"/>
        <v>75890539.911238074</v>
      </c>
      <c r="DI223" s="44">
        <f t="shared" si="540"/>
        <v>73273624.741885006</v>
      </c>
      <c r="DJ223" s="44">
        <f t="shared" si="540"/>
        <v>70656709.572531939</v>
      </c>
      <c r="DK223" s="44">
        <f t="shared" si="540"/>
        <v>68039794.403178871</v>
      </c>
      <c r="DL223" s="44">
        <f t="shared" si="540"/>
        <v>65422879.23382581</v>
      </c>
      <c r="DM223" s="44">
        <f t="shared" si="540"/>
        <v>62805964.06447275</v>
      </c>
      <c r="DN223" s="44">
        <f t="shared" si="540"/>
        <v>60189048.895119689</v>
      </c>
      <c r="DO223" s="44">
        <f t="shared" si="540"/>
        <v>57572133.725766629</v>
      </c>
      <c r="DP223" s="44">
        <f t="shared" si="540"/>
        <v>54955218.556413569</v>
      </c>
      <c r="DQ223" s="44">
        <f t="shared" si="540"/>
        <v>52338303.387060508</v>
      </c>
      <c r="DR223" s="44">
        <f t="shared" si="540"/>
        <v>49721388.217707448</v>
      </c>
      <c r="DS223" s="44">
        <f t="shared" si="540"/>
        <v>47104473.048354387</v>
      </c>
      <c r="DT223" s="44">
        <f t="shared" si="540"/>
        <v>44487557.879001327</v>
      </c>
      <c r="DU223" s="44">
        <f t="shared" si="540"/>
        <v>41870642.709648266</v>
      </c>
      <c r="DV223" s="44">
        <f t="shared" si="540"/>
        <v>39253727.540295206</v>
      </c>
      <c r="DW223" s="44">
        <f t="shared" si="540"/>
        <v>36636812.370942146</v>
      </c>
      <c r="DX223" s="44">
        <f t="shared" si="540"/>
        <v>34019897.201589085</v>
      </c>
      <c r="DY223" s="44">
        <f t="shared" si="540"/>
        <v>31402982.032236025</v>
      </c>
      <c r="DZ223" s="44">
        <f t="shared" si="540"/>
        <v>28786066.862882964</v>
      </c>
      <c r="EA223" s="44">
        <f t="shared" si="540"/>
        <v>26169151.693529904</v>
      </c>
      <c r="EB223" s="44">
        <f t="shared" si="540"/>
        <v>23552236.524176843</v>
      </c>
      <c r="EC223" s="44">
        <f t="shared" si="540"/>
        <v>20935321.354823783</v>
      </c>
      <c r="ED223" s="44">
        <f t="shared" si="540"/>
        <v>18318406.185470723</v>
      </c>
      <c r="EE223" s="44">
        <f t="shared" si="540"/>
        <v>15701491.016117662</v>
      </c>
      <c r="EF223" s="44">
        <f t="shared" ref="EF223:EN223" si="541">EF119</f>
        <v>13084575.846764602</v>
      </c>
      <c r="EG223" s="44">
        <f t="shared" si="541"/>
        <v>10467660.677411541</v>
      </c>
      <c r="EH223" s="44">
        <f t="shared" si="541"/>
        <v>7850745.5080584809</v>
      </c>
      <c r="EI223" s="44">
        <f t="shared" si="541"/>
        <v>5233830.3387054205</v>
      </c>
      <c r="EJ223" s="44">
        <f t="shared" si="541"/>
        <v>2616915.1693523601</v>
      </c>
      <c r="EK223" s="44">
        <f t="shared" si="541"/>
        <v>0</v>
      </c>
      <c r="EL223" s="44">
        <f t="shared" si="541"/>
        <v>0</v>
      </c>
      <c r="EM223" s="44">
        <f t="shared" si="541"/>
        <v>0</v>
      </c>
      <c r="EN223" s="44">
        <f t="shared" si="541"/>
        <v>0</v>
      </c>
    </row>
    <row r="224" spans="2:144">
      <c r="C224" s="151" t="str">
        <f t="shared" si="496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24" s="45"/>
      <c r="E224" s="44"/>
      <c r="F224" s="44"/>
      <c r="G224" s="45"/>
      <c r="H224" s="44">
        <f t="shared" ref="H224:AM224" si="542">H130</f>
        <v>0</v>
      </c>
      <c r="I224" s="44">
        <f t="shared" si="542"/>
        <v>0</v>
      </c>
      <c r="J224" s="44">
        <f t="shared" si="542"/>
        <v>0</v>
      </c>
      <c r="K224" s="44">
        <f t="shared" si="542"/>
        <v>0</v>
      </c>
      <c r="L224" s="44">
        <f t="shared" si="542"/>
        <v>0</v>
      </c>
      <c r="M224" s="44">
        <f t="shared" si="542"/>
        <v>0</v>
      </c>
      <c r="N224" s="44">
        <f t="shared" si="542"/>
        <v>0</v>
      </c>
      <c r="O224" s="44">
        <f t="shared" si="542"/>
        <v>0</v>
      </c>
      <c r="P224" s="44">
        <f t="shared" si="542"/>
        <v>0</v>
      </c>
      <c r="Q224" s="44">
        <f t="shared" si="542"/>
        <v>0</v>
      </c>
      <c r="R224" s="44">
        <f t="shared" si="542"/>
        <v>0</v>
      </c>
      <c r="S224" s="44">
        <f t="shared" si="542"/>
        <v>0</v>
      </c>
      <c r="T224" s="44">
        <f t="shared" si="542"/>
        <v>0</v>
      </c>
      <c r="U224" s="44">
        <f t="shared" si="542"/>
        <v>0</v>
      </c>
      <c r="V224" s="44">
        <f t="shared" si="542"/>
        <v>19121845.05325526</v>
      </c>
      <c r="W224" s="44">
        <f t="shared" si="542"/>
        <v>18961157.279698495</v>
      </c>
      <c r="X224" s="44">
        <f t="shared" si="542"/>
        <v>18800469.50614173</v>
      </c>
      <c r="Y224" s="44">
        <f t="shared" si="542"/>
        <v>18639781.732584964</v>
      </c>
      <c r="Z224" s="44">
        <f t="shared" si="542"/>
        <v>18479093.959028199</v>
      </c>
      <c r="AA224" s="44">
        <f t="shared" si="542"/>
        <v>18318406.185471434</v>
      </c>
      <c r="AB224" s="44">
        <f t="shared" si="542"/>
        <v>18157718.411914669</v>
      </c>
      <c r="AC224" s="44">
        <f t="shared" si="542"/>
        <v>17997030.638357904</v>
      </c>
      <c r="AD224" s="44">
        <f t="shared" si="542"/>
        <v>17836342.864801139</v>
      </c>
      <c r="AE224" s="44">
        <f t="shared" si="542"/>
        <v>17675655.091244373</v>
      </c>
      <c r="AF224" s="44">
        <f t="shared" si="542"/>
        <v>17514967.317687608</v>
      </c>
      <c r="AG224" s="44">
        <f t="shared" si="542"/>
        <v>17354279.544130843</v>
      </c>
      <c r="AH224" s="44">
        <f t="shared" si="542"/>
        <v>17193591.770574078</v>
      </c>
      <c r="AI224" s="44">
        <f t="shared" si="542"/>
        <v>17032903.997017313</v>
      </c>
      <c r="AJ224" s="44">
        <f t="shared" si="542"/>
        <v>16872216.223460548</v>
      </c>
      <c r="AK224" s="44">
        <f t="shared" si="542"/>
        <v>16711528.449903781</v>
      </c>
      <c r="AL224" s="44">
        <f t="shared" si="542"/>
        <v>16550840.676347014</v>
      </c>
      <c r="AM224" s="44">
        <f t="shared" si="542"/>
        <v>16390152.902790247</v>
      </c>
      <c r="AN224" s="44">
        <f t="shared" ref="AN224:BS224" si="543">AN130</f>
        <v>16229465.129233479</v>
      </c>
      <c r="AO224" s="44">
        <f t="shared" si="543"/>
        <v>16068777.355676712</v>
      </c>
      <c r="AP224" s="44">
        <f t="shared" si="543"/>
        <v>15908089.582119945</v>
      </c>
      <c r="AQ224" s="44">
        <f t="shared" si="543"/>
        <v>15747401.808563178</v>
      </c>
      <c r="AR224" s="44">
        <f t="shared" si="543"/>
        <v>15586714.035006411</v>
      </c>
      <c r="AS224" s="44">
        <f t="shared" si="543"/>
        <v>15426026.261449644</v>
      </c>
      <c r="AT224" s="44">
        <f t="shared" si="543"/>
        <v>15265338.487892877</v>
      </c>
      <c r="AU224" s="44">
        <f t="shared" si="543"/>
        <v>15104650.71433611</v>
      </c>
      <c r="AV224" s="44">
        <f t="shared" si="543"/>
        <v>14943962.940779343</v>
      </c>
      <c r="AW224" s="44">
        <f t="shared" si="543"/>
        <v>14783275.167222576</v>
      </c>
      <c r="AX224" s="44">
        <f t="shared" si="543"/>
        <v>14622587.393665809</v>
      </c>
      <c r="AY224" s="44">
        <f t="shared" si="543"/>
        <v>14461899.620109042</v>
      </c>
      <c r="AZ224" s="44">
        <f t="shared" si="543"/>
        <v>14301211.846552275</v>
      </c>
      <c r="BA224" s="44">
        <f t="shared" si="543"/>
        <v>14140524.072995508</v>
      </c>
      <c r="BB224" s="44">
        <f t="shared" si="543"/>
        <v>13979836.299438741</v>
      </c>
      <c r="BC224" s="44">
        <f t="shared" si="543"/>
        <v>13819148.525881974</v>
      </c>
      <c r="BD224" s="44">
        <f t="shared" si="543"/>
        <v>13658460.752325207</v>
      </c>
      <c r="BE224" s="44">
        <f t="shared" si="543"/>
        <v>13497772.97876844</v>
      </c>
      <c r="BF224" s="44">
        <f t="shared" si="543"/>
        <v>13337085.205211673</v>
      </c>
      <c r="BG224" s="44">
        <f t="shared" si="543"/>
        <v>13176397.431654906</v>
      </c>
      <c r="BH224" s="44">
        <f t="shared" si="543"/>
        <v>13015709.658098139</v>
      </c>
      <c r="BI224" s="44">
        <f t="shared" si="543"/>
        <v>12855021.884541372</v>
      </c>
      <c r="BJ224" s="44">
        <f t="shared" si="543"/>
        <v>12694334.110984605</v>
      </c>
      <c r="BK224" s="44">
        <f t="shared" si="543"/>
        <v>12533646.337427838</v>
      </c>
      <c r="BL224" s="44">
        <f t="shared" si="543"/>
        <v>12372958.563871071</v>
      </c>
      <c r="BM224" s="44">
        <f t="shared" si="543"/>
        <v>12212270.790314304</v>
      </c>
      <c r="BN224" s="44">
        <f t="shared" si="543"/>
        <v>12051583.016757537</v>
      </c>
      <c r="BO224" s="44">
        <f t="shared" si="543"/>
        <v>11890895.24320077</v>
      </c>
      <c r="BP224" s="44">
        <f t="shared" si="543"/>
        <v>11730207.469644003</v>
      </c>
      <c r="BQ224" s="44">
        <f t="shared" si="543"/>
        <v>11569519.696087236</v>
      </c>
      <c r="BR224" s="44">
        <f t="shared" si="543"/>
        <v>11408831.922530469</v>
      </c>
      <c r="BS224" s="44">
        <f t="shared" si="543"/>
        <v>11248144.148973702</v>
      </c>
      <c r="BT224" s="44">
        <f t="shared" ref="BT224:CY224" si="544">BT130</f>
        <v>11087456.375416934</v>
      </c>
      <c r="BU224" s="44">
        <f t="shared" si="544"/>
        <v>10926768.601860167</v>
      </c>
      <c r="BV224" s="44">
        <f t="shared" si="544"/>
        <v>10766080.8283034</v>
      </c>
      <c r="BW224" s="44">
        <f t="shared" si="544"/>
        <v>10605393.054746633</v>
      </c>
      <c r="BX224" s="44">
        <f t="shared" si="544"/>
        <v>10444705.281189866</v>
      </c>
      <c r="BY224" s="44">
        <f t="shared" si="544"/>
        <v>10284017.507633099</v>
      </c>
      <c r="BZ224" s="44">
        <f t="shared" si="544"/>
        <v>10123329.734076332</v>
      </c>
      <c r="CA224" s="44">
        <f t="shared" si="544"/>
        <v>9962641.9605195653</v>
      </c>
      <c r="CB224" s="44">
        <f t="shared" si="544"/>
        <v>9801954.1869627982</v>
      </c>
      <c r="CC224" s="44">
        <f t="shared" si="544"/>
        <v>9641266.4134060312</v>
      </c>
      <c r="CD224" s="44">
        <f t="shared" si="544"/>
        <v>9480578.6398492642</v>
      </c>
      <c r="CE224" s="44">
        <f t="shared" si="544"/>
        <v>9319890.8662924971</v>
      </c>
      <c r="CF224" s="44">
        <f t="shared" si="544"/>
        <v>9159203.0927357301</v>
      </c>
      <c r="CG224" s="44">
        <f t="shared" si="544"/>
        <v>8998515.3191789631</v>
      </c>
      <c r="CH224" s="44">
        <f t="shared" si="544"/>
        <v>8837827.545622196</v>
      </c>
      <c r="CI224" s="44">
        <f t="shared" si="544"/>
        <v>8677139.772065429</v>
      </c>
      <c r="CJ224" s="44">
        <f t="shared" si="544"/>
        <v>8516451.998508662</v>
      </c>
      <c r="CK224" s="44">
        <f t="shared" si="544"/>
        <v>8355764.224951895</v>
      </c>
      <c r="CL224" s="44">
        <f t="shared" si="544"/>
        <v>8195076.4513951279</v>
      </c>
      <c r="CM224" s="44">
        <f t="shared" si="544"/>
        <v>8034388.6778383609</v>
      </c>
      <c r="CN224" s="44">
        <f t="shared" si="544"/>
        <v>7873700.9042815939</v>
      </c>
      <c r="CO224" s="44">
        <f t="shared" si="544"/>
        <v>7713013.1307248268</v>
      </c>
      <c r="CP224" s="44">
        <f t="shared" si="544"/>
        <v>7552325.3571680598</v>
      </c>
      <c r="CQ224" s="44">
        <f t="shared" si="544"/>
        <v>7391637.5836112928</v>
      </c>
      <c r="CR224" s="44">
        <f t="shared" si="544"/>
        <v>7230949.8100545257</v>
      </c>
      <c r="CS224" s="44">
        <f t="shared" si="544"/>
        <v>7070262.0364977587</v>
      </c>
      <c r="CT224" s="44">
        <f t="shared" si="544"/>
        <v>6909574.2629409917</v>
      </c>
      <c r="CU224" s="44">
        <f t="shared" si="544"/>
        <v>6748886.4893842246</v>
      </c>
      <c r="CV224" s="44">
        <f t="shared" si="544"/>
        <v>6588198.7158274576</v>
      </c>
      <c r="CW224" s="44">
        <f t="shared" si="544"/>
        <v>6427510.9422706906</v>
      </c>
      <c r="CX224" s="44">
        <f t="shared" si="544"/>
        <v>6266823.1687139235</v>
      </c>
      <c r="CY224" s="44">
        <f t="shared" si="544"/>
        <v>6106135.3951571565</v>
      </c>
      <c r="CZ224" s="44">
        <f t="shared" ref="CZ224:EE224" si="545">CZ130</f>
        <v>5945447.6216003895</v>
      </c>
      <c r="DA224" s="44">
        <f t="shared" si="545"/>
        <v>5784759.8480436224</v>
      </c>
      <c r="DB224" s="44">
        <f t="shared" si="545"/>
        <v>5624072.0744868554</v>
      </c>
      <c r="DC224" s="44">
        <f t="shared" si="545"/>
        <v>5463384.3009300884</v>
      </c>
      <c r="DD224" s="44">
        <f t="shared" si="545"/>
        <v>5302696.5273733214</v>
      </c>
      <c r="DE224" s="44">
        <f t="shared" si="545"/>
        <v>5142008.7538165543</v>
      </c>
      <c r="DF224" s="44">
        <f t="shared" si="545"/>
        <v>4981320.9802597873</v>
      </c>
      <c r="DG224" s="44">
        <f t="shared" si="545"/>
        <v>4820633.2067030203</v>
      </c>
      <c r="DH224" s="44">
        <f t="shared" si="545"/>
        <v>4659945.4331462532</v>
      </c>
      <c r="DI224" s="44">
        <f t="shared" si="545"/>
        <v>4499257.6595894862</v>
      </c>
      <c r="DJ224" s="44">
        <f t="shared" si="545"/>
        <v>4338569.8860327192</v>
      </c>
      <c r="DK224" s="44">
        <f t="shared" si="545"/>
        <v>4177882.1124759521</v>
      </c>
      <c r="DL224" s="44">
        <f t="shared" si="545"/>
        <v>4017194.3389191851</v>
      </c>
      <c r="DM224" s="44">
        <f t="shared" si="545"/>
        <v>3856506.5653624181</v>
      </c>
      <c r="DN224" s="44">
        <f t="shared" si="545"/>
        <v>3695818.791805651</v>
      </c>
      <c r="DO224" s="44">
        <f t="shared" si="545"/>
        <v>3535131.018248884</v>
      </c>
      <c r="DP224" s="44">
        <f t="shared" si="545"/>
        <v>3374443.244692117</v>
      </c>
      <c r="DQ224" s="44">
        <f t="shared" si="545"/>
        <v>3213755.4711353499</v>
      </c>
      <c r="DR224" s="44">
        <f t="shared" si="545"/>
        <v>3053067.6975785829</v>
      </c>
      <c r="DS224" s="44">
        <f t="shared" si="545"/>
        <v>2892379.9240218159</v>
      </c>
      <c r="DT224" s="44">
        <f t="shared" si="545"/>
        <v>2731692.1504650488</v>
      </c>
      <c r="DU224" s="44">
        <f t="shared" si="545"/>
        <v>2571004.3769082818</v>
      </c>
      <c r="DV224" s="44">
        <f t="shared" si="545"/>
        <v>2410316.6033515148</v>
      </c>
      <c r="DW224" s="44">
        <f t="shared" si="545"/>
        <v>2249628.8297947478</v>
      </c>
      <c r="DX224" s="44">
        <f t="shared" si="545"/>
        <v>2088941.056237981</v>
      </c>
      <c r="DY224" s="44">
        <f t="shared" si="545"/>
        <v>1928253.2826812142</v>
      </c>
      <c r="DZ224" s="44">
        <f t="shared" si="545"/>
        <v>1767565.5091244474</v>
      </c>
      <c r="EA224" s="44">
        <f t="shared" si="545"/>
        <v>1606877.7355676806</v>
      </c>
      <c r="EB224" s="44">
        <f t="shared" si="545"/>
        <v>1446189.9620109138</v>
      </c>
      <c r="EC224" s="44">
        <f t="shared" si="545"/>
        <v>1285502.188454147</v>
      </c>
      <c r="ED224" s="44">
        <f t="shared" si="545"/>
        <v>1124814.4148973802</v>
      </c>
      <c r="EE224" s="44">
        <f t="shared" si="545"/>
        <v>964126.64134061325</v>
      </c>
      <c r="EF224" s="44">
        <f t="shared" ref="EF224:EN224" si="546">EF130</f>
        <v>803438.86778384633</v>
      </c>
      <c r="EG224" s="44">
        <f t="shared" si="546"/>
        <v>642751.09422707942</v>
      </c>
      <c r="EH224" s="44">
        <f t="shared" si="546"/>
        <v>482063.3206703125</v>
      </c>
      <c r="EI224" s="44">
        <f t="shared" si="546"/>
        <v>321375.54711354559</v>
      </c>
      <c r="EJ224" s="44">
        <f t="shared" si="546"/>
        <v>160687.7735567787</v>
      </c>
      <c r="EK224" s="44">
        <f t="shared" si="546"/>
        <v>1.1816155165433884E-8</v>
      </c>
      <c r="EL224" s="44">
        <f t="shared" si="546"/>
        <v>1.1816155165433884E-8</v>
      </c>
      <c r="EM224" s="44">
        <f t="shared" si="546"/>
        <v>1.1816155165433884E-8</v>
      </c>
      <c r="EN224" s="44">
        <f t="shared" si="546"/>
        <v>1.1816155165433884E-8</v>
      </c>
    </row>
    <row r="225" spans="2:144">
      <c r="C225" s="151" t="str">
        <f t="shared" si="496"/>
        <v>Наземный паркинг</v>
      </c>
      <c r="D225" s="45"/>
      <c r="E225" s="44"/>
      <c r="F225" s="44"/>
      <c r="G225" s="45"/>
      <c r="H225" s="44">
        <f t="shared" ref="H225:AM225" si="547">H141</f>
        <v>0</v>
      </c>
      <c r="I225" s="44">
        <f t="shared" si="547"/>
        <v>0</v>
      </c>
      <c r="J225" s="44">
        <f t="shared" si="547"/>
        <v>0</v>
      </c>
      <c r="K225" s="44">
        <f t="shared" si="547"/>
        <v>0</v>
      </c>
      <c r="L225" s="44">
        <f t="shared" si="547"/>
        <v>0</v>
      </c>
      <c r="M225" s="44">
        <f t="shared" si="547"/>
        <v>0</v>
      </c>
      <c r="N225" s="44">
        <f t="shared" si="547"/>
        <v>0</v>
      </c>
      <c r="O225" s="44">
        <f t="shared" si="547"/>
        <v>0</v>
      </c>
      <c r="P225" s="44">
        <f t="shared" si="547"/>
        <v>0</v>
      </c>
      <c r="Q225" s="44">
        <f t="shared" si="547"/>
        <v>0</v>
      </c>
      <c r="R225" s="44">
        <f t="shared" si="547"/>
        <v>0</v>
      </c>
      <c r="S225" s="44">
        <f t="shared" si="547"/>
        <v>0</v>
      </c>
      <c r="T225" s="44">
        <f t="shared" si="547"/>
        <v>0</v>
      </c>
      <c r="U225" s="44">
        <f t="shared" si="547"/>
        <v>0</v>
      </c>
      <c r="V225" s="44">
        <f t="shared" si="547"/>
        <v>13931629.967371685</v>
      </c>
      <c r="W225" s="44">
        <f t="shared" si="547"/>
        <v>13814557.44663747</v>
      </c>
      <c r="X225" s="44">
        <f t="shared" si="547"/>
        <v>13697484.925903255</v>
      </c>
      <c r="Y225" s="44">
        <f t="shared" si="547"/>
        <v>13580412.40516904</v>
      </c>
      <c r="Z225" s="44">
        <f t="shared" si="547"/>
        <v>13463339.884434825</v>
      </c>
      <c r="AA225" s="44">
        <f t="shared" si="547"/>
        <v>13346267.36370061</v>
      </c>
      <c r="AB225" s="44">
        <f t="shared" si="547"/>
        <v>13229194.842966394</v>
      </c>
      <c r="AC225" s="44">
        <f t="shared" si="547"/>
        <v>13112122.322232179</v>
      </c>
      <c r="AD225" s="44">
        <f t="shared" si="547"/>
        <v>12995049.801497964</v>
      </c>
      <c r="AE225" s="44">
        <f t="shared" si="547"/>
        <v>12877977.280763749</v>
      </c>
      <c r="AF225" s="44">
        <f t="shared" si="547"/>
        <v>12760904.760029534</v>
      </c>
      <c r="AG225" s="44">
        <f t="shared" si="547"/>
        <v>12643832.239295319</v>
      </c>
      <c r="AH225" s="44">
        <f t="shared" si="547"/>
        <v>12526759.718561104</v>
      </c>
      <c r="AI225" s="44">
        <f t="shared" si="547"/>
        <v>12409687.197826888</v>
      </c>
      <c r="AJ225" s="44">
        <f t="shared" si="547"/>
        <v>12292614.677092673</v>
      </c>
      <c r="AK225" s="44">
        <f t="shared" si="547"/>
        <v>12175542.156358458</v>
      </c>
      <c r="AL225" s="44">
        <f t="shared" si="547"/>
        <v>12058469.635624243</v>
      </c>
      <c r="AM225" s="44">
        <f t="shared" si="547"/>
        <v>11941397.114890028</v>
      </c>
      <c r="AN225" s="44">
        <f t="shared" ref="AN225:BS225" si="548">AN141</f>
        <v>11824324.594155813</v>
      </c>
      <c r="AO225" s="44">
        <f t="shared" si="548"/>
        <v>11707252.073421597</v>
      </c>
      <c r="AP225" s="44">
        <f t="shared" si="548"/>
        <v>11590179.552687382</v>
      </c>
      <c r="AQ225" s="44">
        <f t="shared" si="548"/>
        <v>11473107.031953167</v>
      </c>
      <c r="AR225" s="44">
        <f t="shared" si="548"/>
        <v>11356034.511218952</v>
      </c>
      <c r="AS225" s="44">
        <f t="shared" si="548"/>
        <v>11238961.990484737</v>
      </c>
      <c r="AT225" s="44">
        <f t="shared" si="548"/>
        <v>11121889.469750522</v>
      </c>
      <c r="AU225" s="44">
        <f t="shared" si="548"/>
        <v>11004816.949016307</v>
      </c>
      <c r="AV225" s="44">
        <f t="shared" si="548"/>
        <v>10887744.428282091</v>
      </c>
      <c r="AW225" s="44">
        <f t="shared" si="548"/>
        <v>10770671.907547876</v>
      </c>
      <c r="AX225" s="44">
        <f t="shared" si="548"/>
        <v>10653599.386813661</v>
      </c>
      <c r="AY225" s="44">
        <f t="shared" si="548"/>
        <v>10536526.866079446</v>
      </c>
      <c r="AZ225" s="44">
        <f t="shared" si="548"/>
        <v>10419454.345345231</v>
      </c>
      <c r="BA225" s="44">
        <f t="shared" si="548"/>
        <v>10302381.824611016</v>
      </c>
      <c r="BB225" s="44">
        <f t="shared" si="548"/>
        <v>10185309.3038768</v>
      </c>
      <c r="BC225" s="44">
        <f t="shared" si="548"/>
        <v>10068236.783142585</v>
      </c>
      <c r="BD225" s="44">
        <f t="shared" si="548"/>
        <v>9951164.2624083702</v>
      </c>
      <c r="BE225" s="44">
        <f t="shared" si="548"/>
        <v>9834091.741674155</v>
      </c>
      <c r="BF225" s="44">
        <f t="shared" si="548"/>
        <v>9717019.2209399398</v>
      </c>
      <c r="BG225" s="44">
        <f t="shared" si="548"/>
        <v>9599946.7002057247</v>
      </c>
      <c r="BH225" s="44">
        <f t="shared" si="548"/>
        <v>9482874.1794715095</v>
      </c>
      <c r="BI225" s="44">
        <f t="shared" si="548"/>
        <v>9365801.6587372944</v>
      </c>
      <c r="BJ225" s="44">
        <f t="shared" si="548"/>
        <v>9248729.1380030792</v>
      </c>
      <c r="BK225" s="44">
        <f t="shared" si="548"/>
        <v>9131656.6172688641</v>
      </c>
      <c r="BL225" s="44">
        <f t="shared" si="548"/>
        <v>9014584.0965346489</v>
      </c>
      <c r="BM225" s="44">
        <f t="shared" si="548"/>
        <v>8897511.5758004338</v>
      </c>
      <c r="BN225" s="44">
        <f t="shared" si="548"/>
        <v>8780439.0550662186</v>
      </c>
      <c r="BO225" s="44">
        <f t="shared" si="548"/>
        <v>8663366.5343320034</v>
      </c>
      <c r="BP225" s="44">
        <f t="shared" si="548"/>
        <v>8546294.0135977883</v>
      </c>
      <c r="BQ225" s="44">
        <f t="shared" si="548"/>
        <v>8429221.4928635731</v>
      </c>
      <c r="BR225" s="44">
        <f t="shared" si="548"/>
        <v>8312148.972129357</v>
      </c>
      <c r="BS225" s="44">
        <f t="shared" si="548"/>
        <v>8195076.451395141</v>
      </c>
      <c r="BT225" s="44">
        <f t="shared" ref="BT225:CY225" si="549">BT141</f>
        <v>8078003.9306609249</v>
      </c>
      <c r="BU225" s="44">
        <f t="shared" si="549"/>
        <v>7960931.4099267088</v>
      </c>
      <c r="BV225" s="44">
        <f t="shared" si="549"/>
        <v>7843858.8891924927</v>
      </c>
      <c r="BW225" s="44">
        <f t="shared" si="549"/>
        <v>7726786.3684582766</v>
      </c>
      <c r="BX225" s="44">
        <f t="shared" si="549"/>
        <v>7609713.8477240605</v>
      </c>
      <c r="BY225" s="44">
        <f t="shared" si="549"/>
        <v>7492641.3269898444</v>
      </c>
      <c r="BZ225" s="44">
        <f t="shared" si="549"/>
        <v>7375568.8062556284</v>
      </c>
      <c r="CA225" s="44">
        <f t="shared" si="549"/>
        <v>7258496.2855214123</v>
      </c>
      <c r="CB225" s="44">
        <f t="shared" si="549"/>
        <v>7141423.7647871962</v>
      </c>
      <c r="CC225" s="44">
        <f t="shared" si="549"/>
        <v>7024351.2440529801</v>
      </c>
      <c r="CD225" s="44">
        <f t="shared" si="549"/>
        <v>6907278.723318764</v>
      </c>
      <c r="CE225" s="44">
        <f t="shared" si="549"/>
        <v>6790206.2025845479</v>
      </c>
      <c r="CF225" s="44">
        <f t="shared" si="549"/>
        <v>6673133.6818503318</v>
      </c>
      <c r="CG225" s="44">
        <f t="shared" si="549"/>
        <v>6556061.1611161157</v>
      </c>
      <c r="CH225" s="44">
        <f t="shared" si="549"/>
        <v>6438988.6403818997</v>
      </c>
      <c r="CI225" s="44">
        <f t="shared" si="549"/>
        <v>6321916.1196476836</v>
      </c>
      <c r="CJ225" s="44">
        <f t="shared" si="549"/>
        <v>6204843.5989134675</v>
      </c>
      <c r="CK225" s="44">
        <f t="shared" si="549"/>
        <v>6087771.0781792514</v>
      </c>
      <c r="CL225" s="44">
        <f t="shared" si="549"/>
        <v>5970698.5574450353</v>
      </c>
      <c r="CM225" s="44">
        <f t="shared" si="549"/>
        <v>5853626.0367108192</v>
      </c>
      <c r="CN225" s="44">
        <f t="shared" si="549"/>
        <v>5736553.5159766031</v>
      </c>
      <c r="CO225" s="44">
        <f t="shared" si="549"/>
        <v>5619480.9952423871</v>
      </c>
      <c r="CP225" s="44">
        <f t="shared" si="549"/>
        <v>5502408.474508171</v>
      </c>
      <c r="CQ225" s="44">
        <f t="shared" si="549"/>
        <v>5385335.9537739549</v>
      </c>
      <c r="CR225" s="44">
        <f t="shared" si="549"/>
        <v>5268263.4330397388</v>
      </c>
      <c r="CS225" s="44">
        <f t="shared" si="549"/>
        <v>5151190.9123055227</v>
      </c>
      <c r="CT225" s="44">
        <f t="shared" si="549"/>
        <v>5034118.3915713066</v>
      </c>
      <c r="CU225" s="44">
        <f t="shared" si="549"/>
        <v>4917045.8708370905</v>
      </c>
      <c r="CV225" s="44">
        <f t="shared" si="549"/>
        <v>4799973.3501028745</v>
      </c>
      <c r="CW225" s="44">
        <f t="shared" si="549"/>
        <v>4682900.8293686584</v>
      </c>
      <c r="CX225" s="44">
        <f t="shared" si="549"/>
        <v>4565828.3086344423</v>
      </c>
      <c r="CY225" s="44">
        <f t="shared" si="549"/>
        <v>4448755.7879002262</v>
      </c>
      <c r="CZ225" s="44">
        <f t="shared" ref="CZ225:EE225" si="550">CZ141</f>
        <v>4331683.2671660101</v>
      </c>
      <c r="DA225" s="44">
        <f t="shared" si="550"/>
        <v>4214610.746431794</v>
      </c>
      <c r="DB225" s="44">
        <f t="shared" si="550"/>
        <v>4097538.2256975784</v>
      </c>
      <c r="DC225" s="44">
        <f t="shared" si="550"/>
        <v>3980465.7049633628</v>
      </c>
      <c r="DD225" s="44">
        <f t="shared" si="550"/>
        <v>3863393.1842291472</v>
      </c>
      <c r="DE225" s="44">
        <f t="shared" si="550"/>
        <v>3746320.6634949315</v>
      </c>
      <c r="DF225" s="44">
        <f t="shared" si="550"/>
        <v>3629248.1427607159</v>
      </c>
      <c r="DG225" s="44">
        <f t="shared" si="550"/>
        <v>3512175.6220265003</v>
      </c>
      <c r="DH225" s="44">
        <f t="shared" si="550"/>
        <v>3395103.1012922847</v>
      </c>
      <c r="DI225" s="44">
        <f t="shared" si="550"/>
        <v>3278030.5805580691</v>
      </c>
      <c r="DJ225" s="44">
        <f t="shared" si="550"/>
        <v>3160958.0598238534</v>
      </c>
      <c r="DK225" s="44">
        <f t="shared" si="550"/>
        <v>3043885.5390896378</v>
      </c>
      <c r="DL225" s="44">
        <f t="shared" si="550"/>
        <v>2926813.0183554222</v>
      </c>
      <c r="DM225" s="44">
        <f t="shared" si="550"/>
        <v>2809740.4976212066</v>
      </c>
      <c r="DN225" s="44">
        <f t="shared" si="550"/>
        <v>2692667.9768869909</v>
      </c>
      <c r="DO225" s="44">
        <f t="shared" si="550"/>
        <v>2575595.4561527753</v>
      </c>
      <c r="DP225" s="44">
        <f t="shared" si="550"/>
        <v>2458522.9354185597</v>
      </c>
      <c r="DQ225" s="44">
        <f t="shared" si="550"/>
        <v>2341450.4146843441</v>
      </c>
      <c r="DR225" s="44">
        <f t="shared" si="550"/>
        <v>2224377.8939501285</v>
      </c>
      <c r="DS225" s="44">
        <f t="shared" si="550"/>
        <v>2107305.3732159128</v>
      </c>
      <c r="DT225" s="44">
        <f t="shared" si="550"/>
        <v>1990232.852481697</v>
      </c>
      <c r="DU225" s="44">
        <f t="shared" si="550"/>
        <v>1873160.3317474811</v>
      </c>
      <c r="DV225" s="44">
        <f t="shared" si="550"/>
        <v>1756087.8110132653</v>
      </c>
      <c r="DW225" s="44">
        <f t="shared" si="550"/>
        <v>1639015.2902790494</v>
      </c>
      <c r="DX225" s="44">
        <f t="shared" si="550"/>
        <v>1521942.7695448336</v>
      </c>
      <c r="DY225" s="44">
        <f t="shared" si="550"/>
        <v>1404870.2488106177</v>
      </c>
      <c r="DZ225" s="44">
        <f t="shared" si="550"/>
        <v>1287797.7280764019</v>
      </c>
      <c r="EA225" s="44">
        <f t="shared" si="550"/>
        <v>1170725.207342186</v>
      </c>
      <c r="EB225" s="44">
        <f t="shared" si="550"/>
        <v>1053652.6866079702</v>
      </c>
      <c r="EC225" s="44">
        <f t="shared" si="550"/>
        <v>936580.1658737543</v>
      </c>
      <c r="ED225" s="44">
        <f t="shared" si="550"/>
        <v>819507.64513953845</v>
      </c>
      <c r="EE225" s="44">
        <f t="shared" si="550"/>
        <v>702435.1244053226</v>
      </c>
      <c r="EF225" s="44">
        <f t="shared" ref="EF225:EN225" si="551">EF141</f>
        <v>585362.60367110674</v>
      </c>
      <c r="EG225" s="44">
        <f t="shared" si="551"/>
        <v>468290.08293689089</v>
      </c>
      <c r="EH225" s="44">
        <f t="shared" si="551"/>
        <v>351217.56220267504</v>
      </c>
      <c r="EI225" s="44">
        <f t="shared" si="551"/>
        <v>234145.04146845918</v>
      </c>
      <c r="EJ225" s="44">
        <f t="shared" si="551"/>
        <v>117072.52073424334</v>
      </c>
      <c r="EK225" s="44">
        <f t="shared" si="551"/>
        <v>2.750311978161335E-8</v>
      </c>
      <c r="EL225" s="44">
        <f t="shared" si="551"/>
        <v>2.750311978161335E-8</v>
      </c>
      <c r="EM225" s="44">
        <f t="shared" si="551"/>
        <v>2.750311978161335E-8</v>
      </c>
      <c r="EN225" s="44">
        <f t="shared" si="551"/>
        <v>2.750311978161335E-8</v>
      </c>
    </row>
    <row r="226" spans="2:144">
      <c r="C226" s="151" t="str">
        <f t="shared" si="496"/>
        <v>Организация набережных</v>
      </c>
      <c r="D226" s="45"/>
      <c r="E226" s="44"/>
      <c r="F226" s="44"/>
      <c r="G226" s="45"/>
      <c r="H226" s="44">
        <f t="shared" ref="H226:AM226" si="552">H152</f>
        <v>0</v>
      </c>
      <c r="I226" s="44">
        <f t="shared" si="552"/>
        <v>0</v>
      </c>
      <c r="J226" s="44">
        <f t="shared" si="552"/>
        <v>0</v>
      </c>
      <c r="K226" s="44">
        <f t="shared" si="552"/>
        <v>0</v>
      </c>
      <c r="L226" s="44">
        <f t="shared" si="552"/>
        <v>0</v>
      </c>
      <c r="M226" s="44">
        <f t="shared" si="552"/>
        <v>0</v>
      </c>
      <c r="N226" s="44">
        <f t="shared" si="552"/>
        <v>0</v>
      </c>
      <c r="O226" s="44">
        <f t="shared" si="552"/>
        <v>0</v>
      </c>
      <c r="P226" s="44">
        <f t="shared" si="552"/>
        <v>0</v>
      </c>
      <c r="Q226" s="44">
        <f t="shared" si="552"/>
        <v>0</v>
      </c>
      <c r="R226" s="44">
        <f t="shared" si="552"/>
        <v>0</v>
      </c>
      <c r="S226" s="44">
        <f t="shared" si="552"/>
        <v>0</v>
      </c>
      <c r="T226" s="44">
        <f t="shared" si="552"/>
        <v>0</v>
      </c>
      <c r="U226" s="44">
        <f t="shared" si="552"/>
        <v>0</v>
      </c>
      <c r="V226" s="44">
        <f t="shared" si="552"/>
        <v>131121223.22232175</v>
      </c>
      <c r="W226" s="44">
        <f t="shared" si="552"/>
        <v>130019364.20364678</v>
      </c>
      <c r="X226" s="44">
        <f t="shared" si="552"/>
        <v>128917505.18497181</v>
      </c>
      <c r="Y226" s="44">
        <f t="shared" si="552"/>
        <v>127815646.16629684</v>
      </c>
      <c r="Z226" s="44">
        <f t="shared" si="552"/>
        <v>126713787.14762187</v>
      </c>
      <c r="AA226" s="44">
        <f t="shared" si="552"/>
        <v>125611928.1289469</v>
      </c>
      <c r="AB226" s="44">
        <f t="shared" si="552"/>
        <v>124510069.11027193</v>
      </c>
      <c r="AC226" s="44">
        <f t="shared" si="552"/>
        <v>123408210.09159696</v>
      </c>
      <c r="AD226" s="44">
        <f t="shared" si="552"/>
        <v>122306351.07292199</v>
      </c>
      <c r="AE226" s="44">
        <f t="shared" si="552"/>
        <v>121204492.05424702</v>
      </c>
      <c r="AF226" s="44">
        <f t="shared" si="552"/>
        <v>120102633.03557205</v>
      </c>
      <c r="AG226" s="44">
        <f t="shared" si="552"/>
        <v>119000774.01689708</v>
      </c>
      <c r="AH226" s="44">
        <f t="shared" si="552"/>
        <v>117898914.99822211</v>
      </c>
      <c r="AI226" s="44">
        <f t="shared" si="552"/>
        <v>116797055.97954714</v>
      </c>
      <c r="AJ226" s="44">
        <f t="shared" si="552"/>
        <v>115695196.96087217</v>
      </c>
      <c r="AK226" s="44">
        <f t="shared" si="552"/>
        <v>114593337.9421972</v>
      </c>
      <c r="AL226" s="44">
        <f t="shared" si="552"/>
        <v>113491478.92352223</v>
      </c>
      <c r="AM226" s="44">
        <f t="shared" si="552"/>
        <v>112389619.90484726</v>
      </c>
      <c r="AN226" s="44">
        <f t="shared" ref="AN226:BS226" si="553">AN152</f>
        <v>111287760.88617229</v>
      </c>
      <c r="AO226" s="44">
        <f t="shared" si="553"/>
        <v>110185901.86749732</v>
      </c>
      <c r="AP226" s="44">
        <f t="shared" si="553"/>
        <v>109084042.84882236</v>
      </c>
      <c r="AQ226" s="44">
        <f t="shared" si="553"/>
        <v>107982183.83014739</v>
      </c>
      <c r="AR226" s="44">
        <f t="shared" si="553"/>
        <v>106880324.81147242</v>
      </c>
      <c r="AS226" s="44">
        <f t="shared" si="553"/>
        <v>105778465.79279745</v>
      </c>
      <c r="AT226" s="44">
        <f t="shared" si="553"/>
        <v>104676606.77412248</v>
      </c>
      <c r="AU226" s="44">
        <f t="shared" si="553"/>
        <v>103574747.75544751</v>
      </c>
      <c r="AV226" s="44">
        <f t="shared" si="553"/>
        <v>102472888.73677254</v>
      </c>
      <c r="AW226" s="44">
        <f t="shared" si="553"/>
        <v>101371029.71809757</v>
      </c>
      <c r="AX226" s="44">
        <f t="shared" si="553"/>
        <v>100269170.6994226</v>
      </c>
      <c r="AY226" s="44">
        <f t="shared" si="553"/>
        <v>99167311.680747628</v>
      </c>
      <c r="AZ226" s="44">
        <f t="shared" si="553"/>
        <v>98065452.662072659</v>
      </c>
      <c r="BA226" s="44">
        <f t="shared" si="553"/>
        <v>96963593.643397689</v>
      </c>
      <c r="BB226" s="44">
        <f t="shared" si="553"/>
        <v>95861734.624722719</v>
      </c>
      <c r="BC226" s="44">
        <f t="shared" si="553"/>
        <v>94759875.60604775</v>
      </c>
      <c r="BD226" s="44">
        <f t="shared" si="553"/>
        <v>93658016.58737278</v>
      </c>
      <c r="BE226" s="44">
        <f t="shared" si="553"/>
        <v>92556157.56869781</v>
      </c>
      <c r="BF226" s="44">
        <f t="shared" si="553"/>
        <v>91454298.55002284</v>
      </c>
      <c r="BG226" s="44">
        <f t="shared" si="553"/>
        <v>90352439.531347871</v>
      </c>
      <c r="BH226" s="44">
        <f t="shared" si="553"/>
        <v>89250580.512672901</v>
      </c>
      <c r="BI226" s="44">
        <f t="shared" si="553"/>
        <v>88148721.493997931</v>
      </c>
      <c r="BJ226" s="44">
        <f t="shared" si="553"/>
        <v>87046862.475322962</v>
      </c>
      <c r="BK226" s="44">
        <f t="shared" si="553"/>
        <v>85945003.456647992</v>
      </c>
      <c r="BL226" s="44">
        <f t="shared" si="553"/>
        <v>84843144.437973022</v>
      </c>
      <c r="BM226" s="44">
        <f t="shared" si="553"/>
        <v>83741285.419298053</v>
      </c>
      <c r="BN226" s="44">
        <f t="shared" si="553"/>
        <v>82639426.400623083</v>
      </c>
      <c r="BO226" s="44">
        <f t="shared" si="553"/>
        <v>81537567.381948113</v>
      </c>
      <c r="BP226" s="44">
        <f t="shared" si="553"/>
        <v>80435708.363273144</v>
      </c>
      <c r="BQ226" s="44">
        <f t="shared" si="553"/>
        <v>79333849.344598174</v>
      </c>
      <c r="BR226" s="44">
        <f t="shared" si="553"/>
        <v>78231990.325923204</v>
      </c>
      <c r="BS226" s="44">
        <f t="shared" si="553"/>
        <v>77130131.307248235</v>
      </c>
      <c r="BT226" s="44">
        <f t="shared" ref="BT226:CY226" si="554">BT152</f>
        <v>76028272.288573265</v>
      </c>
      <c r="BU226" s="44">
        <f t="shared" si="554"/>
        <v>74926413.269898295</v>
      </c>
      <c r="BV226" s="44">
        <f t="shared" si="554"/>
        <v>73824554.251223326</v>
      </c>
      <c r="BW226" s="44">
        <f t="shared" si="554"/>
        <v>72722695.232548356</v>
      </c>
      <c r="BX226" s="44">
        <f t="shared" si="554"/>
        <v>71620836.213873386</v>
      </c>
      <c r="BY226" s="44">
        <f t="shared" si="554"/>
        <v>70518977.195198417</v>
      </c>
      <c r="BZ226" s="44">
        <f t="shared" si="554"/>
        <v>69417118.176523447</v>
      </c>
      <c r="CA226" s="44">
        <f t="shared" si="554"/>
        <v>68315259.157848477</v>
      </c>
      <c r="CB226" s="44">
        <f t="shared" si="554"/>
        <v>67213400.139173508</v>
      </c>
      <c r="CC226" s="44">
        <f t="shared" si="554"/>
        <v>66111541.120498538</v>
      </c>
      <c r="CD226" s="44">
        <f t="shared" si="554"/>
        <v>65009682.101823568</v>
      </c>
      <c r="CE226" s="44">
        <f t="shared" si="554"/>
        <v>63907823.083148599</v>
      </c>
      <c r="CF226" s="44">
        <f t="shared" si="554"/>
        <v>62805964.064473629</v>
      </c>
      <c r="CG226" s="44">
        <f t="shared" si="554"/>
        <v>61704105.045798659</v>
      </c>
      <c r="CH226" s="44">
        <f t="shared" si="554"/>
        <v>60602246.02712369</v>
      </c>
      <c r="CI226" s="44">
        <f t="shared" si="554"/>
        <v>59500387.00844872</v>
      </c>
      <c r="CJ226" s="44">
        <f t="shared" si="554"/>
        <v>58398527.98977375</v>
      </c>
      <c r="CK226" s="44">
        <f t="shared" si="554"/>
        <v>57296668.971098781</v>
      </c>
      <c r="CL226" s="44">
        <f t="shared" si="554"/>
        <v>56194809.952423811</v>
      </c>
      <c r="CM226" s="44">
        <f t="shared" si="554"/>
        <v>55092950.933748841</v>
      </c>
      <c r="CN226" s="44">
        <f t="shared" si="554"/>
        <v>53991091.915073872</v>
      </c>
      <c r="CO226" s="44">
        <f t="shared" si="554"/>
        <v>52889232.896398902</v>
      </c>
      <c r="CP226" s="44">
        <f t="shared" si="554"/>
        <v>51787373.877723932</v>
      </c>
      <c r="CQ226" s="44">
        <f t="shared" si="554"/>
        <v>50685514.859048963</v>
      </c>
      <c r="CR226" s="44">
        <f t="shared" si="554"/>
        <v>49583655.840373993</v>
      </c>
      <c r="CS226" s="44">
        <f t="shared" si="554"/>
        <v>48481796.821699023</v>
      </c>
      <c r="CT226" s="44">
        <f t="shared" si="554"/>
        <v>47379937.803024054</v>
      </c>
      <c r="CU226" s="44">
        <f t="shared" si="554"/>
        <v>46278078.784349084</v>
      </c>
      <c r="CV226" s="44">
        <f t="shared" si="554"/>
        <v>45176219.765674114</v>
      </c>
      <c r="CW226" s="44">
        <f t="shared" si="554"/>
        <v>44074360.746999145</v>
      </c>
      <c r="CX226" s="44">
        <f t="shared" si="554"/>
        <v>42972501.728324175</v>
      </c>
      <c r="CY226" s="44">
        <f t="shared" si="554"/>
        <v>41870642.709649205</v>
      </c>
      <c r="CZ226" s="44">
        <f t="shared" ref="CZ226:EE226" si="555">CZ152</f>
        <v>40768783.690974236</v>
      </c>
      <c r="DA226" s="44">
        <f t="shared" si="555"/>
        <v>39666924.672299266</v>
      </c>
      <c r="DB226" s="44">
        <f t="shared" si="555"/>
        <v>38565065.653624296</v>
      </c>
      <c r="DC226" s="44">
        <f t="shared" si="555"/>
        <v>37463206.634949327</v>
      </c>
      <c r="DD226" s="44">
        <f t="shared" si="555"/>
        <v>36361347.616274357</v>
      </c>
      <c r="DE226" s="44">
        <f t="shared" si="555"/>
        <v>35259488.597599387</v>
      </c>
      <c r="DF226" s="44">
        <f t="shared" si="555"/>
        <v>34157629.578924417</v>
      </c>
      <c r="DG226" s="44">
        <f t="shared" si="555"/>
        <v>33055770.560249444</v>
      </c>
      <c r="DH226" s="44">
        <f t="shared" si="555"/>
        <v>31953911.541574471</v>
      </c>
      <c r="DI226" s="44">
        <f t="shared" si="555"/>
        <v>30852052.522899497</v>
      </c>
      <c r="DJ226" s="44">
        <f t="shared" si="555"/>
        <v>29750193.504224524</v>
      </c>
      <c r="DK226" s="44">
        <f t="shared" si="555"/>
        <v>28648334.485549551</v>
      </c>
      <c r="DL226" s="44">
        <f t="shared" si="555"/>
        <v>27546475.466874577</v>
      </c>
      <c r="DM226" s="44">
        <f t="shared" si="555"/>
        <v>26444616.448199604</v>
      </c>
      <c r="DN226" s="44">
        <f t="shared" si="555"/>
        <v>25342757.42952463</v>
      </c>
      <c r="DO226" s="44">
        <f t="shared" si="555"/>
        <v>24240898.410849657</v>
      </c>
      <c r="DP226" s="44">
        <f t="shared" si="555"/>
        <v>23139039.392174684</v>
      </c>
      <c r="DQ226" s="44">
        <f t="shared" si="555"/>
        <v>22037180.37349971</v>
      </c>
      <c r="DR226" s="44">
        <f t="shared" si="555"/>
        <v>20935321.354824737</v>
      </c>
      <c r="DS226" s="44">
        <f t="shared" si="555"/>
        <v>19833462.336149763</v>
      </c>
      <c r="DT226" s="44">
        <f t="shared" si="555"/>
        <v>18731603.31747479</v>
      </c>
      <c r="DU226" s="44">
        <f t="shared" si="555"/>
        <v>17629744.298799817</v>
      </c>
      <c r="DV226" s="44">
        <f t="shared" si="555"/>
        <v>16527885.280124843</v>
      </c>
      <c r="DW226" s="44">
        <f t="shared" si="555"/>
        <v>15426026.26144987</v>
      </c>
      <c r="DX226" s="44">
        <f t="shared" si="555"/>
        <v>14324167.242774896</v>
      </c>
      <c r="DY226" s="44">
        <f t="shared" si="555"/>
        <v>13222308.224099923</v>
      </c>
      <c r="DZ226" s="44">
        <f t="shared" si="555"/>
        <v>12120449.20542495</v>
      </c>
      <c r="EA226" s="44">
        <f t="shared" si="555"/>
        <v>11018590.186749976</v>
      </c>
      <c r="EB226" s="44">
        <f t="shared" si="555"/>
        <v>9916731.1680750027</v>
      </c>
      <c r="EC226" s="44">
        <f t="shared" si="555"/>
        <v>8814872.1494000293</v>
      </c>
      <c r="ED226" s="44">
        <f t="shared" si="555"/>
        <v>7713013.1307250569</v>
      </c>
      <c r="EE226" s="44">
        <f t="shared" si="555"/>
        <v>6611154.1120500844</v>
      </c>
      <c r="EF226" s="44">
        <f t="shared" ref="EF226:EN226" si="556">EF152</f>
        <v>5509295.0933751119</v>
      </c>
      <c r="EG226" s="44">
        <f t="shared" si="556"/>
        <v>4407436.0747001395</v>
      </c>
      <c r="EH226" s="44">
        <f t="shared" si="556"/>
        <v>3305577.056025167</v>
      </c>
      <c r="EI226" s="44">
        <f t="shared" si="556"/>
        <v>2203718.0373501945</v>
      </c>
      <c r="EJ226" s="44">
        <f t="shared" si="556"/>
        <v>1101859.0186752218</v>
      </c>
      <c r="EK226" s="44">
        <f t="shared" si="556"/>
        <v>2.491287887096405E-7</v>
      </c>
      <c r="EL226" s="44">
        <f t="shared" si="556"/>
        <v>2.491287887096405E-7</v>
      </c>
      <c r="EM226" s="44">
        <f t="shared" si="556"/>
        <v>2.491287887096405E-7</v>
      </c>
      <c r="EN226" s="44">
        <f t="shared" si="556"/>
        <v>2.491287887096405E-7</v>
      </c>
    </row>
    <row r="227" spans="2:144">
      <c r="B227" s="40"/>
      <c r="C227" s="151" t="str">
        <f t="shared" si="496"/>
        <v>Трансформаторная подстанция</v>
      </c>
      <c r="D227" s="45"/>
      <c r="E227" s="44"/>
      <c r="F227" s="44"/>
      <c r="G227" s="45"/>
      <c r="H227" s="44">
        <f t="shared" ref="H227:AM227" si="557">H163</f>
        <v>0</v>
      </c>
      <c r="I227" s="44">
        <f t="shared" si="557"/>
        <v>0</v>
      </c>
      <c r="J227" s="44">
        <f t="shared" si="557"/>
        <v>0</v>
      </c>
      <c r="K227" s="44">
        <f t="shared" si="557"/>
        <v>0</v>
      </c>
      <c r="L227" s="44">
        <f t="shared" si="557"/>
        <v>0</v>
      </c>
      <c r="M227" s="44">
        <f t="shared" si="557"/>
        <v>0</v>
      </c>
      <c r="N227" s="44">
        <f t="shared" si="557"/>
        <v>0</v>
      </c>
      <c r="O227" s="44">
        <f t="shared" si="557"/>
        <v>0</v>
      </c>
      <c r="P227" s="44">
        <f t="shared" si="557"/>
        <v>0</v>
      </c>
      <c r="Q227" s="44">
        <f t="shared" si="557"/>
        <v>0</v>
      </c>
      <c r="R227" s="44">
        <f t="shared" si="557"/>
        <v>0</v>
      </c>
      <c r="S227" s="44">
        <f t="shared" si="557"/>
        <v>0</v>
      </c>
      <c r="T227" s="44">
        <f t="shared" si="557"/>
        <v>0</v>
      </c>
      <c r="U227" s="44">
        <f t="shared" si="557"/>
        <v>0</v>
      </c>
      <c r="V227" s="44">
        <f t="shared" si="557"/>
        <v>13112122.322232176</v>
      </c>
      <c r="W227" s="44">
        <f t="shared" si="557"/>
        <v>13001936.420364678</v>
      </c>
      <c r="X227" s="44">
        <f t="shared" si="557"/>
        <v>12891750.51849718</v>
      </c>
      <c r="Y227" s="44">
        <f t="shared" si="557"/>
        <v>12781564.616629682</v>
      </c>
      <c r="Z227" s="44">
        <f t="shared" si="557"/>
        <v>12671378.714762185</v>
      </c>
      <c r="AA227" s="44">
        <f t="shared" si="557"/>
        <v>12561192.812894687</v>
      </c>
      <c r="AB227" s="44">
        <f t="shared" si="557"/>
        <v>12451006.911027189</v>
      </c>
      <c r="AC227" s="44">
        <f t="shared" si="557"/>
        <v>12340821.009159692</v>
      </c>
      <c r="AD227" s="44">
        <f t="shared" si="557"/>
        <v>12230635.107292194</v>
      </c>
      <c r="AE227" s="44">
        <f t="shared" si="557"/>
        <v>12120449.205424696</v>
      </c>
      <c r="AF227" s="44">
        <f t="shared" si="557"/>
        <v>12010263.303557198</v>
      </c>
      <c r="AG227" s="44">
        <f t="shared" si="557"/>
        <v>11900077.401689701</v>
      </c>
      <c r="AH227" s="44">
        <f t="shared" si="557"/>
        <v>11789891.499822203</v>
      </c>
      <c r="AI227" s="44">
        <f t="shared" si="557"/>
        <v>11679705.597954705</v>
      </c>
      <c r="AJ227" s="44">
        <f t="shared" si="557"/>
        <v>11569519.696087208</v>
      </c>
      <c r="AK227" s="44">
        <f t="shared" si="557"/>
        <v>11459333.79421971</v>
      </c>
      <c r="AL227" s="44">
        <f t="shared" si="557"/>
        <v>11349147.892352212</v>
      </c>
      <c r="AM227" s="44">
        <f t="shared" si="557"/>
        <v>11238961.990484715</v>
      </c>
      <c r="AN227" s="44">
        <f t="shared" ref="AN227:BS227" si="558">AN163</f>
        <v>11128776.088617217</v>
      </c>
      <c r="AO227" s="44">
        <f t="shared" si="558"/>
        <v>11018590.186749719</v>
      </c>
      <c r="AP227" s="44">
        <f t="shared" si="558"/>
        <v>10908404.284882221</v>
      </c>
      <c r="AQ227" s="44">
        <f t="shared" si="558"/>
        <v>10798218.383014724</v>
      </c>
      <c r="AR227" s="44">
        <f t="shared" si="558"/>
        <v>10688032.481147226</v>
      </c>
      <c r="AS227" s="44">
        <f t="shared" si="558"/>
        <v>10577846.579279728</v>
      </c>
      <c r="AT227" s="44">
        <f t="shared" si="558"/>
        <v>10467660.677412231</v>
      </c>
      <c r="AU227" s="44">
        <f t="shared" si="558"/>
        <v>10357474.775544733</v>
      </c>
      <c r="AV227" s="44">
        <f t="shared" si="558"/>
        <v>10247288.873677235</v>
      </c>
      <c r="AW227" s="44">
        <f t="shared" si="558"/>
        <v>10137102.971809737</v>
      </c>
      <c r="AX227" s="44">
        <f t="shared" si="558"/>
        <v>10026917.06994224</v>
      </c>
      <c r="AY227" s="44">
        <f t="shared" si="558"/>
        <v>9916731.168074742</v>
      </c>
      <c r="AZ227" s="44">
        <f t="shared" si="558"/>
        <v>9806545.2662072442</v>
      </c>
      <c r="BA227" s="44">
        <f t="shared" si="558"/>
        <v>9696359.3643397465</v>
      </c>
      <c r="BB227" s="44">
        <f t="shared" si="558"/>
        <v>9586173.4624722488</v>
      </c>
      <c r="BC227" s="44">
        <f t="shared" si="558"/>
        <v>9475987.5606047511</v>
      </c>
      <c r="BD227" s="44">
        <f t="shared" si="558"/>
        <v>9365801.6587372534</v>
      </c>
      <c r="BE227" s="44">
        <f t="shared" si="558"/>
        <v>9255615.7568697557</v>
      </c>
      <c r="BF227" s="44">
        <f t="shared" si="558"/>
        <v>9145429.855002258</v>
      </c>
      <c r="BG227" s="44">
        <f t="shared" si="558"/>
        <v>9035243.9531347603</v>
      </c>
      <c r="BH227" s="44">
        <f t="shared" si="558"/>
        <v>8925058.0512672625</v>
      </c>
      <c r="BI227" s="44">
        <f t="shared" si="558"/>
        <v>8814872.1493997648</v>
      </c>
      <c r="BJ227" s="44">
        <f t="shared" si="558"/>
        <v>8704686.2475322671</v>
      </c>
      <c r="BK227" s="44">
        <f t="shared" si="558"/>
        <v>8594500.3456647694</v>
      </c>
      <c r="BL227" s="44">
        <f t="shared" si="558"/>
        <v>8484314.4437972717</v>
      </c>
      <c r="BM227" s="44">
        <f t="shared" si="558"/>
        <v>8374128.541929774</v>
      </c>
      <c r="BN227" s="44">
        <f t="shared" si="558"/>
        <v>8263942.6400622763</v>
      </c>
      <c r="BO227" s="44">
        <f t="shared" si="558"/>
        <v>8153756.7381947786</v>
      </c>
      <c r="BP227" s="44">
        <f t="shared" si="558"/>
        <v>8043570.8363272808</v>
      </c>
      <c r="BQ227" s="44">
        <f t="shared" si="558"/>
        <v>7933384.9344597831</v>
      </c>
      <c r="BR227" s="44">
        <f t="shared" si="558"/>
        <v>7823199.0325922854</v>
      </c>
      <c r="BS227" s="44">
        <f t="shared" si="558"/>
        <v>7713013.1307247877</v>
      </c>
      <c r="BT227" s="44">
        <f t="shared" ref="BT227:CY227" si="559">BT163</f>
        <v>7602827.22885729</v>
      </c>
      <c r="BU227" s="44">
        <f t="shared" si="559"/>
        <v>7492641.3269897923</v>
      </c>
      <c r="BV227" s="44">
        <f t="shared" si="559"/>
        <v>7382455.4251222946</v>
      </c>
      <c r="BW227" s="44">
        <f t="shared" si="559"/>
        <v>7272269.5232547969</v>
      </c>
      <c r="BX227" s="44">
        <f t="shared" si="559"/>
        <v>7162083.6213872992</v>
      </c>
      <c r="BY227" s="44">
        <f t="shared" si="559"/>
        <v>7051897.7195198014</v>
      </c>
      <c r="BZ227" s="44">
        <f t="shared" si="559"/>
        <v>6941711.8176523037</v>
      </c>
      <c r="CA227" s="44">
        <f t="shared" si="559"/>
        <v>6831525.915784806</v>
      </c>
      <c r="CB227" s="44">
        <f t="shared" si="559"/>
        <v>6721340.0139173083</v>
      </c>
      <c r="CC227" s="44">
        <f t="shared" si="559"/>
        <v>6611154.1120498106</v>
      </c>
      <c r="CD227" s="44">
        <f t="shared" si="559"/>
        <v>6500968.2101823129</v>
      </c>
      <c r="CE227" s="44">
        <f t="shared" si="559"/>
        <v>6390782.3083148152</v>
      </c>
      <c r="CF227" s="44">
        <f t="shared" si="559"/>
        <v>6280596.4064473175</v>
      </c>
      <c r="CG227" s="44">
        <f t="shared" si="559"/>
        <v>6170410.5045798197</v>
      </c>
      <c r="CH227" s="44">
        <f t="shared" si="559"/>
        <v>6060224.602712322</v>
      </c>
      <c r="CI227" s="44">
        <f t="shared" si="559"/>
        <v>5950038.7008448243</v>
      </c>
      <c r="CJ227" s="44">
        <f t="shared" si="559"/>
        <v>5839852.7989773266</v>
      </c>
      <c r="CK227" s="44">
        <f t="shared" si="559"/>
        <v>5729666.8971098289</v>
      </c>
      <c r="CL227" s="44">
        <f t="shared" si="559"/>
        <v>5619480.9952423312</v>
      </c>
      <c r="CM227" s="44">
        <f t="shared" si="559"/>
        <v>5509295.0933748335</v>
      </c>
      <c r="CN227" s="44">
        <f t="shared" si="559"/>
        <v>5399109.1915073358</v>
      </c>
      <c r="CO227" s="44">
        <f t="shared" si="559"/>
        <v>5288923.289639838</v>
      </c>
      <c r="CP227" s="44">
        <f t="shared" si="559"/>
        <v>5178737.3877723403</v>
      </c>
      <c r="CQ227" s="44">
        <f t="shared" si="559"/>
        <v>5068551.4859048426</v>
      </c>
      <c r="CR227" s="44">
        <f t="shared" si="559"/>
        <v>4958365.5840373449</v>
      </c>
      <c r="CS227" s="44">
        <f t="shared" si="559"/>
        <v>4848179.6821698472</v>
      </c>
      <c r="CT227" s="44">
        <f t="shared" si="559"/>
        <v>4737993.7803023495</v>
      </c>
      <c r="CU227" s="44">
        <f t="shared" si="559"/>
        <v>4627807.8784348518</v>
      </c>
      <c r="CV227" s="44">
        <f t="shared" si="559"/>
        <v>4517621.9765673541</v>
      </c>
      <c r="CW227" s="44">
        <f t="shared" si="559"/>
        <v>4407436.0746998563</v>
      </c>
      <c r="CX227" s="44">
        <f t="shared" si="559"/>
        <v>4297250.1728323586</v>
      </c>
      <c r="CY227" s="44">
        <f t="shared" si="559"/>
        <v>4187064.2709648614</v>
      </c>
      <c r="CZ227" s="44">
        <f t="shared" ref="CZ227:EE227" si="560">CZ163</f>
        <v>4076878.3690973641</v>
      </c>
      <c r="DA227" s="44">
        <f t="shared" si="560"/>
        <v>3966692.4672298669</v>
      </c>
      <c r="DB227" s="44">
        <f t="shared" si="560"/>
        <v>3856506.5653623696</v>
      </c>
      <c r="DC227" s="44">
        <f t="shared" si="560"/>
        <v>3746320.6634948724</v>
      </c>
      <c r="DD227" s="44">
        <f t="shared" si="560"/>
        <v>3636134.7616273751</v>
      </c>
      <c r="DE227" s="44">
        <f t="shared" si="560"/>
        <v>3525948.8597598779</v>
      </c>
      <c r="DF227" s="44">
        <f t="shared" si="560"/>
        <v>3415762.9578923807</v>
      </c>
      <c r="DG227" s="44">
        <f t="shared" si="560"/>
        <v>3305577.0560248834</v>
      </c>
      <c r="DH227" s="44">
        <f t="shared" si="560"/>
        <v>3195391.1541573862</v>
      </c>
      <c r="DI227" s="44">
        <f t="shared" si="560"/>
        <v>3085205.2522898889</v>
      </c>
      <c r="DJ227" s="44">
        <f t="shared" si="560"/>
        <v>2975019.3504223917</v>
      </c>
      <c r="DK227" s="44">
        <f t="shared" si="560"/>
        <v>2864833.4485548944</v>
      </c>
      <c r="DL227" s="44">
        <f t="shared" si="560"/>
        <v>2754647.5466873972</v>
      </c>
      <c r="DM227" s="44">
        <f t="shared" si="560"/>
        <v>2644461.6448198999</v>
      </c>
      <c r="DN227" s="44">
        <f t="shared" si="560"/>
        <v>2534275.7429524027</v>
      </c>
      <c r="DO227" s="44">
        <f t="shared" si="560"/>
        <v>2424089.8410849054</v>
      </c>
      <c r="DP227" s="44">
        <f t="shared" si="560"/>
        <v>2313903.9392174082</v>
      </c>
      <c r="DQ227" s="44">
        <f t="shared" si="560"/>
        <v>2203718.0373499109</v>
      </c>
      <c r="DR227" s="44">
        <f t="shared" si="560"/>
        <v>2093532.1354824137</v>
      </c>
      <c r="DS227" s="44">
        <f t="shared" si="560"/>
        <v>1983346.2336149164</v>
      </c>
      <c r="DT227" s="44">
        <f t="shared" si="560"/>
        <v>1873160.3317474192</v>
      </c>
      <c r="DU227" s="44">
        <f t="shared" si="560"/>
        <v>1762974.429879922</v>
      </c>
      <c r="DV227" s="44">
        <f t="shared" si="560"/>
        <v>1652788.5280124247</v>
      </c>
      <c r="DW227" s="44">
        <f t="shared" si="560"/>
        <v>1542602.6261449275</v>
      </c>
      <c r="DX227" s="44">
        <f t="shared" si="560"/>
        <v>1432416.7242774302</v>
      </c>
      <c r="DY227" s="44">
        <f t="shared" si="560"/>
        <v>1322230.822409933</v>
      </c>
      <c r="DZ227" s="44">
        <f t="shared" si="560"/>
        <v>1212044.9205424357</v>
      </c>
      <c r="EA227" s="44">
        <f t="shared" si="560"/>
        <v>1101859.0186749385</v>
      </c>
      <c r="EB227" s="44">
        <f t="shared" si="560"/>
        <v>991673.11680744123</v>
      </c>
      <c r="EC227" s="44">
        <f t="shared" si="560"/>
        <v>881487.21493994398</v>
      </c>
      <c r="ED227" s="44">
        <f t="shared" si="560"/>
        <v>771301.31307244673</v>
      </c>
      <c r="EE227" s="44">
        <f t="shared" si="560"/>
        <v>661115.41120494949</v>
      </c>
      <c r="EF227" s="44">
        <f t="shared" ref="EF227:EN227" si="561">EF163</f>
        <v>550929.50933745224</v>
      </c>
      <c r="EG227" s="44">
        <f t="shared" si="561"/>
        <v>440743.60746995499</v>
      </c>
      <c r="EH227" s="44">
        <f t="shared" si="561"/>
        <v>330557.70560245775</v>
      </c>
      <c r="EI227" s="44">
        <f t="shared" si="561"/>
        <v>220371.80373496047</v>
      </c>
      <c r="EJ227" s="44">
        <f t="shared" si="561"/>
        <v>110185.9018674632</v>
      </c>
      <c r="EK227" s="44">
        <f t="shared" si="561"/>
        <v>0</v>
      </c>
      <c r="EL227" s="44">
        <f t="shared" si="561"/>
        <v>0</v>
      </c>
      <c r="EM227" s="44">
        <f t="shared" si="561"/>
        <v>0</v>
      </c>
      <c r="EN227" s="44">
        <f t="shared" si="561"/>
        <v>0</v>
      </c>
    </row>
    <row r="228" spans="2:144">
      <c r="B228" s="139" t="s">
        <v>489</v>
      </c>
      <c r="C228" s="151" t="str">
        <f t="shared" si="496"/>
        <v>Канализационная насосная станция</v>
      </c>
      <c r="D228" s="45"/>
      <c r="E228" s="44"/>
      <c r="F228" s="44"/>
      <c r="G228" s="45"/>
      <c r="H228" s="44">
        <f t="shared" ref="H228:AM228" si="562">H174</f>
        <v>0</v>
      </c>
      <c r="I228" s="44">
        <f t="shared" si="562"/>
        <v>0</v>
      </c>
      <c r="J228" s="44">
        <f t="shared" si="562"/>
        <v>0</v>
      </c>
      <c r="K228" s="44">
        <f t="shared" si="562"/>
        <v>0</v>
      </c>
      <c r="L228" s="44">
        <f t="shared" si="562"/>
        <v>0</v>
      </c>
      <c r="M228" s="44">
        <f t="shared" si="562"/>
        <v>0</v>
      </c>
      <c r="N228" s="44">
        <f t="shared" si="562"/>
        <v>0</v>
      </c>
      <c r="O228" s="44">
        <f t="shared" si="562"/>
        <v>0</v>
      </c>
      <c r="P228" s="44">
        <f t="shared" si="562"/>
        <v>0</v>
      </c>
      <c r="Q228" s="44">
        <f t="shared" si="562"/>
        <v>0</v>
      </c>
      <c r="R228" s="44">
        <f t="shared" si="562"/>
        <v>0</v>
      </c>
      <c r="S228" s="44">
        <f t="shared" si="562"/>
        <v>0</v>
      </c>
      <c r="T228" s="44">
        <f t="shared" si="562"/>
        <v>0</v>
      </c>
      <c r="U228" s="44">
        <f t="shared" si="562"/>
        <v>0</v>
      </c>
      <c r="V228" s="44">
        <f t="shared" si="562"/>
        <v>4982606.4824482268</v>
      </c>
      <c r="W228" s="44">
        <f t="shared" si="562"/>
        <v>4940735.8397385776</v>
      </c>
      <c r="X228" s="44">
        <f t="shared" si="562"/>
        <v>4898865.1970289284</v>
      </c>
      <c r="Y228" s="44">
        <f t="shared" si="562"/>
        <v>4856994.5543192793</v>
      </c>
      <c r="Z228" s="44">
        <f t="shared" si="562"/>
        <v>4815123.9116096301</v>
      </c>
      <c r="AA228" s="44">
        <f t="shared" si="562"/>
        <v>4773253.2688999809</v>
      </c>
      <c r="AB228" s="44">
        <f t="shared" si="562"/>
        <v>4731382.6261903318</v>
      </c>
      <c r="AC228" s="44">
        <f t="shared" si="562"/>
        <v>4689511.9834806826</v>
      </c>
      <c r="AD228" s="44">
        <f t="shared" si="562"/>
        <v>4647641.3407710334</v>
      </c>
      <c r="AE228" s="44">
        <f t="shared" si="562"/>
        <v>4605770.6980613843</v>
      </c>
      <c r="AF228" s="44">
        <f t="shared" si="562"/>
        <v>4563900.0553517351</v>
      </c>
      <c r="AG228" s="44">
        <f t="shared" si="562"/>
        <v>4522029.4126420859</v>
      </c>
      <c r="AH228" s="44">
        <f t="shared" si="562"/>
        <v>4480158.7699324368</v>
      </c>
      <c r="AI228" s="44">
        <f t="shared" si="562"/>
        <v>4438288.1272227876</v>
      </c>
      <c r="AJ228" s="44">
        <f t="shared" si="562"/>
        <v>4396417.4845131384</v>
      </c>
      <c r="AK228" s="44">
        <f t="shared" si="562"/>
        <v>4354546.8418034893</v>
      </c>
      <c r="AL228" s="44">
        <f t="shared" si="562"/>
        <v>4312676.1990938401</v>
      </c>
      <c r="AM228" s="44">
        <f t="shared" si="562"/>
        <v>4270805.5563841909</v>
      </c>
      <c r="AN228" s="44">
        <f t="shared" ref="AN228:BS228" si="563">AN174</f>
        <v>4228934.9136745417</v>
      </c>
      <c r="AO228" s="44">
        <f t="shared" si="563"/>
        <v>4187064.2709648926</v>
      </c>
      <c r="AP228" s="44">
        <f t="shared" si="563"/>
        <v>4145193.6282552434</v>
      </c>
      <c r="AQ228" s="44">
        <f t="shared" si="563"/>
        <v>4103322.9855455942</v>
      </c>
      <c r="AR228" s="44">
        <f t="shared" si="563"/>
        <v>4061452.3428359451</v>
      </c>
      <c r="AS228" s="44">
        <f t="shared" si="563"/>
        <v>4019581.7001262959</v>
      </c>
      <c r="AT228" s="44">
        <f t="shared" si="563"/>
        <v>3977711.0574166467</v>
      </c>
      <c r="AU228" s="44">
        <f t="shared" si="563"/>
        <v>3935840.4147069976</v>
      </c>
      <c r="AV228" s="44">
        <f t="shared" si="563"/>
        <v>3893969.7719973484</v>
      </c>
      <c r="AW228" s="44">
        <f t="shared" si="563"/>
        <v>3852099.1292876992</v>
      </c>
      <c r="AX228" s="44">
        <f t="shared" si="563"/>
        <v>3810228.4865780501</v>
      </c>
      <c r="AY228" s="44">
        <f t="shared" si="563"/>
        <v>3768357.8438684009</v>
      </c>
      <c r="AZ228" s="44">
        <f t="shared" si="563"/>
        <v>3726487.2011587517</v>
      </c>
      <c r="BA228" s="44">
        <f t="shared" si="563"/>
        <v>3684616.5584491026</v>
      </c>
      <c r="BB228" s="44">
        <f t="shared" si="563"/>
        <v>3642745.9157394534</v>
      </c>
      <c r="BC228" s="44">
        <f t="shared" si="563"/>
        <v>3600875.2730298042</v>
      </c>
      <c r="BD228" s="44">
        <f t="shared" si="563"/>
        <v>3559004.6303201551</v>
      </c>
      <c r="BE228" s="44">
        <f t="shared" si="563"/>
        <v>3517133.9876105059</v>
      </c>
      <c r="BF228" s="44">
        <f t="shared" si="563"/>
        <v>3475263.3449008567</v>
      </c>
      <c r="BG228" s="44">
        <f t="shared" si="563"/>
        <v>3433392.7021912076</v>
      </c>
      <c r="BH228" s="44">
        <f t="shared" si="563"/>
        <v>3391522.0594815584</v>
      </c>
      <c r="BI228" s="44">
        <f t="shared" si="563"/>
        <v>3349651.4167719092</v>
      </c>
      <c r="BJ228" s="44">
        <f t="shared" si="563"/>
        <v>3307780.7740622601</v>
      </c>
      <c r="BK228" s="44">
        <f t="shared" si="563"/>
        <v>3265910.1313526109</v>
      </c>
      <c r="BL228" s="44">
        <f t="shared" si="563"/>
        <v>3224039.4886429617</v>
      </c>
      <c r="BM228" s="44">
        <f t="shared" si="563"/>
        <v>3182168.8459333126</v>
      </c>
      <c r="BN228" s="44">
        <f t="shared" si="563"/>
        <v>3140298.2032236634</v>
      </c>
      <c r="BO228" s="44">
        <f t="shared" si="563"/>
        <v>3098427.5605140142</v>
      </c>
      <c r="BP228" s="44">
        <f t="shared" si="563"/>
        <v>3056556.917804365</v>
      </c>
      <c r="BQ228" s="44">
        <f t="shared" si="563"/>
        <v>3014686.2750947159</v>
      </c>
      <c r="BR228" s="44">
        <f t="shared" si="563"/>
        <v>2972815.6323850667</v>
      </c>
      <c r="BS228" s="44">
        <f t="shared" si="563"/>
        <v>2930944.9896754175</v>
      </c>
      <c r="BT228" s="44">
        <f t="shared" ref="BT228:CY228" si="564">BT174</f>
        <v>2889074.3469657684</v>
      </c>
      <c r="BU228" s="44">
        <f t="shared" si="564"/>
        <v>2847203.7042561192</v>
      </c>
      <c r="BV228" s="44">
        <f t="shared" si="564"/>
        <v>2805333.06154647</v>
      </c>
      <c r="BW228" s="44">
        <f t="shared" si="564"/>
        <v>2763462.4188368209</v>
      </c>
      <c r="BX228" s="44">
        <f t="shared" si="564"/>
        <v>2721591.7761271717</v>
      </c>
      <c r="BY228" s="44">
        <f t="shared" si="564"/>
        <v>2679721.1334175225</v>
      </c>
      <c r="BZ228" s="44">
        <f t="shared" si="564"/>
        <v>2637850.4907078734</v>
      </c>
      <c r="CA228" s="44">
        <f t="shared" si="564"/>
        <v>2595979.8479982242</v>
      </c>
      <c r="CB228" s="44">
        <f t="shared" si="564"/>
        <v>2554109.205288575</v>
      </c>
      <c r="CC228" s="44">
        <f t="shared" si="564"/>
        <v>2512238.5625789259</v>
      </c>
      <c r="CD228" s="44">
        <f t="shared" si="564"/>
        <v>2470367.9198692767</v>
      </c>
      <c r="CE228" s="44">
        <f t="shared" si="564"/>
        <v>2428497.2771596275</v>
      </c>
      <c r="CF228" s="44">
        <f t="shared" si="564"/>
        <v>2386626.6344499784</v>
      </c>
      <c r="CG228" s="44">
        <f t="shared" si="564"/>
        <v>2344755.9917403292</v>
      </c>
      <c r="CH228" s="44">
        <f t="shared" si="564"/>
        <v>2302885.34903068</v>
      </c>
      <c r="CI228" s="44">
        <f t="shared" si="564"/>
        <v>2261014.7063210309</v>
      </c>
      <c r="CJ228" s="44">
        <f t="shared" si="564"/>
        <v>2219144.0636113817</v>
      </c>
      <c r="CK228" s="44">
        <f t="shared" si="564"/>
        <v>2177273.4209017325</v>
      </c>
      <c r="CL228" s="44">
        <f t="shared" si="564"/>
        <v>2135402.7781920834</v>
      </c>
      <c r="CM228" s="44">
        <f t="shared" si="564"/>
        <v>2093532.1354824344</v>
      </c>
      <c r="CN228" s="44">
        <f t="shared" si="564"/>
        <v>2051661.4927727855</v>
      </c>
      <c r="CO228" s="44">
        <f t="shared" si="564"/>
        <v>2009790.8500631365</v>
      </c>
      <c r="CP228" s="44">
        <f t="shared" si="564"/>
        <v>1967920.2073534876</v>
      </c>
      <c r="CQ228" s="44">
        <f t="shared" si="564"/>
        <v>1926049.5646438387</v>
      </c>
      <c r="CR228" s="44">
        <f t="shared" si="564"/>
        <v>1884178.9219341897</v>
      </c>
      <c r="CS228" s="44">
        <f t="shared" si="564"/>
        <v>1842308.2792245408</v>
      </c>
      <c r="CT228" s="44">
        <f t="shared" si="564"/>
        <v>1800437.6365148919</v>
      </c>
      <c r="CU228" s="44">
        <f t="shared" si="564"/>
        <v>1758566.9938052429</v>
      </c>
      <c r="CV228" s="44">
        <f t="shared" si="564"/>
        <v>1716696.351095594</v>
      </c>
      <c r="CW228" s="44">
        <f t="shared" si="564"/>
        <v>1674825.7083859451</v>
      </c>
      <c r="CX228" s="44">
        <f t="shared" si="564"/>
        <v>1632955.0656762961</v>
      </c>
      <c r="CY228" s="44">
        <f t="shared" si="564"/>
        <v>1591084.4229666472</v>
      </c>
      <c r="CZ228" s="44">
        <f t="shared" ref="CZ228:EE228" si="565">CZ174</f>
        <v>1549213.7802569983</v>
      </c>
      <c r="DA228" s="44">
        <f t="shared" si="565"/>
        <v>1507343.1375473493</v>
      </c>
      <c r="DB228" s="44">
        <f t="shared" si="565"/>
        <v>1465472.4948377004</v>
      </c>
      <c r="DC228" s="44">
        <f t="shared" si="565"/>
        <v>1423601.8521280515</v>
      </c>
      <c r="DD228" s="44">
        <f t="shared" si="565"/>
        <v>1381731.2094184025</v>
      </c>
      <c r="DE228" s="44">
        <f t="shared" si="565"/>
        <v>1339860.5667087536</v>
      </c>
      <c r="DF228" s="44">
        <f t="shared" si="565"/>
        <v>1297989.9239991046</v>
      </c>
      <c r="DG228" s="44">
        <f t="shared" si="565"/>
        <v>1256119.2812894557</v>
      </c>
      <c r="DH228" s="44">
        <f t="shared" si="565"/>
        <v>1214248.6385798068</v>
      </c>
      <c r="DI228" s="44">
        <f t="shared" si="565"/>
        <v>1172377.9958701578</v>
      </c>
      <c r="DJ228" s="44">
        <f t="shared" si="565"/>
        <v>1130507.3531605089</v>
      </c>
      <c r="DK228" s="44">
        <f t="shared" si="565"/>
        <v>1088636.71045086</v>
      </c>
      <c r="DL228" s="44">
        <f t="shared" si="565"/>
        <v>1046766.067741211</v>
      </c>
      <c r="DM228" s="44">
        <f t="shared" si="565"/>
        <v>1004895.4250315621</v>
      </c>
      <c r="DN228" s="44">
        <f t="shared" si="565"/>
        <v>963024.78232191317</v>
      </c>
      <c r="DO228" s="44">
        <f t="shared" si="565"/>
        <v>921154.13961226423</v>
      </c>
      <c r="DP228" s="44">
        <f t="shared" si="565"/>
        <v>879283.4969026153</v>
      </c>
      <c r="DQ228" s="44">
        <f t="shared" si="565"/>
        <v>837412.85419296636</v>
      </c>
      <c r="DR228" s="44">
        <f t="shared" si="565"/>
        <v>795542.21148331743</v>
      </c>
      <c r="DS228" s="44">
        <f t="shared" si="565"/>
        <v>753671.56877366849</v>
      </c>
      <c r="DT228" s="44">
        <f t="shared" si="565"/>
        <v>711800.92606401956</v>
      </c>
      <c r="DU228" s="44">
        <f t="shared" si="565"/>
        <v>669930.28335437062</v>
      </c>
      <c r="DV228" s="44">
        <f t="shared" si="565"/>
        <v>628059.64064472169</v>
      </c>
      <c r="DW228" s="44">
        <f t="shared" si="565"/>
        <v>586188.99793507275</v>
      </c>
      <c r="DX228" s="44">
        <f t="shared" si="565"/>
        <v>544318.35522542382</v>
      </c>
      <c r="DY228" s="44">
        <f t="shared" si="565"/>
        <v>502447.71251577488</v>
      </c>
      <c r="DZ228" s="44">
        <f t="shared" si="565"/>
        <v>460577.06980612595</v>
      </c>
      <c r="EA228" s="44">
        <f t="shared" si="565"/>
        <v>418706.42709647701</v>
      </c>
      <c r="EB228" s="44">
        <f t="shared" si="565"/>
        <v>376835.78438682808</v>
      </c>
      <c r="EC228" s="44">
        <f t="shared" si="565"/>
        <v>334965.14167717914</v>
      </c>
      <c r="ED228" s="44">
        <f t="shared" si="565"/>
        <v>293094.49896753021</v>
      </c>
      <c r="EE228" s="44">
        <f t="shared" si="565"/>
        <v>251223.85625788124</v>
      </c>
      <c r="EF228" s="44">
        <f t="shared" ref="EF228:EN228" si="566">EF174</f>
        <v>209353.21354823228</v>
      </c>
      <c r="EG228" s="44">
        <f t="shared" si="566"/>
        <v>167482.57083858331</v>
      </c>
      <c r="EH228" s="44">
        <f t="shared" si="566"/>
        <v>125611.92812893435</v>
      </c>
      <c r="EI228" s="44">
        <f t="shared" si="566"/>
        <v>83741.285419285385</v>
      </c>
      <c r="EJ228" s="44">
        <f t="shared" si="566"/>
        <v>41870.64270963642</v>
      </c>
      <c r="EK228" s="44">
        <f t="shared" si="566"/>
        <v>0</v>
      </c>
      <c r="EL228" s="44">
        <f t="shared" si="566"/>
        <v>0</v>
      </c>
      <c r="EM228" s="44">
        <f t="shared" si="566"/>
        <v>0</v>
      </c>
      <c r="EN228" s="44">
        <f t="shared" si="566"/>
        <v>0</v>
      </c>
    </row>
    <row r="229" spans="2:144">
      <c r="B229" s="459">
        <f>$B$19</f>
        <v>15</v>
      </c>
      <c r="C229" s="151" t="str">
        <f t="shared" si="496"/>
        <v>Стоимость проектных работ - 4% от СМР (мебель и технологическое оборудование не учитываются)</v>
      </c>
      <c r="D229" s="45"/>
      <c r="E229" s="44"/>
      <c r="F229" s="44"/>
      <c r="G229" s="45"/>
      <c r="H229" s="44">
        <f t="shared" ref="H229:AM229" si="567">H185</f>
        <v>0</v>
      </c>
      <c r="I229" s="44">
        <f t="shared" si="567"/>
        <v>0</v>
      </c>
      <c r="J229" s="44">
        <f t="shared" si="567"/>
        <v>0</v>
      </c>
      <c r="K229" s="44">
        <f t="shared" si="567"/>
        <v>0</v>
      </c>
      <c r="L229" s="44">
        <f t="shared" si="567"/>
        <v>0</v>
      </c>
      <c r="M229" s="44">
        <f t="shared" si="567"/>
        <v>0</v>
      </c>
      <c r="N229" s="44">
        <f t="shared" si="567"/>
        <v>0</v>
      </c>
      <c r="O229" s="44">
        <f t="shared" si="567"/>
        <v>0</v>
      </c>
      <c r="P229" s="44">
        <f t="shared" si="567"/>
        <v>0</v>
      </c>
      <c r="Q229" s="44">
        <f t="shared" si="567"/>
        <v>0</v>
      </c>
      <c r="R229" s="44">
        <f t="shared" si="567"/>
        <v>0</v>
      </c>
      <c r="S229" s="44">
        <f t="shared" si="567"/>
        <v>0</v>
      </c>
      <c r="T229" s="44">
        <f t="shared" si="567"/>
        <v>0</v>
      </c>
      <c r="U229" s="44">
        <f t="shared" si="567"/>
        <v>0</v>
      </c>
      <c r="V229" s="44">
        <f t="shared" si="567"/>
        <v>236422362.35701323</v>
      </c>
      <c r="W229" s="44">
        <f t="shared" si="567"/>
        <v>234435619.81619799</v>
      </c>
      <c r="X229" s="44">
        <f t="shared" si="567"/>
        <v>232448877.27538276</v>
      </c>
      <c r="Y229" s="44">
        <f t="shared" si="567"/>
        <v>230462134.73456752</v>
      </c>
      <c r="Z229" s="44">
        <f t="shared" si="567"/>
        <v>228475392.19375229</v>
      </c>
      <c r="AA229" s="44">
        <f t="shared" si="567"/>
        <v>226488649.65293705</v>
      </c>
      <c r="AB229" s="44">
        <f t="shared" si="567"/>
        <v>224501907.11212182</v>
      </c>
      <c r="AC229" s="44">
        <f t="shared" si="567"/>
        <v>222515164.57130659</v>
      </c>
      <c r="AD229" s="44">
        <f t="shared" si="567"/>
        <v>220528422.03049135</v>
      </c>
      <c r="AE229" s="44">
        <f t="shared" si="567"/>
        <v>218541679.48967612</v>
      </c>
      <c r="AF229" s="44">
        <f t="shared" si="567"/>
        <v>216554936.94886088</v>
      </c>
      <c r="AG229" s="44">
        <f t="shared" si="567"/>
        <v>214568194.40804565</v>
      </c>
      <c r="AH229" s="44">
        <f t="shared" si="567"/>
        <v>212581451.86723042</v>
      </c>
      <c r="AI229" s="44">
        <f t="shared" si="567"/>
        <v>210594709.32641518</v>
      </c>
      <c r="AJ229" s="44">
        <f t="shared" si="567"/>
        <v>208607966.78559995</v>
      </c>
      <c r="AK229" s="44">
        <f t="shared" si="567"/>
        <v>206621224.24478471</v>
      </c>
      <c r="AL229" s="44">
        <f t="shared" si="567"/>
        <v>204634481.70396948</v>
      </c>
      <c r="AM229" s="44">
        <f t="shared" si="567"/>
        <v>202647739.16315424</v>
      </c>
      <c r="AN229" s="44">
        <f t="shared" ref="AN229:BS229" si="568">AN185</f>
        <v>200660996.62233901</v>
      </c>
      <c r="AO229" s="44">
        <f t="shared" si="568"/>
        <v>198674254.08152378</v>
      </c>
      <c r="AP229" s="44">
        <f t="shared" si="568"/>
        <v>196687511.54070854</v>
      </c>
      <c r="AQ229" s="44">
        <f t="shared" si="568"/>
        <v>194700768.99989331</v>
      </c>
      <c r="AR229" s="44">
        <f t="shared" si="568"/>
        <v>192714026.45907807</v>
      </c>
      <c r="AS229" s="44">
        <f t="shared" si="568"/>
        <v>190727283.91826284</v>
      </c>
      <c r="AT229" s="44">
        <f t="shared" si="568"/>
        <v>188740541.37744761</v>
      </c>
      <c r="AU229" s="44">
        <f t="shared" si="568"/>
        <v>186753798.83663237</v>
      </c>
      <c r="AV229" s="44">
        <f t="shared" si="568"/>
        <v>184767056.29581714</v>
      </c>
      <c r="AW229" s="44">
        <f t="shared" si="568"/>
        <v>182780313.7550019</v>
      </c>
      <c r="AX229" s="44">
        <f t="shared" si="568"/>
        <v>180793571.21418667</v>
      </c>
      <c r="AY229" s="44">
        <f t="shared" si="568"/>
        <v>178806828.67337143</v>
      </c>
      <c r="AZ229" s="44">
        <f t="shared" si="568"/>
        <v>176820086.1325562</v>
      </c>
      <c r="BA229" s="44">
        <f t="shared" si="568"/>
        <v>174833343.59174097</v>
      </c>
      <c r="BB229" s="44">
        <f t="shared" si="568"/>
        <v>172846601.05092573</v>
      </c>
      <c r="BC229" s="44">
        <f t="shared" si="568"/>
        <v>170859858.5101105</v>
      </c>
      <c r="BD229" s="44">
        <f t="shared" si="568"/>
        <v>168873115.96929526</v>
      </c>
      <c r="BE229" s="44">
        <f t="shared" si="568"/>
        <v>166886373.42848003</v>
      </c>
      <c r="BF229" s="44">
        <f t="shared" si="568"/>
        <v>164899630.88766479</v>
      </c>
      <c r="BG229" s="44">
        <f t="shared" si="568"/>
        <v>162912888.34684956</v>
      </c>
      <c r="BH229" s="44">
        <f t="shared" si="568"/>
        <v>160926145.80603433</v>
      </c>
      <c r="BI229" s="44">
        <f t="shared" si="568"/>
        <v>158939403.26521909</v>
      </c>
      <c r="BJ229" s="44">
        <f t="shared" si="568"/>
        <v>156952660.72440386</v>
      </c>
      <c r="BK229" s="44">
        <f t="shared" si="568"/>
        <v>154965918.18358862</v>
      </c>
      <c r="BL229" s="44">
        <f t="shared" si="568"/>
        <v>152979175.64277339</v>
      </c>
      <c r="BM229" s="44">
        <f t="shared" si="568"/>
        <v>150992433.10195816</v>
      </c>
      <c r="BN229" s="44">
        <f t="shared" si="568"/>
        <v>149005690.56114292</v>
      </c>
      <c r="BO229" s="44">
        <f t="shared" si="568"/>
        <v>147018948.02032769</v>
      </c>
      <c r="BP229" s="44">
        <f t="shared" si="568"/>
        <v>145032205.47951245</v>
      </c>
      <c r="BQ229" s="44">
        <f t="shared" si="568"/>
        <v>143045462.93869722</v>
      </c>
      <c r="BR229" s="44">
        <f t="shared" si="568"/>
        <v>141058720.39788198</v>
      </c>
      <c r="BS229" s="44">
        <f t="shared" si="568"/>
        <v>139071977.85706675</v>
      </c>
      <c r="BT229" s="44">
        <f t="shared" ref="BT229:CY229" si="569">BT185</f>
        <v>137085235.31625152</v>
      </c>
      <c r="BU229" s="44">
        <f t="shared" si="569"/>
        <v>135098492.77543628</v>
      </c>
      <c r="BV229" s="44">
        <f t="shared" si="569"/>
        <v>133111750.23462105</v>
      </c>
      <c r="BW229" s="44">
        <f t="shared" si="569"/>
        <v>131125007.69380581</v>
      </c>
      <c r="BX229" s="44">
        <f t="shared" si="569"/>
        <v>129138265.15299058</v>
      </c>
      <c r="BY229" s="44">
        <f t="shared" si="569"/>
        <v>127151522.61217535</v>
      </c>
      <c r="BZ229" s="44">
        <f t="shared" si="569"/>
        <v>125164780.07136011</v>
      </c>
      <c r="CA229" s="44">
        <f t="shared" si="569"/>
        <v>123178037.53054488</v>
      </c>
      <c r="CB229" s="44">
        <f t="shared" si="569"/>
        <v>121191294.98972964</v>
      </c>
      <c r="CC229" s="44">
        <f t="shared" si="569"/>
        <v>119204552.44891441</v>
      </c>
      <c r="CD229" s="44">
        <f t="shared" si="569"/>
        <v>117217809.90809917</v>
      </c>
      <c r="CE229" s="44">
        <f t="shared" si="569"/>
        <v>115231067.36728394</v>
      </c>
      <c r="CF229" s="44">
        <f t="shared" si="569"/>
        <v>113244324.82646871</v>
      </c>
      <c r="CG229" s="44">
        <f t="shared" si="569"/>
        <v>111257582.28565347</v>
      </c>
      <c r="CH229" s="44">
        <f t="shared" si="569"/>
        <v>109270839.74483824</v>
      </c>
      <c r="CI229" s="44">
        <f t="shared" si="569"/>
        <v>107284097.204023</v>
      </c>
      <c r="CJ229" s="44">
        <f t="shared" si="569"/>
        <v>105297354.66320777</v>
      </c>
      <c r="CK229" s="44">
        <f t="shared" si="569"/>
        <v>103310612.12239254</v>
      </c>
      <c r="CL229" s="44">
        <f t="shared" si="569"/>
        <v>101323869.5815773</v>
      </c>
      <c r="CM229" s="44">
        <f t="shared" si="569"/>
        <v>99337127.040762067</v>
      </c>
      <c r="CN229" s="44">
        <f t="shared" si="569"/>
        <v>97350384.499946833</v>
      </c>
      <c r="CO229" s="44">
        <f t="shared" si="569"/>
        <v>95363641.959131598</v>
      </c>
      <c r="CP229" s="44">
        <f t="shared" si="569"/>
        <v>93376899.418316364</v>
      </c>
      <c r="CQ229" s="44">
        <f t="shared" si="569"/>
        <v>91390156.87750113</v>
      </c>
      <c r="CR229" s="44">
        <f t="shared" si="569"/>
        <v>89403414.336685896</v>
      </c>
      <c r="CS229" s="44">
        <f t="shared" si="569"/>
        <v>87416671.795870662</v>
      </c>
      <c r="CT229" s="44">
        <f t="shared" si="569"/>
        <v>85429929.255055428</v>
      </c>
      <c r="CU229" s="44">
        <f t="shared" si="569"/>
        <v>83443186.714240193</v>
      </c>
      <c r="CV229" s="44">
        <f t="shared" si="569"/>
        <v>81456444.173424959</v>
      </c>
      <c r="CW229" s="44">
        <f t="shared" si="569"/>
        <v>79469701.632609725</v>
      </c>
      <c r="CX229" s="44">
        <f t="shared" si="569"/>
        <v>77482959.091794491</v>
      </c>
      <c r="CY229" s="44">
        <f t="shared" si="569"/>
        <v>75496216.550979257</v>
      </c>
      <c r="CZ229" s="44">
        <f t="shared" ref="CZ229:EE229" si="570">CZ185</f>
        <v>73509474.010164022</v>
      </c>
      <c r="DA229" s="44">
        <f t="shared" si="570"/>
        <v>71522731.469348788</v>
      </c>
      <c r="DB229" s="44">
        <f t="shared" si="570"/>
        <v>69535988.928533554</v>
      </c>
      <c r="DC229" s="44">
        <f t="shared" si="570"/>
        <v>67549246.38771832</v>
      </c>
      <c r="DD229" s="44">
        <f t="shared" si="570"/>
        <v>65562503.846903086</v>
      </c>
      <c r="DE229" s="44">
        <f t="shared" si="570"/>
        <v>63575761.306087852</v>
      </c>
      <c r="DF229" s="44">
        <f t="shared" si="570"/>
        <v>61589018.765272617</v>
      </c>
      <c r="DG229" s="44">
        <f t="shared" si="570"/>
        <v>59602276.224457383</v>
      </c>
      <c r="DH229" s="44">
        <f t="shared" si="570"/>
        <v>57615533.683642149</v>
      </c>
      <c r="DI229" s="44">
        <f t="shared" si="570"/>
        <v>55628791.142826915</v>
      </c>
      <c r="DJ229" s="44">
        <f t="shared" si="570"/>
        <v>53642048.602011681</v>
      </c>
      <c r="DK229" s="44">
        <f t="shared" si="570"/>
        <v>51655306.061196446</v>
      </c>
      <c r="DL229" s="44">
        <f t="shared" si="570"/>
        <v>49668563.520381212</v>
      </c>
      <c r="DM229" s="44">
        <f t="shared" si="570"/>
        <v>47681820.979565978</v>
      </c>
      <c r="DN229" s="44">
        <f t="shared" si="570"/>
        <v>45695078.438750744</v>
      </c>
      <c r="DO229" s="44">
        <f t="shared" si="570"/>
        <v>43708335.89793551</v>
      </c>
      <c r="DP229" s="44">
        <f t="shared" si="570"/>
        <v>41721593.357120275</v>
      </c>
      <c r="DQ229" s="44">
        <f t="shared" si="570"/>
        <v>39734850.816305041</v>
      </c>
      <c r="DR229" s="44">
        <f t="shared" si="570"/>
        <v>37748108.275489807</v>
      </c>
      <c r="DS229" s="44">
        <f t="shared" si="570"/>
        <v>35761365.734674573</v>
      </c>
      <c r="DT229" s="44">
        <f t="shared" si="570"/>
        <v>33774623.193859339</v>
      </c>
      <c r="DU229" s="44">
        <f t="shared" si="570"/>
        <v>31787880.653044101</v>
      </c>
      <c r="DV229" s="44">
        <f t="shared" si="570"/>
        <v>29801138.112228863</v>
      </c>
      <c r="DW229" s="44">
        <f t="shared" si="570"/>
        <v>27814395.571413625</v>
      </c>
      <c r="DX229" s="44">
        <f t="shared" si="570"/>
        <v>25827653.030598387</v>
      </c>
      <c r="DY229" s="44">
        <f t="shared" si="570"/>
        <v>23840910.489783149</v>
      </c>
      <c r="DZ229" s="44">
        <f t="shared" si="570"/>
        <v>21854167.948967911</v>
      </c>
      <c r="EA229" s="44">
        <f t="shared" si="570"/>
        <v>19867425.408152673</v>
      </c>
      <c r="EB229" s="44">
        <f t="shared" si="570"/>
        <v>17880682.867337435</v>
      </c>
      <c r="EC229" s="44">
        <f t="shared" si="570"/>
        <v>15893940.326522198</v>
      </c>
      <c r="ED229" s="44">
        <f t="shared" si="570"/>
        <v>13907197.78570696</v>
      </c>
      <c r="EE229" s="44">
        <f t="shared" si="570"/>
        <v>11920455.244891722</v>
      </c>
      <c r="EF229" s="44">
        <f t="shared" ref="EF229:EN229" si="571">EF185</f>
        <v>9933712.7040764838</v>
      </c>
      <c r="EG229" s="44">
        <f t="shared" si="571"/>
        <v>7946970.1632612469</v>
      </c>
      <c r="EH229" s="44">
        <f t="shared" si="571"/>
        <v>5960227.6224460099</v>
      </c>
      <c r="EI229" s="44">
        <f t="shared" si="571"/>
        <v>3973485.0816307729</v>
      </c>
      <c r="EJ229" s="44">
        <f t="shared" si="571"/>
        <v>1986742.5408155357</v>
      </c>
      <c r="EK229" s="44">
        <f t="shared" si="571"/>
        <v>2.9848888516426086E-7</v>
      </c>
      <c r="EL229" s="44">
        <f t="shared" si="571"/>
        <v>2.9848888516426086E-7</v>
      </c>
      <c r="EM229" s="44">
        <f t="shared" si="571"/>
        <v>2.9848888516426086E-7</v>
      </c>
      <c r="EN229" s="44">
        <f t="shared" si="571"/>
        <v>2.9848888516426086E-7</v>
      </c>
    </row>
    <row r="230" spans="2:144" ht="15.75">
      <c r="B230" s="40"/>
      <c r="C230" s="22"/>
      <c r="E230" s="40"/>
      <c r="F230" s="40"/>
      <c r="G230" s="40"/>
      <c r="H230" s="463">
        <f t="shared" ref="H230:BD230" si="572">YEAR(H232)</f>
        <v>2022</v>
      </c>
      <c r="I230" s="463">
        <f t="shared" si="572"/>
        <v>2022</v>
      </c>
      <c r="J230" s="463">
        <f t="shared" si="572"/>
        <v>2022</v>
      </c>
      <c r="K230" s="463">
        <f t="shared" si="572"/>
        <v>2022</v>
      </c>
      <c r="L230" s="463">
        <f t="shared" si="572"/>
        <v>2023</v>
      </c>
      <c r="M230" s="463">
        <f t="shared" si="572"/>
        <v>2023</v>
      </c>
      <c r="N230" s="463">
        <f t="shared" si="572"/>
        <v>2023</v>
      </c>
      <c r="O230" s="463">
        <f t="shared" si="572"/>
        <v>2023</v>
      </c>
      <c r="P230" s="463">
        <f t="shared" si="572"/>
        <v>2024</v>
      </c>
      <c r="Q230" s="463">
        <f t="shared" si="572"/>
        <v>2024</v>
      </c>
      <c r="R230" s="463">
        <f t="shared" si="572"/>
        <v>2024</v>
      </c>
      <c r="S230" s="463">
        <f t="shared" si="572"/>
        <v>2024</v>
      </c>
      <c r="T230" s="463">
        <f t="shared" si="572"/>
        <v>2025</v>
      </c>
      <c r="U230" s="463">
        <f t="shared" si="572"/>
        <v>2025</v>
      </c>
      <c r="V230" s="463">
        <f t="shared" si="572"/>
        <v>2025</v>
      </c>
      <c r="W230" s="463">
        <f t="shared" si="572"/>
        <v>2025</v>
      </c>
      <c r="X230" s="463">
        <f t="shared" si="572"/>
        <v>2026</v>
      </c>
      <c r="Y230" s="463">
        <f t="shared" si="572"/>
        <v>2026</v>
      </c>
      <c r="Z230" s="463">
        <f t="shared" si="572"/>
        <v>2026</v>
      </c>
      <c r="AA230" s="463">
        <f t="shared" si="572"/>
        <v>2026</v>
      </c>
      <c r="AB230" s="463">
        <f t="shared" si="572"/>
        <v>2027</v>
      </c>
      <c r="AC230" s="463">
        <f t="shared" si="572"/>
        <v>2027</v>
      </c>
      <c r="AD230" s="463">
        <f t="shared" si="572"/>
        <v>2027</v>
      </c>
      <c r="AE230" s="463">
        <f t="shared" si="572"/>
        <v>2027</v>
      </c>
      <c r="AF230" s="463">
        <f t="shared" si="572"/>
        <v>2028</v>
      </c>
      <c r="AG230" s="463">
        <f t="shared" si="572"/>
        <v>2028</v>
      </c>
      <c r="AH230" s="463">
        <f t="shared" si="572"/>
        <v>2028</v>
      </c>
      <c r="AI230" s="463">
        <f t="shared" si="572"/>
        <v>2028</v>
      </c>
      <c r="AJ230" s="463">
        <f t="shared" si="572"/>
        <v>2029</v>
      </c>
      <c r="AK230" s="463">
        <f t="shared" si="572"/>
        <v>2029</v>
      </c>
      <c r="AL230" s="463">
        <f t="shared" si="572"/>
        <v>2029</v>
      </c>
      <c r="AM230" s="463">
        <f t="shared" si="572"/>
        <v>2029</v>
      </c>
      <c r="AN230" s="463">
        <f t="shared" si="572"/>
        <v>2030</v>
      </c>
      <c r="AO230" s="463">
        <f t="shared" si="572"/>
        <v>2030</v>
      </c>
      <c r="AP230" s="463">
        <f t="shared" si="572"/>
        <v>2030</v>
      </c>
      <c r="AQ230" s="463">
        <f t="shared" si="572"/>
        <v>2030</v>
      </c>
      <c r="AR230" s="463">
        <f t="shared" si="572"/>
        <v>2031</v>
      </c>
      <c r="AS230" s="463">
        <f t="shared" si="572"/>
        <v>2031</v>
      </c>
      <c r="AT230" s="463">
        <f t="shared" si="572"/>
        <v>2031</v>
      </c>
      <c r="AU230" s="463">
        <f t="shared" si="572"/>
        <v>2031</v>
      </c>
      <c r="AV230" s="463">
        <f t="shared" si="572"/>
        <v>2032</v>
      </c>
      <c r="AW230" s="463">
        <f t="shared" si="572"/>
        <v>2032</v>
      </c>
      <c r="AX230" s="463">
        <f t="shared" si="572"/>
        <v>2032</v>
      </c>
      <c r="AY230" s="463">
        <f t="shared" si="572"/>
        <v>2032</v>
      </c>
      <c r="AZ230" s="463">
        <f t="shared" si="572"/>
        <v>2033</v>
      </c>
      <c r="BA230" s="463">
        <f t="shared" si="572"/>
        <v>2033</v>
      </c>
      <c r="BB230" s="463">
        <f t="shared" si="572"/>
        <v>2033</v>
      </c>
      <c r="BC230" s="463">
        <f t="shared" si="572"/>
        <v>2033</v>
      </c>
      <c r="BD230" s="463">
        <f t="shared" si="572"/>
        <v>2034</v>
      </c>
      <c r="BE230" s="463">
        <f>YEAR(BE232)</f>
        <v>2034</v>
      </c>
      <c r="BF230" s="463">
        <f>YEAR(BF232)</f>
        <v>2034</v>
      </c>
      <c r="BG230" s="463">
        <f t="shared" ref="BG230:DR230" si="573">YEAR(BG232)</f>
        <v>2034</v>
      </c>
      <c r="BH230" s="463">
        <f t="shared" si="573"/>
        <v>2035</v>
      </c>
      <c r="BI230" s="463">
        <f t="shared" si="573"/>
        <v>2035</v>
      </c>
      <c r="BJ230" s="463">
        <f t="shared" si="573"/>
        <v>2035</v>
      </c>
      <c r="BK230" s="463">
        <f t="shared" si="573"/>
        <v>2035</v>
      </c>
      <c r="BL230" s="463">
        <f t="shared" si="573"/>
        <v>2036</v>
      </c>
      <c r="BM230" s="463">
        <f t="shared" si="573"/>
        <v>2036</v>
      </c>
      <c r="BN230" s="463">
        <f t="shared" si="573"/>
        <v>2036</v>
      </c>
      <c r="BO230" s="463">
        <f t="shared" si="573"/>
        <v>2036</v>
      </c>
      <c r="BP230" s="463">
        <f t="shared" si="573"/>
        <v>2037</v>
      </c>
      <c r="BQ230" s="463">
        <f t="shared" si="573"/>
        <v>2037</v>
      </c>
      <c r="BR230" s="463">
        <f t="shared" si="573"/>
        <v>2037</v>
      </c>
      <c r="BS230" s="463">
        <f t="shared" si="573"/>
        <v>2037</v>
      </c>
      <c r="BT230" s="463">
        <f t="shared" si="573"/>
        <v>2038</v>
      </c>
      <c r="BU230" s="463">
        <f t="shared" si="573"/>
        <v>2038</v>
      </c>
      <c r="BV230" s="463">
        <f t="shared" si="573"/>
        <v>2038</v>
      </c>
      <c r="BW230" s="463">
        <f t="shared" si="573"/>
        <v>2038</v>
      </c>
      <c r="BX230" s="463">
        <f t="shared" si="573"/>
        <v>2039</v>
      </c>
      <c r="BY230" s="463">
        <f t="shared" si="573"/>
        <v>2039</v>
      </c>
      <c r="BZ230" s="463">
        <f t="shared" si="573"/>
        <v>2039</v>
      </c>
      <c r="CA230" s="463">
        <f t="shared" si="573"/>
        <v>2039</v>
      </c>
      <c r="CB230" s="463">
        <f t="shared" si="573"/>
        <v>2040</v>
      </c>
      <c r="CC230" s="463">
        <f t="shared" si="573"/>
        <v>2040</v>
      </c>
      <c r="CD230" s="463">
        <f t="shared" si="573"/>
        <v>2040</v>
      </c>
      <c r="CE230" s="463">
        <f t="shared" si="573"/>
        <v>2040</v>
      </c>
      <c r="CF230" s="463">
        <f t="shared" si="573"/>
        <v>2041</v>
      </c>
      <c r="CG230" s="463">
        <f t="shared" si="573"/>
        <v>2041</v>
      </c>
      <c r="CH230" s="463">
        <f t="shared" si="573"/>
        <v>2041</v>
      </c>
      <c r="CI230" s="463">
        <f t="shared" si="573"/>
        <v>2041</v>
      </c>
      <c r="CJ230" s="463">
        <f t="shared" si="573"/>
        <v>2042</v>
      </c>
      <c r="CK230" s="463">
        <f t="shared" si="573"/>
        <v>2042</v>
      </c>
      <c r="CL230" s="463">
        <f t="shared" si="573"/>
        <v>2042</v>
      </c>
      <c r="CM230" s="463">
        <f t="shared" si="573"/>
        <v>2042</v>
      </c>
      <c r="CN230" s="463">
        <f t="shared" si="573"/>
        <v>2043</v>
      </c>
      <c r="CO230" s="463">
        <f t="shared" si="573"/>
        <v>2043</v>
      </c>
      <c r="CP230" s="463">
        <f t="shared" si="573"/>
        <v>2043</v>
      </c>
      <c r="CQ230" s="463">
        <f t="shared" si="573"/>
        <v>2043</v>
      </c>
      <c r="CR230" s="463">
        <f t="shared" si="573"/>
        <v>2044</v>
      </c>
      <c r="CS230" s="463">
        <f t="shared" si="573"/>
        <v>2044</v>
      </c>
      <c r="CT230" s="463">
        <f t="shared" si="573"/>
        <v>2044</v>
      </c>
      <c r="CU230" s="463">
        <f t="shared" si="573"/>
        <v>2044</v>
      </c>
      <c r="CV230" s="463">
        <f t="shared" si="573"/>
        <v>2045</v>
      </c>
      <c r="CW230" s="463">
        <f t="shared" si="573"/>
        <v>2045</v>
      </c>
      <c r="CX230" s="463">
        <f t="shared" si="573"/>
        <v>2045</v>
      </c>
      <c r="CY230" s="463">
        <f t="shared" si="573"/>
        <v>2045</v>
      </c>
      <c r="CZ230" s="463">
        <f t="shared" si="573"/>
        <v>2046</v>
      </c>
      <c r="DA230" s="463">
        <f t="shared" si="573"/>
        <v>2046</v>
      </c>
      <c r="DB230" s="463">
        <f t="shared" si="573"/>
        <v>2046</v>
      </c>
      <c r="DC230" s="463">
        <f t="shared" si="573"/>
        <v>2046</v>
      </c>
      <c r="DD230" s="463">
        <f t="shared" si="573"/>
        <v>2047</v>
      </c>
      <c r="DE230" s="463">
        <f t="shared" si="573"/>
        <v>2047</v>
      </c>
      <c r="DF230" s="463">
        <f t="shared" si="573"/>
        <v>2047</v>
      </c>
      <c r="DG230" s="463">
        <f t="shared" si="573"/>
        <v>2047</v>
      </c>
      <c r="DH230" s="463">
        <f t="shared" si="573"/>
        <v>2048</v>
      </c>
      <c r="DI230" s="463">
        <f t="shared" si="573"/>
        <v>2048</v>
      </c>
      <c r="DJ230" s="463">
        <f t="shared" si="573"/>
        <v>2048</v>
      </c>
      <c r="DK230" s="463">
        <f t="shared" si="573"/>
        <v>2048</v>
      </c>
      <c r="DL230" s="463">
        <f t="shared" si="573"/>
        <v>2049</v>
      </c>
      <c r="DM230" s="463">
        <f t="shared" si="573"/>
        <v>2049</v>
      </c>
      <c r="DN230" s="463">
        <f t="shared" si="573"/>
        <v>2049</v>
      </c>
      <c r="DO230" s="463">
        <f t="shared" si="573"/>
        <v>2049</v>
      </c>
      <c r="DP230" s="463">
        <f t="shared" si="573"/>
        <v>2050</v>
      </c>
      <c r="DQ230" s="463">
        <f t="shared" si="573"/>
        <v>2050</v>
      </c>
      <c r="DR230" s="463">
        <f t="shared" si="573"/>
        <v>2050</v>
      </c>
      <c r="DS230" s="463">
        <f t="shared" ref="DS230:EN230" si="574">YEAR(DS232)</f>
        <v>2050</v>
      </c>
      <c r="DT230" s="463">
        <f t="shared" si="574"/>
        <v>2051</v>
      </c>
      <c r="DU230" s="463">
        <f t="shared" si="574"/>
        <v>2051</v>
      </c>
      <c r="DV230" s="463">
        <f t="shared" si="574"/>
        <v>2051</v>
      </c>
      <c r="DW230" s="463">
        <f t="shared" si="574"/>
        <v>2051</v>
      </c>
      <c r="DX230" s="463">
        <f t="shared" si="574"/>
        <v>2052</v>
      </c>
      <c r="DY230" s="463">
        <f t="shared" si="574"/>
        <v>2052</v>
      </c>
      <c r="DZ230" s="463">
        <f t="shared" si="574"/>
        <v>2052</v>
      </c>
      <c r="EA230" s="463">
        <f t="shared" si="574"/>
        <v>2052</v>
      </c>
      <c r="EB230" s="463">
        <f t="shared" si="574"/>
        <v>2053</v>
      </c>
      <c r="EC230" s="463">
        <f t="shared" si="574"/>
        <v>2053</v>
      </c>
      <c r="ED230" s="463">
        <f t="shared" si="574"/>
        <v>2053</v>
      </c>
      <c r="EE230" s="463">
        <f t="shared" si="574"/>
        <v>2053</v>
      </c>
      <c r="EF230" s="463">
        <f t="shared" si="574"/>
        <v>2054</v>
      </c>
      <c r="EG230" s="463">
        <f t="shared" si="574"/>
        <v>2054</v>
      </c>
      <c r="EH230" s="463">
        <f t="shared" si="574"/>
        <v>2054</v>
      </c>
      <c r="EI230" s="463">
        <f t="shared" si="574"/>
        <v>2054</v>
      </c>
      <c r="EJ230" s="463">
        <f t="shared" si="574"/>
        <v>2055</v>
      </c>
      <c r="EK230" s="463">
        <f t="shared" si="574"/>
        <v>2055</v>
      </c>
      <c r="EL230" s="463">
        <f t="shared" si="574"/>
        <v>2055</v>
      </c>
      <c r="EM230" s="463">
        <f t="shared" si="574"/>
        <v>2055</v>
      </c>
      <c r="EN230" s="463">
        <f t="shared" si="574"/>
        <v>2056</v>
      </c>
    </row>
    <row r="231" spans="2:144" ht="15.75">
      <c r="B231" s="40"/>
      <c r="C231" s="22"/>
      <c r="E231" s="40"/>
      <c r="F231" s="40"/>
      <c r="G231" s="40"/>
      <c r="H231" s="464">
        <f>H212</f>
        <v>44593</v>
      </c>
      <c r="I231" s="464">
        <f t="shared" ref="I231:BT231" si="575">I212</f>
        <v>44652</v>
      </c>
      <c r="J231" s="464">
        <f t="shared" si="575"/>
        <v>44743</v>
      </c>
      <c r="K231" s="464">
        <f t="shared" si="575"/>
        <v>44835</v>
      </c>
      <c r="L231" s="464">
        <f t="shared" si="575"/>
        <v>44927</v>
      </c>
      <c r="M231" s="464">
        <f t="shared" si="575"/>
        <v>45017</v>
      </c>
      <c r="N231" s="464">
        <f t="shared" si="575"/>
        <v>45108</v>
      </c>
      <c r="O231" s="464">
        <f t="shared" si="575"/>
        <v>45200</v>
      </c>
      <c r="P231" s="464">
        <f t="shared" si="575"/>
        <v>45292</v>
      </c>
      <c r="Q231" s="464">
        <f t="shared" si="575"/>
        <v>45383</v>
      </c>
      <c r="R231" s="464">
        <f t="shared" si="575"/>
        <v>45474</v>
      </c>
      <c r="S231" s="464">
        <f t="shared" si="575"/>
        <v>45566</v>
      </c>
      <c r="T231" s="464">
        <f t="shared" si="575"/>
        <v>45658</v>
      </c>
      <c r="U231" s="464">
        <f t="shared" si="575"/>
        <v>45748</v>
      </c>
      <c r="V231" s="464">
        <f t="shared" si="575"/>
        <v>45839</v>
      </c>
      <c r="W231" s="464">
        <f t="shared" si="575"/>
        <v>45931</v>
      </c>
      <c r="X231" s="464">
        <f t="shared" si="575"/>
        <v>46023</v>
      </c>
      <c r="Y231" s="464">
        <f t="shared" si="575"/>
        <v>46113</v>
      </c>
      <c r="Z231" s="464">
        <f t="shared" si="575"/>
        <v>46204</v>
      </c>
      <c r="AA231" s="464">
        <f t="shared" si="575"/>
        <v>46296</v>
      </c>
      <c r="AB231" s="464">
        <f t="shared" si="575"/>
        <v>46388</v>
      </c>
      <c r="AC231" s="464">
        <f t="shared" si="575"/>
        <v>46478</v>
      </c>
      <c r="AD231" s="464">
        <f t="shared" si="575"/>
        <v>46569</v>
      </c>
      <c r="AE231" s="464">
        <f t="shared" si="575"/>
        <v>46661</v>
      </c>
      <c r="AF231" s="464">
        <f t="shared" si="575"/>
        <v>46753</v>
      </c>
      <c r="AG231" s="464">
        <f t="shared" si="575"/>
        <v>46844</v>
      </c>
      <c r="AH231" s="464">
        <f t="shared" si="575"/>
        <v>46935</v>
      </c>
      <c r="AI231" s="464">
        <f t="shared" si="575"/>
        <v>47027</v>
      </c>
      <c r="AJ231" s="464">
        <f t="shared" si="575"/>
        <v>47119</v>
      </c>
      <c r="AK231" s="464">
        <f t="shared" si="575"/>
        <v>47209</v>
      </c>
      <c r="AL231" s="464">
        <f t="shared" si="575"/>
        <v>47300</v>
      </c>
      <c r="AM231" s="464">
        <f t="shared" si="575"/>
        <v>47392</v>
      </c>
      <c r="AN231" s="464">
        <f t="shared" si="575"/>
        <v>47484</v>
      </c>
      <c r="AO231" s="464">
        <f t="shared" si="575"/>
        <v>47574</v>
      </c>
      <c r="AP231" s="464">
        <f t="shared" si="575"/>
        <v>47665</v>
      </c>
      <c r="AQ231" s="464">
        <f t="shared" si="575"/>
        <v>47757</v>
      </c>
      <c r="AR231" s="464">
        <f t="shared" si="575"/>
        <v>47849</v>
      </c>
      <c r="AS231" s="464">
        <f t="shared" si="575"/>
        <v>47939</v>
      </c>
      <c r="AT231" s="464">
        <f t="shared" si="575"/>
        <v>48030</v>
      </c>
      <c r="AU231" s="464">
        <f t="shared" si="575"/>
        <v>48122</v>
      </c>
      <c r="AV231" s="464">
        <f t="shared" si="575"/>
        <v>48214</v>
      </c>
      <c r="AW231" s="464">
        <f t="shared" si="575"/>
        <v>48305</v>
      </c>
      <c r="AX231" s="464">
        <f t="shared" si="575"/>
        <v>48396</v>
      </c>
      <c r="AY231" s="464">
        <f t="shared" si="575"/>
        <v>48488</v>
      </c>
      <c r="AZ231" s="464">
        <f t="shared" si="575"/>
        <v>48580</v>
      </c>
      <c r="BA231" s="464">
        <f t="shared" si="575"/>
        <v>48670</v>
      </c>
      <c r="BB231" s="464">
        <f t="shared" si="575"/>
        <v>48761</v>
      </c>
      <c r="BC231" s="464">
        <f t="shared" si="575"/>
        <v>48853</v>
      </c>
      <c r="BD231" s="464">
        <f t="shared" si="575"/>
        <v>48945</v>
      </c>
      <c r="BE231" s="464">
        <f t="shared" si="575"/>
        <v>49035</v>
      </c>
      <c r="BF231" s="464">
        <f t="shared" si="575"/>
        <v>49126</v>
      </c>
      <c r="BG231" s="464">
        <f t="shared" si="575"/>
        <v>49218</v>
      </c>
      <c r="BH231" s="464">
        <f t="shared" si="575"/>
        <v>49310</v>
      </c>
      <c r="BI231" s="464">
        <f t="shared" si="575"/>
        <v>49400</v>
      </c>
      <c r="BJ231" s="464">
        <f t="shared" si="575"/>
        <v>49491</v>
      </c>
      <c r="BK231" s="464">
        <f t="shared" si="575"/>
        <v>49583</v>
      </c>
      <c r="BL231" s="464">
        <f t="shared" si="575"/>
        <v>49675</v>
      </c>
      <c r="BM231" s="464">
        <f t="shared" si="575"/>
        <v>49766</v>
      </c>
      <c r="BN231" s="464">
        <f t="shared" si="575"/>
        <v>49857</v>
      </c>
      <c r="BO231" s="464">
        <f t="shared" si="575"/>
        <v>49949</v>
      </c>
      <c r="BP231" s="464">
        <f t="shared" si="575"/>
        <v>50041</v>
      </c>
      <c r="BQ231" s="464">
        <f t="shared" si="575"/>
        <v>50131</v>
      </c>
      <c r="BR231" s="464">
        <f t="shared" si="575"/>
        <v>50222</v>
      </c>
      <c r="BS231" s="464">
        <f t="shared" si="575"/>
        <v>50314</v>
      </c>
      <c r="BT231" s="464">
        <f t="shared" si="575"/>
        <v>50406</v>
      </c>
      <c r="BU231" s="464">
        <f t="shared" ref="BU231:EF231" si="576">BU212</f>
        <v>50496</v>
      </c>
      <c r="BV231" s="464">
        <f t="shared" si="576"/>
        <v>50587</v>
      </c>
      <c r="BW231" s="464">
        <f t="shared" si="576"/>
        <v>50679</v>
      </c>
      <c r="BX231" s="464">
        <f t="shared" si="576"/>
        <v>50771</v>
      </c>
      <c r="BY231" s="464">
        <f t="shared" si="576"/>
        <v>50861</v>
      </c>
      <c r="BZ231" s="464">
        <f t="shared" si="576"/>
        <v>50952</v>
      </c>
      <c r="CA231" s="464">
        <f t="shared" si="576"/>
        <v>51044</v>
      </c>
      <c r="CB231" s="464">
        <f t="shared" si="576"/>
        <v>51136</v>
      </c>
      <c r="CC231" s="464">
        <f t="shared" si="576"/>
        <v>51227</v>
      </c>
      <c r="CD231" s="464">
        <f t="shared" si="576"/>
        <v>51318</v>
      </c>
      <c r="CE231" s="464">
        <f t="shared" si="576"/>
        <v>51410</v>
      </c>
      <c r="CF231" s="464">
        <f t="shared" si="576"/>
        <v>51502</v>
      </c>
      <c r="CG231" s="464">
        <f t="shared" si="576"/>
        <v>51592</v>
      </c>
      <c r="CH231" s="464">
        <f t="shared" si="576"/>
        <v>51683</v>
      </c>
      <c r="CI231" s="464">
        <f t="shared" si="576"/>
        <v>51775</v>
      </c>
      <c r="CJ231" s="464">
        <f t="shared" si="576"/>
        <v>51867</v>
      </c>
      <c r="CK231" s="464">
        <f t="shared" si="576"/>
        <v>51957</v>
      </c>
      <c r="CL231" s="464">
        <f t="shared" si="576"/>
        <v>52048</v>
      </c>
      <c r="CM231" s="464">
        <f t="shared" si="576"/>
        <v>52140</v>
      </c>
      <c r="CN231" s="464">
        <f t="shared" si="576"/>
        <v>52232</v>
      </c>
      <c r="CO231" s="464">
        <f t="shared" si="576"/>
        <v>52322</v>
      </c>
      <c r="CP231" s="464">
        <f t="shared" si="576"/>
        <v>52413</v>
      </c>
      <c r="CQ231" s="464">
        <f t="shared" si="576"/>
        <v>52505</v>
      </c>
      <c r="CR231" s="464">
        <f t="shared" si="576"/>
        <v>52597</v>
      </c>
      <c r="CS231" s="464">
        <f t="shared" si="576"/>
        <v>52688</v>
      </c>
      <c r="CT231" s="464">
        <f t="shared" si="576"/>
        <v>52779</v>
      </c>
      <c r="CU231" s="464">
        <f t="shared" si="576"/>
        <v>52871</v>
      </c>
      <c r="CV231" s="464">
        <f t="shared" si="576"/>
        <v>52963</v>
      </c>
      <c r="CW231" s="464">
        <f t="shared" si="576"/>
        <v>53053</v>
      </c>
      <c r="CX231" s="464">
        <f t="shared" si="576"/>
        <v>53144</v>
      </c>
      <c r="CY231" s="464">
        <f t="shared" si="576"/>
        <v>53236</v>
      </c>
      <c r="CZ231" s="464">
        <f t="shared" si="576"/>
        <v>53328</v>
      </c>
      <c r="DA231" s="464">
        <f t="shared" si="576"/>
        <v>53418</v>
      </c>
      <c r="DB231" s="464">
        <f t="shared" si="576"/>
        <v>53509</v>
      </c>
      <c r="DC231" s="464">
        <f t="shared" si="576"/>
        <v>53601</v>
      </c>
      <c r="DD231" s="464">
        <f t="shared" si="576"/>
        <v>53693</v>
      </c>
      <c r="DE231" s="464">
        <f t="shared" si="576"/>
        <v>53783</v>
      </c>
      <c r="DF231" s="464">
        <f t="shared" si="576"/>
        <v>53874</v>
      </c>
      <c r="DG231" s="464">
        <f t="shared" si="576"/>
        <v>53966</v>
      </c>
      <c r="DH231" s="464">
        <f t="shared" si="576"/>
        <v>54058</v>
      </c>
      <c r="DI231" s="464">
        <f t="shared" si="576"/>
        <v>54149</v>
      </c>
      <c r="DJ231" s="464">
        <f t="shared" si="576"/>
        <v>54240</v>
      </c>
      <c r="DK231" s="464">
        <f t="shared" si="576"/>
        <v>54332</v>
      </c>
      <c r="DL231" s="464">
        <f t="shared" si="576"/>
        <v>54424</v>
      </c>
      <c r="DM231" s="464">
        <f t="shared" si="576"/>
        <v>54514</v>
      </c>
      <c r="DN231" s="464">
        <f t="shared" si="576"/>
        <v>54605</v>
      </c>
      <c r="DO231" s="464">
        <f t="shared" si="576"/>
        <v>54697</v>
      </c>
      <c r="DP231" s="464">
        <f t="shared" si="576"/>
        <v>54789</v>
      </c>
      <c r="DQ231" s="464">
        <f t="shared" si="576"/>
        <v>54879</v>
      </c>
      <c r="DR231" s="464">
        <f t="shared" si="576"/>
        <v>54970</v>
      </c>
      <c r="DS231" s="464">
        <f t="shared" si="576"/>
        <v>55062</v>
      </c>
      <c r="DT231" s="464">
        <f t="shared" si="576"/>
        <v>55154</v>
      </c>
      <c r="DU231" s="464">
        <f t="shared" si="576"/>
        <v>55244</v>
      </c>
      <c r="DV231" s="464">
        <f t="shared" si="576"/>
        <v>55335</v>
      </c>
      <c r="DW231" s="464">
        <f t="shared" si="576"/>
        <v>55427</v>
      </c>
      <c r="DX231" s="464">
        <f t="shared" si="576"/>
        <v>55519</v>
      </c>
      <c r="DY231" s="464">
        <f t="shared" si="576"/>
        <v>55610</v>
      </c>
      <c r="DZ231" s="464">
        <f t="shared" si="576"/>
        <v>55701</v>
      </c>
      <c r="EA231" s="464">
        <f t="shared" si="576"/>
        <v>55793</v>
      </c>
      <c r="EB231" s="464">
        <f t="shared" si="576"/>
        <v>55885</v>
      </c>
      <c r="EC231" s="464">
        <f t="shared" si="576"/>
        <v>55975</v>
      </c>
      <c r="ED231" s="464">
        <f t="shared" si="576"/>
        <v>56066</v>
      </c>
      <c r="EE231" s="464">
        <f t="shared" si="576"/>
        <v>56158</v>
      </c>
      <c r="EF231" s="464">
        <f t="shared" si="576"/>
        <v>56250</v>
      </c>
      <c r="EG231" s="464">
        <f t="shared" ref="EG231:EN231" si="577">EG212</f>
        <v>56340</v>
      </c>
      <c r="EH231" s="464">
        <f t="shared" si="577"/>
        <v>56431</v>
      </c>
      <c r="EI231" s="464">
        <f t="shared" si="577"/>
        <v>56523</v>
      </c>
      <c r="EJ231" s="464">
        <f t="shared" si="577"/>
        <v>56615</v>
      </c>
      <c r="EK231" s="464">
        <f t="shared" si="577"/>
        <v>56705</v>
      </c>
      <c r="EL231" s="464">
        <f t="shared" si="577"/>
        <v>56796</v>
      </c>
      <c r="EM231" s="464">
        <f t="shared" si="577"/>
        <v>56888</v>
      </c>
      <c r="EN231" s="464">
        <f t="shared" si="577"/>
        <v>56980</v>
      </c>
    </row>
    <row r="232" spans="2:144" ht="15.75">
      <c r="C232" s="22" t="s">
        <v>488</v>
      </c>
      <c r="E232" s="42"/>
      <c r="F232" s="42"/>
      <c r="G232" s="42"/>
      <c r="H232" s="464">
        <f>H213</f>
        <v>44651</v>
      </c>
      <c r="I232" s="464">
        <f t="shared" ref="I232:BT232" si="578">I213</f>
        <v>44742</v>
      </c>
      <c r="J232" s="464">
        <f t="shared" si="578"/>
        <v>44834</v>
      </c>
      <c r="K232" s="464">
        <f t="shared" si="578"/>
        <v>44926</v>
      </c>
      <c r="L232" s="464">
        <f t="shared" si="578"/>
        <v>45016</v>
      </c>
      <c r="M232" s="464">
        <f t="shared" si="578"/>
        <v>45107</v>
      </c>
      <c r="N232" s="464">
        <f t="shared" si="578"/>
        <v>45199</v>
      </c>
      <c r="O232" s="464">
        <f t="shared" si="578"/>
        <v>45291</v>
      </c>
      <c r="P232" s="464">
        <f t="shared" si="578"/>
        <v>45382</v>
      </c>
      <c r="Q232" s="464">
        <f t="shared" si="578"/>
        <v>45473</v>
      </c>
      <c r="R232" s="464">
        <f t="shared" si="578"/>
        <v>45565</v>
      </c>
      <c r="S232" s="464">
        <f t="shared" si="578"/>
        <v>45657</v>
      </c>
      <c r="T232" s="464">
        <f t="shared" si="578"/>
        <v>45747</v>
      </c>
      <c r="U232" s="464">
        <f t="shared" si="578"/>
        <v>45838</v>
      </c>
      <c r="V232" s="464">
        <f t="shared" si="578"/>
        <v>45930</v>
      </c>
      <c r="W232" s="464">
        <f t="shared" si="578"/>
        <v>46022</v>
      </c>
      <c r="X232" s="464">
        <f t="shared" si="578"/>
        <v>46112</v>
      </c>
      <c r="Y232" s="464">
        <f t="shared" si="578"/>
        <v>46203</v>
      </c>
      <c r="Z232" s="464">
        <f t="shared" si="578"/>
        <v>46295</v>
      </c>
      <c r="AA232" s="464">
        <f t="shared" si="578"/>
        <v>46387</v>
      </c>
      <c r="AB232" s="464">
        <f t="shared" si="578"/>
        <v>46477</v>
      </c>
      <c r="AC232" s="464">
        <f t="shared" si="578"/>
        <v>46568</v>
      </c>
      <c r="AD232" s="464">
        <f t="shared" si="578"/>
        <v>46660</v>
      </c>
      <c r="AE232" s="464">
        <f t="shared" si="578"/>
        <v>46752</v>
      </c>
      <c r="AF232" s="464">
        <f t="shared" si="578"/>
        <v>46843</v>
      </c>
      <c r="AG232" s="464">
        <f t="shared" si="578"/>
        <v>46934</v>
      </c>
      <c r="AH232" s="464">
        <f t="shared" si="578"/>
        <v>47026</v>
      </c>
      <c r="AI232" s="464">
        <f t="shared" si="578"/>
        <v>47118</v>
      </c>
      <c r="AJ232" s="464">
        <f t="shared" si="578"/>
        <v>47208</v>
      </c>
      <c r="AK232" s="464">
        <f t="shared" si="578"/>
        <v>47299</v>
      </c>
      <c r="AL232" s="464">
        <f t="shared" si="578"/>
        <v>47391</v>
      </c>
      <c r="AM232" s="464">
        <f t="shared" si="578"/>
        <v>47483</v>
      </c>
      <c r="AN232" s="464">
        <f t="shared" si="578"/>
        <v>47573</v>
      </c>
      <c r="AO232" s="464">
        <f t="shared" si="578"/>
        <v>47664</v>
      </c>
      <c r="AP232" s="464">
        <f t="shared" si="578"/>
        <v>47756</v>
      </c>
      <c r="AQ232" s="464">
        <f t="shared" si="578"/>
        <v>47848</v>
      </c>
      <c r="AR232" s="464">
        <f t="shared" si="578"/>
        <v>47938</v>
      </c>
      <c r="AS232" s="464">
        <f t="shared" si="578"/>
        <v>48029</v>
      </c>
      <c r="AT232" s="464">
        <f t="shared" si="578"/>
        <v>48121</v>
      </c>
      <c r="AU232" s="464">
        <f t="shared" si="578"/>
        <v>48213</v>
      </c>
      <c r="AV232" s="464">
        <f t="shared" si="578"/>
        <v>48304</v>
      </c>
      <c r="AW232" s="464">
        <f t="shared" si="578"/>
        <v>48395</v>
      </c>
      <c r="AX232" s="464">
        <f t="shared" si="578"/>
        <v>48487</v>
      </c>
      <c r="AY232" s="464">
        <f t="shared" si="578"/>
        <v>48579</v>
      </c>
      <c r="AZ232" s="464">
        <f t="shared" si="578"/>
        <v>48669</v>
      </c>
      <c r="BA232" s="464">
        <f t="shared" si="578"/>
        <v>48760</v>
      </c>
      <c r="BB232" s="464">
        <f t="shared" si="578"/>
        <v>48852</v>
      </c>
      <c r="BC232" s="464">
        <f t="shared" si="578"/>
        <v>48944</v>
      </c>
      <c r="BD232" s="464">
        <f t="shared" si="578"/>
        <v>49034</v>
      </c>
      <c r="BE232" s="464">
        <f t="shared" si="578"/>
        <v>49125</v>
      </c>
      <c r="BF232" s="464">
        <f t="shared" si="578"/>
        <v>49217</v>
      </c>
      <c r="BG232" s="464">
        <f t="shared" si="578"/>
        <v>49309</v>
      </c>
      <c r="BH232" s="464">
        <f t="shared" si="578"/>
        <v>49399</v>
      </c>
      <c r="BI232" s="464">
        <f t="shared" si="578"/>
        <v>49490</v>
      </c>
      <c r="BJ232" s="464">
        <f t="shared" si="578"/>
        <v>49582</v>
      </c>
      <c r="BK232" s="464">
        <f t="shared" si="578"/>
        <v>49674</v>
      </c>
      <c r="BL232" s="464">
        <f t="shared" si="578"/>
        <v>49765</v>
      </c>
      <c r="BM232" s="464">
        <f t="shared" si="578"/>
        <v>49856</v>
      </c>
      <c r="BN232" s="464">
        <f t="shared" si="578"/>
        <v>49948</v>
      </c>
      <c r="BO232" s="464">
        <f t="shared" si="578"/>
        <v>50040</v>
      </c>
      <c r="BP232" s="464">
        <f t="shared" si="578"/>
        <v>50130</v>
      </c>
      <c r="BQ232" s="464">
        <f t="shared" si="578"/>
        <v>50221</v>
      </c>
      <c r="BR232" s="464">
        <f t="shared" si="578"/>
        <v>50313</v>
      </c>
      <c r="BS232" s="464">
        <f t="shared" si="578"/>
        <v>50405</v>
      </c>
      <c r="BT232" s="464">
        <f t="shared" si="578"/>
        <v>50495</v>
      </c>
      <c r="BU232" s="464">
        <f t="shared" ref="BU232:EF232" si="579">BU213</f>
        <v>50586</v>
      </c>
      <c r="BV232" s="464">
        <f t="shared" si="579"/>
        <v>50678</v>
      </c>
      <c r="BW232" s="464">
        <f t="shared" si="579"/>
        <v>50770</v>
      </c>
      <c r="BX232" s="464">
        <f t="shared" si="579"/>
        <v>50860</v>
      </c>
      <c r="BY232" s="464">
        <f t="shared" si="579"/>
        <v>50951</v>
      </c>
      <c r="BZ232" s="464">
        <f t="shared" si="579"/>
        <v>51043</v>
      </c>
      <c r="CA232" s="464">
        <f t="shared" si="579"/>
        <v>51135</v>
      </c>
      <c r="CB232" s="464">
        <f t="shared" si="579"/>
        <v>51226</v>
      </c>
      <c r="CC232" s="464">
        <f t="shared" si="579"/>
        <v>51317</v>
      </c>
      <c r="CD232" s="464">
        <f t="shared" si="579"/>
        <v>51409</v>
      </c>
      <c r="CE232" s="464">
        <f t="shared" si="579"/>
        <v>51501</v>
      </c>
      <c r="CF232" s="464">
        <f t="shared" si="579"/>
        <v>51591</v>
      </c>
      <c r="CG232" s="464">
        <f t="shared" si="579"/>
        <v>51682</v>
      </c>
      <c r="CH232" s="464">
        <f t="shared" si="579"/>
        <v>51774</v>
      </c>
      <c r="CI232" s="464">
        <f t="shared" si="579"/>
        <v>51866</v>
      </c>
      <c r="CJ232" s="464">
        <f t="shared" si="579"/>
        <v>51956</v>
      </c>
      <c r="CK232" s="464">
        <f t="shared" si="579"/>
        <v>52047</v>
      </c>
      <c r="CL232" s="464">
        <f t="shared" si="579"/>
        <v>52139</v>
      </c>
      <c r="CM232" s="464">
        <f t="shared" si="579"/>
        <v>52231</v>
      </c>
      <c r="CN232" s="464">
        <f t="shared" si="579"/>
        <v>52321</v>
      </c>
      <c r="CO232" s="464">
        <f t="shared" si="579"/>
        <v>52412</v>
      </c>
      <c r="CP232" s="464">
        <f t="shared" si="579"/>
        <v>52504</v>
      </c>
      <c r="CQ232" s="464">
        <f t="shared" si="579"/>
        <v>52596</v>
      </c>
      <c r="CR232" s="464">
        <f t="shared" si="579"/>
        <v>52687</v>
      </c>
      <c r="CS232" s="464">
        <f t="shared" si="579"/>
        <v>52778</v>
      </c>
      <c r="CT232" s="464">
        <f t="shared" si="579"/>
        <v>52870</v>
      </c>
      <c r="CU232" s="464">
        <f t="shared" si="579"/>
        <v>52962</v>
      </c>
      <c r="CV232" s="464">
        <f t="shared" si="579"/>
        <v>53052</v>
      </c>
      <c r="CW232" s="464">
        <f t="shared" si="579"/>
        <v>53143</v>
      </c>
      <c r="CX232" s="464">
        <f t="shared" si="579"/>
        <v>53235</v>
      </c>
      <c r="CY232" s="464">
        <f t="shared" si="579"/>
        <v>53327</v>
      </c>
      <c r="CZ232" s="464">
        <f t="shared" si="579"/>
        <v>53417</v>
      </c>
      <c r="DA232" s="464">
        <f t="shared" si="579"/>
        <v>53508</v>
      </c>
      <c r="DB232" s="464">
        <f t="shared" si="579"/>
        <v>53600</v>
      </c>
      <c r="DC232" s="464">
        <f t="shared" si="579"/>
        <v>53692</v>
      </c>
      <c r="DD232" s="464">
        <f t="shared" si="579"/>
        <v>53782</v>
      </c>
      <c r="DE232" s="464">
        <f t="shared" si="579"/>
        <v>53873</v>
      </c>
      <c r="DF232" s="464">
        <f t="shared" si="579"/>
        <v>53965</v>
      </c>
      <c r="DG232" s="464">
        <f t="shared" si="579"/>
        <v>54057</v>
      </c>
      <c r="DH232" s="464">
        <f t="shared" si="579"/>
        <v>54148</v>
      </c>
      <c r="DI232" s="464">
        <f t="shared" si="579"/>
        <v>54239</v>
      </c>
      <c r="DJ232" s="464">
        <f t="shared" si="579"/>
        <v>54331</v>
      </c>
      <c r="DK232" s="464">
        <f t="shared" si="579"/>
        <v>54423</v>
      </c>
      <c r="DL232" s="464">
        <f t="shared" si="579"/>
        <v>54513</v>
      </c>
      <c r="DM232" s="464">
        <f t="shared" si="579"/>
        <v>54604</v>
      </c>
      <c r="DN232" s="464">
        <f t="shared" si="579"/>
        <v>54696</v>
      </c>
      <c r="DO232" s="464">
        <f t="shared" si="579"/>
        <v>54788</v>
      </c>
      <c r="DP232" s="464">
        <f t="shared" si="579"/>
        <v>54878</v>
      </c>
      <c r="DQ232" s="464">
        <f t="shared" si="579"/>
        <v>54969</v>
      </c>
      <c r="DR232" s="464">
        <f t="shared" si="579"/>
        <v>55061</v>
      </c>
      <c r="DS232" s="464">
        <f t="shared" si="579"/>
        <v>55153</v>
      </c>
      <c r="DT232" s="464">
        <f t="shared" si="579"/>
        <v>55243</v>
      </c>
      <c r="DU232" s="464">
        <f t="shared" si="579"/>
        <v>55334</v>
      </c>
      <c r="DV232" s="464">
        <f t="shared" si="579"/>
        <v>55426</v>
      </c>
      <c r="DW232" s="464">
        <f t="shared" si="579"/>
        <v>55518</v>
      </c>
      <c r="DX232" s="464">
        <f t="shared" si="579"/>
        <v>55609</v>
      </c>
      <c r="DY232" s="464">
        <f t="shared" si="579"/>
        <v>55700</v>
      </c>
      <c r="DZ232" s="464">
        <f t="shared" si="579"/>
        <v>55792</v>
      </c>
      <c r="EA232" s="464">
        <f t="shared" si="579"/>
        <v>55884</v>
      </c>
      <c r="EB232" s="464">
        <f t="shared" si="579"/>
        <v>55974</v>
      </c>
      <c r="EC232" s="464">
        <f t="shared" si="579"/>
        <v>56065</v>
      </c>
      <c r="ED232" s="464">
        <f t="shared" si="579"/>
        <v>56157</v>
      </c>
      <c r="EE232" s="464">
        <f t="shared" si="579"/>
        <v>56249</v>
      </c>
      <c r="EF232" s="464">
        <f t="shared" si="579"/>
        <v>56339</v>
      </c>
      <c r="EG232" s="464">
        <f t="shared" ref="EG232:EN232" si="580">EG213</f>
        <v>56430</v>
      </c>
      <c r="EH232" s="464">
        <f t="shared" si="580"/>
        <v>56522</v>
      </c>
      <c r="EI232" s="464">
        <f t="shared" si="580"/>
        <v>56614</v>
      </c>
      <c r="EJ232" s="464">
        <f t="shared" si="580"/>
        <v>56704</v>
      </c>
      <c r="EK232" s="464">
        <f t="shared" si="580"/>
        <v>56795</v>
      </c>
      <c r="EL232" s="464">
        <f t="shared" si="580"/>
        <v>56887</v>
      </c>
      <c r="EM232" s="464">
        <f t="shared" si="580"/>
        <v>56979</v>
      </c>
      <c r="EN232" s="464">
        <f t="shared" si="580"/>
        <v>57070</v>
      </c>
    </row>
    <row r="233" spans="2:144">
      <c r="C233" s="465" t="str">
        <f>C188</f>
        <v>Налог на имущество</v>
      </c>
      <c r="D233" s="465"/>
      <c r="E233" s="465"/>
      <c r="F233" s="465"/>
      <c r="G233" s="465"/>
      <c r="H233" s="465"/>
      <c r="I233" s="465"/>
      <c r="J233" s="465"/>
      <c r="K233" s="465"/>
      <c r="L233" s="465"/>
      <c r="M233" s="465"/>
      <c r="N233" s="465"/>
      <c r="O233" s="465"/>
      <c r="P233" s="465"/>
      <c r="Q233" s="465"/>
      <c r="R233" s="465"/>
      <c r="S233" s="465"/>
      <c r="T233" s="465"/>
      <c r="U233" s="465"/>
      <c r="V233" s="465"/>
      <c r="W233" s="465"/>
      <c r="X233" s="465"/>
      <c r="Y233" s="465"/>
      <c r="Z233" s="465"/>
      <c r="AA233" s="465"/>
      <c r="AB233" s="465"/>
      <c r="AC233" s="465"/>
      <c r="AD233" s="465"/>
      <c r="AE233" s="465"/>
      <c r="AF233" s="465"/>
      <c r="AG233" s="465"/>
      <c r="AH233" s="465"/>
      <c r="AI233" s="465"/>
      <c r="AJ233" s="465"/>
      <c r="AK233" s="465"/>
      <c r="AL233" s="465"/>
      <c r="AM233" s="465"/>
      <c r="AN233" s="465"/>
      <c r="AO233" s="465"/>
      <c r="AP233" s="465"/>
      <c r="AQ233" s="465"/>
      <c r="AR233" s="465"/>
      <c r="AS233" s="465"/>
      <c r="AT233" s="465"/>
      <c r="AU233" s="465"/>
      <c r="AV233" s="465"/>
      <c r="AW233" s="465"/>
      <c r="AX233" s="465"/>
      <c r="AY233" s="465"/>
      <c r="AZ233" s="465"/>
      <c r="BA233" s="465"/>
      <c r="BB233" s="465"/>
      <c r="BC233" s="465"/>
      <c r="BD233" s="465"/>
      <c r="BE233" s="465"/>
      <c r="BF233" s="465"/>
      <c r="BG233" s="465"/>
      <c r="BH233" s="465"/>
      <c r="BI233" s="465"/>
      <c r="BJ233" s="465"/>
      <c r="BK233" s="465"/>
      <c r="BL233" s="465"/>
      <c r="BM233" s="465"/>
      <c r="BN233" s="465"/>
      <c r="BO233" s="465"/>
      <c r="BP233" s="465"/>
      <c r="BQ233" s="465"/>
      <c r="BR233" s="465"/>
      <c r="BS233" s="465"/>
      <c r="BT233" s="465"/>
      <c r="BU233" s="465"/>
      <c r="BV233" s="465"/>
      <c r="BW233" s="465"/>
      <c r="BX233" s="465"/>
      <c r="BY233" s="465"/>
      <c r="BZ233" s="465"/>
      <c r="CA233" s="465"/>
      <c r="CB233" s="465"/>
      <c r="CC233" s="465"/>
      <c r="CD233" s="465"/>
      <c r="CE233" s="465"/>
      <c r="CF233" s="465"/>
      <c r="CG233" s="465"/>
      <c r="CH233" s="465"/>
      <c r="CI233" s="465"/>
      <c r="CJ233" s="465"/>
      <c r="CK233" s="465"/>
      <c r="CL233" s="465"/>
      <c r="CM233" s="465"/>
      <c r="CN233" s="465"/>
      <c r="CO233" s="465"/>
      <c r="CP233" s="465"/>
      <c r="CQ233" s="465"/>
      <c r="CR233" s="465"/>
      <c r="CS233" s="465"/>
      <c r="CT233" s="465"/>
      <c r="CU233" s="465"/>
      <c r="CV233" s="465"/>
      <c r="CW233" s="465"/>
      <c r="CX233" s="465"/>
      <c r="CY233" s="465"/>
      <c r="CZ233" s="465"/>
      <c r="DA233" s="465"/>
      <c r="DB233" s="465"/>
      <c r="DC233" s="465"/>
      <c r="DD233" s="465"/>
      <c r="DE233" s="465"/>
      <c r="DF233" s="465"/>
      <c r="DG233" s="465"/>
      <c r="DH233" s="465"/>
      <c r="DI233" s="465"/>
      <c r="DJ233" s="465"/>
      <c r="DK233" s="465"/>
      <c r="DL233" s="465"/>
      <c r="DM233" s="465"/>
      <c r="DN233" s="465"/>
      <c r="DO233" s="465"/>
      <c r="DP233" s="465"/>
      <c r="DQ233" s="465"/>
      <c r="DR233" s="465"/>
      <c r="DS233" s="465"/>
      <c r="DT233" s="465"/>
      <c r="DU233" s="465"/>
      <c r="DV233" s="465"/>
      <c r="DW233" s="465"/>
      <c r="DX233" s="465"/>
      <c r="DY233" s="465"/>
      <c r="DZ233" s="465"/>
      <c r="EA233" s="465"/>
      <c r="EB233" s="465"/>
      <c r="EC233" s="465"/>
      <c r="ED233" s="465"/>
      <c r="EE233" s="465"/>
      <c r="EF233" s="465"/>
      <c r="EG233" s="465"/>
      <c r="EH233" s="465"/>
      <c r="EI233" s="465"/>
      <c r="EJ233" s="465"/>
      <c r="EK233" s="465"/>
      <c r="EL233" s="465"/>
      <c r="EM233" s="465"/>
      <c r="EN233" s="465"/>
    </row>
    <row r="234" spans="2:144">
      <c r="C234" s="151" t="str">
        <f t="shared" ref="C234:C248" si="581">C215</f>
        <v>Гостиница 5*</v>
      </c>
      <c r="D234" s="45"/>
      <c r="E234" s="44"/>
      <c r="F234" s="44"/>
      <c r="G234" s="45"/>
      <c r="H234" s="44">
        <f t="shared" ref="H234:AM234" si="582">H34</f>
        <v>0</v>
      </c>
      <c r="I234" s="44">
        <f t="shared" si="582"/>
        <v>0</v>
      </c>
      <c r="J234" s="44">
        <f t="shared" si="582"/>
        <v>0</v>
      </c>
      <c r="K234" s="44">
        <f t="shared" si="582"/>
        <v>0</v>
      </c>
      <c r="L234" s="44">
        <f t="shared" si="582"/>
        <v>0</v>
      </c>
      <c r="M234" s="44">
        <f t="shared" si="582"/>
        <v>0</v>
      </c>
      <c r="N234" s="44">
        <f t="shared" si="582"/>
        <v>0</v>
      </c>
      <c r="O234" s="44">
        <f t="shared" si="582"/>
        <v>0</v>
      </c>
      <c r="P234" s="44">
        <f t="shared" si="582"/>
        <v>0</v>
      </c>
      <c r="Q234" s="44">
        <f t="shared" si="582"/>
        <v>0</v>
      </c>
      <c r="R234" s="44">
        <f t="shared" si="582"/>
        <v>0</v>
      </c>
      <c r="S234" s="44">
        <f t="shared" si="582"/>
        <v>0</v>
      </c>
      <c r="T234" s="44">
        <f t="shared" si="582"/>
        <v>0</v>
      </c>
      <c r="U234" s="44">
        <f t="shared" si="582"/>
        <v>0</v>
      </c>
      <c r="V234" s="44">
        <f t="shared" si="582"/>
        <v>0</v>
      </c>
      <c r="W234" s="44">
        <f t="shared" si="582"/>
        <v>0</v>
      </c>
      <c r="X234" s="44">
        <f t="shared" si="582"/>
        <v>0</v>
      </c>
      <c r="Y234" s="44">
        <f t="shared" si="582"/>
        <v>0</v>
      </c>
      <c r="Z234" s="44">
        <f t="shared" si="582"/>
        <v>0</v>
      </c>
      <c r="AA234" s="44">
        <f t="shared" si="582"/>
        <v>0</v>
      </c>
      <c r="AB234" s="44">
        <f t="shared" si="582"/>
        <v>0</v>
      </c>
      <c r="AC234" s="44">
        <f t="shared" si="582"/>
        <v>0</v>
      </c>
      <c r="AD234" s="44">
        <f t="shared" si="582"/>
        <v>0</v>
      </c>
      <c r="AE234" s="44">
        <f t="shared" si="582"/>
        <v>0</v>
      </c>
      <c r="AF234" s="44">
        <f t="shared" si="582"/>
        <v>0</v>
      </c>
      <c r="AG234" s="44">
        <f t="shared" si="582"/>
        <v>0</v>
      </c>
      <c r="AH234" s="44">
        <f t="shared" si="582"/>
        <v>0</v>
      </c>
      <c r="AI234" s="44">
        <f t="shared" si="582"/>
        <v>0</v>
      </c>
      <c r="AJ234" s="44">
        <f t="shared" si="582"/>
        <v>0</v>
      </c>
      <c r="AK234" s="44">
        <f t="shared" si="582"/>
        <v>0</v>
      </c>
      <c r="AL234" s="44">
        <f t="shared" si="582"/>
        <v>0</v>
      </c>
      <c r="AM234" s="44">
        <f t="shared" si="582"/>
        <v>0</v>
      </c>
      <c r="AN234" s="44">
        <f t="shared" ref="AN234:BS234" si="583">AN34</f>
        <v>0</v>
      </c>
      <c r="AO234" s="44">
        <f t="shared" si="583"/>
        <v>0</v>
      </c>
      <c r="AP234" s="44">
        <f t="shared" si="583"/>
        <v>0</v>
      </c>
      <c r="AQ234" s="44">
        <f t="shared" si="583"/>
        <v>0</v>
      </c>
      <c r="AR234" s="44">
        <f t="shared" si="583"/>
        <v>0</v>
      </c>
      <c r="AS234" s="44">
        <f t="shared" si="583"/>
        <v>0</v>
      </c>
      <c r="AT234" s="44">
        <f t="shared" si="583"/>
        <v>0</v>
      </c>
      <c r="AU234" s="44">
        <f t="shared" si="583"/>
        <v>0</v>
      </c>
      <c r="AV234" s="44">
        <f t="shared" si="583"/>
        <v>0</v>
      </c>
      <c r="AW234" s="44">
        <f t="shared" si="583"/>
        <v>0</v>
      </c>
      <c r="AX234" s="44">
        <f t="shared" si="583"/>
        <v>0</v>
      </c>
      <c r="AY234" s="44">
        <f t="shared" si="583"/>
        <v>0</v>
      </c>
      <c r="AZ234" s="44">
        <f t="shared" si="583"/>
        <v>0</v>
      </c>
      <c r="BA234" s="44">
        <f t="shared" si="583"/>
        <v>0</v>
      </c>
      <c r="BB234" s="44">
        <f t="shared" si="583"/>
        <v>0</v>
      </c>
      <c r="BC234" s="44">
        <f t="shared" si="583"/>
        <v>0</v>
      </c>
      <c r="BD234" s="44">
        <f t="shared" si="583"/>
        <v>0</v>
      </c>
      <c r="BE234" s="44">
        <f t="shared" si="583"/>
        <v>0</v>
      </c>
      <c r="BF234" s="44">
        <f t="shared" si="583"/>
        <v>0</v>
      </c>
      <c r="BG234" s="44">
        <f t="shared" si="583"/>
        <v>0</v>
      </c>
      <c r="BH234" s="44">
        <f t="shared" si="583"/>
        <v>0</v>
      </c>
      <c r="BI234" s="44">
        <f t="shared" si="583"/>
        <v>0</v>
      </c>
      <c r="BJ234" s="44">
        <f t="shared" si="583"/>
        <v>0</v>
      </c>
      <c r="BK234" s="44">
        <f t="shared" si="583"/>
        <v>0</v>
      </c>
      <c r="BL234" s="44">
        <f t="shared" si="583"/>
        <v>7980086.6116169076</v>
      </c>
      <c r="BM234" s="44">
        <f t="shared" si="583"/>
        <v>7882171.4384682337</v>
      </c>
      <c r="BN234" s="44">
        <f t="shared" si="583"/>
        <v>7784256.2653195588</v>
      </c>
      <c r="BO234" s="44">
        <f t="shared" si="583"/>
        <v>7686341.0921708848</v>
      </c>
      <c r="BP234" s="44">
        <f t="shared" si="583"/>
        <v>7588425.9190222109</v>
      </c>
      <c r="BQ234" s="44">
        <f t="shared" si="583"/>
        <v>7490510.745873536</v>
      </c>
      <c r="BR234" s="44">
        <f t="shared" si="583"/>
        <v>7392595.572724862</v>
      </c>
      <c r="BS234" s="44">
        <f t="shared" si="583"/>
        <v>7294680.3995761881</v>
      </c>
      <c r="BT234" s="44">
        <f t="shared" ref="BT234:CY234" si="584">BT34</f>
        <v>7196765.2264275141</v>
      </c>
      <c r="BU234" s="44">
        <f t="shared" si="584"/>
        <v>7098850.0532788392</v>
      </c>
      <c r="BV234" s="44">
        <f t="shared" si="584"/>
        <v>7000934.8801301653</v>
      </c>
      <c r="BW234" s="44">
        <f t="shared" si="584"/>
        <v>6903019.7069814913</v>
      </c>
      <c r="BX234" s="44">
        <f t="shared" si="584"/>
        <v>6805104.5338328164</v>
      </c>
      <c r="BY234" s="44">
        <f t="shared" si="584"/>
        <v>6707189.3606841424</v>
      </c>
      <c r="BZ234" s="44">
        <f t="shared" si="584"/>
        <v>6609274.1875354685</v>
      </c>
      <c r="CA234" s="44">
        <f t="shared" si="584"/>
        <v>6511359.0143867936</v>
      </c>
      <c r="CB234" s="44">
        <f t="shared" si="584"/>
        <v>6413443.8412381196</v>
      </c>
      <c r="CC234" s="44">
        <f t="shared" si="584"/>
        <v>6315528.6680894457</v>
      </c>
      <c r="CD234" s="44">
        <f t="shared" si="584"/>
        <v>6217613.4949407708</v>
      </c>
      <c r="CE234" s="44">
        <f t="shared" si="584"/>
        <v>6119698.3217920968</v>
      </c>
      <c r="CF234" s="44">
        <f t="shared" si="584"/>
        <v>6021783.1486434229</v>
      </c>
      <c r="CG234" s="44">
        <f t="shared" si="584"/>
        <v>5923867.9754947489</v>
      </c>
      <c r="CH234" s="44">
        <f t="shared" si="584"/>
        <v>5825952.8023460759</v>
      </c>
      <c r="CI234" s="44">
        <f t="shared" si="584"/>
        <v>5728037.629197401</v>
      </c>
      <c r="CJ234" s="44">
        <f t="shared" si="584"/>
        <v>5630122.456048728</v>
      </c>
      <c r="CK234" s="44">
        <f t="shared" si="584"/>
        <v>5532207.282900054</v>
      </c>
      <c r="CL234" s="44">
        <f t="shared" si="584"/>
        <v>5434292.109751381</v>
      </c>
      <c r="CM234" s="44">
        <f t="shared" si="584"/>
        <v>5336376.936602707</v>
      </c>
      <c r="CN234" s="44">
        <f t="shared" si="584"/>
        <v>5238461.763454034</v>
      </c>
      <c r="CO234" s="44">
        <f t="shared" si="584"/>
        <v>5140546.59030536</v>
      </c>
      <c r="CP234" s="44">
        <f t="shared" si="584"/>
        <v>5042631.417156687</v>
      </c>
      <c r="CQ234" s="44">
        <f t="shared" si="584"/>
        <v>4944716.244008013</v>
      </c>
      <c r="CR234" s="44">
        <f t="shared" si="584"/>
        <v>4846801.07085934</v>
      </c>
      <c r="CS234" s="44">
        <f t="shared" si="584"/>
        <v>4748885.8977106651</v>
      </c>
      <c r="CT234" s="44">
        <f t="shared" si="584"/>
        <v>4650970.7245619921</v>
      </c>
      <c r="CU234" s="44">
        <f t="shared" si="584"/>
        <v>4553055.5514133181</v>
      </c>
      <c r="CV234" s="44">
        <f t="shared" si="584"/>
        <v>4455140.3782646451</v>
      </c>
      <c r="CW234" s="44">
        <f t="shared" si="584"/>
        <v>4357225.2051159712</v>
      </c>
      <c r="CX234" s="44">
        <f t="shared" si="584"/>
        <v>4259310.0319672981</v>
      </c>
      <c r="CY234" s="44">
        <f t="shared" si="584"/>
        <v>4161394.8588186237</v>
      </c>
      <c r="CZ234" s="44">
        <f t="shared" ref="CZ234:EE234" si="585">CZ34</f>
        <v>4063479.6856699511</v>
      </c>
      <c r="DA234" s="44">
        <f t="shared" si="585"/>
        <v>3965564.5125212767</v>
      </c>
      <c r="DB234" s="44">
        <f t="shared" si="585"/>
        <v>3867649.3393726037</v>
      </c>
      <c r="DC234" s="44">
        <f t="shared" si="585"/>
        <v>3769734.1662239297</v>
      </c>
      <c r="DD234" s="44">
        <f t="shared" si="585"/>
        <v>3671818.9930752567</v>
      </c>
      <c r="DE234" s="44">
        <f t="shared" si="585"/>
        <v>3573903.8199265823</v>
      </c>
      <c r="DF234" s="44">
        <f t="shared" si="585"/>
        <v>3475988.6467779092</v>
      </c>
      <c r="DG234" s="44">
        <f t="shared" si="585"/>
        <v>3378073.4736292353</v>
      </c>
      <c r="DH234" s="44">
        <f t="shared" si="585"/>
        <v>3280158.3004805623</v>
      </c>
      <c r="DI234" s="44">
        <f t="shared" si="585"/>
        <v>3182243.1273318878</v>
      </c>
      <c r="DJ234" s="44">
        <f t="shared" si="585"/>
        <v>3084327.9541832153</v>
      </c>
      <c r="DK234" s="44">
        <f t="shared" si="585"/>
        <v>2986412.7810345409</v>
      </c>
      <c r="DL234" s="44">
        <f t="shared" si="585"/>
        <v>2888497.6078858674</v>
      </c>
      <c r="DM234" s="44">
        <f t="shared" si="585"/>
        <v>2790582.4347371929</v>
      </c>
      <c r="DN234" s="44">
        <f t="shared" si="585"/>
        <v>2692667.2615885194</v>
      </c>
      <c r="DO234" s="44">
        <f t="shared" si="585"/>
        <v>2594752.088439845</v>
      </c>
      <c r="DP234" s="44">
        <f t="shared" si="585"/>
        <v>2496836.9152911715</v>
      </c>
      <c r="DQ234" s="44">
        <f t="shared" si="585"/>
        <v>2398921.7421424976</v>
      </c>
      <c r="DR234" s="44">
        <f t="shared" si="585"/>
        <v>2301006.5689938236</v>
      </c>
      <c r="DS234" s="44">
        <f t="shared" si="585"/>
        <v>2203091.3958451496</v>
      </c>
      <c r="DT234" s="44">
        <f t="shared" si="585"/>
        <v>2105176.2226964762</v>
      </c>
      <c r="DU234" s="44">
        <f t="shared" si="585"/>
        <v>2007261.0495478017</v>
      </c>
      <c r="DV234" s="44">
        <f t="shared" si="585"/>
        <v>1909345.876399128</v>
      </c>
      <c r="DW234" s="44">
        <f t="shared" si="585"/>
        <v>1811430.7032504538</v>
      </c>
      <c r="DX234" s="44">
        <f t="shared" si="585"/>
        <v>1713515.5301017803</v>
      </c>
      <c r="DY234" s="44">
        <f t="shared" si="585"/>
        <v>1615600.3569531061</v>
      </c>
      <c r="DZ234" s="44">
        <f t="shared" si="585"/>
        <v>1517685.1838044324</v>
      </c>
      <c r="EA234" s="44">
        <f t="shared" si="585"/>
        <v>1419770.0106557584</v>
      </c>
      <c r="EB234" s="44">
        <f t="shared" si="585"/>
        <v>1321854.8375070845</v>
      </c>
      <c r="EC234" s="44">
        <f t="shared" si="585"/>
        <v>1223939.6643584105</v>
      </c>
      <c r="ED234" s="44">
        <f t="shared" si="585"/>
        <v>1126024.4912097366</v>
      </c>
      <c r="EE234" s="44">
        <f t="shared" si="585"/>
        <v>1028109.3180610627</v>
      </c>
      <c r="EF234" s="44">
        <f t="shared" ref="EF234:EN234" si="586">EF34</f>
        <v>930194.14491238876</v>
      </c>
      <c r="EG234" s="44">
        <f t="shared" si="586"/>
        <v>832278.9717637148</v>
      </c>
      <c r="EH234" s="44">
        <f t="shared" si="586"/>
        <v>734363.79861504096</v>
      </c>
      <c r="EI234" s="44">
        <f t="shared" si="586"/>
        <v>636448.625466367</v>
      </c>
      <c r="EJ234" s="44">
        <f t="shared" si="586"/>
        <v>538533.45231769315</v>
      </c>
      <c r="EK234" s="44">
        <f t="shared" si="586"/>
        <v>440618.2791690192</v>
      </c>
      <c r="EL234" s="44">
        <f t="shared" si="586"/>
        <v>342703.10602034529</v>
      </c>
      <c r="EM234" s="44">
        <f t="shared" si="586"/>
        <v>244787.93287167142</v>
      </c>
      <c r="EN234" s="44">
        <f t="shared" si="586"/>
        <v>146872.75972299752</v>
      </c>
    </row>
    <row r="235" spans="2:144">
      <c r="C235" s="151" t="str">
        <f t="shared" si="581"/>
        <v>Гостиница 4*</v>
      </c>
      <c r="D235" s="45"/>
      <c r="E235" s="44"/>
      <c r="F235" s="44"/>
      <c r="G235" s="45"/>
      <c r="H235" s="44">
        <f t="shared" ref="H235:AM235" si="587">H45</f>
        <v>0</v>
      </c>
      <c r="I235" s="44">
        <f t="shared" si="587"/>
        <v>0</v>
      </c>
      <c r="J235" s="44">
        <f t="shared" si="587"/>
        <v>0</v>
      </c>
      <c r="K235" s="44">
        <f t="shared" si="587"/>
        <v>0</v>
      </c>
      <c r="L235" s="44">
        <f t="shared" si="587"/>
        <v>0</v>
      </c>
      <c r="M235" s="44">
        <f t="shared" si="587"/>
        <v>0</v>
      </c>
      <c r="N235" s="44">
        <f t="shared" si="587"/>
        <v>0</v>
      </c>
      <c r="O235" s="44">
        <f t="shared" si="587"/>
        <v>0</v>
      </c>
      <c r="P235" s="44">
        <f t="shared" si="587"/>
        <v>0</v>
      </c>
      <c r="Q235" s="44">
        <f t="shared" si="587"/>
        <v>0</v>
      </c>
      <c r="R235" s="44">
        <f t="shared" si="587"/>
        <v>0</v>
      </c>
      <c r="S235" s="44">
        <f t="shared" si="587"/>
        <v>0</v>
      </c>
      <c r="T235" s="44">
        <f t="shared" si="587"/>
        <v>0</v>
      </c>
      <c r="U235" s="44">
        <f t="shared" si="587"/>
        <v>0</v>
      </c>
      <c r="V235" s="44">
        <f t="shared" si="587"/>
        <v>0</v>
      </c>
      <c r="W235" s="44">
        <f t="shared" si="587"/>
        <v>0</v>
      </c>
      <c r="X235" s="44">
        <f t="shared" si="587"/>
        <v>0</v>
      </c>
      <c r="Y235" s="44">
        <f t="shared" si="587"/>
        <v>0</v>
      </c>
      <c r="Z235" s="44">
        <f t="shared" si="587"/>
        <v>0</v>
      </c>
      <c r="AA235" s="44">
        <f t="shared" si="587"/>
        <v>0</v>
      </c>
      <c r="AB235" s="44">
        <f t="shared" si="587"/>
        <v>0</v>
      </c>
      <c r="AC235" s="44">
        <f t="shared" si="587"/>
        <v>0</v>
      </c>
      <c r="AD235" s="44">
        <f t="shared" si="587"/>
        <v>0</v>
      </c>
      <c r="AE235" s="44">
        <f t="shared" si="587"/>
        <v>0</v>
      </c>
      <c r="AF235" s="44">
        <f t="shared" si="587"/>
        <v>0</v>
      </c>
      <c r="AG235" s="44">
        <f t="shared" si="587"/>
        <v>0</v>
      </c>
      <c r="AH235" s="44">
        <f t="shared" si="587"/>
        <v>0</v>
      </c>
      <c r="AI235" s="44">
        <f t="shared" si="587"/>
        <v>0</v>
      </c>
      <c r="AJ235" s="44">
        <f t="shared" si="587"/>
        <v>0</v>
      </c>
      <c r="AK235" s="44">
        <f t="shared" si="587"/>
        <v>0</v>
      </c>
      <c r="AL235" s="44">
        <f t="shared" si="587"/>
        <v>0</v>
      </c>
      <c r="AM235" s="44">
        <f t="shared" si="587"/>
        <v>0</v>
      </c>
      <c r="AN235" s="44">
        <f t="shared" ref="AN235:BS235" si="588">AN45</f>
        <v>0</v>
      </c>
      <c r="AO235" s="44">
        <f t="shared" si="588"/>
        <v>0</v>
      </c>
      <c r="AP235" s="44">
        <f t="shared" si="588"/>
        <v>0</v>
      </c>
      <c r="AQ235" s="44">
        <f t="shared" si="588"/>
        <v>0</v>
      </c>
      <c r="AR235" s="44">
        <f t="shared" si="588"/>
        <v>0</v>
      </c>
      <c r="AS235" s="44">
        <f t="shared" si="588"/>
        <v>0</v>
      </c>
      <c r="AT235" s="44">
        <f t="shared" si="588"/>
        <v>0</v>
      </c>
      <c r="AU235" s="44">
        <f t="shared" si="588"/>
        <v>0</v>
      </c>
      <c r="AV235" s="44">
        <f t="shared" si="588"/>
        <v>0</v>
      </c>
      <c r="AW235" s="44">
        <f t="shared" si="588"/>
        <v>0</v>
      </c>
      <c r="AX235" s="44">
        <f t="shared" si="588"/>
        <v>0</v>
      </c>
      <c r="AY235" s="44">
        <f t="shared" si="588"/>
        <v>0</v>
      </c>
      <c r="AZ235" s="44">
        <f t="shared" si="588"/>
        <v>0</v>
      </c>
      <c r="BA235" s="44">
        <f t="shared" si="588"/>
        <v>0</v>
      </c>
      <c r="BB235" s="44">
        <f t="shared" si="588"/>
        <v>0</v>
      </c>
      <c r="BC235" s="44">
        <f t="shared" si="588"/>
        <v>0</v>
      </c>
      <c r="BD235" s="44">
        <f t="shared" si="588"/>
        <v>0</v>
      </c>
      <c r="BE235" s="44">
        <f t="shared" si="588"/>
        <v>0</v>
      </c>
      <c r="BF235" s="44">
        <f t="shared" si="588"/>
        <v>0</v>
      </c>
      <c r="BG235" s="44">
        <f t="shared" si="588"/>
        <v>0</v>
      </c>
      <c r="BH235" s="44">
        <f t="shared" si="588"/>
        <v>0</v>
      </c>
      <c r="BI235" s="44">
        <f t="shared" si="588"/>
        <v>0</v>
      </c>
      <c r="BJ235" s="44">
        <f t="shared" si="588"/>
        <v>0</v>
      </c>
      <c r="BK235" s="44">
        <f t="shared" si="588"/>
        <v>0</v>
      </c>
      <c r="BL235" s="44">
        <f t="shared" si="588"/>
        <v>7556889.5883320104</v>
      </c>
      <c r="BM235" s="44">
        <f t="shared" si="588"/>
        <v>7464167.0166960359</v>
      </c>
      <c r="BN235" s="44">
        <f t="shared" si="588"/>
        <v>7371444.4450600604</v>
      </c>
      <c r="BO235" s="44">
        <f t="shared" si="588"/>
        <v>7278721.8734240858</v>
      </c>
      <c r="BP235" s="44">
        <f t="shared" si="588"/>
        <v>7185999.3017881112</v>
      </c>
      <c r="BQ235" s="44">
        <f t="shared" si="588"/>
        <v>7093276.7301521357</v>
      </c>
      <c r="BR235" s="44">
        <f t="shared" si="588"/>
        <v>7000554.1585161611</v>
      </c>
      <c r="BS235" s="44">
        <f t="shared" si="588"/>
        <v>6907831.5868801866</v>
      </c>
      <c r="BT235" s="44">
        <f t="shared" ref="BT235:CY235" si="589">BT45</f>
        <v>6815109.0152442111</v>
      </c>
      <c r="BU235" s="44">
        <f t="shared" si="589"/>
        <v>6722386.4436082365</v>
      </c>
      <c r="BV235" s="44">
        <f t="shared" si="589"/>
        <v>6629663.8719722619</v>
      </c>
      <c r="BW235" s="44">
        <f t="shared" si="589"/>
        <v>6536941.3003362864</v>
      </c>
      <c r="BX235" s="44">
        <f t="shared" si="589"/>
        <v>6444218.7287003119</v>
      </c>
      <c r="BY235" s="44">
        <f t="shared" si="589"/>
        <v>6351496.1570643373</v>
      </c>
      <c r="BZ235" s="44">
        <f t="shared" si="589"/>
        <v>6258773.5854283618</v>
      </c>
      <c r="CA235" s="44">
        <f t="shared" si="589"/>
        <v>6166051.0137923872</v>
      </c>
      <c r="CB235" s="44">
        <f t="shared" si="589"/>
        <v>6073328.4421564126</v>
      </c>
      <c r="CC235" s="44">
        <f t="shared" si="589"/>
        <v>5980605.8705204371</v>
      </c>
      <c r="CD235" s="44">
        <f t="shared" si="589"/>
        <v>5887883.2988844626</v>
      </c>
      <c r="CE235" s="44">
        <f t="shared" si="589"/>
        <v>5795160.7272484861</v>
      </c>
      <c r="CF235" s="44">
        <f t="shared" si="589"/>
        <v>5702438.1556125116</v>
      </c>
      <c r="CG235" s="44">
        <f t="shared" si="589"/>
        <v>5609715.5839765351</v>
      </c>
      <c r="CH235" s="44">
        <f t="shared" si="589"/>
        <v>5516993.0123405606</v>
      </c>
      <c r="CI235" s="44">
        <f t="shared" si="589"/>
        <v>5424270.4407045841</v>
      </c>
      <c r="CJ235" s="44">
        <f t="shared" si="589"/>
        <v>5331547.8690686096</v>
      </c>
      <c r="CK235" s="44">
        <f t="shared" si="589"/>
        <v>5238825.2974326331</v>
      </c>
      <c r="CL235" s="44">
        <f t="shared" si="589"/>
        <v>5146102.7257966585</v>
      </c>
      <c r="CM235" s="44">
        <f t="shared" si="589"/>
        <v>5053380.1541606821</v>
      </c>
      <c r="CN235" s="44">
        <f t="shared" si="589"/>
        <v>4960657.5825247075</v>
      </c>
      <c r="CO235" s="44">
        <f t="shared" si="589"/>
        <v>4867935.0108887311</v>
      </c>
      <c r="CP235" s="44">
        <f t="shared" si="589"/>
        <v>4775212.4392527565</v>
      </c>
      <c r="CQ235" s="44">
        <f t="shared" si="589"/>
        <v>4682489.8676167801</v>
      </c>
      <c r="CR235" s="44">
        <f t="shared" si="589"/>
        <v>4589767.2959808046</v>
      </c>
      <c r="CS235" s="44">
        <f t="shared" si="589"/>
        <v>4497044.7243448291</v>
      </c>
      <c r="CT235" s="44">
        <f t="shared" si="589"/>
        <v>4404322.1527088536</v>
      </c>
      <c r="CU235" s="44">
        <f t="shared" si="589"/>
        <v>4311599.5810728781</v>
      </c>
      <c r="CV235" s="44">
        <f t="shared" si="589"/>
        <v>4218877.0094369026</v>
      </c>
      <c r="CW235" s="44">
        <f t="shared" si="589"/>
        <v>4126154.4378009266</v>
      </c>
      <c r="CX235" s="44">
        <f t="shared" si="589"/>
        <v>4033431.8661649516</v>
      </c>
      <c r="CY235" s="44">
        <f t="shared" si="589"/>
        <v>3940709.2945289756</v>
      </c>
      <c r="CZ235" s="44">
        <f t="shared" ref="CZ235:EE235" si="590">CZ45</f>
        <v>3847986.7228930006</v>
      </c>
      <c r="DA235" s="44">
        <f t="shared" si="590"/>
        <v>3755264.1512570246</v>
      </c>
      <c r="DB235" s="44">
        <f t="shared" si="590"/>
        <v>3662541.5796210496</v>
      </c>
      <c r="DC235" s="44">
        <f t="shared" si="590"/>
        <v>3569819.0079850736</v>
      </c>
      <c r="DD235" s="44">
        <f t="shared" si="590"/>
        <v>3477096.4363490986</v>
      </c>
      <c r="DE235" s="44">
        <f t="shared" si="590"/>
        <v>3384373.8647131226</v>
      </c>
      <c r="DF235" s="44">
        <f t="shared" si="590"/>
        <v>3291651.2930771476</v>
      </c>
      <c r="DG235" s="44">
        <f t="shared" si="590"/>
        <v>3198928.7214411711</v>
      </c>
      <c r="DH235" s="44">
        <f t="shared" si="590"/>
        <v>3106206.1498051966</v>
      </c>
      <c r="DI235" s="44">
        <f t="shared" si="590"/>
        <v>3013483.5781692201</v>
      </c>
      <c r="DJ235" s="44">
        <f t="shared" si="590"/>
        <v>2920761.0065332456</v>
      </c>
      <c r="DK235" s="44">
        <f t="shared" si="590"/>
        <v>2828038.4348972701</v>
      </c>
      <c r="DL235" s="44">
        <f t="shared" si="590"/>
        <v>2735315.863261295</v>
      </c>
      <c r="DM235" s="44">
        <f t="shared" si="590"/>
        <v>2642593.2916253195</v>
      </c>
      <c r="DN235" s="44">
        <f t="shared" si="590"/>
        <v>2549870.7199893445</v>
      </c>
      <c r="DO235" s="44">
        <f t="shared" si="590"/>
        <v>2457148.148353369</v>
      </c>
      <c r="DP235" s="44">
        <f t="shared" si="590"/>
        <v>2364425.5767173939</v>
      </c>
      <c r="DQ235" s="44">
        <f t="shared" si="590"/>
        <v>2271703.0050814184</v>
      </c>
      <c r="DR235" s="44">
        <f t="shared" si="590"/>
        <v>2178980.4334454439</v>
      </c>
      <c r="DS235" s="44">
        <f t="shared" si="590"/>
        <v>2086257.8618094681</v>
      </c>
      <c r="DT235" s="44">
        <f t="shared" si="590"/>
        <v>1993535.2901734933</v>
      </c>
      <c r="DU235" s="44">
        <f t="shared" si="590"/>
        <v>1900812.7185375178</v>
      </c>
      <c r="DV235" s="44">
        <f t="shared" si="590"/>
        <v>1808090.146901543</v>
      </c>
      <c r="DW235" s="44">
        <f t="shared" si="590"/>
        <v>1715367.5752655673</v>
      </c>
      <c r="DX235" s="44">
        <f t="shared" si="590"/>
        <v>1622645.0036295925</v>
      </c>
      <c r="DY235" s="44">
        <f t="shared" si="590"/>
        <v>1529922.431993617</v>
      </c>
      <c r="DZ235" s="44">
        <f t="shared" si="590"/>
        <v>1437199.8603576417</v>
      </c>
      <c r="EA235" s="44">
        <f t="shared" si="590"/>
        <v>1344477.2887216667</v>
      </c>
      <c r="EB235" s="44">
        <f t="shared" si="590"/>
        <v>1251754.7170856909</v>
      </c>
      <c r="EC235" s="44">
        <f t="shared" si="590"/>
        <v>1159032.1454497159</v>
      </c>
      <c r="ED235" s="44">
        <f t="shared" si="590"/>
        <v>1066309.5738137404</v>
      </c>
      <c r="EE235" s="44">
        <f t="shared" si="590"/>
        <v>973587.00217776513</v>
      </c>
      <c r="EF235" s="44">
        <f t="shared" ref="EF235:EN235" si="591">EF45</f>
        <v>880864.43054178951</v>
      </c>
      <c r="EG235" s="44">
        <f t="shared" si="591"/>
        <v>788141.85890581436</v>
      </c>
      <c r="EH235" s="44">
        <f t="shared" si="591"/>
        <v>695419.28726983885</v>
      </c>
      <c r="EI235" s="44">
        <f t="shared" si="591"/>
        <v>602696.71563386347</v>
      </c>
      <c r="EJ235" s="44">
        <f t="shared" si="591"/>
        <v>509974.14399788814</v>
      </c>
      <c r="EK235" s="44">
        <f t="shared" si="591"/>
        <v>417251.57236191275</v>
      </c>
      <c r="EL235" s="44">
        <f t="shared" si="591"/>
        <v>324529.00072593743</v>
      </c>
      <c r="EM235" s="44">
        <f t="shared" si="591"/>
        <v>231806.42908996204</v>
      </c>
      <c r="EN235" s="44">
        <f t="shared" si="591"/>
        <v>139083.85745398665</v>
      </c>
    </row>
    <row r="236" spans="2:144">
      <c r="C236" s="151" t="str">
        <f t="shared" si="581"/>
        <v>Гостиница 3*</v>
      </c>
      <c r="D236" s="45"/>
      <c r="E236" s="44"/>
      <c r="F236" s="44"/>
      <c r="G236" s="45"/>
      <c r="H236" s="44">
        <f t="shared" ref="H236:AM236" si="592">H56</f>
        <v>0</v>
      </c>
      <c r="I236" s="44">
        <f t="shared" si="592"/>
        <v>0</v>
      </c>
      <c r="J236" s="44">
        <f t="shared" si="592"/>
        <v>0</v>
      </c>
      <c r="K236" s="44">
        <f t="shared" si="592"/>
        <v>0</v>
      </c>
      <c r="L236" s="44">
        <f t="shared" si="592"/>
        <v>0</v>
      </c>
      <c r="M236" s="44">
        <f t="shared" si="592"/>
        <v>0</v>
      </c>
      <c r="N236" s="44">
        <f t="shared" si="592"/>
        <v>0</v>
      </c>
      <c r="O236" s="44">
        <f t="shared" si="592"/>
        <v>0</v>
      </c>
      <c r="P236" s="44">
        <f t="shared" si="592"/>
        <v>0</v>
      </c>
      <c r="Q236" s="44">
        <f t="shared" si="592"/>
        <v>0</v>
      </c>
      <c r="R236" s="44">
        <f t="shared" si="592"/>
        <v>0</v>
      </c>
      <c r="S236" s="44">
        <f t="shared" si="592"/>
        <v>0</v>
      </c>
      <c r="T236" s="44">
        <f t="shared" si="592"/>
        <v>0</v>
      </c>
      <c r="U236" s="44">
        <f t="shared" si="592"/>
        <v>0</v>
      </c>
      <c r="V236" s="44">
        <f t="shared" si="592"/>
        <v>0</v>
      </c>
      <c r="W236" s="44">
        <f t="shared" si="592"/>
        <v>0</v>
      </c>
      <c r="X236" s="44">
        <f t="shared" si="592"/>
        <v>0</v>
      </c>
      <c r="Y236" s="44">
        <f t="shared" si="592"/>
        <v>0</v>
      </c>
      <c r="Z236" s="44">
        <f t="shared" si="592"/>
        <v>0</v>
      </c>
      <c r="AA236" s="44">
        <f t="shared" si="592"/>
        <v>0</v>
      </c>
      <c r="AB236" s="44">
        <f t="shared" si="592"/>
        <v>0</v>
      </c>
      <c r="AC236" s="44">
        <f t="shared" si="592"/>
        <v>0</v>
      </c>
      <c r="AD236" s="44">
        <f t="shared" si="592"/>
        <v>0</v>
      </c>
      <c r="AE236" s="44">
        <f t="shared" si="592"/>
        <v>0</v>
      </c>
      <c r="AF236" s="44">
        <f t="shared" si="592"/>
        <v>0</v>
      </c>
      <c r="AG236" s="44">
        <f t="shared" si="592"/>
        <v>0</v>
      </c>
      <c r="AH236" s="44">
        <f t="shared" si="592"/>
        <v>0</v>
      </c>
      <c r="AI236" s="44">
        <f t="shared" si="592"/>
        <v>0</v>
      </c>
      <c r="AJ236" s="44">
        <f t="shared" si="592"/>
        <v>0</v>
      </c>
      <c r="AK236" s="44">
        <f t="shared" si="592"/>
        <v>0</v>
      </c>
      <c r="AL236" s="44">
        <f t="shared" si="592"/>
        <v>0</v>
      </c>
      <c r="AM236" s="44">
        <f t="shared" si="592"/>
        <v>0</v>
      </c>
      <c r="AN236" s="44">
        <f t="shared" ref="AN236:BS236" si="593">AN56</f>
        <v>0</v>
      </c>
      <c r="AO236" s="44">
        <f t="shared" si="593"/>
        <v>0</v>
      </c>
      <c r="AP236" s="44">
        <f t="shared" si="593"/>
        <v>0</v>
      </c>
      <c r="AQ236" s="44">
        <f t="shared" si="593"/>
        <v>0</v>
      </c>
      <c r="AR236" s="44">
        <f t="shared" si="593"/>
        <v>0</v>
      </c>
      <c r="AS236" s="44">
        <f t="shared" si="593"/>
        <v>0</v>
      </c>
      <c r="AT236" s="44">
        <f t="shared" si="593"/>
        <v>0</v>
      </c>
      <c r="AU236" s="44">
        <f t="shared" si="593"/>
        <v>0</v>
      </c>
      <c r="AV236" s="44">
        <f t="shared" si="593"/>
        <v>0</v>
      </c>
      <c r="AW236" s="44">
        <f t="shared" si="593"/>
        <v>0</v>
      </c>
      <c r="AX236" s="44">
        <f t="shared" si="593"/>
        <v>0</v>
      </c>
      <c r="AY236" s="44">
        <f t="shared" si="593"/>
        <v>0</v>
      </c>
      <c r="AZ236" s="44">
        <f t="shared" si="593"/>
        <v>0</v>
      </c>
      <c r="BA236" s="44">
        <f t="shared" si="593"/>
        <v>0</v>
      </c>
      <c r="BB236" s="44">
        <f t="shared" si="593"/>
        <v>0</v>
      </c>
      <c r="BC236" s="44">
        <f t="shared" si="593"/>
        <v>0</v>
      </c>
      <c r="BD236" s="44">
        <f t="shared" si="593"/>
        <v>0</v>
      </c>
      <c r="BE236" s="44">
        <f t="shared" si="593"/>
        <v>0</v>
      </c>
      <c r="BF236" s="44">
        <f t="shared" si="593"/>
        <v>0</v>
      </c>
      <c r="BG236" s="44">
        <f t="shared" si="593"/>
        <v>0</v>
      </c>
      <c r="BH236" s="44">
        <f t="shared" si="593"/>
        <v>2987433.2103205537</v>
      </c>
      <c r="BI236" s="44">
        <f t="shared" si="593"/>
        <v>2950777.588108032</v>
      </c>
      <c r="BJ236" s="44">
        <f t="shared" si="593"/>
        <v>2914121.9658955103</v>
      </c>
      <c r="BK236" s="44">
        <f t="shared" si="593"/>
        <v>2877466.3436829876</v>
      </c>
      <c r="BL236" s="44">
        <f t="shared" si="593"/>
        <v>2840810.7214704659</v>
      </c>
      <c r="BM236" s="44">
        <f t="shared" si="593"/>
        <v>2804155.0992579432</v>
      </c>
      <c r="BN236" s="44">
        <f t="shared" si="593"/>
        <v>2767499.4770454215</v>
      </c>
      <c r="BO236" s="44">
        <f t="shared" si="593"/>
        <v>2730843.8548328988</v>
      </c>
      <c r="BP236" s="44">
        <f t="shared" si="593"/>
        <v>2694188.2326203771</v>
      </c>
      <c r="BQ236" s="44">
        <f t="shared" si="593"/>
        <v>2657532.6104078549</v>
      </c>
      <c r="BR236" s="44">
        <f t="shared" si="593"/>
        <v>2620876.9881953327</v>
      </c>
      <c r="BS236" s="44">
        <f t="shared" si="593"/>
        <v>2584221.3659828105</v>
      </c>
      <c r="BT236" s="44">
        <f t="shared" ref="BT236:CY236" si="594">BT56</f>
        <v>2547565.7437702883</v>
      </c>
      <c r="BU236" s="44">
        <f t="shared" si="594"/>
        <v>2510910.1215577661</v>
      </c>
      <c r="BV236" s="44">
        <f t="shared" si="594"/>
        <v>2474254.4993452444</v>
      </c>
      <c r="BW236" s="44">
        <f t="shared" si="594"/>
        <v>2437598.8771327217</v>
      </c>
      <c r="BX236" s="44">
        <f t="shared" si="594"/>
        <v>2400943.2549202</v>
      </c>
      <c r="BY236" s="44">
        <f t="shared" si="594"/>
        <v>2364287.6327076773</v>
      </c>
      <c r="BZ236" s="44">
        <f t="shared" si="594"/>
        <v>2327632.0104951556</v>
      </c>
      <c r="CA236" s="44">
        <f t="shared" si="594"/>
        <v>2290976.3882826329</v>
      </c>
      <c r="CB236" s="44">
        <f t="shared" si="594"/>
        <v>2254320.7660701112</v>
      </c>
      <c r="CC236" s="44">
        <f t="shared" si="594"/>
        <v>2217665.1438575885</v>
      </c>
      <c r="CD236" s="44">
        <f t="shared" si="594"/>
        <v>2181009.5216450668</v>
      </c>
      <c r="CE236" s="44">
        <f t="shared" si="594"/>
        <v>2144353.8994325441</v>
      </c>
      <c r="CF236" s="44">
        <f t="shared" si="594"/>
        <v>2107698.2772200224</v>
      </c>
      <c r="CG236" s="44">
        <f t="shared" si="594"/>
        <v>2071042.6550075</v>
      </c>
      <c r="CH236" s="44">
        <f t="shared" si="594"/>
        <v>2034387.032794978</v>
      </c>
      <c r="CI236" s="44">
        <f t="shared" si="594"/>
        <v>1997731.4105824556</v>
      </c>
      <c r="CJ236" s="44">
        <f t="shared" si="594"/>
        <v>1961075.7883699336</v>
      </c>
      <c r="CK236" s="44">
        <f t="shared" si="594"/>
        <v>1924420.1661574112</v>
      </c>
      <c r="CL236" s="44">
        <f t="shared" si="594"/>
        <v>1887764.5439448892</v>
      </c>
      <c r="CM236" s="44">
        <f t="shared" si="594"/>
        <v>1851108.9217323668</v>
      </c>
      <c r="CN236" s="44">
        <f t="shared" si="594"/>
        <v>1814453.2995198451</v>
      </c>
      <c r="CO236" s="44">
        <f t="shared" si="594"/>
        <v>1777797.6773073224</v>
      </c>
      <c r="CP236" s="44">
        <f t="shared" si="594"/>
        <v>1741142.0550948007</v>
      </c>
      <c r="CQ236" s="44">
        <f t="shared" si="594"/>
        <v>1704486.432882278</v>
      </c>
      <c r="CR236" s="44">
        <f t="shared" si="594"/>
        <v>1667830.8106697563</v>
      </c>
      <c r="CS236" s="44">
        <f t="shared" si="594"/>
        <v>1631175.1884572338</v>
      </c>
      <c r="CT236" s="44">
        <f t="shared" si="594"/>
        <v>1594519.5662447119</v>
      </c>
      <c r="CU236" s="44">
        <f t="shared" si="594"/>
        <v>1557863.9440321894</v>
      </c>
      <c r="CV236" s="44">
        <f t="shared" si="594"/>
        <v>1521208.3218196675</v>
      </c>
      <c r="CW236" s="44">
        <f t="shared" si="594"/>
        <v>1484552.6996071453</v>
      </c>
      <c r="CX236" s="44">
        <f t="shared" si="594"/>
        <v>1447897.0773946233</v>
      </c>
      <c r="CY236" s="44">
        <f t="shared" si="594"/>
        <v>1411241.4551821013</v>
      </c>
      <c r="CZ236" s="44">
        <f t="shared" ref="CZ236:EE236" si="595">CZ56</f>
        <v>1374585.8329695791</v>
      </c>
      <c r="DA236" s="44">
        <f t="shared" si="595"/>
        <v>1337930.2107570574</v>
      </c>
      <c r="DB236" s="44">
        <f t="shared" si="595"/>
        <v>1301274.5885445352</v>
      </c>
      <c r="DC236" s="44">
        <f t="shared" si="595"/>
        <v>1264618.9663320133</v>
      </c>
      <c r="DD236" s="44">
        <f t="shared" si="595"/>
        <v>1227963.3441194911</v>
      </c>
      <c r="DE236" s="44">
        <f t="shared" si="595"/>
        <v>1191307.7219069693</v>
      </c>
      <c r="DF236" s="44">
        <f t="shared" si="595"/>
        <v>1154652.0996944471</v>
      </c>
      <c r="DG236" s="44">
        <f t="shared" si="595"/>
        <v>1117996.4774819252</v>
      </c>
      <c r="DH236" s="44">
        <f t="shared" si="595"/>
        <v>1081340.855269403</v>
      </c>
      <c r="DI236" s="44">
        <f t="shared" si="595"/>
        <v>1044685.2330568812</v>
      </c>
      <c r="DJ236" s="44">
        <f t="shared" si="595"/>
        <v>1008029.610844359</v>
      </c>
      <c r="DK236" s="44">
        <f t="shared" si="595"/>
        <v>971373.98863183719</v>
      </c>
      <c r="DL236" s="44">
        <f t="shared" si="595"/>
        <v>934718.36641931499</v>
      </c>
      <c r="DM236" s="44">
        <f t="shared" si="595"/>
        <v>898062.74420679314</v>
      </c>
      <c r="DN236" s="44">
        <f t="shared" si="595"/>
        <v>861407.12199427094</v>
      </c>
      <c r="DO236" s="44">
        <f t="shared" si="595"/>
        <v>824751.49978174909</v>
      </c>
      <c r="DP236" s="44">
        <f t="shared" si="595"/>
        <v>788095.87756922701</v>
      </c>
      <c r="DQ236" s="44">
        <f t="shared" si="595"/>
        <v>751440.25535670517</v>
      </c>
      <c r="DR236" s="44">
        <f t="shared" si="595"/>
        <v>714784.63314418297</v>
      </c>
      <c r="DS236" s="44">
        <f t="shared" si="595"/>
        <v>678129.010931661</v>
      </c>
      <c r="DT236" s="44">
        <f t="shared" si="595"/>
        <v>641473.38871913904</v>
      </c>
      <c r="DU236" s="44">
        <f t="shared" si="595"/>
        <v>604817.76650661696</v>
      </c>
      <c r="DV236" s="44">
        <f t="shared" si="595"/>
        <v>568162.14429409499</v>
      </c>
      <c r="DW236" s="44">
        <f t="shared" si="595"/>
        <v>531506.52208157291</v>
      </c>
      <c r="DX236" s="44">
        <f t="shared" si="595"/>
        <v>494850.89986905095</v>
      </c>
      <c r="DY236" s="44">
        <f t="shared" si="595"/>
        <v>458195.27765652892</v>
      </c>
      <c r="DZ236" s="44">
        <f t="shared" si="595"/>
        <v>421539.6554440069</v>
      </c>
      <c r="EA236" s="44">
        <f t="shared" si="595"/>
        <v>384884.03323148488</v>
      </c>
      <c r="EB236" s="44">
        <f t="shared" si="595"/>
        <v>348228.4110189628</v>
      </c>
      <c r="EC236" s="44">
        <f t="shared" si="595"/>
        <v>311572.78880644077</v>
      </c>
      <c r="ED236" s="44">
        <f t="shared" si="595"/>
        <v>274917.16659391869</v>
      </c>
      <c r="EE236" s="44">
        <f t="shared" si="595"/>
        <v>238261.5443813967</v>
      </c>
      <c r="EF236" s="44">
        <f t="shared" ref="EF236:EN236" si="596">EF56</f>
        <v>201605.92216887459</v>
      </c>
      <c r="EG236" s="44">
        <f t="shared" si="596"/>
        <v>164950.29995635257</v>
      </c>
      <c r="EH236" s="44">
        <f t="shared" si="596"/>
        <v>128294.67774383051</v>
      </c>
      <c r="EI236" s="44">
        <f t="shared" si="596"/>
        <v>91639.055531308448</v>
      </c>
      <c r="EJ236" s="44">
        <f t="shared" si="596"/>
        <v>54983.433318786418</v>
      </c>
      <c r="EK236" s="44">
        <f t="shared" si="596"/>
        <v>18327.811106264373</v>
      </c>
      <c r="EL236" s="44">
        <f t="shared" si="596"/>
        <v>3.3499673008918762E-9</v>
      </c>
      <c r="EM236" s="44">
        <f t="shared" si="596"/>
        <v>3.3499673008918762E-9</v>
      </c>
      <c r="EN236" s="44">
        <f t="shared" si="596"/>
        <v>3.3499673008918762E-9</v>
      </c>
    </row>
    <row r="237" spans="2:144">
      <c r="C237" s="151" t="str">
        <f t="shared" si="581"/>
        <v>Гостиница 2*</v>
      </c>
      <c r="D237" s="45"/>
      <c r="E237" s="44"/>
      <c r="F237" s="44"/>
      <c r="G237" s="45"/>
      <c r="H237" s="44">
        <f t="shared" ref="H237:AM237" si="597">H67</f>
        <v>0</v>
      </c>
      <c r="I237" s="44">
        <f t="shared" si="597"/>
        <v>0</v>
      </c>
      <c r="J237" s="44">
        <f t="shared" si="597"/>
        <v>0</v>
      </c>
      <c r="K237" s="44">
        <f t="shared" si="597"/>
        <v>0</v>
      </c>
      <c r="L237" s="44">
        <f t="shared" si="597"/>
        <v>0</v>
      </c>
      <c r="M237" s="44">
        <f t="shared" si="597"/>
        <v>0</v>
      </c>
      <c r="N237" s="44">
        <f t="shared" si="597"/>
        <v>0</v>
      </c>
      <c r="O237" s="44">
        <f t="shared" si="597"/>
        <v>0</v>
      </c>
      <c r="P237" s="44">
        <f t="shared" si="597"/>
        <v>0</v>
      </c>
      <c r="Q237" s="44">
        <f t="shared" si="597"/>
        <v>0</v>
      </c>
      <c r="R237" s="44">
        <f t="shared" si="597"/>
        <v>0</v>
      </c>
      <c r="S237" s="44">
        <f t="shared" si="597"/>
        <v>0</v>
      </c>
      <c r="T237" s="44">
        <f t="shared" si="597"/>
        <v>0</v>
      </c>
      <c r="U237" s="44">
        <f t="shared" si="597"/>
        <v>0</v>
      </c>
      <c r="V237" s="44">
        <f t="shared" si="597"/>
        <v>0</v>
      </c>
      <c r="W237" s="44">
        <f t="shared" si="597"/>
        <v>0</v>
      </c>
      <c r="X237" s="44">
        <f t="shared" si="597"/>
        <v>0</v>
      </c>
      <c r="Y237" s="44">
        <f t="shared" si="597"/>
        <v>0</v>
      </c>
      <c r="Z237" s="44">
        <f t="shared" si="597"/>
        <v>0</v>
      </c>
      <c r="AA237" s="44">
        <f t="shared" si="597"/>
        <v>0</v>
      </c>
      <c r="AB237" s="44">
        <f t="shared" si="597"/>
        <v>0</v>
      </c>
      <c r="AC237" s="44">
        <f t="shared" si="597"/>
        <v>0</v>
      </c>
      <c r="AD237" s="44">
        <f t="shared" si="597"/>
        <v>0</v>
      </c>
      <c r="AE237" s="44">
        <f t="shared" si="597"/>
        <v>0</v>
      </c>
      <c r="AF237" s="44">
        <f t="shared" si="597"/>
        <v>0</v>
      </c>
      <c r="AG237" s="44">
        <f t="shared" si="597"/>
        <v>0</v>
      </c>
      <c r="AH237" s="44">
        <f t="shared" si="597"/>
        <v>0</v>
      </c>
      <c r="AI237" s="44">
        <f t="shared" si="597"/>
        <v>0</v>
      </c>
      <c r="AJ237" s="44">
        <f t="shared" si="597"/>
        <v>0</v>
      </c>
      <c r="AK237" s="44">
        <f t="shared" si="597"/>
        <v>0</v>
      </c>
      <c r="AL237" s="44">
        <f t="shared" si="597"/>
        <v>0</v>
      </c>
      <c r="AM237" s="44">
        <f t="shared" si="597"/>
        <v>0</v>
      </c>
      <c r="AN237" s="44">
        <f t="shared" ref="AN237:BS237" si="598">AN67</f>
        <v>0</v>
      </c>
      <c r="AO237" s="44">
        <f t="shared" si="598"/>
        <v>0</v>
      </c>
      <c r="AP237" s="44">
        <f t="shared" si="598"/>
        <v>0</v>
      </c>
      <c r="AQ237" s="44">
        <f t="shared" si="598"/>
        <v>0</v>
      </c>
      <c r="AR237" s="44">
        <f t="shared" si="598"/>
        <v>0</v>
      </c>
      <c r="AS237" s="44">
        <f t="shared" si="598"/>
        <v>0</v>
      </c>
      <c r="AT237" s="44">
        <f t="shared" si="598"/>
        <v>0</v>
      </c>
      <c r="AU237" s="44">
        <f t="shared" si="598"/>
        <v>0</v>
      </c>
      <c r="AV237" s="44">
        <f t="shared" si="598"/>
        <v>0</v>
      </c>
      <c r="AW237" s="44">
        <f t="shared" si="598"/>
        <v>0</v>
      </c>
      <c r="AX237" s="44">
        <f t="shared" si="598"/>
        <v>0</v>
      </c>
      <c r="AY237" s="44">
        <f t="shared" si="598"/>
        <v>0</v>
      </c>
      <c r="AZ237" s="44">
        <f t="shared" si="598"/>
        <v>0</v>
      </c>
      <c r="BA237" s="44">
        <f t="shared" si="598"/>
        <v>0</v>
      </c>
      <c r="BB237" s="44">
        <f t="shared" si="598"/>
        <v>0</v>
      </c>
      <c r="BC237" s="44">
        <f t="shared" si="598"/>
        <v>0</v>
      </c>
      <c r="BD237" s="44">
        <f t="shared" si="598"/>
        <v>0</v>
      </c>
      <c r="BE237" s="44">
        <f t="shared" si="598"/>
        <v>0</v>
      </c>
      <c r="BF237" s="44">
        <f t="shared" si="598"/>
        <v>0</v>
      </c>
      <c r="BG237" s="44">
        <f t="shared" si="598"/>
        <v>0</v>
      </c>
      <c r="BH237" s="44">
        <f t="shared" si="598"/>
        <v>0</v>
      </c>
      <c r="BI237" s="44">
        <f t="shared" si="598"/>
        <v>0</v>
      </c>
      <c r="BJ237" s="44">
        <f t="shared" si="598"/>
        <v>0</v>
      </c>
      <c r="BK237" s="44">
        <f t="shared" si="598"/>
        <v>0</v>
      </c>
      <c r="BL237" s="44">
        <f t="shared" si="598"/>
        <v>0</v>
      </c>
      <c r="BM237" s="44">
        <f t="shared" si="598"/>
        <v>0</v>
      </c>
      <c r="BN237" s="44">
        <f t="shared" si="598"/>
        <v>0</v>
      </c>
      <c r="BO237" s="44">
        <f t="shared" si="598"/>
        <v>0</v>
      </c>
      <c r="BP237" s="44">
        <f t="shared" si="598"/>
        <v>0</v>
      </c>
      <c r="BQ237" s="44">
        <f t="shared" si="598"/>
        <v>0</v>
      </c>
      <c r="BR237" s="44">
        <f t="shared" si="598"/>
        <v>0</v>
      </c>
      <c r="BS237" s="44">
        <f t="shared" si="598"/>
        <v>0</v>
      </c>
      <c r="BT237" s="44">
        <f t="shared" ref="BT237:CY237" si="599">BT67</f>
        <v>0</v>
      </c>
      <c r="BU237" s="44">
        <f t="shared" si="599"/>
        <v>0</v>
      </c>
      <c r="BV237" s="44">
        <f t="shared" si="599"/>
        <v>0</v>
      </c>
      <c r="BW237" s="44">
        <f t="shared" si="599"/>
        <v>0</v>
      </c>
      <c r="BX237" s="44">
        <f t="shared" si="599"/>
        <v>0</v>
      </c>
      <c r="BY237" s="44">
        <f t="shared" si="599"/>
        <v>0</v>
      </c>
      <c r="BZ237" s="44">
        <f t="shared" si="599"/>
        <v>0</v>
      </c>
      <c r="CA237" s="44">
        <f t="shared" si="599"/>
        <v>0</v>
      </c>
      <c r="CB237" s="44">
        <f t="shared" si="599"/>
        <v>0</v>
      </c>
      <c r="CC237" s="44">
        <f t="shared" si="599"/>
        <v>0</v>
      </c>
      <c r="CD237" s="44">
        <f t="shared" si="599"/>
        <v>0</v>
      </c>
      <c r="CE237" s="44">
        <f t="shared" si="599"/>
        <v>0</v>
      </c>
      <c r="CF237" s="44">
        <f t="shared" si="599"/>
        <v>0</v>
      </c>
      <c r="CG237" s="44">
        <f t="shared" si="599"/>
        <v>0</v>
      </c>
      <c r="CH237" s="44">
        <f t="shared" si="599"/>
        <v>0</v>
      </c>
      <c r="CI237" s="44">
        <f t="shared" si="599"/>
        <v>0</v>
      </c>
      <c r="CJ237" s="44">
        <f t="shared" si="599"/>
        <v>0</v>
      </c>
      <c r="CK237" s="44">
        <f t="shared" si="599"/>
        <v>0</v>
      </c>
      <c r="CL237" s="44">
        <f t="shared" si="599"/>
        <v>0</v>
      </c>
      <c r="CM237" s="44">
        <f t="shared" si="599"/>
        <v>0</v>
      </c>
      <c r="CN237" s="44">
        <f t="shared" si="599"/>
        <v>0</v>
      </c>
      <c r="CO237" s="44">
        <f t="shared" si="599"/>
        <v>0</v>
      </c>
      <c r="CP237" s="44">
        <f t="shared" si="599"/>
        <v>0</v>
      </c>
      <c r="CQ237" s="44">
        <f t="shared" si="599"/>
        <v>0</v>
      </c>
      <c r="CR237" s="44">
        <f t="shared" si="599"/>
        <v>0</v>
      </c>
      <c r="CS237" s="44">
        <f t="shared" si="599"/>
        <v>0</v>
      </c>
      <c r="CT237" s="44">
        <f t="shared" si="599"/>
        <v>0</v>
      </c>
      <c r="CU237" s="44">
        <f t="shared" si="599"/>
        <v>0</v>
      </c>
      <c r="CV237" s="44">
        <f t="shared" si="599"/>
        <v>0</v>
      </c>
      <c r="CW237" s="44">
        <f t="shared" si="599"/>
        <v>0</v>
      </c>
      <c r="CX237" s="44">
        <f t="shared" si="599"/>
        <v>0</v>
      </c>
      <c r="CY237" s="44">
        <f t="shared" si="599"/>
        <v>0</v>
      </c>
      <c r="CZ237" s="44">
        <f t="shared" ref="CZ237:EE237" si="600">CZ67</f>
        <v>0</v>
      </c>
      <c r="DA237" s="44">
        <f t="shared" si="600"/>
        <v>0</v>
      </c>
      <c r="DB237" s="44">
        <f t="shared" si="600"/>
        <v>0</v>
      </c>
      <c r="DC237" s="44">
        <f t="shared" si="600"/>
        <v>0</v>
      </c>
      <c r="DD237" s="44">
        <f t="shared" si="600"/>
        <v>0</v>
      </c>
      <c r="DE237" s="44">
        <f t="shared" si="600"/>
        <v>0</v>
      </c>
      <c r="DF237" s="44">
        <f t="shared" si="600"/>
        <v>0</v>
      </c>
      <c r="DG237" s="44">
        <f t="shared" si="600"/>
        <v>0</v>
      </c>
      <c r="DH237" s="44">
        <f t="shared" si="600"/>
        <v>0</v>
      </c>
      <c r="DI237" s="44">
        <f t="shared" si="600"/>
        <v>0</v>
      </c>
      <c r="DJ237" s="44">
        <f t="shared" si="600"/>
        <v>0</v>
      </c>
      <c r="DK237" s="44">
        <f t="shared" si="600"/>
        <v>0</v>
      </c>
      <c r="DL237" s="44">
        <f t="shared" si="600"/>
        <v>0</v>
      </c>
      <c r="DM237" s="44">
        <f t="shared" si="600"/>
        <v>0</v>
      </c>
      <c r="DN237" s="44">
        <f t="shared" si="600"/>
        <v>0</v>
      </c>
      <c r="DO237" s="44">
        <f t="shared" si="600"/>
        <v>0</v>
      </c>
      <c r="DP237" s="44">
        <f t="shared" si="600"/>
        <v>0</v>
      </c>
      <c r="DQ237" s="44">
        <f t="shared" si="600"/>
        <v>0</v>
      </c>
      <c r="DR237" s="44">
        <f t="shared" si="600"/>
        <v>0</v>
      </c>
      <c r="DS237" s="44">
        <f t="shared" si="600"/>
        <v>0</v>
      </c>
      <c r="DT237" s="44">
        <f t="shared" si="600"/>
        <v>0</v>
      </c>
      <c r="DU237" s="44">
        <f t="shared" si="600"/>
        <v>0</v>
      </c>
      <c r="DV237" s="44">
        <f t="shared" si="600"/>
        <v>0</v>
      </c>
      <c r="DW237" s="44">
        <f t="shared" si="600"/>
        <v>0</v>
      </c>
      <c r="DX237" s="44">
        <f t="shared" si="600"/>
        <v>0</v>
      </c>
      <c r="DY237" s="44">
        <f t="shared" si="600"/>
        <v>0</v>
      </c>
      <c r="DZ237" s="44">
        <f t="shared" si="600"/>
        <v>0</v>
      </c>
      <c r="EA237" s="44">
        <f t="shared" si="600"/>
        <v>0</v>
      </c>
      <c r="EB237" s="44">
        <f t="shared" si="600"/>
        <v>0</v>
      </c>
      <c r="EC237" s="44">
        <f t="shared" si="600"/>
        <v>0</v>
      </c>
      <c r="ED237" s="44">
        <f t="shared" si="600"/>
        <v>0</v>
      </c>
      <c r="EE237" s="44">
        <f t="shared" si="600"/>
        <v>0</v>
      </c>
      <c r="EF237" s="44">
        <f t="shared" ref="EF237:EN237" si="601">EF67</f>
        <v>0</v>
      </c>
      <c r="EG237" s="44">
        <f t="shared" si="601"/>
        <v>0</v>
      </c>
      <c r="EH237" s="44">
        <f t="shared" si="601"/>
        <v>0</v>
      </c>
      <c r="EI237" s="44">
        <f t="shared" si="601"/>
        <v>0</v>
      </c>
      <c r="EJ237" s="44">
        <f t="shared" si="601"/>
        <v>0</v>
      </c>
      <c r="EK237" s="44">
        <f t="shared" si="601"/>
        <v>0</v>
      </c>
      <c r="EL237" s="44">
        <f t="shared" si="601"/>
        <v>0</v>
      </c>
      <c r="EM237" s="44">
        <f t="shared" si="601"/>
        <v>0</v>
      </c>
      <c r="EN237" s="44">
        <f t="shared" si="601"/>
        <v>0</v>
      </c>
    </row>
    <row r="238" spans="2:144">
      <c r="C238" s="151" t="str">
        <f t="shared" si="581"/>
        <v>МФЦ, в том числе хостел Jo&amp;JOE</v>
      </c>
      <c r="D238" s="45"/>
      <c r="E238" s="44"/>
      <c r="F238" s="44"/>
      <c r="G238" s="45"/>
      <c r="H238" s="44">
        <f t="shared" ref="H238:AM238" si="602">H78</f>
        <v>0</v>
      </c>
      <c r="I238" s="44">
        <f t="shared" si="602"/>
        <v>0</v>
      </c>
      <c r="J238" s="44">
        <f t="shared" si="602"/>
        <v>0</v>
      </c>
      <c r="K238" s="44">
        <f t="shared" si="602"/>
        <v>0</v>
      </c>
      <c r="L238" s="44">
        <f t="shared" si="602"/>
        <v>0</v>
      </c>
      <c r="M238" s="44">
        <f t="shared" si="602"/>
        <v>0</v>
      </c>
      <c r="N238" s="44">
        <f t="shared" si="602"/>
        <v>0</v>
      </c>
      <c r="O238" s="44">
        <f t="shared" si="602"/>
        <v>0</v>
      </c>
      <c r="P238" s="44">
        <f t="shared" si="602"/>
        <v>0</v>
      </c>
      <c r="Q238" s="44">
        <f t="shared" si="602"/>
        <v>0</v>
      </c>
      <c r="R238" s="44">
        <f t="shared" si="602"/>
        <v>0</v>
      </c>
      <c r="S238" s="44">
        <f t="shared" si="602"/>
        <v>0</v>
      </c>
      <c r="T238" s="44">
        <f t="shared" si="602"/>
        <v>0</v>
      </c>
      <c r="U238" s="44">
        <f t="shared" si="602"/>
        <v>0</v>
      </c>
      <c r="V238" s="44">
        <f t="shared" si="602"/>
        <v>0</v>
      </c>
      <c r="W238" s="44">
        <f t="shared" si="602"/>
        <v>0</v>
      </c>
      <c r="X238" s="44">
        <f t="shared" si="602"/>
        <v>0</v>
      </c>
      <c r="Y238" s="44">
        <f t="shared" si="602"/>
        <v>0</v>
      </c>
      <c r="Z238" s="44">
        <f t="shared" si="602"/>
        <v>0</v>
      </c>
      <c r="AA238" s="44">
        <f t="shared" si="602"/>
        <v>0</v>
      </c>
      <c r="AB238" s="44">
        <f t="shared" si="602"/>
        <v>0</v>
      </c>
      <c r="AC238" s="44">
        <f t="shared" si="602"/>
        <v>0</v>
      </c>
      <c r="AD238" s="44">
        <f t="shared" si="602"/>
        <v>0</v>
      </c>
      <c r="AE238" s="44">
        <f t="shared" si="602"/>
        <v>0</v>
      </c>
      <c r="AF238" s="44">
        <f t="shared" si="602"/>
        <v>0</v>
      </c>
      <c r="AG238" s="44">
        <f t="shared" si="602"/>
        <v>0</v>
      </c>
      <c r="AH238" s="44">
        <f t="shared" si="602"/>
        <v>0</v>
      </c>
      <c r="AI238" s="44">
        <f t="shared" si="602"/>
        <v>0</v>
      </c>
      <c r="AJ238" s="44">
        <f t="shared" si="602"/>
        <v>0</v>
      </c>
      <c r="AK238" s="44">
        <f t="shared" si="602"/>
        <v>0</v>
      </c>
      <c r="AL238" s="44">
        <f t="shared" si="602"/>
        <v>0</v>
      </c>
      <c r="AM238" s="44">
        <f t="shared" si="602"/>
        <v>0</v>
      </c>
      <c r="AN238" s="44">
        <f t="shared" ref="AN238:BS238" si="603">AN78</f>
        <v>0</v>
      </c>
      <c r="AO238" s="44">
        <f t="shared" si="603"/>
        <v>0</v>
      </c>
      <c r="AP238" s="44">
        <f t="shared" si="603"/>
        <v>0</v>
      </c>
      <c r="AQ238" s="44">
        <f t="shared" si="603"/>
        <v>0</v>
      </c>
      <c r="AR238" s="44">
        <f t="shared" si="603"/>
        <v>0</v>
      </c>
      <c r="AS238" s="44">
        <f t="shared" si="603"/>
        <v>0</v>
      </c>
      <c r="AT238" s="44">
        <f t="shared" si="603"/>
        <v>0</v>
      </c>
      <c r="AU238" s="44">
        <f t="shared" si="603"/>
        <v>0</v>
      </c>
      <c r="AV238" s="44">
        <f t="shared" si="603"/>
        <v>0</v>
      </c>
      <c r="AW238" s="44">
        <f t="shared" si="603"/>
        <v>0</v>
      </c>
      <c r="AX238" s="44">
        <f t="shared" si="603"/>
        <v>0</v>
      </c>
      <c r="AY238" s="44">
        <f t="shared" si="603"/>
        <v>0</v>
      </c>
      <c r="AZ238" s="44">
        <f t="shared" si="603"/>
        <v>0</v>
      </c>
      <c r="BA238" s="44">
        <f t="shared" si="603"/>
        <v>0</v>
      </c>
      <c r="BB238" s="44">
        <f t="shared" si="603"/>
        <v>0</v>
      </c>
      <c r="BC238" s="44">
        <f t="shared" si="603"/>
        <v>0</v>
      </c>
      <c r="BD238" s="44">
        <f t="shared" si="603"/>
        <v>0</v>
      </c>
      <c r="BE238" s="44">
        <f t="shared" si="603"/>
        <v>0</v>
      </c>
      <c r="BF238" s="44">
        <f t="shared" si="603"/>
        <v>0</v>
      </c>
      <c r="BG238" s="44">
        <f t="shared" si="603"/>
        <v>0</v>
      </c>
      <c r="BH238" s="44">
        <f t="shared" si="603"/>
        <v>3419479.5406020861</v>
      </c>
      <c r="BI238" s="44">
        <f t="shared" si="603"/>
        <v>3377522.7364229197</v>
      </c>
      <c r="BJ238" s="44">
        <f t="shared" si="603"/>
        <v>3335565.9322437528</v>
      </c>
      <c r="BK238" s="44">
        <f t="shared" si="603"/>
        <v>3293609.1280645858</v>
      </c>
      <c r="BL238" s="44">
        <f t="shared" si="603"/>
        <v>3251652.3238854189</v>
      </c>
      <c r="BM238" s="44">
        <f t="shared" si="603"/>
        <v>3209695.5197062525</v>
      </c>
      <c r="BN238" s="44">
        <f t="shared" si="603"/>
        <v>3167738.7155270856</v>
      </c>
      <c r="BO238" s="44">
        <f t="shared" si="603"/>
        <v>3125781.9113479187</v>
      </c>
      <c r="BP238" s="44">
        <f t="shared" si="603"/>
        <v>3083825.1071687518</v>
      </c>
      <c r="BQ238" s="44">
        <f t="shared" si="603"/>
        <v>3041868.3029895853</v>
      </c>
      <c r="BR238" s="44">
        <f t="shared" si="603"/>
        <v>2999911.4988104184</v>
      </c>
      <c r="BS238" s="44">
        <f t="shared" si="603"/>
        <v>2957954.6946312515</v>
      </c>
      <c r="BT238" s="44">
        <f t="shared" ref="BT238:CY238" si="604">BT78</f>
        <v>2915997.8904520846</v>
      </c>
      <c r="BU238" s="44">
        <f t="shared" si="604"/>
        <v>2874041.0862729182</v>
      </c>
      <c r="BV238" s="44">
        <f t="shared" si="604"/>
        <v>2832084.2820937512</v>
      </c>
      <c r="BW238" s="44">
        <f t="shared" si="604"/>
        <v>2790127.4779145843</v>
      </c>
      <c r="BX238" s="44">
        <f t="shared" si="604"/>
        <v>2748170.6737354174</v>
      </c>
      <c r="BY238" s="44">
        <f t="shared" si="604"/>
        <v>2706213.869556251</v>
      </c>
      <c r="BZ238" s="44">
        <f t="shared" si="604"/>
        <v>2664257.0653770841</v>
      </c>
      <c r="CA238" s="44">
        <f t="shared" si="604"/>
        <v>2622300.2611979172</v>
      </c>
      <c r="CB238" s="44">
        <f t="shared" si="604"/>
        <v>2580343.4570187503</v>
      </c>
      <c r="CC238" s="44">
        <f t="shared" si="604"/>
        <v>2538386.6528395838</v>
      </c>
      <c r="CD238" s="44">
        <f t="shared" si="604"/>
        <v>2496429.8486604169</v>
      </c>
      <c r="CE238" s="44">
        <f t="shared" si="604"/>
        <v>2454473.04448125</v>
      </c>
      <c r="CF238" s="44">
        <f t="shared" si="604"/>
        <v>2412516.2403020831</v>
      </c>
      <c r="CG238" s="44">
        <f t="shared" si="604"/>
        <v>2370559.4361229166</v>
      </c>
      <c r="CH238" s="44">
        <f t="shared" si="604"/>
        <v>2328602.6319437497</v>
      </c>
      <c r="CI238" s="44">
        <f t="shared" si="604"/>
        <v>2286645.8277645828</v>
      </c>
      <c r="CJ238" s="44">
        <f t="shared" si="604"/>
        <v>2244689.0235854159</v>
      </c>
      <c r="CK238" s="44">
        <f t="shared" si="604"/>
        <v>2202732.2194062495</v>
      </c>
      <c r="CL238" s="44">
        <f t="shared" si="604"/>
        <v>2160775.4152270826</v>
      </c>
      <c r="CM238" s="44">
        <f t="shared" si="604"/>
        <v>2118818.6110479156</v>
      </c>
      <c r="CN238" s="44">
        <f t="shared" si="604"/>
        <v>2076861.806868749</v>
      </c>
      <c r="CO238" s="44">
        <f t="shared" si="604"/>
        <v>2034905.0026895821</v>
      </c>
      <c r="CP238" s="44">
        <f t="shared" si="604"/>
        <v>1992948.1985104154</v>
      </c>
      <c r="CQ238" s="44">
        <f t="shared" si="604"/>
        <v>1950991.3943312485</v>
      </c>
      <c r="CR238" s="44">
        <f t="shared" si="604"/>
        <v>1909034.5901520818</v>
      </c>
      <c r="CS238" s="44">
        <f t="shared" si="604"/>
        <v>1867077.7859729149</v>
      </c>
      <c r="CT238" s="44">
        <f t="shared" si="604"/>
        <v>1825120.9817937482</v>
      </c>
      <c r="CU238" s="44">
        <f t="shared" si="604"/>
        <v>1783164.1776145813</v>
      </c>
      <c r="CV238" s="44">
        <f t="shared" si="604"/>
        <v>1741207.3734354146</v>
      </c>
      <c r="CW238" s="44">
        <f t="shared" si="604"/>
        <v>1699250.569256248</v>
      </c>
      <c r="CX238" s="44">
        <f t="shared" si="604"/>
        <v>1657293.765077081</v>
      </c>
      <c r="CY238" s="44">
        <f t="shared" si="604"/>
        <v>1615336.9608979144</v>
      </c>
      <c r="CZ238" s="44">
        <f t="shared" ref="CZ238:EE238" si="605">CZ78</f>
        <v>1573380.1567187475</v>
      </c>
      <c r="DA238" s="44">
        <f t="shared" si="605"/>
        <v>1531423.3525395808</v>
      </c>
      <c r="DB238" s="44">
        <f t="shared" si="605"/>
        <v>1489466.5483604139</v>
      </c>
      <c r="DC238" s="44">
        <f t="shared" si="605"/>
        <v>1447509.7441812472</v>
      </c>
      <c r="DD238" s="44">
        <f t="shared" si="605"/>
        <v>1405552.9400020803</v>
      </c>
      <c r="DE238" s="44">
        <f t="shared" si="605"/>
        <v>1363596.1358229136</v>
      </c>
      <c r="DF238" s="44">
        <f t="shared" si="605"/>
        <v>1321639.3316437467</v>
      </c>
      <c r="DG238" s="44">
        <f t="shared" si="605"/>
        <v>1279682.52746458</v>
      </c>
      <c r="DH238" s="44">
        <f t="shared" si="605"/>
        <v>1237725.7232854131</v>
      </c>
      <c r="DI238" s="44">
        <f t="shared" si="605"/>
        <v>1195768.9191062464</v>
      </c>
      <c r="DJ238" s="44">
        <f t="shared" si="605"/>
        <v>1153812.1149270795</v>
      </c>
      <c r="DK238" s="44">
        <f t="shared" si="605"/>
        <v>1111855.3107479129</v>
      </c>
      <c r="DL238" s="44">
        <f t="shared" si="605"/>
        <v>1069898.5065687459</v>
      </c>
      <c r="DM238" s="44">
        <f t="shared" si="605"/>
        <v>1027941.7023895791</v>
      </c>
      <c r="DN238" s="44">
        <f t="shared" si="605"/>
        <v>985984.89821041236</v>
      </c>
      <c r="DO238" s="44">
        <f t="shared" si="605"/>
        <v>944028.09403124556</v>
      </c>
      <c r="DP238" s="44">
        <f t="shared" si="605"/>
        <v>902071.28985207877</v>
      </c>
      <c r="DQ238" s="44">
        <f t="shared" si="605"/>
        <v>860114.48567291198</v>
      </c>
      <c r="DR238" s="44">
        <f t="shared" si="605"/>
        <v>818157.68149374519</v>
      </c>
      <c r="DS238" s="44">
        <f t="shared" si="605"/>
        <v>776200.87731457839</v>
      </c>
      <c r="DT238" s="44">
        <f t="shared" si="605"/>
        <v>734244.0731354116</v>
      </c>
      <c r="DU238" s="44">
        <f t="shared" si="605"/>
        <v>692287.26895624504</v>
      </c>
      <c r="DV238" s="44">
        <f t="shared" si="605"/>
        <v>650330.46477707825</v>
      </c>
      <c r="DW238" s="44">
        <f t="shared" si="605"/>
        <v>608373.66059791157</v>
      </c>
      <c r="DX238" s="44">
        <f t="shared" si="605"/>
        <v>566416.85641874478</v>
      </c>
      <c r="DY238" s="44">
        <f t="shared" si="605"/>
        <v>524460.05223957822</v>
      </c>
      <c r="DZ238" s="44">
        <f t="shared" si="605"/>
        <v>482503.24806041137</v>
      </c>
      <c r="EA238" s="44">
        <f t="shared" si="605"/>
        <v>440546.44388124475</v>
      </c>
      <c r="EB238" s="44">
        <f t="shared" si="605"/>
        <v>398589.63970207796</v>
      </c>
      <c r="EC238" s="44">
        <f t="shared" si="605"/>
        <v>356632.83552291128</v>
      </c>
      <c r="ED238" s="44">
        <f t="shared" si="605"/>
        <v>314676.0313437446</v>
      </c>
      <c r="EE238" s="44">
        <f t="shared" si="605"/>
        <v>272719.22716457787</v>
      </c>
      <c r="EF238" s="44">
        <f t="shared" ref="EF238:EN238" si="606">EF78</f>
        <v>230762.42298541116</v>
      </c>
      <c r="EG238" s="44">
        <f t="shared" si="606"/>
        <v>188805.61880624446</v>
      </c>
      <c r="EH238" s="44">
        <f t="shared" si="606"/>
        <v>146848.81462707769</v>
      </c>
      <c r="EI238" s="44">
        <f t="shared" si="606"/>
        <v>104892.010447911</v>
      </c>
      <c r="EJ238" s="44">
        <f t="shared" si="606"/>
        <v>62935.206268744252</v>
      </c>
      <c r="EK238" s="44">
        <f t="shared" si="606"/>
        <v>20978.402089580446</v>
      </c>
      <c r="EL238" s="44">
        <f t="shared" si="606"/>
        <v>0</v>
      </c>
      <c r="EM238" s="44">
        <f t="shared" si="606"/>
        <v>0</v>
      </c>
      <c r="EN238" s="44">
        <f t="shared" si="606"/>
        <v>0</v>
      </c>
    </row>
    <row r="239" spans="2:144">
      <c r="C239" s="151" t="str">
        <f t="shared" si="581"/>
        <v>Шале</v>
      </c>
      <c r="D239" s="45"/>
      <c r="E239" s="44"/>
      <c r="F239" s="44"/>
      <c r="G239" s="45"/>
      <c r="H239" s="44">
        <f t="shared" ref="H239:AM239" si="607">H89</f>
        <v>0</v>
      </c>
      <c r="I239" s="44">
        <f t="shared" si="607"/>
        <v>0</v>
      </c>
      <c r="J239" s="44">
        <f t="shared" si="607"/>
        <v>0</v>
      </c>
      <c r="K239" s="44">
        <f t="shared" si="607"/>
        <v>0</v>
      </c>
      <c r="L239" s="44">
        <f t="shared" si="607"/>
        <v>0</v>
      </c>
      <c r="M239" s="44">
        <f t="shared" si="607"/>
        <v>0</v>
      </c>
      <c r="N239" s="44">
        <f t="shared" si="607"/>
        <v>0</v>
      </c>
      <c r="O239" s="44">
        <f t="shared" si="607"/>
        <v>0</v>
      </c>
      <c r="P239" s="44">
        <f t="shared" si="607"/>
        <v>0</v>
      </c>
      <c r="Q239" s="44">
        <f t="shared" si="607"/>
        <v>0</v>
      </c>
      <c r="R239" s="44">
        <f t="shared" si="607"/>
        <v>0</v>
      </c>
      <c r="S239" s="44">
        <f t="shared" si="607"/>
        <v>0</v>
      </c>
      <c r="T239" s="44">
        <f t="shared" si="607"/>
        <v>0</v>
      </c>
      <c r="U239" s="44">
        <f t="shared" si="607"/>
        <v>0</v>
      </c>
      <c r="V239" s="44">
        <f t="shared" si="607"/>
        <v>0</v>
      </c>
      <c r="W239" s="44">
        <f t="shared" si="607"/>
        <v>0</v>
      </c>
      <c r="X239" s="44">
        <f t="shared" si="607"/>
        <v>0</v>
      </c>
      <c r="Y239" s="44">
        <f t="shared" si="607"/>
        <v>0</v>
      </c>
      <c r="Z239" s="44">
        <f t="shared" si="607"/>
        <v>0</v>
      </c>
      <c r="AA239" s="44">
        <f t="shared" si="607"/>
        <v>0</v>
      </c>
      <c r="AB239" s="44">
        <f t="shared" si="607"/>
        <v>0</v>
      </c>
      <c r="AC239" s="44">
        <f t="shared" si="607"/>
        <v>0</v>
      </c>
      <c r="AD239" s="44">
        <f t="shared" si="607"/>
        <v>0</v>
      </c>
      <c r="AE239" s="44">
        <f t="shared" si="607"/>
        <v>0</v>
      </c>
      <c r="AF239" s="44">
        <f t="shared" si="607"/>
        <v>0</v>
      </c>
      <c r="AG239" s="44">
        <f t="shared" si="607"/>
        <v>0</v>
      </c>
      <c r="AH239" s="44">
        <f t="shared" si="607"/>
        <v>0</v>
      </c>
      <c r="AI239" s="44">
        <f t="shared" si="607"/>
        <v>0</v>
      </c>
      <c r="AJ239" s="44">
        <f t="shared" si="607"/>
        <v>0</v>
      </c>
      <c r="AK239" s="44">
        <f t="shared" si="607"/>
        <v>0</v>
      </c>
      <c r="AL239" s="44">
        <f t="shared" si="607"/>
        <v>0</v>
      </c>
      <c r="AM239" s="44">
        <f t="shared" si="607"/>
        <v>0</v>
      </c>
      <c r="AN239" s="44">
        <f t="shared" ref="AN239:BS239" si="608">AN89</f>
        <v>0</v>
      </c>
      <c r="AO239" s="44">
        <f t="shared" si="608"/>
        <v>0</v>
      </c>
      <c r="AP239" s="44">
        <f t="shared" si="608"/>
        <v>0</v>
      </c>
      <c r="AQ239" s="44">
        <f t="shared" si="608"/>
        <v>0</v>
      </c>
      <c r="AR239" s="44">
        <f t="shared" si="608"/>
        <v>0</v>
      </c>
      <c r="AS239" s="44">
        <f t="shared" si="608"/>
        <v>0</v>
      </c>
      <c r="AT239" s="44">
        <f t="shared" si="608"/>
        <v>0</v>
      </c>
      <c r="AU239" s="44">
        <f t="shared" si="608"/>
        <v>0</v>
      </c>
      <c r="AV239" s="44">
        <f t="shared" si="608"/>
        <v>0</v>
      </c>
      <c r="AW239" s="44">
        <f t="shared" si="608"/>
        <v>0</v>
      </c>
      <c r="AX239" s="44">
        <f t="shared" si="608"/>
        <v>0</v>
      </c>
      <c r="AY239" s="44">
        <f t="shared" si="608"/>
        <v>0</v>
      </c>
      <c r="AZ239" s="44">
        <f t="shared" si="608"/>
        <v>0</v>
      </c>
      <c r="BA239" s="44">
        <f t="shared" si="608"/>
        <v>0</v>
      </c>
      <c r="BB239" s="44">
        <f t="shared" si="608"/>
        <v>0</v>
      </c>
      <c r="BC239" s="44">
        <f t="shared" si="608"/>
        <v>0</v>
      </c>
      <c r="BD239" s="44">
        <f t="shared" si="608"/>
        <v>0</v>
      </c>
      <c r="BE239" s="44">
        <f t="shared" si="608"/>
        <v>0</v>
      </c>
      <c r="BF239" s="44">
        <f t="shared" si="608"/>
        <v>0</v>
      </c>
      <c r="BG239" s="44">
        <f t="shared" si="608"/>
        <v>0</v>
      </c>
      <c r="BH239" s="44">
        <f t="shared" si="608"/>
        <v>0</v>
      </c>
      <c r="BI239" s="44">
        <f t="shared" si="608"/>
        <v>0</v>
      </c>
      <c r="BJ239" s="44">
        <f t="shared" si="608"/>
        <v>0</v>
      </c>
      <c r="BK239" s="44">
        <f t="shared" si="608"/>
        <v>0</v>
      </c>
      <c r="BL239" s="44">
        <f t="shared" si="608"/>
        <v>820006.08121098077</v>
      </c>
      <c r="BM239" s="44">
        <f t="shared" si="608"/>
        <v>809944.65690164361</v>
      </c>
      <c r="BN239" s="44">
        <f t="shared" si="608"/>
        <v>799883.23259230645</v>
      </c>
      <c r="BO239" s="44">
        <f t="shared" si="608"/>
        <v>789821.80828296929</v>
      </c>
      <c r="BP239" s="44">
        <f t="shared" si="608"/>
        <v>779760.38397363212</v>
      </c>
      <c r="BQ239" s="44">
        <f t="shared" si="608"/>
        <v>769698.95966429508</v>
      </c>
      <c r="BR239" s="44">
        <f t="shared" si="608"/>
        <v>759637.53535495792</v>
      </c>
      <c r="BS239" s="44">
        <f t="shared" si="608"/>
        <v>749576.11104562075</v>
      </c>
      <c r="BT239" s="44">
        <f t="shared" ref="BT239:CY239" si="609">BT89</f>
        <v>739514.68673628359</v>
      </c>
      <c r="BU239" s="44">
        <f t="shared" si="609"/>
        <v>729453.26242694643</v>
      </c>
      <c r="BV239" s="44">
        <f t="shared" si="609"/>
        <v>719391.83811760938</v>
      </c>
      <c r="BW239" s="44">
        <f t="shared" si="609"/>
        <v>709330.41380827222</v>
      </c>
      <c r="BX239" s="44">
        <f t="shared" si="609"/>
        <v>699268.98949893506</v>
      </c>
      <c r="BY239" s="44">
        <f t="shared" si="609"/>
        <v>689207.5651895979</v>
      </c>
      <c r="BZ239" s="44">
        <f t="shared" si="609"/>
        <v>679146.14088026073</v>
      </c>
      <c r="CA239" s="44">
        <f t="shared" si="609"/>
        <v>669084.71657092369</v>
      </c>
      <c r="CB239" s="44">
        <f t="shared" si="609"/>
        <v>659023.29226158652</v>
      </c>
      <c r="CC239" s="44">
        <f t="shared" si="609"/>
        <v>648961.86795224936</v>
      </c>
      <c r="CD239" s="44">
        <f t="shared" si="609"/>
        <v>638900.4436429122</v>
      </c>
      <c r="CE239" s="44">
        <f t="shared" si="609"/>
        <v>628839.01933357504</v>
      </c>
      <c r="CF239" s="44">
        <f t="shared" si="609"/>
        <v>618777.59502423799</v>
      </c>
      <c r="CG239" s="44">
        <f t="shared" si="609"/>
        <v>608716.17071490083</v>
      </c>
      <c r="CH239" s="44">
        <f t="shared" si="609"/>
        <v>598654.74640556367</v>
      </c>
      <c r="CI239" s="44">
        <f t="shared" si="609"/>
        <v>588593.3220962265</v>
      </c>
      <c r="CJ239" s="44">
        <f t="shared" si="609"/>
        <v>578531.89778688946</v>
      </c>
      <c r="CK239" s="44">
        <f t="shared" si="609"/>
        <v>568470.4734775523</v>
      </c>
      <c r="CL239" s="44">
        <f t="shared" si="609"/>
        <v>558409.04916821513</v>
      </c>
      <c r="CM239" s="44">
        <f t="shared" si="609"/>
        <v>548347.62485887797</v>
      </c>
      <c r="CN239" s="44">
        <f t="shared" si="609"/>
        <v>538286.20054954081</v>
      </c>
      <c r="CO239" s="44">
        <f t="shared" si="609"/>
        <v>528224.77624020376</v>
      </c>
      <c r="CP239" s="44">
        <f t="shared" si="609"/>
        <v>518163.35193086654</v>
      </c>
      <c r="CQ239" s="44">
        <f t="shared" si="609"/>
        <v>508101.92762152944</v>
      </c>
      <c r="CR239" s="44">
        <f t="shared" si="609"/>
        <v>498040.50331219228</v>
      </c>
      <c r="CS239" s="44">
        <f t="shared" si="609"/>
        <v>487979.07900285517</v>
      </c>
      <c r="CT239" s="44">
        <f t="shared" si="609"/>
        <v>477917.65469351801</v>
      </c>
      <c r="CU239" s="44">
        <f t="shared" si="609"/>
        <v>467856.2303841809</v>
      </c>
      <c r="CV239" s="44">
        <f t="shared" si="609"/>
        <v>457794.80607484374</v>
      </c>
      <c r="CW239" s="44">
        <f t="shared" si="609"/>
        <v>447733.38176550658</v>
      </c>
      <c r="CX239" s="44">
        <f t="shared" si="609"/>
        <v>437671.95745616948</v>
      </c>
      <c r="CY239" s="44">
        <f t="shared" si="609"/>
        <v>427610.53314683231</v>
      </c>
      <c r="CZ239" s="44">
        <f t="shared" ref="CZ239:EE239" si="610">CZ89</f>
        <v>417549.10883749521</v>
      </c>
      <c r="DA239" s="44">
        <f t="shared" si="610"/>
        <v>407487.68452815805</v>
      </c>
      <c r="DB239" s="44">
        <f t="shared" si="610"/>
        <v>397426.26021882088</v>
      </c>
      <c r="DC239" s="44">
        <f t="shared" si="610"/>
        <v>387364.83590948378</v>
      </c>
      <c r="DD239" s="44">
        <f t="shared" si="610"/>
        <v>377303.41160014662</v>
      </c>
      <c r="DE239" s="44">
        <f t="shared" si="610"/>
        <v>367241.98729080951</v>
      </c>
      <c r="DF239" s="44">
        <f t="shared" si="610"/>
        <v>357180.56298147229</v>
      </c>
      <c r="DG239" s="44">
        <f t="shared" si="610"/>
        <v>347119.13867213513</v>
      </c>
      <c r="DH239" s="44">
        <f t="shared" si="610"/>
        <v>337057.71436279791</v>
      </c>
      <c r="DI239" s="44">
        <f t="shared" si="610"/>
        <v>326996.29005346075</v>
      </c>
      <c r="DJ239" s="44">
        <f t="shared" si="610"/>
        <v>316934.86574412353</v>
      </c>
      <c r="DK239" s="44">
        <f t="shared" si="610"/>
        <v>306873.44143478642</v>
      </c>
      <c r="DL239" s="44">
        <f t="shared" si="610"/>
        <v>296812.0171254492</v>
      </c>
      <c r="DM239" s="44">
        <f t="shared" si="610"/>
        <v>286750.59281611204</v>
      </c>
      <c r="DN239" s="44">
        <f t="shared" si="610"/>
        <v>276689.16850677482</v>
      </c>
      <c r="DO239" s="44">
        <f t="shared" si="610"/>
        <v>266627.74419743771</v>
      </c>
      <c r="DP239" s="44">
        <f t="shared" si="610"/>
        <v>256566.31988810046</v>
      </c>
      <c r="DQ239" s="44">
        <f t="shared" si="610"/>
        <v>246504.89557876333</v>
      </c>
      <c r="DR239" s="44">
        <f t="shared" si="610"/>
        <v>236443.47126942611</v>
      </c>
      <c r="DS239" s="44">
        <f t="shared" si="610"/>
        <v>226382.04696008898</v>
      </c>
      <c r="DT239" s="44">
        <f t="shared" si="610"/>
        <v>216320.62265075176</v>
      </c>
      <c r="DU239" s="44">
        <f t="shared" si="610"/>
        <v>206259.19834141462</v>
      </c>
      <c r="DV239" s="44">
        <f t="shared" si="610"/>
        <v>196197.7740320774</v>
      </c>
      <c r="DW239" s="44">
        <f t="shared" si="610"/>
        <v>186136.34972274027</v>
      </c>
      <c r="DX239" s="44">
        <f t="shared" si="610"/>
        <v>176074.92541340305</v>
      </c>
      <c r="DY239" s="44">
        <f t="shared" si="610"/>
        <v>166013.50110406589</v>
      </c>
      <c r="DZ239" s="44">
        <f t="shared" si="610"/>
        <v>155952.07679472869</v>
      </c>
      <c r="EA239" s="44">
        <f t="shared" si="610"/>
        <v>145890.65248539153</v>
      </c>
      <c r="EB239" s="44">
        <f t="shared" si="610"/>
        <v>135829.22817605434</v>
      </c>
      <c r="EC239" s="44">
        <f t="shared" si="610"/>
        <v>125767.80386671716</v>
      </c>
      <c r="ED239" s="44">
        <f t="shared" si="610"/>
        <v>115706.37955737999</v>
      </c>
      <c r="EE239" s="44">
        <f t="shared" si="610"/>
        <v>105644.9552480428</v>
      </c>
      <c r="EF239" s="44">
        <f t="shared" ref="EF239:EN239" si="611">EF89</f>
        <v>95583.530938705619</v>
      </c>
      <c r="EG239" s="44">
        <f t="shared" si="611"/>
        <v>85522.106629368471</v>
      </c>
      <c r="EH239" s="44">
        <f t="shared" si="611"/>
        <v>75460.682320031279</v>
      </c>
      <c r="EI239" s="44">
        <f t="shared" si="611"/>
        <v>65399.258010694124</v>
      </c>
      <c r="EJ239" s="44">
        <f t="shared" si="611"/>
        <v>55337.833701356947</v>
      </c>
      <c r="EK239" s="44">
        <f t="shared" si="611"/>
        <v>45276.409392019785</v>
      </c>
      <c r="EL239" s="44">
        <f t="shared" si="611"/>
        <v>35214.985082682615</v>
      </c>
      <c r="EM239" s="44">
        <f t="shared" si="611"/>
        <v>25153.560773345442</v>
      </c>
      <c r="EN239" s="44">
        <f t="shared" si="611"/>
        <v>15092.136464008274</v>
      </c>
    </row>
    <row r="240" spans="2:144">
      <c r="C240" s="151" t="str">
        <f t="shared" si="581"/>
        <v>Туристские резиденции</v>
      </c>
      <c r="D240" s="45"/>
      <c r="E240" s="44"/>
      <c r="F240" s="44"/>
      <c r="G240" s="45"/>
      <c r="H240" s="44">
        <f t="shared" ref="H240:AM240" si="612">H100</f>
        <v>0</v>
      </c>
      <c r="I240" s="44">
        <f t="shared" si="612"/>
        <v>0</v>
      </c>
      <c r="J240" s="44">
        <f t="shared" si="612"/>
        <v>0</v>
      </c>
      <c r="K240" s="44">
        <f t="shared" si="612"/>
        <v>0</v>
      </c>
      <c r="L240" s="44">
        <f t="shared" si="612"/>
        <v>0</v>
      </c>
      <c r="M240" s="44">
        <f t="shared" si="612"/>
        <v>0</v>
      </c>
      <c r="N240" s="44">
        <f t="shared" si="612"/>
        <v>0</v>
      </c>
      <c r="O240" s="44">
        <f t="shared" si="612"/>
        <v>0</v>
      </c>
      <c r="P240" s="44">
        <f t="shared" si="612"/>
        <v>0</v>
      </c>
      <c r="Q240" s="44">
        <f t="shared" si="612"/>
        <v>0</v>
      </c>
      <c r="R240" s="44">
        <f t="shared" si="612"/>
        <v>0</v>
      </c>
      <c r="S240" s="44">
        <f t="shared" si="612"/>
        <v>0</v>
      </c>
      <c r="T240" s="44">
        <f t="shared" si="612"/>
        <v>0</v>
      </c>
      <c r="U240" s="44">
        <f t="shared" si="612"/>
        <v>0</v>
      </c>
      <c r="V240" s="44">
        <f t="shared" si="612"/>
        <v>0</v>
      </c>
      <c r="W240" s="44">
        <f t="shared" si="612"/>
        <v>0</v>
      </c>
      <c r="X240" s="44">
        <f t="shared" si="612"/>
        <v>0</v>
      </c>
      <c r="Y240" s="44">
        <f t="shared" si="612"/>
        <v>0</v>
      </c>
      <c r="Z240" s="44">
        <f t="shared" si="612"/>
        <v>0</v>
      </c>
      <c r="AA240" s="44">
        <f t="shared" si="612"/>
        <v>0</v>
      </c>
      <c r="AB240" s="44">
        <f t="shared" si="612"/>
        <v>0</v>
      </c>
      <c r="AC240" s="44">
        <f t="shared" si="612"/>
        <v>0</v>
      </c>
      <c r="AD240" s="44">
        <f t="shared" si="612"/>
        <v>0</v>
      </c>
      <c r="AE240" s="44">
        <f t="shared" si="612"/>
        <v>0</v>
      </c>
      <c r="AF240" s="44">
        <f t="shared" si="612"/>
        <v>0</v>
      </c>
      <c r="AG240" s="44">
        <f t="shared" si="612"/>
        <v>0</v>
      </c>
      <c r="AH240" s="44">
        <f t="shared" si="612"/>
        <v>0</v>
      </c>
      <c r="AI240" s="44">
        <f t="shared" si="612"/>
        <v>0</v>
      </c>
      <c r="AJ240" s="44">
        <f t="shared" si="612"/>
        <v>0</v>
      </c>
      <c r="AK240" s="44">
        <f t="shared" si="612"/>
        <v>0</v>
      </c>
      <c r="AL240" s="44">
        <f t="shared" si="612"/>
        <v>0</v>
      </c>
      <c r="AM240" s="44">
        <f t="shared" si="612"/>
        <v>0</v>
      </c>
      <c r="AN240" s="44">
        <f t="shared" ref="AN240:BS240" si="613">AN100</f>
        <v>0</v>
      </c>
      <c r="AO240" s="44">
        <f t="shared" si="613"/>
        <v>0</v>
      </c>
      <c r="AP240" s="44">
        <f t="shared" si="613"/>
        <v>0</v>
      </c>
      <c r="AQ240" s="44">
        <f t="shared" si="613"/>
        <v>0</v>
      </c>
      <c r="AR240" s="44">
        <f t="shared" si="613"/>
        <v>0</v>
      </c>
      <c r="AS240" s="44">
        <f t="shared" si="613"/>
        <v>0</v>
      </c>
      <c r="AT240" s="44">
        <f t="shared" si="613"/>
        <v>0</v>
      </c>
      <c r="AU240" s="44">
        <f t="shared" si="613"/>
        <v>0</v>
      </c>
      <c r="AV240" s="44">
        <f t="shared" si="613"/>
        <v>0</v>
      </c>
      <c r="AW240" s="44">
        <f t="shared" si="613"/>
        <v>0</v>
      </c>
      <c r="AX240" s="44">
        <f t="shared" si="613"/>
        <v>0</v>
      </c>
      <c r="AY240" s="44">
        <f t="shared" si="613"/>
        <v>0</v>
      </c>
      <c r="AZ240" s="44">
        <f t="shared" si="613"/>
        <v>0</v>
      </c>
      <c r="BA240" s="44">
        <f t="shared" si="613"/>
        <v>0</v>
      </c>
      <c r="BB240" s="44">
        <f t="shared" si="613"/>
        <v>0</v>
      </c>
      <c r="BC240" s="44">
        <f t="shared" si="613"/>
        <v>0</v>
      </c>
      <c r="BD240" s="44">
        <f t="shared" si="613"/>
        <v>0</v>
      </c>
      <c r="BE240" s="44">
        <f t="shared" si="613"/>
        <v>0</v>
      </c>
      <c r="BF240" s="44">
        <f t="shared" si="613"/>
        <v>0</v>
      </c>
      <c r="BG240" s="44">
        <f t="shared" si="613"/>
        <v>0</v>
      </c>
      <c r="BH240" s="44">
        <f t="shared" si="613"/>
        <v>0</v>
      </c>
      <c r="BI240" s="44">
        <f t="shared" si="613"/>
        <v>0</v>
      </c>
      <c r="BJ240" s="44">
        <f t="shared" si="613"/>
        <v>0</v>
      </c>
      <c r="BK240" s="44">
        <f t="shared" si="613"/>
        <v>0</v>
      </c>
      <c r="BL240" s="44">
        <f t="shared" si="613"/>
        <v>0</v>
      </c>
      <c r="BM240" s="44">
        <f t="shared" si="613"/>
        <v>0</v>
      </c>
      <c r="BN240" s="44">
        <f t="shared" si="613"/>
        <v>0</v>
      </c>
      <c r="BO240" s="44">
        <f t="shared" si="613"/>
        <v>0</v>
      </c>
      <c r="BP240" s="44">
        <f t="shared" si="613"/>
        <v>0</v>
      </c>
      <c r="BQ240" s="44">
        <f t="shared" si="613"/>
        <v>0</v>
      </c>
      <c r="BR240" s="44">
        <f t="shared" si="613"/>
        <v>0</v>
      </c>
      <c r="BS240" s="44">
        <f t="shared" si="613"/>
        <v>0</v>
      </c>
      <c r="BT240" s="44">
        <f t="shared" ref="BT240:CY240" si="614">BT100</f>
        <v>0</v>
      </c>
      <c r="BU240" s="44">
        <f t="shared" si="614"/>
        <v>0</v>
      </c>
      <c r="BV240" s="44">
        <f t="shared" si="614"/>
        <v>0</v>
      </c>
      <c r="BW240" s="44">
        <f t="shared" si="614"/>
        <v>0</v>
      </c>
      <c r="BX240" s="44">
        <f t="shared" si="614"/>
        <v>0</v>
      </c>
      <c r="BY240" s="44">
        <f t="shared" si="614"/>
        <v>0</v>
      </c>
      <c r="BZ240" s="44">
        <f t="shared" si="614"/>
        <v>0</v>
      </c>
      <c r="CA240" s="44">
        <f t="shared" si="614"/>
        <v>0</v>
      </c>
      <c r="CB240" s="44">
        <f t="shared" si="614"/>
        <v>0</v>
      </c>
      <c r="CC240" s="44">
        <f t="shared" si="614"/>
        <v>0</v>
      </c>
      <c r="CD240" s="44">
        <f t="shared" si="614"/>
        <v>0</v>
      </c>
      <c r="CE240" s="44">
        <f t="shared" si="614"/>
        <v>0</v>
      </c>
      <c r="CF240" s="44">
        <f t="shared" si="614"/>
        <v>0</v>
      </c>
      <c r="CG240" s="44">
        <f t="shared" si="614"/>
        <v>0</v>
      </c>
      <c r="CH240" s="44">
        <f t="shared" si="614"/>
        <v>0</v>
      </c>
      <c r="CI240" s="44">
        <f t="shared" si="614"/>
        <v>0</v>
      </c>
      <c r="CJ240" s="44">
        <f t="shared" si="614"/>
        <v>0</v>
      </c>
      <c r="CK240" s="44">
        <f t="shared" si="614"/>
        <v>0</v>
      </c>
      <c r="CL240" s="44">
        <f t="shared" si="614"/>
        <v>0</v>
      </c>
      <c r="CM240" s="44">
        <f t="shared" si="614"/>
        <v>0</v>
      </c>
      <c r="CN240" s="44">
        <f t="shared" si="614"/>
        <v>0</v>
      </c>
      <c r="CO240" s="44">
        <f t="shared" si="614"/>
        <v>0</v>
      </c>
      <c r="CP240" s="44">
        <f t="shared" si="614"/>
        <v>0</v>
      </c>
      <c r="CQ240" s="44">
        <f t="shared" si="614"/>
        <v>0</v>
      </c>
      <c r="CR240" s="44">
        <f t="shared" si="614"/>
        <v>0</v>
      </c>
      <c r="CS240" s="44">
        <f t="shared" si="614"/>
        <v>0</v>
      </c>
      <c r="CT240" s="44">
        <f t="shared" si="614"/>
        <v>0</v>
      </c>
      <c r="CU240" s="44">
        <f t="shared" si="614"/>
        <v>0</v>
      </c>
      <c r="CV240" s="44">
        <f t="shared" si="614"/>
        <v>0</v>
      </c>
      <c r="CW240" s="44">
        <f t="shared" si="614"/>
        <v>0</v>
      </c>
      <c r="CX240" s="44">
        <f t="shared" si="614"/>
        <v>0</v>
      </c>
      <c r="CY240" s="44">
        <f t="shared" si="614"/>
        <v>0</v>
      </c>
      <c r="CZ240" s="44">
        <f t="shared" ref="CZ240:EE240" si="615">CZ100</f>
        <v>0</v>
      </c>
      <c r="DA240" s="44">
        <f t="shared" si="615"/>
        <v>0</v>
      </c>
      <c r="DB240" s="44">
        <f t="shared" si="615"/>
        <v>0</v>
      </c>
      <c r="DC240" s="44">
        <f t="shared" si="615"/>
        <v>0</v>
      </c>
      <c r="DD240" s="44">
        <f t="shared" si="615"/>
        <v>0</v>
      </c>
      <c r="DE240" s="44">
        <f t="shared" si="615"/>
        <v>0</v>
      </c>
      <c r="DF240" s="44">
        <f t="shared" si="615"/>
        <v>0</v>
      </c>
      <c r="DG240" s="44">
        <f t="shared" si="615"/>
        <v>0</v>
      </c>
      <c r="DH240" s="44">
        <f t="shared" si="615"/>
        <v>0</v>
      </c>
      <c r="DI240" s="44">
        <f t="shared" si="615"/>
        <v>0</v>
      </c>
      <c r="DJ240" s="44">
        <f t="shared" si="615"/>
        <v>0</v>
      </c>
      <c r="DK240" s="44">
        <f t="shared" si="615"/>
        <v>0</v>
      </c>
      <c r="DL240" s="44">
        <f t="shared" si="615"/>
        <v>0</v>
      </c>
      <c r="DM240" s="44">
        <f t="shared" si="615"/>
        <v>0</v>
      </c>
      <c r="DN240" s="44">
        <f t="shared" si="615"/>
        <v>0</v>
      </c>
      <c r="DO240" s="44">
        <f t="shared" si="615"/>
        <v>0</v>
      </c>
      <c r="DP240" s="44">
        <f t="shared" si="615"/>
        <v>0</v>
      </c>
      <c r="DQ240" s="44">
        <f t="shared" si="615"/>
        <v>0</v>
      </c>
      <c r="DR240" s="44">
        <f t="shared" si="615"/>
        <v>0</v>
      </c>
      <c r="DS240" s="44">
        <f t="shared" si="615"/>
        <v>0</v>
      </c>
      <c r="DT240" s="44">
        <f t="shared" si="615"/>
        <v>0</v>
      </c>
      <c r="DU240" s="44">
        <f t="shared" si="615"/>
        <v>0</v>
      </c>
      <c r="DV240" s="44">
        <f t="shared" si="615"/>
        <v>0</v>
      </c>
      <c r="DW240" s="44">
        <f t="shared" si="615"/>
        <v>0</v>
      </c>
      <c r="DX240" s="44">
        <f t="shared" si="615"/>
        <v>0</v>
      </c>
      <c r="DY240" s="44">
        <f t="shared" si="615"/>
        <v>0</v>
      </c>
      <c r="DZ240" s="44">
        <f t="shared" si="615"/>
        <v>0</v>
      </c>
      <c r="EA240" s="44">
        <f t="shared" si="615"/>
        <v>0</v>
      </c>
      <c r="EB240" s="44">
        <f t="shared" si="615"/>
        <v>0</v>
      </c>
      <c r="EC240" s="44">
        <f t="shared" si="615"/>
        <v>0</v>
      </c>
      <c r="ED240" s="44">
        <f t="shared" si="615"/>
        <v>0</v>
      </c>
      <c r="EE240" s="44">
        <f t="shared" si="615"/>
        <v>0</v>
      </c>
      <c r="EF240" s="44">
        <f t="shared" ref="EF240:EN240" si="616">EF100</f>
        <v>0</v>
      </c>
      <c r="EG240" s="44">
        <f t="shared" si="616"/>
        <v>0</v>
      </c>
      <c r="EH240" s="44">
        <f t="shared" si="616"/>
        <v>0</v>
      </c>
      <c r="EI240" s="44">
        <f t="shared" si="616"/>
        <v>0</v>
      </c>
      <c r="EJ240" s="44">
        <f t="shared" si="616"/>
        <v>0</v>
      </c>
      <c r="EK240" s="44">
        <f t="shared" si="616"/>
        <v>0</v>
      </c>
      <c r="EL240" s="44">
        <f t="shared" si="616"/>
        <v>0</v>
      </c>
      <c r="EM240" s="44">
        <f t="shared" si="616"/>
        <v>0</v>
      </c>
      <c r="EN240" s="44">
        <f t="shared" si="616"/>
        <v>0</v>
      </c>
    </row>
    <row r="241" spans="2:144">
      <c r="C241" s="151" t="str">
        <f t="shared" si="581"/>
        <v>Ресторан в зоне катания</v>
      </c>
      <c r="D241" s="45"/>
      <c r="E241" s="44"/>
      <c r="F241" s="44"/>
      <c r="G241" s="45"/>
      <c r="H241" s="44">
        <f t="shared" ref="H241:AM241" si="617">H111</f>
        <v>0</v>
      </c>
      <c r="I241" s="44">
        <f t="shared" si="617"/>
        <v>0</v>
      </c>
      <c r="J241" s="44">
        <f t="shared" si="617"/>
        <v>0</v>
      </c>
      <c r="K241" s="44">
        <f t="shared" si="617"/>
        <v>0</v>
      </c>
      <c r="L241" s="44">
        <f t="shared" si="617"/>
        <v>0</v>
      </c>
      <c r="M241" s="44">
        <f t="shared" si="617"/>
        <v>0</v>
      </c>
      <c r="N241" s="44">
        <f t="shared" si="617"/>
        <v>0</v>
      </c>
      <c r="O241" s="44">
        <f t="shared" si="617"/>
        <v>0</v>
      </c>
      <c r="P241" s="44">
        <f t="shared" si="617"/>
        <v>0</v>
      </c>
      <c r="Q241" s="44">
        <f t="shared" si="617"/>
        <v>0</v>
      </c>
      <c r="R241" s="44">
        <f t="shared" si="617"/>
        <v>0</v>
      </c>
      <c r="S241" s="44">
        <f t="shared" si="617"/>
        <v>0</v>
      </c>
      <c r="T241" s="44">
        <f t="shared" si="617"/>
        <v>0</v>
      </c>
      <c r="U241" s="44">
        <f t="shared" si="617"/>
        <v>0</v>
      </c>
      <c r="V241" s="44">
        <f t="shared" si="617"/>
        <v>0</v>
      </c>
      <c r="W241" s="44">
        <f t="shared" si="617"/>
        <v>0</v>
      </c>
      <c r="X241" s="44">
        <f t="shared" si="617"/>
        <v>0</v>
      </c>
      <c r="Y241" s="44">
        <f t="shared" si="617"/>
        <v>0</v>
      </c>
      <c r="Z241" s="44">
        <f t="shared" si="617"/>
        <v>0</v>
      </c>
      <c r="AA241" s="44">
        <f t="shared" si="617"/>
        <v>0</v>
      </c>
      <c r="AB241" s="44">
        <f t="shared" si="617"/>
        <v>0</v>
      </c>
      <c r="AC241" s="44">
        <f t="shared" si="617"/>
        <v>0</v>
      </c>
      <c r="AD241" s="44">
        <f t="shared" si="617"/>
        <v>0</v>
      </c>
      <c r="AE241" s="44">
        <f t="shared" si="617"/>
        <v>0</v>
      </c>
      <c r="AF241" s="44">
        <f t="shared" si="617"/>
        <v>0</v>
      </c>
      <c r="AG241" s="44">
        <f t="shared" si="617"/>
        <v>0</v>
      </c>
      <c r="AH241" s="44">
        <f t="shared" si="617"/>
        <v>0</v>
      </c>
      <c r="AI241" s="44">
        <f t="shared" si="617"/>
        <v>0</v>
      </c>
      <c r="AJ241" s="44">
        <f t="shared" si="617"/>
        <v>0</v>
      </c>
      <c r="AK241" s="44">
        <f t="shared" si="617"/>
        <v>0</v>
      </c>
      <c r="AL241" s="44">
        <f t="shared" si="617"/>
        <v>0</v>
      </c>
      <c r="AM241" s="44">
        <f t="shared" si="617"/>
        <v>0</v>
      </c>
      <c r="AN241" s="44">
        <f t="shared" ref="AN241:BS241" si="618">AN111</f>
        <v>0</v>
      </c>
      <c r="AO241" s="44">
        <f t="shared" si="618"/>
        <v>0</v>
      </c>
      <c r="AP241" s="44">
        <f t="shared" si="618"/>
        <v>0</v>
      </c>
      <c r="AQ241" s="44">
        <f t="shared" si="618"/>
        <v>0</v>
      </c>
      <c r="AR241" s="44">
        <f t="shared" si="618"/>
        <v>0</v>
      </c>
      <c r="AS241" s="44">
        <f t="shared" si="618"/>
        <v>0</v>
      </c>
      <c r="AT241" s="44">
        <f t="shared" si="618"/>
        <v>0</v>
      </c>
      <c r="AU241" s="44">
        <f t="shared" si="618"/>
        <v>0</v>
      </c>
      <c r="AV241" s="44">
        <f t="shared" si="618"/>
        <v>0</v>
      </c>
      <c r="AW241" s="44">
        <f t="shared" si="618"/>
        <v>0</v>
      </c>
      <c r="AX241" s="44">
        <f t="shared" si="618"/>
        <v>0</v>
      </c>
      <c r="AY241" s="44">
        <f t="shared" si="618"/>
        <v>0</v>
      </c>
      <c r="AZ241" s="44">
        <f t="shared" si="618"/>
        <v>0</v>
      </c>
      <c r="BA241" s="44">
        <f t="shared" si="618"/>
        <v>0</v>
      </c>
      <c r="BB241" s="44">
        <f t="shared" si="618"/>
        <v>0</v>
      </c>
      <c r="BC241" s="44">
        <f t="shared" si="618"/>
        <v>0</v>
      </c>
      <c r="BD241" s="44">
        <f t="shared" si="618"/>
        <v>0</v>
      </c>
      <c r="BE241" s="44">
        <f t="shared" si="618"/>
        <v>0</v>
      </c>
      <c r="BF241" s="44">
        <f t="shared" si="618"/>
        <v>0</v>
      </c>
      <c r="BG241" s="44">
        <f t="shared" si="618"/>
        <v>0</v>
      </c>
      <c r="BH241" s="44">
        <f t="shared" si="618"/>
        <v>678403.77348071686</v>
      </c>
      <c r="BI241" s="44">
        <f t="shared" si="618"/>
        <v>670079.8007999718</v>
      </c>
      <c r="BJ241" s="44">
        <f t="shared" si="618"/>
        <v>661755.82811922696</v>
      </c>
      <c r="BK241" s="44">
        <f t="shared" si="618"/>
        <v>653431.8554384819</v>
      </c>
      <c r="BL241" s="44">
        <f t="shared" si="618"/>
        <v>645107.88275773695</v>
      </c>
      <c r="BM241" s="44">
        <f t="shared" si="618"/>
        <v>636783.91007699189</v>
      </c>
      <c r="BN241" s="44">
        <f t="shared" si="618"/>
        <v>628459.93739624694</v>
      </c>
      <c r="BO241" s="44">
        <f t="shared" si="618"/>
        <v>620135.96471550188</v>
      </c>
      <c r="BP241" s="44">
        <f t="shared" si="618"/>
        <v>611811.99203475704</v>
      </c>
      <c r="BQ241" s="44">
        <f t="shared" si="618"/>
        <v>603488.01935401198</v>
      </c>
      <c r="BR241" s="44">
        <f t="shared" si="618"/>
        <v>595164.04667326703</v>
      </c>
      <c r="BS241" s="44">
        <f t="shared" si="618"/>
        <v>586840.07399252197</v>
      </c>
      <c r="BT241" s="44">
        <f t="shared" ref="BT241:CY241" si="619">BT111</f>
        <v>578516.10131177714</v>
      </c>
      <c r="BU241" s="44">
        <f t="shared" si="619"/>
        <v>570192.12863103207</v>
      </c>
      <c r="BV241" s="44">
        <f t="shared" si="619"/>
        <v>561868.15595028712</v>
      </c>
      <c r="BW241" s="44">
        <f t="shared" si="619"/>
        <v>553544.18326954206</v>
      </c>
      <c r="BX241" s="44">
        <f t="shared" si="619"/>
        <v>545220.21058879711</v>
      </c>
      <c r="BY241" s="44">
        <f t="shared" si="619"/>
        <v>536896.23790805205</v>
      </c>
      <c r="BZ241" s="44">
        <f t="shared" si="619"/>
        <v>528572.26522730722</v>
      </c>
      <c r="CA241" s="44">
        <f t="shared" si="619"/>
        <v>520248.29254656209</v>
      </c>
      <c r="CB241" s="44">
        <f t="shared" si="619"/>
        <v>511924.3198658172</v>
      </c>
      <c r="CC241" s="44">
        <f t="shared" si="619"/>
        <v>503600.34718507214</v>
      </c>
      <c r="CD241" s="44">
        <f t="shared" si="619"/>
        <v>495276.37450432725</v>
      </c>
      <c r="CE241" s="44">
        <f t="shared" si="619"/>
        <v>486952.40182358219</v>
      </c>
      <c r="CF241" s="44">
        <f t="shared" si="619"/>
        <v>478628.4291428373</v>
      </c>
      <c r="CG241" s="44">
        <f t="shared" si="619"/>
        <v>470304.45646209223</v>
      </c>
      <c r="CH241" s="44">
        <f t="shared" si="619"/>
        <v>461980.48378134734</v>
      </c>
      <c r="CI241" s="44">
        <f t="shared" si="619"/>
        <v>453656.51110060228</v>
      </c>
      <c r="CJ241" s="44">
        <f t="shared" si="619"/>
        <v>445332.53841985733</v>
      </c>
      <c r="CK241" s="44">
        <f t="shared" si="619"/>
        <v>437008.56573911227</v>
      </c>
      <c r="CL241" s="44">
        <f t="shared" si="619"/>
        <v>428684.59305836738</v>
      </c>
      <c r="CM241" s="44">
        <f t="shared" si="619"/>
        <v>420360.62037762231</v>
      </c>
      <c r="CN241" s="44">
        <f t="shared" si="619"/>
        <v>412036.64769687742</v>
      </c>
      <c r="CO241" s="44">
        <f t="shared" si="619"/>
        <v>403712.67501613236</v>
      </c>
      <c r="CP241" s="44">
        <f t="shared" si="619"/>
        <v>395388.70233538747</v>
      </c>
      <c r="CQ241" s="44">
        <f t="shared" si="619"/>
        <v>387064.7296546424</v>
      </c>
      <c r="CR241" s="44">
        <f t="shared" si="619"/>
        <v>378740.75697389751</v>
      </c>
      <c r="CS241" s="44">
        <f t="shared" si="619"/>
        <v>370416.78429315245</v>
      </c>
      <c r="CT241" s="44">
        <f t="shared" si="619"/>
        <v>362092.8116124075</v>
      </c>
      <c r="CU241" s="44">
        <f t="shared" si="619"/>
        <v>353768.8389316625</v>
      </c>
      <c r="CV241" s="44">
        <f t="shared" si="619"/>
        <v>345444.86625091755</v>
      </c>
      <c r="CW241" s="44">
        <f t="shared" si="619"/>
        <v>337120.89357017254</v>
      </c>
      <c r="CX241" s="44">
        <f t="shared" si="619"/>
        <v>328796.92088942754</v>
      </c>
      <c r="CY241" s="44">
        <f t="shared" si="619"/>
        <v>320472.94820868259</v>
      </c>
      <c r="CZ241" s="44">
        <f t="shared" ref="CZ241:EE241" si="620">CZ111</f>
        <v>312148.97552793758</v>
      </c>
      <c r="DA241" s="44">
        <f t="shared" si="620"/>
        <v>303825.00284719263</v>
      </c>
      <c r="DB241" s="44">
        <f t="shared" si="620"/>
        <v>295501.03016644763</v>
      </c>
      <c r="DC241" s="44">
        <f t="shared" si="620"/>
        <v>287177.05748570262</v>
      </c>
      <c r="DD241" s="44">
        <f t="shared" si="620"/>
        <v>278853.08480495767</v>
      </c>
      <c r="DE241" s="44">
        <f t="shared" si="620"/>
        <v>270529.11212421267</v>
      </c>
      <c r="DF241" s="44">
        <f t="shared" si="620"/>
        <v>262205.13944346772</v>
      </c>
      <c r="DG241" s="44">
        <f t="shared" si="620"/>
        <v>253881.16676272271</v>
      </c>
      <c r="DH241" s="44">
        <f t="shared" si="620"/>
        <v>245557.19408197774</v>
      </c>
      <c r="DI241" s="44">
        <f t="shared" si="620"/>
        <v>237233.22140123276</v>
      </c>
      <c r="DJ241" s="44">
        <f t="shared" si="620"/>
        <v>228909.24872048775</v>
      </c>
      <c r="DK241" s="44">
        <f t="shared" si="620"/>
        <v>220585.27603974278</v>
      </c>
      <c r="DL241" s="44">
        <f t="shared" si="620"/>
        <v>212261.3033589978</v>
      </c>
      <c r="DM241" s="44">
        <f t="shared" si="620"/>
        <v>203937.33067825282</v>
      </c>
      <c r="DN241" s="44">
        <f t="shared" si="620"/>
        <v>195613.35799750785</v>
      </c>
      <c r="DO241" s="44">
        <f t="shared" si="620"/>
        <v>187289.38531676284</v>
      </c>
      <c r="DP241" s="44">
        <f t="shared" si="620"/>
        <v>178965.41263601792</v>
      </c>
      <c r="DQ241" s="44">
        <f t="shared" si="620"/>
        <v>170641.43995527292</v>
      </c>
      <c r="DR241" s="44">
        <f t="shared" si="620"/>
        <v>162317.467274528</v>
      </c>
      <c r="DS241" s="44">
        <f t="shared" si="620"/>
        <v>153993.49459378299</v>
      </c>
      <c r="DT241" s="44">
        <f t="shared" si="620"/>
        <v>145669.52191303807</v>
      </c>
      <c r="DU241" s="44">
        <f t="shared" si="620"/>
        <v>137345.54923229307</v>
      </c>
      <c r="DV241" s="44">
        <f t="shared" si="620"/>
        <v>129021.57655154813</v>
      </c>
      <c r="DW241" s="44">
        <f t="shared" si="620"/>
        <v>120697.60387080316</v>
      </c>
      <c r="DX241" s="44">
        <f t="shared" si="620"/>
        <v>112373.63119005821</v>
      </c>
      <c r="DY241" s="44">
        <f t="shared" si="620"/>
        <v>104049.65850931323</v>
      </c>
      <c r="DZ241" s="44">
        <f t="shared" si="620"/>
        <v>95725.685828568283</v>
      </c>
      <c r="EA241" s="44">
        <f t="shared" si="620"/>
        <v>87401.713147823306</v>
      </c>
      <c r="EB241" s="44">
        <f t="shared" si="620"/>
        <v>79077.740467078343</v>
      </c>
      <c r="EC241" s="44">
        <f t="shared" si="620"/>
        <v>70753.767786333381</v>
      </c>
      <c r="ED241" s="44">
        <f t="shared" si="620"/>
        <v>62429.795105588426</v>
      </c>
      <c r="EE241" s="44">
        <f t="shared" si="620"/>
        <v>54105.822424843464</v>
      </c>
      <c r="EF241" s="44">
        <f t="shared" ref="EF241:EN241" si="621">EF111</f>
        <v>45781.849744098501</v>
      </c>
      <c r="EG241" s="44">
        <f t="shared" si="621"/>
        <v>37457.877063353531</v>
      </c>
      <c r="EH241" s="44">
        <f t="shared" si="621"/>
        <v>29133.904382608565</v>
      </c>
      <c r="EI241" s="44">
        <f t="shared" si="621"/>
        <v>20809.931701863596</v>
      </c>
      <c r="EJ241" s="44">
        <f t="shared" si="621"/>
        <v>12485.95902111863</v>
      </c>
      <c r="EK241" s="44">
        <f t="shared" si="621"/>
        <v>4161.9863403736617</v>
      </c>
      <c r="EL241" s="44">
        <f t="shared" si="621"/>
        <v>1.1781230568885802E-9</v>
      </c>
      <c r="EM241" s="44">
        <f t="shared" si="621"/>
        <v>1.1781230568885802E-9</v>
      </c>
      <c r="EN241" s="44">
        <f t="shared" si="621"/>
        <v>1.1781230568885802E-9</v>
      </c>
    </row>
    <row r="242" spans="2:144">
      <c r="C242" s="151" t="str">
        <f t="shared" si="581"/>
        <v>SPA-комплекс</v>
      </c>
      <c r="D242" s="45"/>
      <c r="E242" s="44"/>
      <c r="F242" s="44"/>
      <c r="G242" s="45"/>
      <c r="H242" s="44">
        <f t="shared" ref="H242:AM242" si="622">H122</f>
        <v>0</v>
      </c>
      <c r="I242" s="44">
        <f t="shared" si="622"/>
        <v>0</v>
      </c>
      <c r="J242" s="44">
        <f t="shared" si="622"/>
        <v>0</v>
      </c>
      <c r="K242" s="44">
        <f t="shared" si="622"/>
        <v>0</v>
      </c>
      <c r="L242" s="44">
        <f t="shared" si="622"/>
        <v>0</v>
      </c>
      <c r="M242" s="44">
        <f t="shared" si="622"/>
        <v>0</v>
      </c>
      <c r="N242" s="44">
        <f t="shared" si="622"/>
        <v>0</v>
      </c>
      <c r="O242" s="44">
        <f t="shared" si="622"/>
        <v>0</v>
      </c>
      <c r="P242" s="44">
        <f t="shared" si="622"/>
        <v>0</v>
      </c>
      <c r="Q242" s="44">
        <f t="shared" si="622"/>
        <v>0</v>
      </c>
      <c r="R242" s="44">
        <f t="shared" si="622"/>
        <v>0</v>
      </c>
      <c r="S242" s="44">
        <f t="shared" si="622"/>
        <v>0</v>
      </c>
      <c r="T242" s="44">
        <f t="shared" si="622"/>
        <v>0</v>
      </c>
      <c r="U242" s="44">
        <f t="shared" si="622"/>
        <v>0</v>
      </c>
      <c r="V242" s="44">
        <f t="shared" si="622"/>
        <v>0</v>
      </c>
      <c r="W242" s="44">
        <f t="shared" si="622"/>
        <v>0</v>
      </c>
      <c r="X242" s="44">
        <f t="shared" si="622"/>
        <v>0</v>
      </c>
      <c r="Y242" s="44">
        <f t="shared" si="622"/>
        <v>0</v>
      </c>
      <c r="Z242" s="44">
        <f t="shared" si="622"/>
        <v>0</v>
      </c>
      <c r="AA242" s="44">
        <f t="shared" si="622"/>
        <v>0</v>
      </c>
      <c r="AB242" s="44">
        <f t="shared" si="622"/>
        <v>0</v>
      </c>
      <c r="AC242" s="44">
        <f t="shared" si="622"/>
        <v>0</v>
      </c>
      <c r="AD242" s="44">
        <f t="shared" si="622"/>
        <v>0</v>
      </c>
      <c r="AE242" s="44">
        <f t="shared" si="622"/>
        <v>0</v>
      </c>
      <c r="AF242" s="44">
        <f t="shared" si="622"/>
        <v>0</v>
      </c>
      <c r="AG242" s="44">
        <f t="shared" si="622"/>
        <v>0</v>
      </c>
      <c r="AH242" s="44">
        <f t="shared" si="622"/>
        <v>0</v>
      </c>
      <c r="AI242" s="44">
        <f t="shared" si="622"/>
        <v>0</v>
      </c>
      <c r="AJ242" s="44">
        <f t="shared" si="622"/>
        <v>0</v>
      </c>
      <c r="AK242" s="44">
        <f t="shared" si="622"/>
        <v>0</v>
      </c>
      <c r="AL242" s="44">
        <f t="shared" si="622"/>
        <v>0</v>
      </c>
      <c r="AM242" s="44">
        <f t="shared" si="622"/>
        <v>0</v>
      </c>
      <c r="AN242" s="44">
        <f t="shared" ref="AN242:BS242" si="623">AN122</f>
        <v>0</v>
      </c>
      <c r="AO242" s="44">
        <f t="shared" si="623"/>
        <v>0</v>
      </c>
      <c r="AP242" s="44">
        <f t="shared" si="623"/>
        <v>0</v>
      </c>
      <c r="AQ242" s="44">
        <f t="shared" si="623"/>
        <v>0</v>
      </c>
      <c r="AR242" s="44">
        <f t="shared" si="623"/>
        <v>0</v>
      </c>
      <c r="AS242" s="44">
        <f t="shared" si="623"/>
        <v>0</v>
      </c>
      <c r="AT242" s="44">
        <f t="shared" si="623"/>
        <v>0</v>
      </c>
      <c r="AU242" s="44">
        <f t="shared" si="623"/>
        <v>0</v>
      </c>
      <c r="AV242" s="44">
        <f t="shared" si="623"/>
        <v>0</v>
      </c>
      <c r="AW242" s="44">
        <f t="shared" si="623"/>
        <v>0</v>
      </c>
      <c r="AX242" s="44">
        <f t="shared" si="623"/>
        <v>0</v>
      </c>
      <c r="AY242" s="44">
        <f t="shared" si="623"/>
        <v>0</v>
      </c>
      <c r="AZ242" s="44">
        <f t="shared" si="623"/>
        <v>0</v>
      </c>
      <c r="BA242" s="44">
        <f t="shared" si="623"/>
        <v>0</v>
      </c>
      <c r="BB242" s="44">
        <f t="shared" si="623"/>
        <v>0</v>
      </c>
      <c r="BC242" s="44">
        <f t="shared" si="623"/>
        <v>0</v>
      </c>
      <c r="BD242" s="44">
        <f t="shared" si="623"/>
        <v>0</v>
      </c>
      <c r="BE242" s="44">
        <f t="shared" si="623"/>
        <v>0</v>
      </c>
      <c r="BF242" s="44">
        <f t="shared" si="623"/>
        <v>0</v>
      </c>
      <c r="BG242" s="44">
        <f t="shared" si="623"/>
        <v>0</v>
      </c>
      <c r="BH242" s="44">
        <f t="shared" si="623"/>
        <v>1173032.2246625077</v>
      </c>
      <c r="BI242" s="44">
        <f t="shared" si="623"/>
        <v>1158639.1912310659</v>
      </c>
      <c r="BJ242" s="44">
        <f t="shared" si="623"/>
        <v>1144246.1577996239</v>
      </c>
      <c r="BK242" s="44">
        <f t="shared" si="623"/>
        <v>1129853.1243681822</v>
      </c>
      <c r="BL242" s="44">
        <f t="shared" si="623"/>
        <v>1115460.0909367402</v>
      </c>
      <c r="BM242" s="44">
        <f t="shared" si="623"/>
        <v>1101067.0575052984</v>
      </c>
      <c r="BN242" s="44">
        <f t="shared" si="623"/>
        <v>1086674.0240738564</v>
      </c>
      <c r="BO242" s="44">
        <f t="shared" si="623"/>
        <v>1072280.9906424147</v>
      </c>
      <c r="BP242" s="44">
        <f t="shared" si="623"/>
        <v>1057887.9572109727</v>
      </c>
      <c r="BQ242" s="44">
        <f t="shared" si="623"/>
        <v>1043494.9237795308</v>
      </c>
      <c r="BR242" s="44">
        <f t="shared" si="623"/>
        <v>1029101.8903480889</v>
      </c>
      <c r="BS242" s="44">
        <f t="shared" si="623"/>
        <v>1014708.8569166471</v>
      </c>
      <c r="BT242" s="44">
        <f t="shared" ref="BT242:CY242" si="624">BT122</f>
        <v>1000315.8234852052</v>
      </c>
      <c r="BU242" s="44">
        <f t="shared" si="624"/>
        <v>985922.79005376331</v>
      </c>
      <c r="BV242" s="44">
        <f t="shared" si="624"/>
        <v>971529.75662232144</v>
      </c>
      <c r="BW242" s="44">
        <f t="shared" si="624"/>
        <v>957136.72319087957</v>
      </c>
      <c r="BX242" s="44">
        <f t="shared" si="624"/>
        <v>942743.68975943769</v>
      </c>
      <c r="BY242" s="44">
        <f t="shared" si="624"/>
        <v>928350.65632799582</v>
      </c>
      <c r="BZ242" s="44">
        <f t="shared" si="624"/>
        <v>913957.62289655395</v>
      </c>
      <c r="CA242" s="44">
        <f t="shared" si="624"/>
        <v>899564.58946511208</v>
      </c>
      <c r="CB242" s="44">
        <f t="shared" si="624"/>
        <v>885171.5560336702</v>
      </c>
      <c r="CC242" s="44">
        <f t="shared" si="624"/>
        <v>870778.52260222833</v>
      </c>
      <c r="CD242" s="44">
        <f t="shared" si="624"/>
        <v>856385.48917078646</v>
      </c>
      <c r="CE242" s="44">
        <f t="shared" si="624"/>
        <v>841992.45573934459</v>
      </c>
      <c r="CF242" s="44">
        <f t="shared" si="624"/>
        <v>827599.42230790271</v>
      </c>
      <c r="CG242" s="44">
        <f t="shared" si="624"/>
        <v>813206.38887646084</v>
      </c>
      <c r="CH242" s="44">
        <f t="shared" si="624"/>
        <v>798813.35544501897</v>
      </c>
      <c r="CI242" s="44">
        <f t="shared" si="624"/>
        <v>784420.3220135771</v>
      </c>
      <c r="CJ242" s="44">
        <f t="shared" si="624"/>
        <v>770027.28858213522</v>
      </c>
      <c r="CK242" s="44">
        <f t="shared" si="624"/>
        <v>755634.25515069335</v>
      </c>
      <c r="CL242" s="44">
        <f t="shared" si="624"/>
        <v>741241.22171925148</v>
      </c>
      <c r="CM242" s="44">
        <f t="shared" si="624"/>
        <v>726848.18828780961</v>
      </c>
      <c r="CN242" s="44">
        <f t="shared" si="624"/>
        <v>712455.15485636774</v>
      </c>
      <c r="CO242" s="44">
        <f t="shared" si="624"/>
        <v>698062.12142492586</v>
      </c>
      <c r="CP242" s="44">
        <f t="shared" si="624"/>
        <v>683669.08799348399</v>
      </c>
      <c r="CQ242" s="44">
        <f t="shared" si="624"/>
        <v>669276.05456204212</v>
      </c>
      <c r="CR242" s="44">
        <f t="shared" si="624"/>
        <v>654883.02113060025</v>
      </c>
      <c r="CS242" s="44">
        <f t="shared" si="624"/>
        <v>640489.98769915837</v>
      </c>
      <c r="CT242" s="44">
        <f t="shared" si="624"/>
        <v>626096.9542677165</v>
      </c>
      <c r="CU242" s="44">
        <f t="shared" si="624"/>
        <v>611703.92083627463</v>
      </c>
      <c r="CV242" s="44">
        <f t="shared" si="624"/>
        <v>597310.88740483276</v>
      </c>
      <c r="CW242" s="44">
        <f t="shared" si="624"/>
        <v>582917.85397339088</v>
      </c>
      <c r="CX242" s="44">
        <f t="shared" si="624"/>
        <v>568524.82054194901</v>
      </c>
      <c r="CY242" s="44">
        <f t="shared" si="624"/>
        <v>554131.78711050714</v>
      </c>
      <c r="CZ242" s="44">
        <f t="shared" ref="CZ242:EE242" si="625">CZ122</f>
        <v>539738.75367906527</v>
      </c>
      <c r="DA242" s="44">
        <f t="shared" si="625"/>
        <v>525345.72024762339</v>
      </c>
      <c r="DB242" s="44">
        <f t="shared" si="625"/>
        <v>510952.68681618158</v>
      </c>
      <c r="DC242" s="44">
        <f t="shared" si="625"/>
        <v>496559.65338473971</v>
      </c>
      <c r="DD242" s="44">
        <f t="shared" si="625"/>
        <v>482166.61995329784</v>
      </c>
      <c r="DE242" s="44">
        <f t="shared" si="625"/>
        <v>467773.58652185596</v>
      </c>
      <c r="DF242" s="44">
        <f t="shared" si="625"/>
        <v>453380.55309041409</v>
      </c>
      <c r="DG242" s="44">
        <f t="shared" si="625"/>
        <v>438987.51965897222</v>
      </c>
      <c r="DH242" s="44">
        <f t="shared" si="625"/>
        <v>424594.48622753035</v>
      </c>
      <c r="DI242" s="44">
        <f t="shared" si="625"/>
        <v>410201.45279608847</v>
      </c>
      <c r="DJ242" s="44">
        <f t="shared" si="625"/>
        <v>395808.4193646466</v>
      </c>
      <c r="DK242" s="44">
        <f t="shared" si="625"/>
        <v>381415.38593320473</v>
      </c>
      <c r="DL242" s="44">
        <f t="shared" si="625"/>
        <v>367022.35250176286</v>
      </c>
      <c r="DM242" s="44">
        <f t="shared" si="625"/>
        <v>352629.31907032104</v>
      </c>
      <c r="DN242" s="44">
        <f t="shared" si="625"/>
        <v>338236.28563887917</v>
      </c>
      <c r="DO242" s="44">
        <f t="shared" si="625"/>
        <v>323843.25220743736</v>
      </c>
      <c r="DP242" s="44">
        <f t="shared" si="625"/>
        <v>309450.21877599548</v>
      </c>
      <c r="DQ242" s="44">
        <f t="shared" si="625"/>
        <v>295057.18534455373</v>
      </c>
      <c r="DR242" s="44">
        <f t="shared" si="625"/>
        <v>280664.15191311185</v>
      </c>
      <c r="DS242" s="44">
        <f t="shared" si="625"/>
        <v>266271.11848167004</v>
      </c>
      <c r="DT242" s="44">
        <f t="shared" si="625"/>
        <v>251878.08505022817</v>
      </c>
      <c r="DU242" s="44">
        <f t="shared" si="625"/>
        <v>237485.05161878638</v>
      </c>
      <c r="DV242" s="44">
        <f t="shared" si="625"/>
        <v>223092.01818734451</v>
      </c>
      <c r="DW242" s="44">
        <f t="shared" si="625"/>
        <v>208698.98475590273</v>
      </c>
      <c r="DX242" s="44">
        <f t="shared" si="625"/>
        <v>194305.95132446085</v>
      </c>
      <c r="DY242" s="44">
        <f t="shared" si="625"/>
        <v>179912.91789301904</v>
      </c>
      <c r="DZ242" s="44">
        <f t="shared" si="625"/>
        <v>165519.8844615772</v>
      </c>
      <c r="EA242" s="44">
        <f t="shared" si="625"/>
        <v>151126.85103013538</v>
      </c>
      <c r="EB242" s="44">
        <f t="shared" si="625"/>
        <v>136733.81759869354</v>
      </c>
      <c r="EC242" s="44">
        <f t="shared" si="625"/>
        <v>122340.78416725171</v>
      </c>
      <c r="ED242" s="44">
        <f t="shared" si="625"/>
        <v>107947.75073580988</v>
      </c>
      <c r="EE242" s="44">
        <f t="shared" si="625"/>
        <v>93554.717304368052</v>
      </c>
      <c r="EF242" s="44">
        <f t="shared" ref="EF242:EN242" si="626">EF122</f>
        <v>79161.683872926224</v>
      </c>
      <c r="EG242" s="44">
        <f t="shared" si="626"/>
        <v>64768.650441484388</v>
      </c>
      <c r="EH242" s="44">
        <f t="shared" si="626"/>
        <v>50375.617010042559</v>
      </c>
      <c r="EI242" s="44">
        <f t="shared" si="626"/>
        <v>35982.58357860073</v>
      </c>
      <c r="EJ242" s="44">
        <f t="shared" si="626"/>
        <v>21589.550147158894</v>
      </c>
      <c r="EK242" s="44">
        <f t="shared" si="626"/>
        <v>7196.5167157189899</v>
      </c>
      <c r="EL242" s="44">
        <f t="shared" si="626"/>
        <v>0</v>
      </c>
      <c r="EM242" s="44">
        <f t="shared" si="626"/>
        <v>0</v>
      </c>
      <c r="EN242" s="44">
        <f t="shared" si="626"/>
        <v>0</v>
      </c>
    </row>
    <row r="243" spans="2:144">
      <c r="C243" s="151" t="str">
        <f t="shared" si="581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43" s="45"/>
      <c r="E243" s="44"/>
      <c r="F243" s="44"/>
      <c r="G243" s="45"/>
      <c r="H243" s="44">
        <f t="shared" ref="H243:AM243" si="627">H133</f>
        <v>0</v>
      </c>
      <c r="I243" s="44">
        <f t="shared" si="627"/>
        <v>0</v>
      </c>
      <c r="J243" s="44">
        <f t="shared" si="627"/>
        <v>0</v>
      </c>
      <c r="K243" s="44">
        <f t="shared" si="627"/>
        <v>0</v>
      </c>
      <c r="L243" s="44">
        <f t="shared" si="627"/>
        <v>0</v>
      </c>
      <c r="M243" s="44">
        <f t="shared" si="627"/>
        <v>0</v>
      </c>
      <c r="N243" s="44">
        <f t="shared" si="627"/>
        <v>0</v>
      </c>
      <c r="O243" s="44">
        <f t="shared" si="627"/>
        <v>0</v>
      </c>
      <c r="P243" s="44">
        <f t="shared" si="627"/>
        <v>0</v>
      </c>
      <c r="Q243" s="44">
        <f t="shared" si="627"/>
        <v>0</v>
      </c>
      <c r="R243" s="44">
        <f t="shared" si="627"/>
        <v>0</v>
      </c>
      <c r="S243" s="44">
        <f t="shared" si="627"/>
        <v>0</v>
      </c>
      <c r="T243" s="44">
        <f t="shared" si="627"/>
        <v>0</v>
      </c>
      <c r="U243" s="44">
        <f t="shared" si="627"/>
        <v>0</v>
      </c>
      <c r="V243" s="44">
        <f t="shared" si="627"/>
        <v>0</v>
      </c>
      <c r="W243" s="44">
        <f t="shared" si="627"/>
        <v>0</v>
      </c>
      <c r="X243" s="44">
        <f t="shared" si="627"/>
        <v>0</v>
      </c>
      <c r="Y243" s="44">
        <f t="shared" si="627"/>
        <v>0</v>
      </c>
      <c r="Z243" s="44">
        <f t="shared" si="627"/>
        <v>0</v>
      </c>
      <c r="AA243" s="44">
        <f t="shared" si="627"/>
        <v>0</v>
      </c>
      <c r="AB243" s="44">
        <f t="shared" si="627"/>
        <v>0</v>
      </c>
      <c r="AC243" s="44">
        <f t="shared" si="627"/>
        <v>0</v>
      </c>
      <c r="AD243" s="44">
        <f t="shared" si="627"/>
        <v>0</v>
      </c>
      <c r="AE243" s="44">
        <f t="shared" si="627"/>
        <v>0</v>
      </c>
      <c r="AF243" s="44">
        <f t="shared" si="627"/>
        <v>0</v>
      </c>
      <c r="AG243" s="44">
        <f t="shared" si="627"/>
        <v>0</v>
      </c>
      <c r="AH243" s="44">
        <f t="shared" si="627"/>
        <v>0</v>
      </c>
      <c r="AI243" s="44">
        <f t="shared" si="627"/>
        <v>0</v>
      </c>
      <c r="AJ243" s="44">
        <f t="shared" si="627"/>
        <v>0</v>
      </c>
      <c r="AK243" s="44">
        <f t="shared" si="627"/>
        <v>0</v>
      </c>
      <c r="AL243" s="44">
        <f t="shared" si="627"/>
        <v>0</v>
      </c>
      <c r="AM243" s="44">
        <f t="shared" si="627"/>
        <v>0</v>
      </c>
      <c r="AN243" s="44">
        <f t="shared" ref="AN243:BS243" si="628">AN133</f>
        <v>0</v>
      </c>
      <c r="AO243" s="44">
        <f t="shared" si="628"/>
        <v>0</v>
      </c>
      <c r="AP243" s="44">
        <f t="shared" si="628"/>
        <v>0</v>
      </c>
      <c r="AQ243" s="44">
        <f t="shared" si="628"/>
        <v>0</v>
      </c>
      <c r="AR243" s="44">
        <f t="shared" si="628"/>
        <v>0</v>
      </c>
      <c r="AS243" s="44">
        <f t="shared" si="628"/>
        <v>0</v>
      </c>
      <c r="AT243" s="44">
        <f t="shared" si="628"/>
        <v>0</v>
      </c>
      <c r="AU243" s="44">
        <f t="shared" si="628"/>
        <v>0</v>
      </c>
      <c r="AV243" s="44">
        <f t="shared" si="628"/>
        <v>0</v>
      </c>
      <c r="AW243" s="44">
        <f t="shared" si="628"/>
        <v>0</v>
      </c>
      <c r="AX243" s="44">
        <f t="shared" si="628"/>
        <v>0</v>
      </c>
      <c r="AY243" s="44">
        <f t="shared" si="628"/>
        <v>0</v>
      </c>
      <c r="AZ243" s="44">
        <f t="shared" si="628"/>
        <v>0</v>
      </c>
      <c r="BA243" s="44">
        <f t="shared" si="628"/>
        <v>0</v>
      </c>
      <c r="BB243" s="44">
        <f t="shared" si="628"/>
        <v>0</v>
      </c>
      <c r="BC243" s="44">
        <f t="shared" si="628"/>
        <v>0</v>
      </c>
      <c r="BD243" s="44">
        <f t="shared" si="628"/>
        <v>0</v>
      </c>
      <c r="BE243" s="44">
        <f t="shared" si="628"/>
        <v>0</v>
      </c>
      <c r="BF243" s="44">
        <f t="shared" si="628"/>
        <v>0</v>
      </c>
      <c r="BG243" s="44">
        <f t="shared" si="628"/>
        <v>0</v>
      </c>
      <c r="BH243" s="44">
        <f t="shared" si="628"/>
        <v>72028.294496820876</v>
      </c>
      <c r="BI243" s="44">
        <f t="shared" si="628"/>
        <v>71144.511742258648</v>
      </c>
      <c r="BJ243" s="44">
        <f t="shared" si="628"/>
        <v>70260.728987696435</v>
      </c>
      <c r="BK243" s="44">
        <f t="shared" si="628"/>
        <v>69376.946233134207</v>
      </c>
      <c r="BL243" s="44">
        <f t="shared" si="628"/>
        <v>68493.163478571994</v>
      </c>
      <c r="BM243" s="44">
        <f t="shared" si="628"/>
        <v>67609.380724009767</v>
      </c>
      <c r="BN243" s="44">
        <f t="shared" si="628"/>
        <v>66725.597969447568</v>
      </c>
      <c r="BO243" s="44">
        <f t="shared" si="628"/>
        <v>65841.815214885341</v>
      </c>
      <c r="BP243" s="44">
        <f t="shared" si="628"/>
        <v>64958.032460323127</v>
      </c>
      <c r="BQ243" s="44">
        <f t="shared" si="628"/>
        <v>64074.2497057609</v>
      </c>
      <c r="BR243" s="44">
        <f t="shared" si="628"/>
        <v>63190.466951198687</v>
      </c>
      <c r="BS243" s="44">
        <f t="shared" si="628"/>
        <v>62306.684196636459</v>
      </c>
      <c r="BT243" s="44">
        <f t="shared" ref="BT243:CY243" si="629">BT133</f>
        <v>61422.901442074253</v>
      </c>
      <c r="BU243" s="44">
        <f t="shared" si="629"/>
        <v>60539.118687512018</v>
      </c>
      <c r="BV243" s="44">
        <f t="shared" si="629"/>
        <v>59655.335932949813</v>
      </c>
      <c r="BW243" s="44">
        <f t="shared" si="629"/>
        <v>58771.553178387585</v>
      </c>
      <c r="BX243" s="44">
        <f t="shared" si="629"/>
        <v>57887.770423825379</v>
      </c>
      <c r="BY243" s="44">
        <f t="shared" si="629"/>
        <v>57003.987669263144</v>
      </c>
      <c r="BZ243" s="44">
        <f t="shared" si="629"/>
        <v>56120.204914700938</v>
      </c>
      <c r="CA243" s="44">
        <f t="shared" si="629"/>
        <v>55236.422160138711</v>
      </c>
      <c r="CB243" s="44">
        <f t="shared" si="629"/>
        <v>54352.639405576505</v>
      </c>
      <c r="CC243" s="44">
        <f t="shared" si="629"/>
        <v>53468.85665101427</v>
      </c>
      <c r="CD243" s="44">
        <f t="shared" si="629"/>
        <v>52585.073896452064</v>
      </c>
      <c r="CE243" s="44">
        <f t="shared" si="629"/>
        <v>51701.291141889837</v>
      </c>
      <c r="CF243" s="44">
        <f t="shared" si="629"/>
        <v>50817.508387327623</v>
      </c>
      <c r="CG243" s="44">
        <f t="shared" si="629"/>
        <v>49933.725632765396</v>
      </c>
      <c r="CH243" s="44">
        <f t="shared" si="629"/>
        <v>49049.94287820319</v>
      </c>
      <c r="CI243" s="44">
        <f t="shared" si="629"/>
        <v>48166.160123640962</v>
      </c>
      <c r="CJ243" s="44">
        <f t="shared" si="629"/>
        <v>47282.377369078749</v>
      </c>
      <c r="CK243" s="44">
        <f t="shared" si="629"/>
        <v>46398.594614516522</v>
      </c>
      <c r="CL243" s="44">
        <f t="shared" si="629"/>
        <v>45514.811859954309</v>
      </c>
      <c r="CM243" s="44">
        <f t="shared" si="629"/>
        <v>44631.029105392088</v>
      </c>
      <c r="CN243" s="44">
        <f t="shared" si="629"/>
        <v>43747.246350829875</v>
      </c>
      <c r="CO243" s="44">
        <f t="shared" si="629"/>
        <v>42863.463596267655</v>
      </c>
      <c r="CP243" s="44">
        <f t="shared" si="629"/>
        <v>41979.680841705434</v>
      </c>
      <c r="CQ243" s="44">
        <f t="shared" si="629"/>
        <v>41095.898087143214</v>
      </c>
      <c r="CR243" s="44">
        <f t="shared" si="629"/>
        <v>40212.115332581001</v>
      </c>
      <c r="CS243" s="44">
        <f t="shared" si="629"/>
        <v>39328.332578018781</v>
      </c>
      <c r="CT243" s="44">
        <f t="shared" si="629"/>
        <v>38444.54982345656</v>
      </c>
      <c r="CU243" s="44">
        <f t="shared" si="629"/>
        <v>37560.76706889434</v>
      </c>
      <c r="CV243" s="44">
        <f t="shared" si="629"/>
        <v>36676.984314332127</v>
      </c>
      <c r="CW243" s="44">
        <f t="shared" si="629"/>
        <v>35793.201559769906</v>
      </c>
      <c r="CX243" s="44">
        <f t="shared" si="629"/>
        <v>34909.418805207686</v>
      </c>
      <c r="CY243" s="44">
        <f t="shared" si="629"/>
        <v>34025.636050645466</v>
      </c>
      <c r="CZ243" s="44">
        <f t="shared" ref="CZ243:EE243" si="630">CZ133</f>
        <v>33141.853296083253</v>
      </c>
      <c r="DA243" s="44">
        <f t="shared" si="630"/>
        <v>32258.070541521032</v>
      </c>
      <c r="DB243" s="44">
        <f t="shared" si="630"/>
        <v>31374.287786958812</v>
      </c>
      <c r="DC243" s="44">
        <f t="shared" si="630"/>
        <v>30490.505032396595</v>
      </c>
      <c r="DD243" s="44">
        <f t="shared" si="630"/>
        <v>29606.722277834375</v>
      </c>
      <c r="DE243" s="44">
        <f t="shared" si="630"/>
        <v>28722.939523272158</v>
      </c>
      <c r="DF243" s="44">
        <f t="shared" si="630"/>
        <v>27839.156768709938</v>
      </c>
      <c r="DG243" s="44">
        <f t="shared" si="630"/>
        <v>26955.374014147717</v>
      </c>
      <c r="DH243" s="44">
        <f t="shared" si="630"/>
        <v>26071.591259585501</v>
      </c>
      <c r="DI243" s="44">
        <f t="shared" si="630"/>
        <v>25187.80850502328</v>
      </c>
      <c r="DJ243" s="44">
        <f t="shared" si="630"/>
        <v>24304.025750461064</v>
      </c>
      <c r="DK243" s="44">
        <f t="shared" si="630"/>
        <v>23420.242995898843</v>
      </c>
      <c r="DL243" s="44">
        <f t="shared" si="630"/>
        <v>22536.460241336626</v>
      </c>
      <c r="DM243" s="44">
        <f t="shared" si="630"/>
        <v>21652.677486774406</v>
      </c>
      <c r="DN243" s="44">
        <f t="shared" si="630"/>
        <v>20768.894732212189</v>
      </c>
      <c r="DO243" s="44">
        <f t="shared" si="630"/>
        <v>19885.111977649969</v>
      </c>
      <c r="DP243" s="44">
        <f t="shared" si="630"/>
        <v>19001.329223087752</v>
      </c>
      <c r="DQ243" s="44">
        <f t="shared" si="630"/>
        <v>18117.546468525532</v>
      </c>
      <c r="DR243" s="44">
        <f t="shared" si="630"/>
        <v>17233.763713963315</v>
      </c>
      <c r="DS243" s="44">
        <f t="shared" si="630"/>
        <v>16349.980959401095</v>
      </c>
      <c r="DT243" s="44">
        <f t="shared" si="630"/>
        <v>15466.198204838876</v>
      </c>
      <c r="DU243" s="44">
        <f t="shared" si="630"/>
        <v>14582.415450276658</v>
      </c>
      <c r="DV243" s="44">
        <f t="shared" si="630"/>
        <v>13698.632695714439</v>
      </c>
      <c r="DW243" s="44">
        <f t="shared" si="630"/>
        <v>12814.849941152221</v>
      </c>
      <c r="DX243" s="44">
        <f t="shared" si="630"/>
        <v>11931.067186590002</v>
      </c>
      <c r="DY243" s="44">
        <f t="shared" si="630"/>
        <v>11047.284432027787</v>
      </c>
      <c r="DZ243" s="44">
        <f t="shared" si="630"/>
        <v>10163.501677465569</v>
      </c>
      <c r="EA243" s="44">
        <f t="shared" si="630"/>
        <v>9279.718922903352</v>
      </c>
      <c r="EB243" s="44">
        <f t="shared" si="630"/>
        <v>8395.9361683411335</v>
      </c>
      <c r="EC243" s="44">
        <f t="shared" si="630"/>
        <v>7512.1534137789176</v>
      </c>
      <c r="ED243" s="44">
        <f t="shared" si="630"/>
        <v>6628.3706592166982</v>
      </c>
      <c r="EE243" s="44">
        <f t="shared" si="630"/>
        <v>5744.5879046544815</v>
      </c>
      <c r="EF243" s="44">
        <f t="shared" ref="EF243:EN243" si="631">EF133</f>
        <v>4860.8051500922638</v>
      </c>
      <c r="EG243" s="44">
        <f t="shared" si="631"/>
        <v>3977.0223955300453</v>
      </c>
      <c r="EH243" s="44">
        <f t="shared" si="631"/>
        <v>3093.2396409678281</v>
      </c>
      <c r="EI243" s="44">
        <f t="shared" si="631"/>
        <v>2209.4568864056096</v>
      </c>
      <c r="EJ243" s="44">
        <f t="shared" si="631"/>
        <v>1325.6741318433917</v>
      </c>
      <c r="EK243" s="44">
        <f t="shared" si="631"/>
        <v>441.8913772811739</v>
      </c>
      <c r="EL243" s="44">
        <f t="shared" si="631"/>
        <v>6.498885340988635E-11</v>
      </c>
      <c r="EM243" s="44">
        <f t="shared" si="631"/>
        <v>6.498885340988635E-11</v>
      </c>
      <c r="EN243" s="44">
        <f t="shared" si="631"/>
        <v>6.498885340988635E-11</v>
      </c>
    </row>
    <row r="244" spans="2:144">
      <c r="C244" s="151" t="str">
        <f t="shared" si="581"/>
        <v>Наземный паркинг</v>
      </c>
      <c r="D244" s="45"/>
      <c r="E244" s="44"/>
      <c r="F244" s="44"/>
      <c r="G244" s="45"/>
      <c r="H244" s="44">
        <f t="shared" ref="H244:AM244" si="632">H144</f>
        <v>0</v>
      </c>
      <c r="I244" s="44">
        <f t="shared" si="632"/>
        <v>0</v>
      </c>
      <c r="J244" s="44">
        <f t="shared" si="632"/>
        <v>0</v>
      </c>
      <c r="K244" s="44">
        <f t="shared" si="632"/>
        <v>0</v>
      </c>
      <c r="L244" s="44">
        <f t="shared" si="632"/>
        <v>0</v>
      </c>
      <c r="M244" s="44">
        <f t="shared" si="632"/>
        <v>0</v>
      </c>
      <c r="N244" s="44">
        <f t="shared" si="632"/>
        <v>0</v>
      </c>
      <c r="O244" s="44">
        <f t="shared" si="632"/>
        <v>0</v>
      </c>
      <c r="P244" s="44">
        <f t="shared" si="632"/>
        <v>0</v>
      </c>
      <c r="Q244" s="44">
        <f t="shared" si="632"/>
        <v>0</v>
      </c>
      <c r="R244" s="44">
        <f t="shared" si="632"/>
        <v>0</v>
      </c>
      <c r="S244" s="44">
        <f t="shared" si="632"/>
        <v>0</v>
      </c>
      <c r="T244" s="44">
        <f t="shared" si="632"/>
        <v>0</v>
      </c>
      <c r="U244" s="44">
        <f t="shared" si="632"/>
        <v>0</v>
      </c>
      <c r="V244" s="44">
        <f t="shared" si="632"/>
        <v>0</v>
      </c>
      <c r="W244" s="44">
        <f t="shared" si="632"/>
        <v>0</v>
      </c>
      <c r="X244" s="44">
        <f t="shared" si="632"/>
        <v>0</v>
      </c>
      <c r="Y244" s="44">
        <f t="shared" si="632"/>
        <v>0</v>
      </c>
      <c r="Z244" s="44">
        <f t="shared" si="632"/>
        <v>0</v>
      </c>
      <c r="AA244" s="44">
        <f t="shared" si="632"/>
        <v>0</v>
      </c>
      <c r="AB244" s="44">
        <f t="shared" si="632"/>
        <v>0</v>
      </c>
      <c r="AC244" s="44">
        <f t="shared" si="632"/>
        <v>0</v>
      </c>
      <c r="AD244" s="44">
        <f t="shared" si="632"/>
        <v>0</v>
      </c>
      <c r="AE244" s="44">
        <f t="shared" si="632"/>
        <v>0</v>
      </c>
      <c r="AF244" s="44">
        <f t="shared" si="632"/>
        <v>0</v>
      </c>
      <c r="AG244" s="44">
        <f t="shared" si="632"/>
        <v>0</v>
      </c>
      <c r="AH244" s="44">
        <f t="shared" si="632"/>
        <v>0</v>
      </c>
      <c r="AI244" s="44">
        <f t="shared" si="632"/>
        <v>0</v>
      </c>
      <c r="AJ244" s="44">
        <f t="shared" si="632"/>
        <v>0</v>
      </c>
      <c r="AK244" s="44">
        <f t="shared" si="632"/>
        <v>0</v>
      </c>
      <c r="AL244" s="44">
        <f t="shared" si="632"/>
        <v>0</v>
      </c>
      <c r="AM244" s="44">
        <f t="shared" si="632"/>
        <v>0</v>
      </c>
      <c r="AN244" s="44">
        <f t="shared" ref="AN244:BS244" si="633">AN144</f>
        <v>0</v>
      </c>
      <c r="AO244" s="44">
        <f t="shared" si="633"/>
        <v>0</v>
      </c>
      <c r="AP244" s="44">
        <f t="shared" si="633"/>
        <v>0</v>
      </c>
      <c r="AQ244" s="44">
        <f t="shared" si="633"/>
        <v>0</v>
      </c>
      <c r="AR244" s="44">
        <f t="shared" si="633"/>
        <v>0</v>
      </c>
      <c r="AS244" s="44">
        <f t="shared" si="633"/>
        <v>0</v>
      </c>
      <c r="AT244" s="44">
        <f t="shared" si="633"/>
        <v>0</v>
      </c>
      <c r="AU244" s="44">
        <f t="shared" si="633"/>
        <v>0</v>
      </c>
      <c r="AV244" s="44">
        <f t="shared" si="633"/>
        <v>0</v>
      </c>
      <c r="AW244" s="44">
        <f t="shared" si="633"/>
        <v>0</v>
      </c>
      <c r="AX244" s="44">
        <f t="shared" si="633"/>
        <v>0</v>
      </c>
      <c r="AY244" s="44">
        <f t="shared" si="633"/>
        <v>0</v>
      </c>
      <c r="AZ244" s="44">
        <f t="shared" si="633"/>
        <v>0</v>
      </c>
      <c r="BA244" s="44">
        <f t="shared" si="633"/>
        <v>0</v>
      </c>
      <c r="BB244" s="44">
        <f t="shared" si="633"/>
        <v>0</v>
      </c>
      <c r="BC244" s="44">
        <f t="shared" si="633"/>
        <v>0</v>
      </c>
      <c r="BD244" s="44">
        <f t="shared" si="633"/>
        <v>0</v>
      </c>
      <c r="BE244" s="44">
        <f t="shared" si="633"/>
        <v>0</v>
      </c>
      <c r="BF244" s="44">
        <f t="shared" si="633"/>
        <v>0</v>
      </c>
      <c r="BG244" s="44">
        <f t="shared" si="633"/>
        <v>0</v>
      </c>
      <c r="BH244" s="44">
        <f t="shared" si="633"/>
        <v>52477.757419112393</v>
      </c>
      <c r="BI244" s="44">
        <f t="shared" si="633"/>
        <v>51833.858555074199</v>
      </c>
      <c r="BJ244" s="44">
        <f t="shared" si="633"/>
        <v>51189.959691036027</v>
      </c>
      <c r="BK244" s="44">
        <f t="shared" si="633"/>
        <v>50546.060826997833</v>
      </c>
      <c r="BL244" s="44">
        <f t="shared" si="633"/>
        <v>49902.161962959661</v>
      </c>
      <c r="BM244" s="44">
        <f t="shared" si="633"/>
        <v>49258.263098921467</v>
      </c>
      <c r="BN244" s="44">
        <f t="shared" si="633"/>
        <v>48614.364234883295</v>
      </c>
      <c r="BO244" s="44">
        <f t="shared" si="633"/>
        <v>47970.465370845101</v>
      </c>
      <c r="BP244" s="44">
        <f t="shared" si="633"/>
        <v>47326.566506806928</v>
      </c>
      <c r="BQ244" s="44">
        <f t="shared" si="633"/>
        <v>46682.667642768734</v>
      </c>
      <c r="BR244" s="44">
        <f t="shared" si="633"/>
        <v>46038.768778730555</v>
      </c>
      <c r="BS244" s="44">
        <f t="shared" si="633"/>
        <v>45394.869914692368</v>
      </c>
      <c r="BT244" s="44">
        <f t="shared" ref="BT244:CY244" si="634">BT144</f>
        <v>44750.971050654174</v>
      </c>
      <c r="BU244" s="44">
        <f t="shared" si="634"/>
        <v>44107.072186615995</v>
      </c>
      <c r="BV244" s="44">
        <f t="shared" si="634"/>
        <v>43463.173322577801</v>
      </c>
      <c r="BW244" s="44">
        <f t="shared" si="634"/>
        <v>42819.274458539614</v>
      </c>
      <c r="BX244" s="44">
        <f t="shared" si="634"/>
        <v>42175.37559450142</v>
      </c>
      <c r="BY244" s="44">
        <f t="shared" si="634"/>
        <v>41531.476730463241</v>
      </c>
      <c r="BZ244" s="44">
        <f t="shared" si="634"/>
        <v>40887.577866425047</v>
      </c>
      <c r="CA244" s="44">
        <f t="shared" si="634"/>
        <v>40243.67900238686</v>
      </c>
      <c r="CB244" s="44">
        <f t="shared" si="634"/>
        <v>39599.780138348666</v>
      </c>
      <c r="CC244" s="44">
        <f t="shared" si="634"/>
        <v>38955.881274310486</v>
      </c>
      <c r="CD244" s="44">
        <f t="shared" si="634"/>
        <v>38311.982410272292</v>
      </c>
      <c r="CE244" s="44">
        <f t="shared" si="634"/>
        <v>37668.083546234106</v>
      </c>
      <c r="CF244" s="44">
        <f t="shared" si="634"/>
        <v>37024.184682195912</v>
      </c>
      <c r="CG244" s="44">
        <f t="shared" si="634"/>
        <v>36380.285818157732</v>
      </c>
      <c r="CH244" s="44">
        <f t="shared" si="634"/>
        <v>35736.386954119538</v>
      </c>
      <c r="CI244" s="44">
        <f t="shared" si="634"/>
        <v>35092.488090081351</v>
      </c>
      <c r="CJ244" s="44">
        <f t="shared" si="634"/>
        <v>34448.589226043157</v>
      </c>
      <c r="CK244" s="44">
        <f t="shared" si="634"/>
        <v>33804.690362004978</v>
      </c>
      <c r="CL244" s="44">
        <f t="shared" si="634"/>
        <v>33160.791497966784</v>
      </c>
      <c r="CM244" s="44">
        <f t="shared" si="634"/>
        <v>32516.892633928601</v>
      </c>
      <c r="CN244" s="44">
        <f t="shared" si="634"/>
        <v>31872.993769890407</v>
      </c>
      <c r="CO244" s="44">
        <f t="shared" si="634"/>
        <v>31229.094905852224</v>
      </c>
      <c r="CP244" s="44">
        <f t="shared" si="634"/>
        <v>30585.19604181403</v>
      </c>
      <c r="CQ244" s="44">
        <f t="shared" si="634"/>
        <v>29941.297177775847</v>
      </c>
      <c r="CR244" s="44">
        <f t="shared" si="634"/>
        <v>29297.398313737653</v>
      </c>
      <c r="CS244" s="44">
        <f t="shared" si="634"/>
        <v>28653.49944969947</v>
      </c>
      <c r="CT244" s="44">
        <f t="shared" si="634"/>
        <v>28009.600585661276</v>
      </c>
      <c r="CU244" s="44">
        <f t="shared" si="634"/>
        <v>27365.701721623092</v>
      </c>
      <c r="CV244" s="44">
        <f t="shared" si="634"/>
        <v>26721.802857584898</v>
      </c>
      <c r="CW244" s="44">
        <f t="shared" si="634"/>
        <v>26077.903993546715</v>
      </c>
      <c r="CX244" s="44">
        <f t="shared" si="634"/>
        <v>25434.005129508521</v>
      </c>
      <c r="CY244" s="44">
        <f t="shared" si="634"/>
        <v>24790.106265470338</v>
      </c>
      <c r="CZ244" s="44">
        <f t="shared" ref="CZ244:EE244" si="635">CZ144</f>
        <v>24146.207401432144</v>
      </c>
      <c r="DA244" s="44">
        <f t="shared" si="635"/>
        <v>23502.308537393961</v>
      </c>
      <c r="DB244" s="44">
        <f t="shared" si="635"/>
        <v>22858.409673355774</v>
      </c>
      <c r="DC244" s="44">
        <f t="shared" si="635"/>
        <v>22214.510809317584</v>
      </c>
      <c r="DD244" s="44">
        <f t="shared" si="635"/>
        <v>21570.611945279401</v>
      </c>
      <c r="DE244" s="44">
        <f t="shared" si="635"/>
        <v>20926.713081241214</v>
      </c>
      <c r="DF244" s="44">
        <f t="shared" si="635"/>
        <v>20282.814217203031</v>
      </c>
      <c r="DG244" s="44">
        <f t="shared" si="635"/>
        <v>19638.915353164841</v>
      </c>
      <c r="DH244" s="44">
        <f t="shared" si="635"/>
        <v>18995.016489126658</v>
      </c>
      <c r="DI244" s="44">
        <f t="shared" si="635"/>
        <v>18351.117625088471</v>
      </c>
      <c r="DJ244" s="44">
        <f t="shared" si="635"/>
        <v>17707.218761050288</v>
      </c>
      <c r="DK244" s="44">
        <f t="shared" si="635"/>
        <v>17063.319897012097</v>
      </c>
      <c r="DL244" s="44">
        <f t="shared" si="635"/>
        <v>16419.421032973914</v>
      </c>
      <c r="DM244" s="44">
        <f t="shared" si="635"/>
        <v>15775.522168935728</v>
      </c>
      <c r="DN244" s="44">
        <f t="shared" si="635"/>
        <v>15131.623304897543</v>
      </c>
      <c r="DO244" s="44">
        <f t="shared" si="635"/>
        <v>14487.724440859354</v>
      </c>
      <c r="DP244" s="44">
        <f t="shared" si="635"/>
        <v>13843.825576821171</v>
      </c>
      <c r="DQ244" s="44">
        <f t="shared" si="635"/>
        <v>13199.926712782983</v>
      </c>
      <c r="DR244" s="44">
        <f t="shared" si="635"/>
        <v>12556.027848744799</v>
      </c>
      <c r="DS244" s="44">
        <f t="shared" si="635"/>
        <v>11912.128984706611</v>
      </c>
      <c r="DT244" s="44">
        <f t="shared" si="635"/>
        <v>11268.230120668426</v>
      </c>
      <c r="DU244" s="44">
        <f t="shared" si="635"/>
        <v>10624.331256630239</v>
      </c>
      <c r="DV244" s="44">
        <f t="shared" si="635"/>
        <v>9980.4323925920507</v>
      </c>
      <c r="DW244" s="44">
        <f t="shared" si="635"/>
        <v>9336.5335285538658</v>
      </c>
      <c r="DX244" s="44">
        <f t="shared" si="635"/>
        <v>8692.6346645156773</v>
      </c>
      <c r="DY244" s="44">
        <f t="shared" si="635"/>
        <v>8048.7358004774915</v>
      </c>
      <c r="DZ244" s="44">
        <f t="shared" si="635"/>
        <v>7404.8369364393029</v>
      </c>
      <c r="EA244" s="44">
        <f t="shared" si="635"/>
        <v>6760.9380724011171</v>
      </c>
      <c r="EB244" s="44">
        <f t="shared" si="635"/>
        <v>6117.0392083629285</v>
      </c>
      <c r="EC244" s="44">
        <f t="shared" si="635"/>
        <v>5473.1403443247418</v>
      </c>
      <c r="ED244" s="44">
        <f t="shared" si="635"/>
        <v>4829.2414802865551</v>
      </c>
      <c r="EE244" s="44">
        <f t="shared" si="635"/>
        <v>4185.3426162483674</v>
      </c>
      <c r="EF244" s="44">
        <f t="shared" ref="EF244:EN244" si="636">EF144</f>
        <v>3541.4437522101803</v>
      </c>
      <c r="EG244" s="44">
        <f t="shared" si="636"/>
        <v>2897.5448881719935</v>
      </c>
      <c r="EH244" s="44">
        <f t="shared" si="636"/>
        <v>2253.6460241338063</v>
      </c>
      <c r="EI244" s="44">
        <f t="shared" si="636"/>
        <v>1609.7471600956189</v>
      </c>
      <c r="EJ244" s="44">
        <f t="shared" si="636"/>
        <v>965.84829605743187</v>
      </c>
      <c r="EK244" s="44">
        <f t="shared" si="636"/>
        <v>321.9494320192448</v>
      </c>
      <c r="EL244" s="44">
        <f t="shared" si="636"/>
        <v>1.5126715879887342E-10</v>
      </c>
      <c r="EM244" s="44">
        <f t="shared" si="636"/>
        <v>1.5126715879887342E-10</v>
      </c>
      <c r="EN244" s="44">
        <f t="shared" si="636"/>
        <v>1.5126715879887342E-10</v>
      </c>
    </row>
    <row r="245" spans="2:144">
      <c r="C245" s="151" t="str">
        <f t="shared" si="581"/>
        <v>Организация набережных</v>
      </c>
      <c r="D245" s="45"/>
      <c r="E245" s="44"/>
      <c r="F245" s="44"/>
      <c r="G245" s="45"/>
      <c r="H245" s="44">
        <f t="shared" ref="H245:AM245" si="637">H155</f>
        <v>0</v>
      </c>
      <c r="I245" s="44">
        <f t="shared" si="637"/>
        <v>0</v>
      </c>
      <c r="J245" s="44">
        <f t="shared" si="637"/>
        <v>0</v>
      </c>
      <c r="K245" s="44">
        <f t="shared" si="637"/>
        <v>0</v>
      </c>
      <c r="L245" s="44">
        <f t="shared" si="637"/>
        <v>0</v>
      </c>
      <c r="M245" s="44">
        <f t="shared" si="637"/>
        <v>0</v>
      </c>
      <c r="N245" s="44">
        <f t="shared" si="637"/>
        <v>0</v>
      </c>
      <c r="O245" s="44">
        <f t="shared" si="637"/>
        <v>0</v>
      </c>
      <c r="P245" s="44">
        <f t="shared" si="637"/>
        <v>0</v>
      </c>
      <c r="Q245" s="44">
        <f t="shared" si="637"/>
        <v>0</v>
      </c>
      <c r="R245" s="44">
        <f t="shared" si="637"/>
        <v>0</v>
      </c>
      <c r="S245" s="44">
        <f t="shared" si="637"/>
        <v>0</v>
      </c>
      <c r="T245" s="44">
        <f t="shared" si="637"/>
        <v>0</v>
      </c>
      <c r="U245" s="44">
        <f t="shared" si="637"/>
        <v>0</v>
      </c>
      <c r="V245" s="44">
        <f t="shared" si="637"/>
        <v>0</v>
      </c>
      <c r="W245" s="44">
        <f t="shared" si="637"/>
        <v>0</v>
      </c>
      <c r="X245" s="44">
        <f t="shared" si="637"/>
        <v>0</v>
      </c>
      <c r="Y245" s="44">
        <f t="shared" si="637"/>
        <v>0</v>
      </c>
      <c r="Z245" s="44">
        <f t="shared" si="637"/>
        <v>0</v>
      </c>
      <c r="AA245" s="44">
        <f t="shared" si="637"/>
        <v>0</v>
      </c>
      <c r="AB245" s="44">
        <f t="shared" si="637"/>
        <v>0</v>
      </c>
      <c r="AC245" s="44">
        <f t="shared" si="637"/>
        <v>0</v>
      </c>
      <c r="AD245" s="44">
        <f t="shared" si="637"/>
        <v>0</v>
      </c>
      <c r="AE245" s="44">
        <f t="shared" si="637"/>
        <v>0</v>
      </c>
      <c r="AF245" s="44">
        <f t="shared" si="637"/>
        <v>0</v>
      </c>
      <c r="AG245" s="44">
        <f t="shared" si="637"/>
        <v>0</v>
      </c>
      <c r="AH245" s="44">
        <f t="shared" si="637"/>
        <v>0</v>
      </c>
      <c r="AI245" s="44">
        <f t="shared" si="637"/>
        <v>0</v>
      </c>
      <c r="AJ245" s="44">
        <f t="shared" si="637"/>
        <v>0</v>
      </c>
      <c r="AK245" s="44">
        <f t="shared" si="637"/>
        <v>0</v>
      </c>
      <c r="AL245" s="44">
        <f t="shared" si="637"/>
        <v>0</v>
      </c>
      <c r="AM245" s="44">
        <f t="shared" si="637"/>
        <v>0</v>
      </c>
      <c r="AN245" s="44">
        <f t="shared" ref="AN245:BS245" si="638">AN155</f>
        <v>0</v>
      </c>
      <c r="AO245" s="44">
        <f t="shared" si="638"/>
        <v>0</v>
      </c>
      <c r="AP245" s="44">
        <f t="shared" si="638"/>
        <v>0</v>
      </c>
      <c r="AQ245" s="44">
        <f t="shared" si="638"/>
        <v>0</v>
      </c>
      <c r="AR245" s="44">
        <f t="shared" si="638"/>
        <v>0</v>
      </c>
      <c r="AS245" s="44">
        <f t="shared" si="638"/>
        <v>0</v>
      </c>
      <c r="AT245" s="44">
        <f t="shared" si="638"/>
        <v>0</v>
      </c>
      <c r="AU245" s="44">
        <f t="shared" si="638"/>
        <v>0</v>
      </c>
      <c r="AV245" s="44">
        <f t="shared" si="638"/>
        <v>0</v>
      </c>
      <c r="AW245" s="44">
        <f t="shared" si="638"/>
        <v>0</v>
      </c>
      <c r="AX245" s="44">
        <f t="shared" si="638"/>
        <v>0</v>
      </c>
      <c r="AY245" s="44">
        <f t="shared" si="638"/>
        <v>0</v>
      </c>
      <c r="AZ245" s="44">
        <f t="shared" si="638"/>
        <v>0</v>
      </c>
      <c r="BA245" s="44">
        <f t="shared" si="638"/>
        <v>0</v>
      </c>
      <c r="BB245" s="44">
        <f t="shared" si="638"/>
        <v>0</v>
      </c>
      <c r="BC245" s="44">
        <f t="shared" si="638"/>
        <v>0</v>
      </c>
      <c r="BD245" s="44">
        <f t="shared" si="638"/>
        <v>0</v>
      </c>
      <c r="BE245" s="44">
        <f t="shared" si="638"/>
        <v>0</v>
      </c>
      <c r="BF245" s="44">
        <f t="shared" si="638"/>
        <v>0</v>
      </c>
      <c r="BG245" s="44">
        <f t="shared" si="638"/>
        <v>0</v>
      </c>
      <c r="BH245" s="44">
        <f t="shared" si="638"/>
        <v>493908.30512105708</v>
      </c>
      <c r="BI245" s="44">
        <f t="shared" si="638"/>
        <v>487848.08051834477</v>
      </c>
      <c r="BJ245" s="44">
        <f t="shared" si="638"/>
        <v>481787.85591563245</v>
      </c>
      <c r="BK245" s="44">
        <f t="shared" si="638"/>
        <v>475727.63131292007</v>
      </c>
      <c r="BL245" s="44">
        <f t="shared" si="638"/>
        <v>469667.40671020775</v>
      </c>
      <c r="BM245" s="44">
        <f t="shared" si="638"/>
        <v>463607.18210749544</v>
      </c>
      <c r="BN245" s="44">
        <f t="shared" si="638"/>
        <v>457546.95750478312</v>
      </c>
      <c r="BO245" s="44">
        <f t="shared" si="638"/>
        <v>451486.73290207074</v>
      </c>
      <c r="BP245" s="44">
        <f t="shared" si="638"/>
        <v>445426.50829935842</v>
      </c>
      <c r="BQ245" s="44">
        <f t="shared" si="638"/>
        <v>439366.2836966461</v>
      </c>
      <c r="BR245" s="44">
        <f t="shared" si="638"/>
        <v>433306.05909393379</v>
      </c>
      <c r="BS245" s="44">
        <f t="shared" si="638"/>
        <v>427245.83449122141</v>
      </c>
      <c r="BT245" s="44">
        <f t="shared" ref="BT245:CY245" si="639">BT155</f>
        <v>421185.60988850909</v>
      </c>
      <c r="BU245" s="44">
        <f t="shared" si="639"/>
        <v>415125.38528579677</v>
      </c>
      <c r="BV245" s="44">
        <f t="shared" si="639"/>
        <v>409065.16068308445</v>
      </c>
      <c r="BW245" s="44">
        <f t="shared" si="639"/>
        <v>403004.93608037208</v>
      </c>
      <c r="BX245" s="44">
        <f t="shared" si="639"/>
        <v>396944.71147765976</v>
      </c>
      <c r="BY245" s="44">
        <f t="shared" si="639"/>
        <v>390884.48687494744</v>
      </c>
      <c r="BZ245" s="44">
        <f t="shared" si="639"/>
        <v>384824.26227223512</v>
      </c>
      <c r="CA245" s="44">
        <f t="shared" si="639"/>
        <v>378764.03766952275</v>
      </c>
      <c r="CB245" s="44">
        <f t="shared" si="639"/>
        <v>372703.81306681043</v>
      </c>
      <c r="CC245" s="44">
        <f t="shared" si="639"/>
        <v>366643.58846409811</v>
      </c>
      <c r="CD245" s="44">
        <f t="shared" si="639"/>
        <v>360583.36386138579</v>
      </c>
      <c r="CE245" s="44">
        <f t="shared" si="639"/>
        <v>354523.13925867341</v>
      </c>
      <c r="CF245" s="44">
        <f t="shared" si="639"/>
        <v>348462.9146559611</v>
      </c>
      <c r="CG245" s="44">
        <f t="shared" si="639"/>
        <v>342402.69005324878</v>
      </c>
      <c r="CH245" s="44">
        <f t="shared" si="639"/>
        <v>336342.46545053646</v>
      </c>
      <c r="CI245" s="44">
        <f t="shared" si="639"/>
        <v>330282.24084782408</v>
      </c>
      <c r="CJ245" s="44">
        <f t="shared" si="639"/>
        <v>324222.01624511176</v>
      </c>
      <c r="CK245" s="44">
        <f t="shared" si="639"/>
        <v>318161.79164239945</v>
      </c>
      <c r="CL245" s="44">
        <f t="shared" si="639"/>
        <v>312101.56703968713</v>
      </c>
      <c r="CM245" s="44">
        <f t="shared" si="639"/>
        <v>306041.34243697475</v>
      </c>
      <c r="CN245" s="44">
        <f t="shared" si="639"/>
        <v>299981.11783426243</v>
      </c>
      <c r="CO245" s="44">
        <f t="shared" si="639"/>
        <v>293920.89323155012</v>
      </c>
      <c r="CP245" s="44">
        <f t="shared" si="639"/>
        <v>287860.6686288378</v>
      </c>
      <c r="CQ245" s="44">
        <f t="shared" si="639"/>
        <v>281800.44402612542</v>
      </c>
      <c r="CR245" s="44">
        <f t="shared" si="639"/>
        <v>275740.2194234131</v>
      </c>
      <c r="CS245" s="44">
        <f t="shared" si="639"/>
        <v>269679.99482070078</v>
      </c>
      <c r="CT245" s="44">
        <f t="shared" si="639"/>
        <v>263619.77021798847</v>
      </c>
      <c r="CU245" s="44">
        <f t="shared" si="639"/>
        <v>257559.54561527612</v>
      </c>
      <c r="CV245" s="44">
        <f t="shared" si="639"/>
        <v>251499.32101256377</v>
      </c>
      <c r="CW245" s="44">
        <f t="shared" si="639"/>
        <v>245439.09640985145</v>
      </c>
      <c r="CX245" s="44">
        <f t="shared" si="639"/>
        <v>239378.8718071391</v>
      </c>
      <c r="CY245" s="44">
        <f t="shared" si="639"/>
        <v>233318.64720442679</v>
      </c>
      <c r="CZ245" s="44">
        <f t="shared" ref="CZ245:EE245" si="640">CZ155</f>
        <v>227258.42260171444</v>
      </c>
      <c r="DA245" s="44">
        <f t="shared" si="640"/>
        <v>221198.19799900212</v>
      </c>
      <c r="DB245" s="44">
        <f t="shared" si="640"/>
        <v>215137.97339628977</v>
      </c>
      <c r="DC245" s="44">
        <f t="shared" si="640"/>
        <v>209077.74879357746</v>
      </c>
      <c r="DD245" s="44">
        <f t="shared" si="640"/>
        <v>203017.52419086511</v>
      </c>
      <c r="DE245" s="44">
        <f t="shared" si="640"/>
        <v>196957.29958815279</v>
      </c>
      <c r="DF245" s="44">
        <f t="shared" si="640"/>
        <v>190897.07498544044</v>
      </c>
      <c r="DG245" s="44">
        <f t="shared" si="640"/>
        <v>184836.85038272812</v>
      </c>
      <c r="DH245" s="44">
        <f t="shared" si="640"/>
        <v>178776.62578001575</v>
      </c>
      <c r="DI245" s="44">
        <f t="shared" si="640"/>
        <v>172716.4011773034</v>
      </c>
      <c r="DJ245" s="44">
        <f t="shared" si="640"/>
        <v>166656.17657459105</v>
      </c>
      <c r="DK245" s="44">
        <f t="shared" si="640"/>
        <v>160595.95197187871</v>
      </c>
      <c r="DL245" s="44">
        <f t="shared" si="640"/>
        <v>154535.72736916633</v>
      </c>
      <c r="DM245" s="44">
        <f t="shared" si="640"/>
        <v>148475.50276645401</v>
      </c>
      <c r="DN245" s="44">
        <f t="shared" si="640"/>
        <v>142415.27816374163</v>
      </c>
      <c r="DO245" s="44">
        <f t="shared" si="640"/>
        <v>136355.05356102929</v>
      </c>
      <c r="DP245" s="44">
        <f t="shared" si="640"/>
        <v>130294.82895831692</v>
      </c>
      <c r="DQ245" s="44">
        <f t="shared" si="640"/>
        <v>124234.60435560459</v>
      </c>
      <c r="DR245" s="44">
        <f t="shared" si="640"/>
        <v>118174.37975289222</v>
      </c>
      <c r="DS245" s="44">
        <f t="shared" si="640"/>
        <v>112114.15515017988</v>
      </c>
      <c r="DT245" s="44">
        <f t="shared" si="640"/>
        <v>106053.93054746751</v>
      </c>
      <c r="DU245" s="44">
        <f t="shared" si="640"/>
        <v>99993.705944755173</v>
      </c>
      <c r="DV245" s="44">
        <f t="shared" si="640"/>
        <v>93933.481342042796</v>
      </c>
      <c r="DW245" s="44">
        <f t="shared" si="640"/>
        <v>87873.256739330449</v>
      </c>
      <c r="DX245" s="44">
        <f t="shared" si="640"/>
        <v>81813.032136618102</v>
      </c>
      <c r="DY245" s="44">
        <f t="shared" si="640"/>
        <v>75752.807533905754</v>
      </c>
      <c r="DZ245" s="44">
        <f t="shared" si="640"/>
        <v>69692.582931193392</v>
      </c>
      <c r="EA245" s="44">
        <f t="shared" si="640"/>
        <v>63632.358328481045</v>
      </c>
      <c r="EB245" s="44">
        <f t="shared" si="640"/>
        <v>57572.13372576869</v>
      </c>
      <c r="EC245" s="44">
        <f t="shared" si="640"/>
        <v>51511.909123056335</v>
      </c>
      <c r="ED245" s="44">
        <f t="shared" si="640"/>
        <v>45451.684520343981</v>
      </c>
      <c r="EE245" s="44">
        <f t="shared" si="640"/>
        <v>39391.459917631641</v>
      </c>
      <c r="EF245" s="44">
        <f t="shared" ref="EF245:EN245" si="641">EF155</f>
        <v>33331.235314919286</v>
      </c>
      <c r="EG245" s="44">
        <f t="shared" si="641"/>
        <v>27271.010712206942</v>
      </c>
      <c r="EH245" s="44">
        <f t="shared" si="641"/>
        <v>21210.786109494591</v>
      </c>
      <c r="EI245" s="44">
        <f t="shared" si="641"/>
        <v>15150.561506782244</v>
      </c>
      <c r="EJ245" s="44">
        <f t="shared" si="641"/>
        <v>9090.3369040698944</v>
      </c>
      <c r="EK245" s="44">
        <f t="shared" si="641"/>
        <v>3030.1123013575448</v>
      </c>
      <c r="EL245" s="44">
        <f t="shared" si="641"/>
        <v>1.3702083379030227E-9</v>
      </c>
      <c r="EM245" s="44">
        <f t="shared" si="641"/>
        <v>1.3702083379030227E-9</v>
      </c>
      <c r="EN245" s="44">
        <f t="shared" si="641"/>
        <v>1.3702083379030227E-9</v>
      </c>
    </row>
    <row r="246" spans="2:144">
      <c r="C246" s="151" t="str">
        <f t="shared" si="581"/>
        <v>Трансформаторная подстанция</v>
      </c>
      <c r="D246" s="45"/>
      <c r="E246" s="44"/>
      <c r="F246" s="44"/>
      <c r="G246" s="45"/>
      <c r="H246" s="44">
        <f t="shared" ref="H246:AM246" si="642">H166</f>
        <v>0</v>
      </c>
      <c r="I246" s="44">
        <f t="shared" si="642"/>
        <v>0</v>
      </c>
      <c r="J246" s="44">
        <f t="shared" si="642"/>
        <v>0</v>
      </c>
      <c r="K246" s="44">
        <f t="shared" si="642"/>
        <v>0</v>
      </c>
      <c r="L246" s="44">
        <f t="shared" si="642"/>
        <v>0</v>
      </c>
      <c r="M246" s="44">
        <f t="shared" si="642"/>
        <v>0</v>
      </c>
      <c r="N246" s="44">
        <f t="shared" si="642"/>
        <v>0</v>
      </c>
      <c r="O246" s="44">
        <f t="shared" si="642"/>
        <v>0</v>
      </c>
      <c r="P246" s="44">
        <f t="shared" si="642"/>
        <v>0</v>
      </c>
      <c r="Q246" s="44">
        <f t="shared" si="642"/>
        <v>0</v>
      </c>
      <c r="R246" s="44">
        <f t="shared" si="642"/>
        <v>0</v>
      </c>
      <c r="S246" s="44">
        <f t="shared" si="642"/>
        <v>0</v>
      </c>
      <c r="T246" s="44">
        <f t="shared" si="642"/>
        <v>0</v>
      </c>
      <c r="U246" s="44">
        <f t="shared" si="642"/>
        <v>0</v>
      </c>
      <c r="V246" s="44">
        <f t="shared" si="642"/>
        <v>0</v>
      </c>
      <c r="W246" s="44">
        <f t="shared" si="642"/>
        <v>0</v>
      </c>
      <c r="X246" s="44">
        <f t="shared" si="642"/>
        <v>0</v>
      </c>
      <c r="Y246" s="44">
        <f t="shared" si="642"/>
        <v>0</v>
      </c>
      <c r="Z246" s="44">
        <f t="shared" si="642"/>
        <v>0</v>
      </c>
      <c r="AA246" s="44">
        <f t="shared" si="642"/>
        <v>0</v>
      </c>
      <c r="AB246" s="44">
        <f t="shared" si="642"/>
        <v>0</v>
      </c>
      <c r="AC246" s="44">
        <f t="shared" si="642"/>
        <v>0</v>
      </c>
      <c r="AD246" s="44">
        <f t="shared" si="642"/>
        <v>0</v>
      </c>
      <c r="AE246" s="44">
        <f t="shared" si="642"/>
        <v>0</v>
      </c>
      <c r="AF246" s="44">
        <f t="shared" si="642"/>
        <v>0</v>
      </c>
      <c r="AG246" s="44">
        <f t="shared" si="642"/>
        <v>0</v>
      </c>
      <c r="AH246" s="44">
        <f t="shared" si="642"/>
        <v>0</v>
      </c>
      <c r="AI246" s="44">
        <f t="shared" si="642"/>
        <v>0</v>
      </c>
      <c r="AJ246" s="44">
        <f t="shared" si="642"/>
        <v>0</v>
      </c>
      <c r="AK246" s="44">
        <f t="shared" si="642"/>
        <v>0</v>
      </c>
      <c r="AL246" s="44">
        <f t="shared" si="642"/>
        <v>0</v>
      </c>
      <c r="AM246" s="44">
        <f t="shared" si="642"/>
        <v>0</v>
      </c>
      <c r="AN246" s="44">
        <f t="shared" ref="AN246:BS246" si="643">AN166</f>
        <v>0</v>
      </c>
      <c r="AO246" s="44">
        <f t="shared" si="643"/>
        <v>0</v>
      </c>
      <c r="AP246" s="44">
        <f t="shared" si="643"/>
        <v>0</v>
      </c>
      <c r="AQ246" s="44">
        <f t="shared" si="643"/>
        <v>0</v>
      </c>
      <c r="AR246" s="44">
        <f t="shared" si="643"/>
        <v>0</v>
      </c>
      <c r="AS246" s="44">
        <f t="shared" si="643"/>
        <v>0</v>
      </c>
      <c r="AT246" s="44">
        <f t="shared" si="643"/>
        <v>0</v>
      </c>
      <c r="AU246" s="44">
        <f t="shared" si="643"/>
        <v>0</v>
      </c>
      <c r="AV246" s="44">
        <f t="shared" si="643"/>
        <v>0</v>
      </c>
      <c r="AW246" s="44">
        <f t="shared" si="643"/>
        <v>0</v>
      </c>
      <c r="AX246" s="44">
        <f t="shared" si="643"/>
        <v>0</v>
      </c>
      <c r="AY246" s="44">
        <f t="shared" si="643"/>
        <v>0</v>
      </c>
      <c r="AZ246" s="44">
        <f t="shared" si="643"/>
        <v>0</v>
      </c>
      <c r="BA246" s="44">
        <f t="shared" si="643"/>
        <v>0</v>
      </c>
      <c r="BB246" s="44">
        <f t="shared" si="643"/>
        <v>0</v>
      </c>
      <c r="BC246" s="44">
        <f t="shared" si="643"/>
        <v>0</v>
      </c>
      <c r="BD246" s="44">
        <f t="shared" si="643"/>
        <v>0</v>
      </c>
      <c r="BE246" s="44">
        <f t="shared" si="643"/>
        <v>0</v>
      </c>
      <c r="BF246" s="44">
        <f t="shared" si="643"/>
        <v>0</v>
      </c>
      <c r="BG246" s="44">
        <f t="shared" si="643"/>
        <v>0</v>
      </c>
      <c r="BH246" s="44">
        <f t="shared" si="643"/>
        <v>49390.83051210556</v>
      </c>
      <c r="BI246" s="44">
        <f t="shared" si="643"/>
        <v>48784.808051834319</v>
      </c>
      <c r="BJ246" s="44">
        <f t="shared" si="643"/>
        <v>48178.785591563086</v>
      </c>
      <c r="BK246" s="44">
        <f t="shared" si="643"/>
        <v>47572.763131291846</v>
      </c>
      <c r="BL246" s="44">
        <f t="shared" si="643"/>
        <v>46966.740671020612</v>
      </c>
      <c r="BM246" s="44">
        <f t="shared" si="643"/>
        <v>46360.718210749372</v>
      </c>
      <c r="BN246" s="44">
        <f t="shared" si="643"/>
        <v>45754.695750478139</v>
      </c>
      <c r="BO246" s="44">
        <f t="shared" si="643"/>
        <v>45148.673290206898</v>
      </c>
      <c r="BP246" s="44">
        <f t="shared" si="643"/>
        <v>44542.650829935657</v>
      </c>
      <c r="BQ246" s="44">
        <f t="shared" si="643"/>
        <v>43936.628369664424</v>
      </c>
      <c r="BR246" s="44">
        <f t="shared" si="643"/>
        <v>43330.605909393184</v>
      </c>
      <c r="BS246" s="44">
        <f t="shared" si="643"/>
        <v>42724.58344912195</v>
      </c>
      <c r="BT246" s="44">
        <f t="shared" ref="BT246:CY246" si="644">BT166</f>
        <v>42118.56098885071</v>
      </c>
      <c r="BU246" s="44">
        <f t="shared" si="644"/>
        <v>41512.538528579476</v>
      </c>
      <c r="BV246" s="44">
        <f t="shared" si="644"/>
        <v>40906.516068308236</v>
      </c>
      <c r="BW246" s="44">
        <f t="shared" si="644"/>
        <v>40300.493608037003</v>
      </c>
      <c r="BX246" s="44">
        <f t="shared" si="644"/>
        <v>39694.471147765762</v>
      </c>
      <c r="BY246" s="44">
        <f t="shared" si="644"/>
        <v>39088.448687494521</v>
      </c>
      <c r="BZ246" s="44">
        <f t="shared" si="644"/>
        <v>38482.426227223288</v>
      </c>
      <c r="CA246" s="44">
        <f t="shared" si="644"/>
        <v>37876.403766952048</v>
      </c>
      <c r="CB246" s="44">
        <f t="shared" si="644"/>
        <v>37270.381306680814</v>
      </c>
      <c r="CC246" s="44">
        <f t="shared" si="644"/>
        <v>36664.358846409574</v>
      </c>
      <c r="CD246" s="44">
        <f t="shared" si="644"/>
        <v>36058.33638613834</v>
      </c>
      <c r="CE246" s="44">
        <f t="shared" si="644"/>
        <v>35452.3139258671</v>
      </c>
      <c r="CF246" s="44">
        <f t="shared" si="644"/>
        <v>34846.291465595859</v>
      </c>
      <c r="CG246" s="44">
        <f t="shared" si="644"/>
        <v>34240.269005324626</v>
      </c>
      <c r="CH246" s="44">
        <f t="shared" si="644"/>
        <v>33634.246545053385</v>
      </c>
      <c r="CI246" s="44">
        <f t="shared" si="644"/>
        <v>33028.224084782152</v>
      </c>
      <c r="CJ246" s="44">
        <f t="shared" si="644"/>
        <v>32422.201624510912</v>
      </c>
      <c r="CK246" s="44">
        <f t="shared" si="644"/>
        <v>31816.179164239675</v>
      </c>
      <c r="CL246" s="44">
        <f t="shared" si="644"/>
        <v>31210.156703968438</v>
      </c>
      <c r="CM246" s="44">
        <f t="shared" si="644"/>
        <v>30604.134243697201</v>
      </c>
      <c r="CN246" s="44">
        <f t="shared" si="644"/>
        <v>29998.111783425964</v>
      </c>
      <c r="CO246" s="44">
        <f t="shared" si="644"/>
        <v>29392.089323154727</v>
      </c>
      <c r="CP246" s="44">
        <f t="shared" si="644"/>
        <v>28786.06686288349</v>
      </c>
      <c r="CQ246" s="44">
        <f t="shared" si="644"/>
        <v>28180.044402612253</v>
      </c>
      <c r="CR246" s="44">
        <f t="shared" si="644"/>
        <v>27574.021942341013</v>
      </c>
      <c r="CS246" s="44">
        <f t="shared" si="644"/>
        <v>26967.999482069776</v>
      </c>
      <c r="CT246" s="44">
        <f t="shared" si="644"/>
        <v>26361.977021798539</v>
      </c>
      <c r="CU246" s="44">
        <f t="shared" si="644"/>
        <v>25755.954561527302</v>
      </c>
      <c r="CV246" s="44">
        <f t="shared" si="644"/>
        <v>25149.932101256065</v>
      </c>
      <c r="CW246" s="44">
        <f t="shared" si="644"/>
        <v>24543.909640984828</v>
      </c>
      <c r="CX246" s="44">
        <f t="shared" si="644"/>
        <v>23937.887180713591</v>
      </c>
      <c r="CY246" s="44">
        <f t="shared" si="644"/>
        <v>23331.864720442354</v>
      </c>
      <c r="CZ246" s="44">
        <f t="shared" ref="CZ246:EE246" si="645">CZ166</f>
        <v>22725.842260171121</v>
      </c>
      <c r="DA246" s="44">
        <f t="shared" si="645"/>
        <v>22119.819799899884</v>
      </c>
      <c r="DB246" s="44">
        <f t="shared" si="645"/>
        <v>21513.797339628651</v>
      </c>
      <c r="DC246" s="44">
        <f t="shared" si="645"/>
        <v>20907.774879357414</v>
      </c>
      <c r="DD246" s="44">
        <f t="shared" si="645"/>
        <v>20301.75241908618</v>
      </c>
      <c r="DE246" s="44">
        <f t="shared" si="645"/>
        <v>19695.729958814944</v>
      </c>
      <c r="DF246" s="44">
        <f t="shared" si="645"/>
        <v>19089.70749854371</v>
      </c>
      <c r="DG246" s="44">
        <f t="shared" si="645"/>
        <v>18483.685038272473</v>
      </c>
      <c r="DH246" s="44">
        <f t="shared" si="645"/>
        <v>17877.66257800124</v>
      </c>
      <c r="DI246" s="44">
        <f t="shared" si="645"/>
        <v>17271.640117730003</v>
      </c>
      <c r="DJ246" s="44">
        <f t="shared" si="645"/>
        <v>16665.617657458773</v>
      </c>
      <c r="DK246" s="44">
        <f t="shared" si="645"/>
        <v>16059.595197187535</v>
      </c>
      <c r="DL246" s="44">
        <f t="shared" si="645"/>
        <v>15453.572736916301</v>
      </c>
      <c r="DM246" s="44">
        <f t="shared" si="645"/>
        <v>14847.550276645065</v>
      </c>
      <c r="DN246" s="44">
        <f t="shared" si="645"/>
        <v>14241.527816373833</v>
      </c>
      <c r="DO246" s="44">
        <f t="shared" si="645"/>
        <v>13635.505356102596</v>
      </c>
      <c r="DP246" s="44">
        <f t="shared" si="645"/>
        <v>13029.482895831363</v>
      </c>
      <c r="DQ246" s="44">
        <f t="shared" si="645"/>
        <v>12423.460435560126</v>
      </c>
      <c r="DR246" s="44">
        <f t="shared" si="645"/>
        <v>11817.437975288893</v>
      </c>
      <c r="DS246" s="44">
        <f t="shared" si="645"/>
        <v>11211.415515017658</v>
      </c>
      <c r="DT246" s="44">
        <f t="shared" si="645"/>
        <v>10605.393054746422</v>
      </c>
      <c r="DU246" s="44">
        <f t="shared" si="645"/>
        <v>9999.3705944751873</v>
      </c>
      <c r="DV246" s="44">
        <f t="shared" si="645"/>
        <v>9393.3481342039522</v>
      </c>
      <c r="DW246" s="44">
        <f t="shared" si="645"/>
        <v>8787.3256739327171</v>
      </c>
      <c r="DX246" s="44">
        <f t="shared" si="645"/>
        <v>8181.3032136614829</v>
      </c>
      <c r="DY246" s="44">
        <f t="shared" si="645"/>
        <v>7575.2807533902487</v>
      </c>
      <c r="DZ246" s="44">
        <f t="shared" si="645"/>
        <v>6969.2582931190136</v>
      </c>
      <c r="EA246" s="44">
        <f t="shared" si="645"/>
        <v>6363.2358328477785</v>
      </c>
      <c r="EB246" s="44">
        <f t="shared" si="645"/>
        <v>5757.2133725765434</v>
      </c>
      <c r="EC246" s="44">
        <f t="shared" si="645"/>
        <v>5151.1909123053092</v>
      </c>
      <c r="ED246" s="44">
        <f t="shared" si="645"/>
        <v>4545.1684520340741</v>
      </c>
      <c r="EE246" s="44">
        <f t="shared" si="645"/>
        <v>3939.1459917628395</v>
      </c>
      <c r="EF246" s="44">
        <f t="shared" ref="EF246:EN246" si="646">EF166</f>
        <v>3333.1235314916044</v>
      </c>
      <c r="EG246" s="44">
        <f t="shared" si="646"/>
        <v>2727.1010712203697</v>
      </c>
      <c r="EH246" s="44">
        <f t="shared" si="646"/>
        <v>2121.0786109491351</v>
      </c>
      <c r="EI246" s="44">
        <f t="shared" si="646"/>
        <v>1515.0561506779002</v>
      </c>
      <c r="EJ246" s="44">
        <f t="shared" si="646"/>
        <v>909.03369040666496</v>
      </c>
      <c r="EK246" s="44">
        <f t="shared" si="646"/>
        <v>303.01123013552376</v>
      </c>
      <c r="EL246" s="44">
        <f t="shared" si="646"/>
        <v>0</v>
      </c>
      <c r="EM246" s="44">
        <f t="shared" si="646"/>
        <v>0</v>
      </c>
      <c r="EN246" s="44">
        <f t="shared" si="646"/>
        <v>0</v>
      </c>
    </row>
    <row r="247" spans="2:144">
      <c r="B247" s="139" t="s">
        <v>489</v>
      </c>
      <c r="C247" s="151" t="str">
        <f t="shared" si="581"/>
        <v>Канализационная насосная станция</v>
      </c>
      <c r="D247" s="45"/>
      <c r="E247" s="44"/>
      <c r="F247" s="44"/>
      <c r="G247" s="45"/>
      <c r="H247" s="44">
        <f t="shared" ref="H247:AM247" si="647">H177</f>
        <v>0</v>
      </c>
      <c r="I247" s="44">
        <f t="shared" si="647"/>
        <v>0</v>
      </c>
      <c r="J247" s="44">
        <f t="shared" si="647"/>
        <v>0</v>
      </c>
      <c r="K247" s="44">
        <f t="shared" si="647"/>
        <v>0</v>
      </c>
      <c r="L247" s="44">
        <f t="shared" si="647"/>
        <v>0</v>
      </c>
      <c r="M247" s="44">
        <f t="shared" si="647"/>
        <v>0</v>
      </c>
      <c r="N247" s="44">
        <f t="shared" si="647"/>
        <v>0</v>
      </c>
      <c r="O247" s="44">
        <f t="shared" si="647"/>
        <v>0</v>
      </c>
      <c r="P247" s="44">
        <f t="shared" si="647"/>
        <v>0</v>
      </c>
      <c r="Q247" s="44">
        <f t="shared" si="647"/>
        <v>0</v>
      </c>
      <c r="R247" s="44">
        <f t="shared" si="647"/>
        <v>0</v>
      </c>
      <c r="S247" s="44">
        <f t="shared" si="647"/>
        <v>0</v>
      </c>
      <c r="T247" s="44">
        <f t="shared" si="647"/>
        <v>0</v>
      </c>
      <c r="U247" s="44">
        <f t="shared" si="647"/>
        <v>0</v>
      </c>
      <c r="V247" s="44">
        <f t="shared" si="647"/>
        <v>0</v>
      </c>
      <c r="W247" s="44">
        <f t="shared" si="647"/>
        <v>0</v>
      </c>
      <c r="X247" s="44">
        <f t="shared" si="647"/>
        <v>0</v>
      </c>
      <c r="Y247" s="44">
        <f t="shared" si="647"/>
        <v>0</v>
      </c>
      <c r="Z247" s="44">
        <f t="shared" si="647"/>
        <v>0</v>
      </c>
      <c r="AA247" s="44">
        <f t="shared" si="647"/>
        <v>0</v>
      </c>
      <c r="AB247" s="44">
        <f t="shared" si="647"/>
        <v>0</v>
      </c>
      <c r="AC247" s="44">
        <f t="shared" si="647"/>
        <v>0</v>
      </c>
      <c r="AD247" s="44">
        <f t="shared" si="647"/>
        <v>0</v>
      </c>
      <c r="AE247" s="44">
        <f t="shared" si="647"/>
        <v>0</v>
      </c>
      <c r="AF247" s="44">
        <f t="shared" si="647"/>
        <v>0</v>
      </c>
      <c r="AG247" s="44">
        <f t="shared" si="647"/>
        <v>0</v>
      </c>
      <c r="AH247" s="44">
        <f t="shared" si="647"/>
        <v>0</v>
      </c>
      <c r="AI247" s="44">
        <f t="shared" si="647"/>
        <v>0</v>
      </c>
      <c r="AJ247" s="44">
        <f t="shared" si="647"/>
        <v>0</v>
      </c>
      <c r="AK247" s="44">
        <f t="shared" si="647"/>
        <v>0</v>
      </c>
      <c r="AL247" s="44">
        <f t="shared" si="647"/>
        <v>0</v>
      </c>
      <c r="AM247" s="44">
        <f t="shared" si="647"/>
        <v>0</v>
      </c>
      <c r="AN247" s="44">
        <f t="shared" ref="AN247:BS247" si="648">AN177</f>
        <v>0</v>
      </c>
      <c r="AO247" s="44">
        <f t="shared" si="648"/>
        <v>0</v>
      </c>
      <c r="AP247" s="44">
        <f t="shared" si="648"/>
        <v>0</v>
      </c>
      <c r="AQ247" s="44">
        <f t="shared" si="648"/>
        <v>0</v>
      </c>
      <c r="AR247" s="44">
        <f t="shared" si="648"/>
        <v>0</v>
      </c>
      <c r="AS247" s="44">
        <f t="shared" si="648"/>
        <v>0</v>
      </c>
      <c r="AT247" s="44">
        <f t="shared" si="648"/>
        <v>0</v>
      </c>
      <c r="AU247" s="44">
        <f t="shared" si="648"/>
        <v>0</v>
      </c>
      <c r="AV247" s="44">
        <f t="shared" si="648"/>
        <v>0</v>
      </c>
      <c r="AW247" s="44">
        <f t="shared" si="648"/>
        <v>0</v>
      </c>
      <c r="AX247" s="44">
        <f t="shared" si="648"/>
        <v>0</v>
      </c>
      <c r="AY247" s="44">
        <f t="shared" si="648"/>
        <v>0</v>
      </c>
      <c r="AZ247" s="44">
        <f t="shared" si="648"/>
        <v>0</v>
      </c>
      <c r="BA247" s="44">
        <f t="shared" si="648"/>
        <v>0</v>
      </c>
      <c r="BB247" s="44">
        <f t="shared" si="648"/>
        <v>0</v>
      </c>
      <c r="BC247" s="44">
        <f t="shared" si="648"/>
        <v>0</v>
      </c>
      <c r="BD247" s="44">
        <f t="shared" si="648"/>
        <v>0</v>
      </c>
      <c r="BE247" s="44">
        <f t="shared" si="648"/>
        <v>0</v>
      </c>
      <c r="BF247" s="44">
        <f t="shared" si="648"/>
        <v>0</v>
      </c>
      <c r="BG247" s="44">
        <f t="shared" si="648"/>
        <v>0</v>
      </c>
      <c r="BH247" s="44">
        <f t="shared" si="648"/>
        <v>18768.515594600107</v>
      </c>
      <c r="BI247" s="44">
        <f t="shared" si="648"/>
        <v>18538.227059697034</v>
      </c>
      <c r="BJ247" s="44">
        <f t="shared" si="648"/>
        <v>18307.938524793964</v>
      </c>
      <c r="BK247" s="44">
        <f t="shared" si="648"/>
        <v>18077.649989890895</v>
      </c>
      <c r="BL247" s="44">
        <f t="shared" si="648"/>
        <v>17847.361454987822</v>
      </c>
      <c r="BM247" s="44">
        <f t="shared" si="648"/>
        <v>17617.072920084753</v>
      </c>
      <c r="BN247" s="44">
        <f t="shared" si="648"/>
        <v>17386.784385181683</v>
      </c>
      <c r="BO247" s="44">
        <f t="shared" si="648"/>
        <v>17156.495850278614</v>
      </c>
      <c r="BP247" s="44">
        <f t="shared" si="648"/>
        <v>16926.207315375541</v>
      </c>
      <c r="BQ247" s="44">
        <f t="shared" si="648"/>
        <v>16695.918780472472</v>
      </c>
      <c r="BR247" s="44">
        <f t="shared" si="648"/>
        <v>16465.630245569402</v>
      </c>
      <c r="BS247" s="44">
        <f t="shared" si="648"/>
        <v>16235.341710666331</v>
      </c>
      <c r="BT247" s="44">
        <f t="shared" ref="BT247:CY247" si="649">BT177</f>
        <v>16005.05317576326</v>
      </c>
      <c r="BU247" s="44">
        <f t="shared" si="649"/>
        <v>15774.76464086019</v>
      </c>
      <c r="BV247" s="44">
        <f t="shared" si="649"/>
        <v>15544.476105957119</v>
      </c>
      <c r="BW247" s="44">
        <f t="shared" si="649"/>
        <v>15314.18757105405</v>
      </c>
      <c r="BX247" s="44">
        <f t="shared" si="649"/>
        <v>15083.899036150979</v>
      </c>
      <c r="BY247" s="44">
        <f t="shared" si="649"/>
        <v>14853.610501247907</v>
      </c>
      <c r="BZ247" s="44">
        <f t="shared" si="649"/>
        <v>14623.321966344838</v>
      </c>
      <c r="CA247" s="44">
        <f t="shared" si="649"/>
        <v>14393.033431441767</v>
      </c>
      <c r="CB247" s="44">
        <f t="shared" si="649"/>
        <v>14162.744896538698</v>
      </c>
      <c r="CC247" s="44">
        <f t="shared" si="649"/>
        <v>13932.456361635626</v>
      </c>
      <c r="CD247" s="44">
        <f t="shared" si="649"/>
        <v>13702.167826732557</v>
      </c>
      <c r="CE247" s="44">
        <f t="shared" si="649"/>
        <v>13471.879291829486</v>
      </c>
      <c r="CF247" s="44">
        <f t="shared" si="649"/>
        <v>13241.590756926415</v>
      </c>
      <c r="CG247" s="44">
        <f t="shared" si="649"/>
        <v>13011.302222023345</v>
      </c>
      <c r="CH247" s="44">
        <f t="shared" si="649"/>
        <v>12781.013687120274</v>
      </c>
      <c r="CI247" s="44">
        <f t="shared" si="649"/>
        <v>12550.725152217205</v>
      </c>
      <c r="CJ247" s="44">
        <f t="shared" si="649"/>
        <v>12320.436617314133</v>
      </c>
      <c r="CK247" s="44">
        <f t="shared" si="649"/>
        <v>12090.148082411064</v>
      </c>
      <c r="CL247" s="44">
        <f t="shared" si="649"/>
        <v>11859.859547507993</v>
      </c>
      <c r="CM247" s="44">
        <f t="shared" si="649"/>
        <v>11629.571012604923</v>
      </c>
      <c r="CN247" s="44">
        <f t="shared" si="649"/>
        <v>11399.282477701854</v>
      </c>
      <c r="CO247" s="44">
        <f t="shared" si="649"/>
        <v>11168.993942798785</v>
      </c>
      <c r="CP247" s="44">
        <f t="shared" si="649"/>
        <v>10938.705407895717</v>
      </c>
      <c r="CQ247" s="44">
        <f t="shared" si="649"/>
        <v>10708.416872992646</v>
      </c>
      <c r="CR247" s="44">
        <f t="shared" si="649"/>
        <v>10478.128338089578</v>
      </c>
      <c r="CS247" s="44">
        <f t="shared" si="649"/>
        <v>10247.839803186507</v>
      </c>
      <c r="CT247" s="44">
        <f t="shared" si="649"/>
        <v>10017.55126828344</v>
      </c>
      <c r="CU247" s="44">
        <f t="shared" si="649"/>
        <v>9787.2627333803703</v>
      </c>
      <c r="CV247" s="44">
        <f t="shared" si="649"/>
        <v>9556.9741984773009</v>
      </c>
      <c r="CW247" s="44">
        <f t="shared" si="649"/>
        <v>9326.6856635742315</v>
      </c>
      <c r="CX247" s="44">
        <f t="shared" si="649"/>
        <v>9096.397128671164</v>
      </c>
      <c r="CY247" s="44">
        <f t="shared" si="649"/>
        <v>8866.1085937680928</v>
      </c>
      <c r="CZ247" s="44">
        <f t="shared" ref="CZ247:EE247" si="650">CZ177</f>
        <v>8635.8200588650252</v>
      </c>
      <c r="DA247" s="44">
        <f t="shared" si="650"/>
        <v>8405.531523961954</v>
      </c>
      <c r="DB247" s="44">
        <f t="shared" si="650"/>
        <v>8175.2429890588865</v>
      </c>
      <c r="DC247" s="44">
        <f t="shared" si="650"/>
        <v>7944.9544541558162</v>
      </c>
      <c r="DD247" s="44">
        <f t="shared" si="650"/>
        <v>7714.6659192527486</v>
      </c>
      <c r="DE247" s="44">
        <f t="shared" si="650"/>
        <v>7484.3773843496783</v>
      </c>
      <c r="DF247" s="44">
        <f t="shared" si="650"/>
        <v>7254.0888494466108</v>
      </c>
      <c r="DG247" s="44">
        <f t="shared" si="650"/>
        <v>7023.8003145435396</v>
      </c>
      <c r="DH247" s="44">
        <f t="shared" si="650"/>
        <v>6793.511779640472</v>
      </c>
      <c r="DI247" s="44">
        <f t="shared" si="650"/>
        <v>6563.2232447374017</v>
      </c>
      <c r="DJ247" s="44">
        <f t="shared" si="650"/>
        <v>6332.9347098343342</v>
      </c>
      <c r="DK247" s="44">
        <f t="shared" si="650"/>
        <v>6102.646174931263</v>
      </c>
      <c r="DL247" s="44">
        <f t="shared" si="650"/>
        <v>5872.3576400281954</v>
      </c>
      <c r="DM247" s="44">
        <f t="shared" si="650"/>
        <v>5642.069105125126</v>
      </c>
      <c r="DN247" s="44">
        <f t="shared" si="650"/>
        <v>5411.7805702220567</v>
      </c>
      <c r="DO247" s="44">
        <f t="shared" si="650"/>
        <v>5181.4920353189873</v>
      </c>
      <c r="DP247" s="44">
        <f t="shared" si="650"/>
        <v>4951.2035004159188</v>
      </c>
      <c r="DQ247" s="44">
        <f t="shared" si="650"/>
        <v>4720.9149655128494</v>
      </c>
      <c r="DR247" s="44">
        <f t="shared" si="650"/>
        <v>4490.6264306097801</v>
      </c>
      <c r="DS247" s="44">
        <f t="shared" si="650"/>
        <v>4260.3378957067107</v>
      </c>
      <c r="DT247" s="44">
        <f t="shared" si="650"/>
        <v>4030.0493608036418</v>
      </c>
      <c r="DU247" s="44">
        <f t="shared" si="650"/>
        <v>3799.7608259005729</v>
      </c>
      <c r="DV247" s="44">
        <f t="shared" si="650"/>
        <v>3569.4722909975035</v>
      </c>
      <c r="DW247" s="44">
        <f t="shared" si="650"/>
        <v>3339.1837560944346</v>
      </c>
      <c r="DX247" s="44">
        <f t="shared" si="650"/>
        <v>3108.8952211913652</v>
      </c>
      <c r="DY247" s="44">
        <f t="shared" si="650"/>
        <v>2878.6066862882963</v>
      </c>
      <c r="DZ247" s="44">
        <f t="shared" si="650"/>
        <v>2648.3181513852273</v>
      </c>
      <c r="EA247" s="44">
        <f t="shared" si="650"/>
        <v>2418.029616482158</v>
      </c>
      <c r="EB247" s="44">
        <f t="shared" si="650"/>
        <v>2187.741081579089</v>
      </c>
      <c r="EC247" s="44">
        <f t="shared" si="650"/>
        <v>1957.4525466760197</v>
      </c>
      <c r="ED247" s="44">
        <f t="shared" si="650"/>
        <v>1727.1640117729505</v>
      </c>
      <c r="EE247" s="44">
        <f t="shared" si="650"/>
        <v>1496.8754768698814</v>
      </c>
      <c r="EF247" s="44">
        <f t="shared" ref="EF247:EN247" si="651">EF177</f>
        <v>1266.586941966812</v>
      </c>
      <c r="EG247" s="44">
        <f t="shared" si="651"/>
        <v>1036.2984070637428</v>
      </c>
      <c r="EH247" s="44">
        <f t="shared" si="651"/>
        <v>806.00987216067347</v>
      </c>
      <c r="EI247" s="44">
        <f t="shared" si="651"/>
        <v>575.7213372576042</v>
      </c>
      <c r="EJ247" s="44">
        <f t="shared" si="651"/>
        <v>345.43280235453494</v>
      </c>
      <c r="EK247" s="44">
        <f t="shared" si="651"/>
        <v>115.14426745150016</v>
      </c>
      <c r="EL247" s="44">
        <f t="shared" si="651"/>
        <v>0</v>
      </c>
      <c r="EM247" s="44">
        <f t="shared" si="651"/>
        <v>0</v>
      </c>
      <c r="EN247" s="44">
        <f t="shared" si="651"/>
        <v>0</v>
      </c>
    </row>
    <row r="248" spans="2:144">
      <c r="B248" s="459">
        <f>$B$19</f>
        <v>15</v>
      </c>
      <c r="C248" s="151" t="str">
        <f t="shared" si="581"/>
        <v>Стоимость проектных работ - 4% от СМР (мебель и технологическое оборудование не учитываются)</v>
      </c>
      <c r="D248" s="45"/>
      <c r="E248" s="44"/>
      <c r="F248" s="44"/>
      <c r="G248" s="45"/>
      <c r="H248" s="44">
        <f t="shared" ref="H248:AM248" si="652">H188</f>
        <v>0</v>
      </c>
      <c r="I248" s="44">
        <f t="shared" si="652"/>
        <v>0</v>
      </c>
      <c r="J248" s="44">
        <f t="shared" si="652"/>
        <v>0</v>
      </c>
      <c r="K248" s="44">
        <f t="shared" si="652"/>
        <v>0</v>
      </c>
      <c r="L248" s="44">
        <f t="shared" si="652"/>
        <v>0</v>
      </c>
      <c r="M248" s="44">
        <f t="shared" si="652"/>
        <v>0</v>
      </c>
      <c r="N248" s="44">
        <f t="shared" si="652"/>
        <v>0</v>
      </c>
      <c r="O248" s="44">
        <f t="shared" si="652"/>
        <v>0</v>
      </c>
      <c r="P248" s="44">
        <f t="shared" si="652"/>
        <v>0</v>
      </c>
      <c r="Q248" s="44">
        <f t="shared" si="652"/>
        <v>0</v>
      </c>
      <c r="R248" s="44">
        <f t="shared" si="652"/>
        <v>0</v>
      </c>
      <c r="S248" s="44">
        <f t="shared" si="652"/>
        <v>0</v>
      </c>
      <c r="T248" s="44">
        <f t="shared" si="652"/>
        <v>0</v>
      </c>
      <c r="U248" s="44">
        <f t="shared" si="652"/>
        <v>0</v>
      </c>
      <c r="V248" s="44">
        <f t="shared" si="652"/>
        <v>0</v>
      </c>
      <c r="W248" s="44">
        <f t="shared" si="652"/>
        <v>0</v>
      </c>
      <c r="X248" s="44">
        <f t="shared" si="652"/>
        <v>0</v>
      </c>
      <c r="Y248" s="44">
        <f t="shared" si="652"/>
        <v>0</v>
      </c>
      <c r="Z248" s="44">
        <f t="shared" si="652"/>
        <v>0</v>
      </c>
      <c r="AA248" s="44">
        <f t="shared" si="652"/>
        <v>0</v>
      </c>
      <c r="AB248" s="44">
        <f t="shared" si="652"/>
        <v>0</v>
      </c>
      <c r="AC248" s="44">
        <f t="shared" si="652"/>
        <v>0</v>
      </c>
      <c r="AD248" s="44">
        <f t="shared" si="652"/>
        <v>0</v>
      </c>
      <c r="AE248" s="44">
        <f t="shared" si="652"/>
        <v>0</v>
      </c>
      <c r="AF248" s="44">
        <f t="shared" si="652"/>
        <v>0</v>
      </c>
      <c r="AG248" s="44">
        <f t="shared" si="652"/>
        <v>0</v>
      </c>
      <c r="AH248" s="44">
        <f t="shared" si="652"/>
        <v>0</v>
      </c>
      <c r="AI248" s="44">
        <f t="shared" si="652"/>
        <v>0</v>
      </c>
      <c r="AJ248" s="44">
        <f t="shared" si="652"/>
        <v>0</v>
      </c>
      <c r="AK248" s="44">
        <f t="shared" si="652"/>
        <v>0</v>
      </c>
      <c r="AL248" s="44">
        <f t="shared" si="652"/>
        <v>0</v>
      </c>
      <c r="AM248" s="44">
        <f t="shared" si="652"/>
        <v>0</v>
      </c>
      <c r="AN248" s="44">
        <f t="shared" ref="AN248:BS248" si="653">AN188</f>
        <v>0</v>
      </c>
      <c r="AO248" s="44">
        <f t="shared" si="653"/>
        <v>0</v>
      </c>
      <c r="AP248" s="44">
        <f t="shared" si="653"/>
        <v>0</v>
      </c>
      <c r="AQ248" s="44">
        <f t="shared" si="653"/>
        <v>0</v>
      </c>
      <c r="AR248" s="44">
        <f t="shared" si="653"/>
        <v>0</v>
      </c>
      <c r="AS248" s="44">
        <f t="shared" si="653"/>
        <v>0</v>
      </c>
      <c r="AT248" s="44">
        <f t="shared" si="653"/>
        <v>0</v>
      </c>
      <c r="AU248" s="44">
        <f t="shared" si="653"/>
        <v>0</v>
      </c>
      <c r="AV248" s="44">
        <f t="shared" si="653"/>
        <v>0</v>
      </c>
      <c r="AW248" s="44">
        <f t="shared" si="653"/>
        <v>0</v>
      </c>
      <c r="AX248" s="44">
        <f t="shared" si="653"/>
        <v>0</v>
      </c>
      <c r="AY248" s="44">
        <f t="shared" si="653"/>
        <v>0</v>
      </c>
      <c r="AZ248" s="44">
        <f t="shared" si="653"/>
        <v>0</v>
      </c>
      <c r="BA248" s="44">
        <f t="shared" si="653"/>
        <v>0</v>
      </c>
      <c r="BB248" s="44">
        <f t="shared" si="653"/>
        <v>0</v>
      </c>
      <c r="BC248" s="44">
        <f t="shared" si="653"/>
        <v>0</v>
      </c>
      <c r="BD248" s="44">
        <f t="shared" si="653"/>
        <v>0</v>
      </c>
      <c r="BE248" s="44">
        <f t="shared" si="653"/>
        <v>0</v>
      </c>
      <c r="BF248" s="44">
        <f t="shared" si="653"/>
        <v>0</v>
      </c>
      <c r="BG248" s="44">
        <f t="shared" si="653"/>
        <v>0</v>
      </c>
      <c r="BH248" s="44">
        <f t="shared" si="653"/>
        <v>890557.34392043063</v>
      </c>
      <c r="BI248" s="44">
        <f t="shared" si="653"/>
        <v>879630.25994594686</v>
      </c>
      <c r="BJ248" s="44">
        <f t="shared" si="653"/>
        <v>868703.17597146309</v>
      </c>
      <c r="BK248" s="44">
        <f t="shared" si="653"/>
        <v>857776.09199697932</v>
      </c>
      <c r="BL248" s="44">
        <f t="shared" si="653"/>
        <v>846849.00802249555</v>
      </c>
      <c r="BM248" s="44">
        <f t="shared" si="653"/>
        <v>835921.92404801166</v>
      </c>
      <c r="BN248" s="44">
        <f t="shared" si="653"/>
        <v>824994.84007352788</v>
      </c>
      <c r="BO248" s="44">
        <f t="shared" si="653"/>
        <v>814067.75609904411</v>
      </c>
      <c r="BP248" s="44">
        <f t="shared" si="653"/>
        <v>803140.67212456034</v>
      </c>
      <c r="BQ248" s="44">
        <f t="shared" si="653"/>
        <v>792213.58815007657</v>
      </c>
      <c r="BR248" s="44">
        <f t="shared" si="653"/>
        <v>781286.5041755928</v>
      </c>
      <c r="BS248" s="44">
        <f t="shared" si="653"/>
        <v>770359.42020110902</v>
      </c>
      <c r="BT248" s="44">
        <f t="shared" ref="BT248:CY248" si="654">BT188</f>
        <v>759432.33622662514</v>
      </c>
      <c r="BU248" s="44">
        <f t="shared" si="654"/>
        <v>748505.25225214136</v>
      </c>
      <c r="BV248" s="44">
        <f t="shared" si="654"/>
        <v>737578.16827765759</v>
      </c>
      <c r="BW248" s="44">
        <f t="shared" si="654"/>
        <v>726651.08430317382</v>
      </c>
      <c r="BX248" s="44">
        <f t="shared" si="654"/>
        <v>715724.00032869005</v>
      </c>
      <c r="BY248" s="44">
        <f t="shared" si="654"/>
        <v>704796.91635420627</v>
      </c>
      <c r="BZ248" s="44">
        <f t="shared" si="654"/>
        <v>693869.8323797225</v>
      </c>
      <c r="CA248" s="44">
        <f t="shared" si="654"/>
        <v>682942.74840523873</v>
      </c>
      <c r="CB248" s="44">
        <f t="shared" si="654"/>
        <v>672015.66443075484</v>
      </c>
      <c r="CC248" s="44">
        <f t="shared" si="654"/>
        <v>661088.58045627107</v>
      </c>
      <c r="CD248" s="44">
        <f t="shared" si="654"/>
        <v>650161.4964817873</v>
      </c>
      <c r="CE248" s="44">
        <f t="shared" si="654"/>
        <v>639234.41250730352</v>
      </c>
      <c r="CF248" s="44">
        <f t="shared" si="654"/>
        <v>628307.32853281975</v>
      </c>
      <c r="CG248" s="44">
        <f t="shared" si="654"/>
        <v>617380.24455833598</v>
      </c>
      <c r="CH248" s="44">
        <f t="shared" si="654"/>
        <v>606453.16058385221</v>
      </c>
      <c r="CI248" s="44">
        <f t="shared" si="654"/>
        <v>595526.07660936844</v>
      </c>
      <c r="CJ248" s="44">
        <f t="shared" si="654"/>
        <v>584598.99263488455</v>
      </c>
      <c r="CK248" s="44">
        <f t="shared" si="654"/>
        <v>573671.90866040078</v>
      </c>
      <c r="CL248" s="44">
        <f t="shared" si="654"/>
        <v>562744.824685917</v>
      </c>
      <c r="CM248" s="44">
        <f t="shared" si="654"/>
        <v>551817.74071143323</v>
      </c>
      <c r="CN248" s="44">
        <f t="shared" si="654"/>
        <v>540890.65673694946</v>
      </c>
      <c r="CO248" s="44">
        <f t="shared" si="654"/>
        <v>529963.57276246569</v>
      </c>
      <c r="CP248" s="44">
        <f t="shared" si="654"/>
        <v>519036.48878798186</v>
      </c>
      <c r="CQ248" s="44">
        <f t="shared" si="654"/>
        <v>508109.40481349808</v>
      </c>
      <c r="CR248" s="44">
        <f t="shared" si="654"/>
        <v>497182.32083901431</v>
      </c>
      <c r="CS248" s="44">
        <f t="shared" si="654"/>
        <v>486255.23686453048</v>
      </c>
      <c r="CT248" s="44">
        <f t="shared" si="654"/>
        <v>475328.15289004671</v>
      </c>
      <c r="CU248" s="44">
        <f t="shared" si="654"/>
        <v>464401.06891556294</v>
      </c>
      <c r="CV248" s="44">
        <f t="shared" si="654"/>
        <v>453473.98494107916</v>
      </c>
      <c r="CW248" s="44">
        <f t="shared" si="654"/>
        <v>442546.90096659533</v>
      </c>
      <c r="CX248" s="44">
        <f t="shared" si="654"/>
        <v>431619.81699211156</v>
      </c>
      <c r="CY248" s="44">
        <f t="shared" si="654"/>
        <v>420692.73301762779</v>
      </c>
      <c r="CZ248" s="44">
        <f t="shared" ref="CZ248:EE248" si="655">CZ188</f>
        <v>409765.64904314402</v>
      </c>
      <c r="DA248" s="44">
        <f t="shared" si="655"/>
        <v>398838.56506866019</v>
      </c>
      <c r="DB248" s="44">
        <f t="shared" si="655"/>
        <v>387911.48109417642</v>
      </c>
      <c r="DC248" s="44">
        <f t="shared" si="655"/>
        <v>376984.39711969264</v>
      </c>
      <c r="DD248" s="44">
        <f t="shared" si="655"/>
        <v>366057.31314520887</v>
      </c>
      <c r="DE248" s="44">
        <f t="shared" si="655"/>
        <v>355130.22917072504</v>
      </c>
      <c r="DF248" s="44">
        <f t="shared" si="655"/>
        <v>344203.14519624127</v>
      </c>
      <c r="DG248" s="44">
        <f t="shared" si="655"/>
        <v>333276.0612217575</v>
      </c>
      <c r="DH248" s="44">
        <f t="shared" si="655"/>
        <v>322348.97724727367</v>
      </c>
      <c r="DI248" s="44">
        <f t="shared" si="655"/>
        <v>311421.89327278989</v>
      </c>
      <c r="DJ248" s="44">
        <f t="shared" si="655"/>
        <v>300494.80929830612</v>
      </c>
      <c r="DK248" s="44">
        <f t="shared" si="655"/>
        <v>289567.72532382235</v>
      </c>
      <c r="DL248" s="44">
        <f t="shared" si="655"/>
        <v>278640.64134933852</v>
      </c>
      <c r="DM248" s="44">
        <f t="shared" si="655"/>
        <v>267713.55737485475</v>
      </c>
      <c r="DN248" s="44">
        <f t="shared" si="655"/>
        <v>256786.47340037097</v>
      </c>
      <c r="DO248" s="44">
        <f t="shared" si="655"/>
        <v>245859.38942588717</v>
      </c>
      <c r="DP248" s="44">
        <f t="shared" si="655"/>
        <v>234932.3054514034</v>
      </c>
      <c r="DQ248" s="44">
        <f t="shared" si="655"/>
        <v>224005.2214769196</v>
      </c>
      <c r="DR248" s="44">
        <f t="shared" si="655"/>
        <v>213078.13750243583</v>
      </c>
      <c r="DS248" s="44">
        <f t="shared" si="655"/>
        <v>202151.05352795203</v>
      </c>
      <c r="DT248" s="44">
        <f t="shared" si="655"/>
        <v>191223.96955346825</v>
      </c>
      <c r="DU248" s="44">
        <f t="shared" si="655"/>
        <v>180296.88557898445</v>
      </c>
      <c r="DV248" s="44">
        <f t="shared" si="655"/>
        <v>169369.80160450062</v>
      </c>
      <c r="DW248" s="44">
        <f t="shared" si="655"/>
        <v>158442.71763001685</v>
      </c>
      <c r="DX248" s="44">
        <f t="shared" si="655"/>
        <v>147515.63365553302</v>
      </c>
      <c r="DY248" s="44">
        <f t="shared" si="655"/>
        <v>136588.54968104922</v>
      </c>
      <c r="DZ248" s="44">
        <f t="shared" si="655"/>
        <v>125661.4657065654</v>
      </c>
      <c r="EA248" s="44">
        <f t="shared" si="655"/>
        <v>114734.38173208162</v>
      </c>
      <c r="EB248" s="44">
        <f t="shared" si="655"/>
        <v>103807.29775759779</v>
      </c>
      <c r="EC248" s="44">
        <f t="shared" si="655"/>
        <v>92880.213783113999</v>
      </c>
      <c r="ED248" s="44">
        <f t="shared" si="655"/>
        <v>81953.129808630183</v>
      </c>
      <c r="EE248" s="44">
        <f t="shared" si="655"/>
        <v>71026.045834146367</v>
      </c>
      <c r="EF248" s="44">
        <f t="shared" ref="EF248:EN248" si="656">EF188</f>
        <v>60098.961859662559</v>
      </c>
      <c r="EG248" s="44">
        <f t="shared" si="656"/>
        <v>49171.877885178757</v>
      </c>
      <c r="EH248" s="44">
        <f t="shared" si="656"/>
        <v>38244.793910694956</v>
      </c>
      <c r="EI248" s="44">
        <f t="shared" si="656"/>
        <v>27317.709936211148</v>
      </c>
      <c r="EJ248" s="44">
        <f t="shared" si="656"/>
        <v>16390.62596172735</v>
      </c>
      <c r="EK248" s="44">
        <f t="shared" si="656"/>
        <v>5463.5419872435441</v>
      </c>
      <c r="EL248" s="44">
        <f t="shared" si="656"/>
        <v>1.6416888684034346E-9</v>
      </c>
      <c r="EM248" s="44">
        <f t="shared" si="656"/>
        <v>1.6416888684034346E-9</v>
      </c>
      <c r="EN248" s="44">
        <f t="shared" si="656"/>
        <v>1.6416888684034346E-9</v>
      </c>
    </row>
    <row r="249" spans="2:144">
      <c r="C249" s="470"/>
      <c r="D249" s="471"/>
      <c r="E249" s="472"/>
      <c r="F249" s="472"/>
      <c r="G249" s="471"/>
      <c r="H249" s="472"/>
      <c r="I249" s="472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  <c r="AG249" s="472"/>
      <c r="AH249" s="472"/>
      <c r="AI249" s="472"/>
      <c r="AJ249" s="472"/>
      <c r="AK249" s="472"/>
      <c r="AL249" s="472"/>
      <c r="AM249" s="472"/>
      <c r="AN249" s="472"/>
      <c r="AO249" s="472"/>
      <c r="AP249" s="472"/>
      <c r="AQ249" s="472"/>
      <c r="AR249" s="472"/>
      <c r="AS249" s="472"/>
      <c r="AT249" s="472"/>
      <c r="AU249" s="472"/>
      <c r="AV249" s="472"/>
      <c r="AW249" s="472"/>
      <c r="AX249" s="472"/>
      <c r="AY249" s="472"/>
      <c r="AZ249" s="472"/>
      <c r="BA249" s="472"/>
      <c r="BB249" s="472"/>
      <c r="BC249" s="472"/>
      <c r="BD249" s="472"/>
      <c r="BE249" s="472"/>
      <c r="BF249" s="472"/>
      <c r="BG249" s="472"/>
      <c r="BH249" s="472"/>
      <c r="BI249" s="472"/>
      <c r="BJ249" s="472"/>
      <c r="BK249" s="472"/>
      <c r="BL249" s="472"/>
      <c r="BM249" s="472"/>
      <c r="BN249" s="472"/>
      <c r="BO249" s="472"/>
      <c r="BP249" s="472"/>
      <c r="BQ249" s="472"/>
      <c r="BR249" s="472"/>
      <c r="BS249" s="472"/>
      <c r="BT249" s="472"/>
      <c r="BU249" s="472"/>
      <c r="BV249" s="472"/>
      <c r="BW249" s="472"/>
      <c r="BX249" s="472"/>
      <c r="BY249" s="472"/>
      <c r="BZ249" s="472"/>
      <c r="CA249" s="472"/>
      <c r="CB249" s="472"/>
      <c r="CC249" s="472"/>
      <c r="CD249" s="472"/>
      <c r="CE249" s="472"/>
      <c r="CF249" s="472"/>
      <c r="CG249" s="472"/>
      <c r="CH249" s="472"/>
      <c r="CI249" s="472"/>
      <c r="CJ249" s="472"/>
      <c r="CK249" s="472"/>
      <c r="CL249" s="472"/>
      <c r="CM249" s="472"/>
      <c r="CN249" s="472"/>
      <c r="CO249" s="472"/>
      <c r="CP249" s="472"/>
      <c r="CQ249" s="472"/>
      <c r="CR249" s="472"/>
      <c r="CS249" s="472"/>
      <c r="CT249" s="472"/>
      <c r="CU249" s="472"/>
      <c r="CV249" s="472"/>
      <c r="CW249" s="472"/>
      <c r="CX249" s="472"/>
      <c r="CY249" s="472"/>
      <c r="CZ249" s="472"/>
      <c r="DA249" s="472"/>
      <c r="DB249" s="472"/>
      <c r="DC249" s="472"/>
      <c r="DD249" s="472"/>
      <c r="DE249" s="472"/>
      <c r="DF249" s="472"/>
      <c r="DG249" s="472"/>
      <c r="DH249" s="472"/>
      <c r="DI249" s="472"/>
      <c r="DJ249" s="472"/>
      <c r="DK249" s="472"/>
      <c r="DL249" s="472"/>
      <c r="DM249" s="472"/>
      <c r="DN249" s="472"/>
      <c r="DO249" s="472"/>
      <c r="DP249" s="472"/>
      <c r="DQ249" s="472"/>
      <c r="DR249" s="472"/>
      <c r="DS249" s="472"/>
      <c r="DT249" s="472"/>
      <c r="DU249" s="472"/>
      <c r="DV249" s="472"/>
      <c r="DW249" s="472"/>
      <c r="DX249" s="472"/>
      <c r="DY249" s="472"/>
      <c r="DZ249" s="472"/>
      <c r="EA249" s="472"/>
      <c r="EB249" s="472"/>
      <c r="EC249" s="472"/>
      <c r="ED249" s="472"/>
      <c r="EE249" s="472"/>
      <c r="EF249" s="472"/>
      <c r="EG249" s="472"/>
      <c r="EH249" s="472"/>
      <c r="EI249" s="472"/>
      <c r="EJ249" s="472"/>
      <c r="EK249" s="472"/>
      <c r="EL249" s="472"/>
      <c r="EM249" s="472"/>
      <c r="EN249" s="472"/>
    </row>
    <row r="250" spans="2:144">
      <c r="B250" s="40"/>
    </row>
    <row r="251" spans="2:144">
      <c r="B251" s="40"/>
    </row>
    <row r="252" spans="2:144" ht="15.75">
      <c r="B252" s="40"/>
      <c r="C252" s="22"/>
      <c r="E252" s="40"/>
      <c r="F252" s="40"/>
      <c r="G252" s="40"/>
      <c r="H252" s="463">
        <f>H230</f>
        <v>2022</v>
      </c>
      <c r="I252" s="463">
        <f>H252+1</f>
        <v>2023</v>
      </c>
      <c r="J252" s="463">
        <f t="shared" ref="J252:AH252" si="657">I252+1</f>
        <v>2024</v>
      </c>
      <c r="K252" s="463">
        <f t="shared" si="657"/>
        <v>2025</v>
      </c>
      <c r="L252" s="463">
        <f t="shared" si="657"/>
        <v>2026</v>
      </c>
      <c r="M252" s="463">
        <f t="shared" si="657"/>
        <v>2027</v>
      </c>
      <c r="N252" s="463">
        <f t="shared" si="657"/>
        <v>2028</v>
      </c>
      <c r="O252" s="463">
        <f t="shared" si="657"/>
        <v>2029</v>
      </c>
      <c r="P252" s="463">
        <f t="shared" si="657"/>
        <v>2030</v>
      </c>
      <c r="Q252" s="463">
        <f t="shared" si="657"/>
        <v>2031</v>
      </c>
      <c r="R252" s="463">
        <f t="shared" si="657"/>
        <v>2032</v>
      </c>
      <c r="S252" s="463">
        <f t="shared" si="657"/>
        <v>2033</v>
      </c>
      <c r="T252" s="463">
        <f t="shared" si="657"/>
        <v>2034</v>
      </c>
      <c r="U252" s="463">
        <f t="shared" si="657"/>
        <v>2035</v>
      </c>
      <c r="V252" s="463">
        <f t="shared" si="657"/>
        <v>2036</v>
      </c>
      <c r="W252" s="463">
        <f t="shared" si="657"/>
        <v>2037</v>
      </c>
      <c r="X252" s="463">
        <f t="shared" si="657"/>
        <v>2038</v>
      </c>
      <c r="Y252" s="463">
        <f t="shared" si="657"/>
        <v>2039</v>
      </c>
      <c r="Z252" s="463">
        <f t="shared" si="657"/>
        <v>2040</v>
      </c>
      <c r="AA252" s="463">
        <f t="shared" si="657"/>
        <v>2041</v>
      </c>
      <c r="AB252" s="463">
        <f t="shared" si="657"/>
        <v>2042</v>
      </c>
      <c r="AC252" s="463">
        <f t="shared" si="657"/>
        <v>2043</v>
      </c>
      <c r="AD252" s="463">
        <f t="shared" si="657"/>
        <v>2044</v>
      </c>
      <c r="AE252" s="463">
        <f t="shared" si="657"/>
        <v>2045</v>
      </c>
      <c r="AF252" s="463">
        <f t="shared" si="657"/>
        <v>2046</v>
      </c>
      <c r="AG252" s="463">
        <f t="shared" si="657"/>
        <v>2047</v>
      </c>
      <c r="AH252" s="463">
        <f t="shared" si="657"/>
        <v>2048</v>
      </c>
      <c r="AI252" s="463">
        <f>AH252+1</f>
        <v>2049</v>
      </c>
      <c r="AJ252" s="463">
        <f t="shared" ref="AJ252:AP252" si="658">AI252+1</f>
        <v>2050</v>
      </c>
      <c r="AK252" s="463">
        <f t="shared" si="658"/>
        <v>2051</v>
      </c>
      <c r="AL252" s="463">
        <f t="shared" si="658"/>
        <v>2052</v>
      </c>
      <c r="AM252" s="463">
        <f t="shared" si="658"/>
        <v>2053</v>
      </c>
      <c r="AN252" s="463">
        <f t="shared" si="658"/>
        <v>2054</v>
      </c>
      <c r="AO252" s="463">
        <f t="shared" si="658"/>
        <v>2055</v>
      </c>
      <c r="AP252" s="463">
        <f t="shared" si="658"/>
        <v>2056</v>
      </c>
    </row>
    <row r="253" spans="2:144" ht="15.75">
      <c r="B253" s="40"/>
      <c r="C253" s="22"/>
      <c r="E253" s="40"/>
      <c r="F253" s="40"/>
      <c r="G253" s="40"/>
      <c r="H253" s="464">
        <f>H231</f>
        <v>44593</v>
      </c>
      <c r="I253" s="464">
        <f>DATE(I252,1,1)</f>
        <v>44927</v>
      </c>
      <c r="J253" s="464">
        <f t="shared" ref="J253:AH253" si="659">DATE(J252,1,1)</f>
        <v>45292</v>
      </c>
      <c r="K253" s="464">
        <f t="shared" si="659"/>
        <v>45658</v>
      </c>
      <c r="L253" s="464">
        <f t="shared" si="659"/>
        <v>46023</v>
      </c>
      <c r="M253" s="464">
        <f t="shared" si="659"/>
        <v>46388</v>
      </c>
      <c r="N253" s="464">
        <f t="shared" si="659"/>
        <v>46753</v>
      </c>
      <c r="O253" s="464">
        <f t="shared" si="659"/>
        <v>47119</v>
      </c>
      <c r="P253" s="464">
        <f t="shared" si="659"/>
        <v>47484</v>
      </c>
      <c r="Q253" s="464">
        <f t="shared" si="659"/>
        <v>47849</v>
      </c>
      <c r="R253" s="464">
        <f t="shared" si="659"/>
        <v>48214</v>
      </c>
      <c r="S253" s="464">
        <f t="shared" si="659"/>
        <v>48580</v>
      </c>
      <c r="T253" s="464">
        <f t="shared" si="659"/>
        <v>48945</v>
      </c>
      <c r="U253" s="464">
        <f t="shared" si="659"/>
        <v>49310</v>
      </c>
      <c r="V253" s="464">
        <f t="shared" si="659"/>
        <v>49675</v>
      </c>
      <c r="W253" s="464">
        <f t="shared" si="659"/>
        <v>50041</v>
      </c>
      <c r="X253" s="464">
        <f t="shared" si="659"/>
        <v>50406</v>
      </c>
      <c r="Y253" s="464">
        <f t="shared" si="659"/>
        <v>50771</v>
      </c>
      <c r="Z253" s="464">
        <f t="shared" si="659"/>
        <v>51136</v>
      </c>
      <c r="AA253" s="464">
        <f t="shared" si="659"/>
        <v>51502</v>
      </c>
      <c r="AB253" s="464">
        <f t="shared" si="659"/>
        <v>51867</v>
      </c>
      <c r="AC253" s="464">
        <f t="shared" si="659"/>
        <v>52232</v>
      </c>
      <c r="AD253" s="464">
        <f t="shared" si="659"/>
        <v>52597</v>
      </c>
      <c r="AE253" s="464">
        <f t="shared" si="659"/>
        <v>52963</v>
      </c>
      <c r="AF253" s="464">
        <f t="shared" si="659"/>
        <v>53328</v>
      </c>
      <c r="AG253" s="464">
        <f t="shared" si="659"/>
        <v>53693</v>
      </c>
      <c r="AH253" s="464">
        <f t="shared" si="659"/>
        <v>54058</v>
      </c>
      <c r="AI253" s="464">
        <f>DATE(AI252,1,1)</f>
        <v>54424</v>
      </c>
      <c r="AJ253" s="464">
        <f t="shared" ref="AJ253:AP253" si="660">DATE(AJ252,1,1)</f>
        <v>54789</v>
      </c>
      <c r="AK253" s="464">
        <f t="shared" si="660"/>
        <v>55154</v>
      </c>
      <c r="AL253" s="464">
        <f t="shared" si="660"/>
        <v>55519</v>
      </c>
      <c r="AM253" s="464">
        <f t="shared" si="660"/>
        <v>55885</v>
      </c>
      <c r="AN253" s="464">
        <f t="shared" si="660"/>
        <v>56250</v>
      </c>
      <c r="AO253" s="464">
        <f t="shared" si="660"/>
        <v>56615</v>
      </c>
      <c r="AP253" s="464">
        <f t="shared" si="660"/>
        <v>56980</v>
      </c>
    </row>
    <row r="254" spans="2:144" ht="15.75">
      <c r="C254" s="22" t="s">
        <v>490</v>
      </c>
      <c r="E254" s="419" t="b">
        <f>ROUND(SUM(H255:AP255),1)=ROUND(SUM(H196:EN210),1)</f>
        <v>1</v>
      </c>
      <c r="F254" s="42"/>
      <c r="G254" s="42"/>
      <c r="H254" s="464">
        <f>DATE(H252,12,31)</f>
        <v>44926</v>
      </c>
      <c r="I254" s="464">
        <f>DATE(I252,12,31)</f>
        <v>45291</v>
      </c>
      <c r="J254" s="464">
        <f t="shared" ref="J254:AH254" si="661">DATE(J252,12,31)</f>
        <v>45657</v>
      </c>
      <c r="K254" s="464">
        <f t="shared" si="661"/>
        <v>46022</v>
      </c>
      <c r="L254" s="464">
        <f t="shared" si="661"/>
        <v>46387</v>
      </c>
      <c r="M254" s="464">
        <f t="shared" si="661"/>
        <v>46752</v>
      </c>
      <c r="N254" s="464">
        <f t="shared" si="661"/>
        <v>47118</v>
      </c>
      <c r="O254" s="464">
        <f t="shared" si="661"/>
        <v>47483</v>
      </c>
      <c r="P254" s="464">
        <f t="shared" si="661"/>
        <v>47848</v>
      </c>
      <c r="Q254" s="464">
        <f t="shared" si="661"/>
        <v>48213</v>
      </c>
      <c r="R254" s="464">
        <f t="shared" si="661"/>
        <v>48579</v>
      </c>
      <c r="S254" s="464">
        <f t="shared" si="661"/>
        <v>48944</v>
      </c>
      <c r="T254" s="464">
        <f t="shared" si="661"/>
        <v>49309</v>
      </c>
      <c r="U254" s="464">
        <f t="shared" si="661"/>
        <v>49674</v>
      </c>
      <c r="V254" s="464">
        <f t="shared" si="661"/>
        <v>50040</v>
      </c>
      <c r="W254" s="464">
        <f t="shared" si="661"/>
        <v>50405</v>
      </c>
      <c r="X254" s="464">
        <f t="shared" si="661"/>
        <v>50770</v>
      </c>
      <c r="Y254" s="464">
        <f t="shared" si="661"/>
        <v>51135</v>
      </c>
      <c r="Z254" s="464">
        <f t="shared" si="661"/>
        <v>51501</v>
      </c>
      <c r="AA254" s="464">
        <f t="shared" si="661"/>
        <v>51866</v>
      </c>
      <c r="AB254" s="464">
        <f t="shared" si="661"/>
        <v>52231</v>
      </c>
      <c r="AC254" s="464">
        <f t="shared" si="661"/>
        <v>52596</v>
      </c>
      <c r="AD254" s="464">
        <f t="shared" si="661"/>
        <v>52962</v>
      </c>
      <c r="AE254" s="464">
        <f t="shared" si="661"/>
        <v>53327</v>
      </c>
      <c r="AF254" s="464">
        <f t="shared" si="661"/>
        <v>53692</v>
      </c>
      <c r="AG254" s="464">
        <f t="shared" si="661"/>
        <v>54057</v>
      </c>
      <c r="AH254" s="464">
        <f t="shared" si="661"/>
        <v>54423</v>
      </c>
      <c r="AI254" s="464">
        <f>DATE(AI252,12,31)</f>
        <v>54788</v>
      </c>
      <c r="AJ254" s="464">
        <f t="shared" ref="AJ254:AP254" si="662">DATE(AJ252,12,31)</f>
        <v>55153</v>
      </c>
      <c r="AK254" s="464">
        <f t="shared" si="662"/>
        <v>55518</v>
      </c>
      <c r="AL254" s="464">
        <f t="shared" si="662"/>
        <v>55884</v>
      </c>
      <c r="AM254" s="464">
        <f t="shared" si="662"/>
        <v>56249</v>
      </c>
      <c r="AN254" s="464">
        <f t="shared" si="662"/>
        <v>56614</v>
      </c>
      <c r="AO254" s="464">
        <f t="shared" si="662"/>
        <v>56979</v>
      </c>
      <c r="AP254" s="464">
        <f t="shared" si="662"/>
        <v>57345</v>
      </c>
    </row>
    <row r="255" spans="2:144">
      <c r="C255" s="465" t="str">
        <f>C195</f>
        <v>Амортизация</v>
      </c>
      <c r="D255" s="465"/>
      <c r="E255" s="465"/>
      <c r="F255" s="465"/>
      <c r="G255" s="465"/>
      <c r="H255" s="473">
        <f>SUM(H256:H270)</f>
        <v>0</v>
      </c>
      <c r="I255" s="473">
        <f t="shared" ref="I255:AP255" si="663">SUM(I256:I270)</f>
        <v>0</v>
      </c>
      <c r="J255" s="473">
        <f t="shared" si="663"/>
        <v>0</v>
      </c>
      <c r="K255" s="473">
        <f t="shared" si="663"/>
        <v>43883903.161762349</v>
      </c>
      <c r="L255" s="473">
        <f t="shared" si="663"/>
        <v>160749322.35770154</v>
      </c>
      <c r="M255" s="473">
        <f t="shared" si="663"/>
        <v>233730838.39187843</v>
      </c>
      <c r="N255" s="473">
        <f t="shared" si="663"/>
        <v>233730838.39187843</v>
      </c>
      <c r="O255" s="473">
        <f t="shared" si="663"/>
        <v>233730838.39187843</v>
      </c>
      <c r="P255" s="473">
        <f t="shared" si="663"/>
        <v>233730838.39187843</v>
      </c>
      <c r="Q255" s="473">
        <f t="shared" si="663"/>
        <v>233730838.39187843</v>
      </c>
      <c r="R255" s="473">
        <f t="shared" si="663"/>
        <v>233730838.39187843</v>
      </c>
      <c r="S255" s="473">
        <f t="shared" si="663"/>
        <v>233730838.39187843</v>
      </c>
      <c r="T255" s="473">
        <f t="shared" si="663"/>
        <v>233730838.39187843</v>
      </c>
      <c r="U255" s="473">
        <f t="shared" si="663"/>
        <v>233730838.39187843</v>
      </c>
      <c r="V255" s="473">
        <f t="shared" si="663"/>
        <v>233730838.39187843</v>
      </c>
      <c r="W255" s="473">
        <f t="shared" si="663"/>
        <v>233730838.39187843</v>
      </c>
      <c r="X255" s="473">
        <f t="shared" si="663"/>
        <v>233730838.39187843</v>
      </c>
      <c r="Y255" s="473">
        <f t="shared" si="663"/>
        <v>233730838.39187843</v>
      </c>
      <c r="Z255" s="473">
        <f t="shared" si="663"/>
        <v>233730838.39187843</v>
      </c>
      <c r="AA255" s="473">
        <f t="shared" si="663"/>
        <v>233730838.39187843</v>
      </c>
      <c r="AB255" s="473">
        <f t="shared" si="663"/>
        <v>233730838.39187843</v>
      </c>
      <c r="AC255" s="473">
        <f t="shared" si="663"/>
        <v>233730838.39187843</v>
      </c>
      <c r="AD255" s="473">
        <f t="shared" si="663"/>
        <v>233730838.39187843</v>
      </c>
      <c r="AE255" s="473">
        <f t="shared" si="663"/>
        <v>233730838.39187843</v>
      </c>
      <c r="AF255" s="473">
        <f t="shared" si="663"/>
        <v>233730838.39187843</v>
      </c>
      <c r="AG255" s="473">
        <f t="shared" si="663"/>
        <v>233730838.39187843</v>
      </c>
      <c r="AH255" s="473">
        <f t="shared" si="663"/>
        <v>233730838.39187843</v>
      </c>
      <c r="AI255" s="473">
        <f t="shared" si="663"/>
        <v>233730838.39187843</v>
      </c>
      <c r="AJ255" s="473">
        <f t="shared" si="663"/>
        <v>233730838.39187843</v>
      </c>
      <c r="AK255" s="473">
        <f t="shared" si="663"/>
        <v>233730838.39187843</v>
      </c>
      <c r="AL255" s="473">
        <f t="shared" si="663"/>
        <v>233730838.39187843</v>
      </c>
      <c r="AM255" s="473">
        <f t="shared" si="663"/>
        <v>233730838.39187843</v>
      </c>
      <c r="AN255" s="473">
        <f t="shared" si="663"/>
        <v>233730838.39187843</v>
      </c>
      <c r="AO255" s="473">
        <f t="shared" si="663"/>
        <v>189846935.23011604</v>
      </c>
      <c r="AP255" s="473">
        <f t="shared" si="663"/>
        <v>36490758.017088436</v>
      </c>
    </row>
    <row r="256" spans="2:144">
      <c r="C256" s="1060" t="str">
        <f t="shared" ref="C256:C270" si="664">C234</f>
        <v>Гостиница 5*</v>
      </c>
      <c r="D256" s="1061"/>
      <c r="E256" s="1062"/>
      <c r="F256" s="1062"/>
      <c r="G256" s="1061"/>
      <c r="H256" s="1062">
        <f t="shared" ref="H256:AP256" si="665">SUMIF($192:$192,H$252,196:196)</f>
        <v>0</v>
      </c>
      <c r="I256" s="1062">
        <f t="shared" si="665"/>
        <v>0</v>
      </c>
      <c r="J256" s="1062">
        <f t="shared" si="665"/>
        <v>0</v>
      </c>
      <c r="K256" s="1062">
        <f t="shared" si="665"/>
        <v>0</v>
      </c>
      <c r="L256" s="1062">
        <f t="shared" si="665"/>
        <v>35605517.508608684</v>
      </c>
      <c r="M256" s="1062">
        <f t="shared" si="665"/>
        <v>71211035.017217368</v>
      </c>
      <c r="N256" s="1062">
        <f t="shared" si="665"/>
        <v>71211035.017217368</v>
      </c>
      <c r="O256" s="1062">
        <f t="shared" si="665"/>
        <v>71211035.017217368</v>
      </c>
      <c r="P256" s="1062">
        <f t="shared" si="665"/>
        <v>71211035.017217368</v>
      </c>
      <c r="Q256" s="1062">
        <f t="shared" si="665"/>
        <v>71211035.017217368</v>
      </c>
      <c r="R256" s="1062">
        <f t="shared" si="665"/>
        <v>71211035.017217368</v>
      </c>
      <c r="S256" s="1062">
        <f t="shared" si="665"/>
        <v>71211035.017217368</v>
      </c>
      <c r="T256" s="1062">
        <f t="shared" si="665"/>
        <v>71211035.017217368</v>
      </c>
      <c r="U256" s="1062">
        <f t="shared" si="665"/>
        <v>71211035.017217368</v>
      </c>
      <c r="V256" s="1062">
        <f t="shared" si="665"/>
        <v>71211035.017217368</v>
      </c>
      <c r="W256" s="1062">
        <f t="shared" si="665"/>
        <v>71211035.017217368</v>
      </c>
      <c r="X256" s="1062">
        <f t="shared" si="665"/>
        <v>71211035.017217368</v>
      </c>
      <c r="Y256" s="1062">
        <f t="shared" si="665"/>
        <v>71211035.017217368</v>
      </c>
      <c r="Z256" s="1062">
        <f t="shared" si="665"/>
        <v>71211035.017217368</v>
      </c>
      <c r="AA256" s="1062">
        <f t="shared" si="665"/>
        <v>71211035.017217368</v>
      </c>
      <c r="AB256" s="1062">
        <f t="shared" si="665"/>
        <v>71211035.017217368</v>
      </c>
      <c r="AC256" s="1062">
        <f t="shared" si="665"/>
        <v>71211035.017217368</v>
      </c>
      <c r="AD256" s="1062">
        <f t="shared" si="665"/>
        <v>71211035.017217368</v>
      </c>
      <c r="AE256" s="1062">
        <f t="shared" si="665"/>
        <v>71211035.017217368</v>
      </c>
      <c r="AF256" s="1062">
        <f t="shared" si="665"/>
        <v>71211035.017217368</v>
      </c>
      <c r="AG256" s="1062">
        <f t="shared" si="665"/>
        <v>71211035.017217368</v>
      </c>
      <c r="AH256" s="1062">
        <f t="shared" si="665"/>
        <v>71211035.017217368</v>
      </c>
      <c r="AI256" s="1062">
        <f t="shared" si="665"/>
        <v>71211035.017217368</v>
      </c>
      <c r="AJ256" s="1062">
        <f t="shared" si="665"/>
        <v>71211035.017217368</v>
      </c>
      <c r="AK256" s="1062">
        <f t="shared" si="665"/>
        <v>71211035.017217368</v>
      </c>
      <c r="AL256" s="1062">
        <f t="shared" si="665"/>
        <v>71211035.017217368</v>
      </c>
      <c r="AM256" s="1062">
        <f t="shared" si="665"/>
        <v>71211035.017217368</v>
      </c>
      <c r="AN256" s="1062">
        <f t="shared" si="665"/>
        <v>71211035.017217368</v>
      </c>
      <c r="AO256" s="1062">
        <f t="shared" si="665"/>
        <v>71211035.017217368</v>
      </c>
      <c r="AP256" s="1062">
        <f t="shared" si="665"/>
        <v>17802758.754304342</v>
      </c>
    </row>
    <row r="257" spans="2:42">
      <c r="C257" s="1060" t="str">
        <f t="shared" si="664"/>
        <v>Гостиница 4*</v>
      </c>
      <c r="D257" s="1061"/>
      <c r="E257" s="1062"/>
      <c r="F257" s="1062"/>
      <c r="G257" s="1061"/>
      <c r="H257" s="1062">
        <f t="shared" ref="H257:AP257" si="666">SUMIF($192:$192,H$252,197:197)</f>
        <v>0</v>
      </c>
      <c r="I257" s="1062">
        <f t="shared" si="666"/>
        <v>0</v>
      </c>
      <c r="J257" s="1062">
        <f t="shared" si="666"/>
        <v>0</v>
      </c>
      <c r="K257" s="1062">
        <f t="shared" si="666"/>
        <v>0</v>
      </c>
      <c r="L257" s="1062">
        <f t="shared" si="666"/>
        <v>33717298.776718311</v>
      </c>
      <c r="M257" s="1062">
        <f t="shared" si="666"/>
        <v>67434597.553436622</v>
      </c>
      <c r="N257" s="1062">
        <f t="shared" si="666"/>
        <v>67434597.553436622</v>
      </c>
      <c r="O257" s="1062">
        <f t="shared" si="666"/>
        <v>67434597.553436622</v>
      </c>
      <c r="P257" s="1062">
        <f t="shared" si="666"/>
        <v>67434597.553436622</v>
      </c>
      <c r="Q257" s="1062">
        <f t="shared" si="666"/>
        <v>67434597.553436622</v>
      </c>
      <c r="R257" s="1062">
        <f t="shared" si="666"/>
        <v>67434597.553436622</v>
      </c>
      <c r="S257" s="1062">
        <f t="shared" si="666"/>
        <v>67434597.553436622</v>
      </c>
      <c r="T257" s="1062">
        <f t="shared" si="666"/>
        <v>67434597.553436622</v>
      </c>
      <c r="U257" s="1062">
        <f t="shared" si="666"/>
        <v>67434597.553436622</v>
      </c>
      <c r="V257" s="1062">
        <f t="shared" si="666"/>
        <v>67434597.553436622</v>
      </c>
      <c r="W257" s="1062">
        <f t="shared" si="666"/>
        <v>67434597.553436622</v>
      </c>
      <c r="X257" s="1062">
        <f t="shared" si="666"/>
        <v>67434597.553436622</v>
      </c>
      <c r="Y257" s="1062">
        <f t="shared" si="666"/>
        <v>67434597.553436622</v>
      </c>
      <c r="Z257" s="1062">
        <f t="shared" si="666"/>
        <v>67434597.553436622</v>
      </c>
      <c r="AA257" s="1062">
        <f t="shared" si="666"/>
        <v>67434597.553436622</v>
      </c>
      <c r="AB257" s="1062">
        <f t="shared" si="666"/>
        <v>67434597.553436622</v>
      </c>
      <c r="AC257" s="1062">
        <f t="shared" si="666"/>
        <v>67434597.553436622</v>
      </c>
      <c r="AD257" s="1062">
        <f t="shared" si="666"/>
        <v>67434597.553436622</v>
      </c>
      <c r="AE257" s="1062">
        <f t="shared" si="666"/>
        <v>67434597.553436622</v>
      </c>
      <c r="AF257" s="1062">
        <f t="shared" si="666"/>
        <v>67434597.553436622</v>
      </c>
      <c r="AG257" s="1062">
        <f t="shared" si="666"/>
        <v>67434597.553436622</v>
      </c>
      <c r="AH257" s="1062">
        <f t="shared" si="666"/>
        <v>67434597.553436622</v>
      </c>
      <c r="AI257" s="1062">
        <f t="shared" si="666"/>
        <v>67434597.553436622</v>
      </c>
      <c r="AJ257" s="1062">
        <f t="shared" si="666"/>
        <v>67434597.553436622</v>
      </c>
      <c r="AK257" s="1062">
        <f t="shared" si="666"/>
        <v>67434597.553436622</v>
      </c>
      <c r="AL257" s="1062">
        <f t="shared" si="666"/>
        <v>67434597.553436622</v>
      </c>
      <c r="AM257" s="1062">
        <f t="shared" si="666"/>
        <v>67434597.553436622</v>
      </c>
      <c r="AN257" s="1062">
        <f t="shared" si="666"/>
        <v>67434597.553436622</v>
      </c>
      <c r="AO257" s="1062">
        <f t="shared" si="666"/>
        <v>67434597.553436622</v>
      </c>
      <c r="AP257" s="1062">
        <f t="shared" si="666"/>
        <v>16858649.388359156</v>
      </c>
    </row>
    <row r="258" spans="2:42">
      <c r="C258" s="1060" t="str">
        <f t="shared" si="664"/>
        <v>Гостиница 3*</v>
      </c>
      <c r="D258" s="1061"/>
      <c r="E258" s="1062"/>
      <c r="F258" s="1062"/>
      <c r="G258" s="1061"/>
      <c r="H258" s="1062">
        <f t="shared" ref="H258:AP258" si="667">SUMIF($192:$192,H$252,198:198)</f>
        <v>0</v>
      </c>
      <c r="I258" s="1062">
        <f t="shared" si="667"/>
        <v>0</v>
      </c>
      <c r="J258" s="1062">
        <f t="shared" si="667"/>
        <v>0</v>
      </c>
      <c r="K258" s="1062">
        <f t="shared" si="667"/>
        <v>13329317.168189835</v>
      </c>
      <c r="L258" s="1062">
        <f t="shared" si="667"/>
        <v>26658634.33637967</v>
      </c>
      <c r="M258" s="1062">
        <f t="shared" si="667"/>
        <v>26658634.33637967</v>
      </c>
      <c r="N258" s="1062">
        <f t="shared" si="667"/>
        <v>26658634.33637967</v>
      </c>
      <c r="O258" s="1062">
        <f t="shared" si="667"/>
        <v>26658634.33637967</v>
      </c>
      <c r="P258" s="1062">
        <f t="shared" si="667"/>
        <v>26658634.33637967</v>
      </c>
      <c r="Q258" s="1062">
        <f t="shared" si="667"/>
        <v>26658634.33637967</v>
      </c>
      <c r="R258" s="1062">
        <f t="shared" si="667"/>
        <v>26658634.33637967</v>
      </c>
      <c r="S258" s="1062">
        <f t="shared" si="667"/>
        <v>26658634.33637967</v>
      </c>
      <c r="T258" s="1062">
        <f t="shared" si="667"/>
        <v>26658634.33637967</v>
      </c>
      <c r="U258" s="1062">
        <f t="shared" si="667"/>
        <v>26658634.33637967</v>
      </c>
      <c r="V258" s="1062">
        <f t="shared" si="667"/>
        <v>26658634.33637967</v>
      </c>
      <c r="W258" s="1062">
        <f t="shared" si="667"/>
        <v>26658634.33637967</v>
      </c>
      <c r="X258" s="1062">
        <f t="shared" si="667"/>
        <v>26658634.33637967</v>
      </c>
      <c r="Y258" s="1062">
        <f t="shared" si="667"/>
        <v>26658634.33637967</v>
      </c>
      <c r="Z258" s="1062">
        <f t="shared" si="667"/>
        <v>26658634.33637967</v>
      </c>
      <c r="AA258" s="1062">
        <f t="shared" si="667"/>
        <v>26658634.33637967</v>
      </c>
      <c r="AB258" s="1062">
        <f t="shared" si="667"/>
        <v>26658634.33637967</v>
      </c>
      <c r="AC258" s="1062">
        <f t="shared" si="667"/>
        <v>26658634.33637967</v>
      </c>
      <c r="AD258" s="1062">
        <f t="shared" si="667"/>
        <v>26658634.33637967</v>
      </c>
      <c r="AE258" s="1062">
        <f t="shared" si="667"/>
        <v>26658634.33637967</v>
      </c>
      <c r="AF258" s="1062">
        <f t="shared" si="667"/>
        <v>26658634.33637967</v>
      </c>
      <c r="AG258" s="1062">
        <f t="shared" si="667"/>
        <v>26658634.33637967</v>
      </c>
      <c r="AH258" s="1062">
        <f t="shared" si="667"/>
        <v>26658634.33637967</v>
      </c>
      <c r="AI258" s="1062">
        <f t="shared" si="667"/>
        <v>26658634.33637967</v>
      </c>
      <c r="AJ258" s="1062">
        <f t="shared" si="667"/>
        <v>26658634.33637967</v>
      </c>
      <c r="AK258" s="1062">
        <f t="shared" si="667"/>
        <v>26658634.33637967</v>
      </c>
      <c r="AL258" s="1062">
        <f t="shared" si="667"/>
        <v>26658634.33637967</v>
      </c>
      <c r="AM258" s="1062">
        <f t="shared" si="667"/>
        <v>26658634.33637967</v>
      </c>
      <c r="AN258" s="1062">
        <f t="shared" si="667"/>
        <v>26658634.33637967</v>
      </c>
      <c r="AO258" s="1062">
        <f t="shared" si="667"/>
        <v>13329317.168189835</v>
      </c>
      <c r="AP258" s="1062">
        <f t="shared" si="667"/>
        <v>0</v>
      </c>
    </row>
    <row r="259" spans="2:42">
      <c r="C259" s="1060" t="str">
        <f t="shared" si="664"/>
        <v>Гостиница 2*</v>
      </c>
      <c r="D259" s="1061"/>
      <c r="E259" s="1062"/>
      <c r="F259" s="1062"/>
      <c r="G259" s="1061"/>
      <c r="H259" s="1062">
        <f t="shared" ref="H259:AP259" si="668">SUMIF($192:$192,H$252,199:199)</f>
        <v>0</v>
      </c>
      <c r="I259" s="1062">
        <f t="shared" si="668"/>
        <v>0</v>
      </c>
      <c r="J259" s="1062">
        <f t="shared" si="668"/>
        <v>0</v>
      </c>
      <c r="K259" s="1062">
        <f t="shared" si="668"/>
        <v>0</v>
      </c>
      <c r="L259" s="1062">
        <f t="shared" si="668"/>
        <v>0</v>
      </c>
      <c r="M259" s="1062">
        <f t="shared" si="668"/>
        <v>0</v>
      </c>
      <c r="N259" s="1062">
        <f t="shared" si="668"/>
        <v>0</v>
      </c>
      <c r="O259" s="1062">
        <f t="shared" si="668"/>
        <v>0</v>
      </c>
      <c r="P259" s="1062">
        <f t="shared" si="668"/>
        <v>0</v>
      </c>
      <c r="Q259" s="1062">
        <f t="shared" si="668"/>
        <v>0</v>
      </c>
      <c r="R259" s="1062">
        <f t="shared" si="668"/>
        <v>0</v>
      </c>
      <c r="S259" s="1062">
        <f t="shared" si="668"/>
        <v>0</v>
      </c>
      <c r="T259" s="1062">
        <f t="shared" si="668"/>
        <v>0</v>
      </c>
      <c r="U259" s="1062">
        <f t="shared" si="668"/>
        <v>0</v>
      </c>
      <c r="V259" s="1062">
        <f t="shared" si="668"/>
        <v>0</v>
      </c>
      <c r="W259" s="1062">
        <f t="shared" si="668"/>
        <v>0</v>
      </c>
      <c r="X259" s="1062">
        <f t="shared" si="668"/>
        <v>0</v>
      </c>
      <c r="Y259" s="1062">
        <f t="shared" si="668"/>
        <v>0</v>
      </c>
      <c r="Z259" s="1062">
        <f t="shared" si="668"/>
        <v>0</v>
      </c>
      <c r="AA259" s="1062">
        <f t="shared" si="668"/>
        <v>0</v>
      </c>
      <c r="AB259" s="1062">
        <f t="shared" si="668"/>
        <v>0</v>
      </c>
      <c r="AC259" s="1062">
        <f t="shared" si="668"/>
        <v>0</v>
      </c>
      <c r="AD259" s="1062">
        <f t="shared" si="668"/>
        <v>0</v>
      </c>
      <c r="AE259" s="1062">
        <f t="shared" si="668"/>
        <v>0</v>
      </c>
      <c r="AF259" s="1062">
        <f t="shared" si="668"/>
        <v>0</v>
      </c>
      <c r="AG259" s="1062">
        <f t="shared" si="668"/>
        <v>0</v>
      </c>
      <c r="AH259" s="1062">
        <f t="shared" si="668"/>
        <v>0</v>
      </c>
      <c r="AI259" s="1062">
        <f t="shared" si="668"/>
        <v>0</v>
      </c>
      <c r="AJ259" s="1062">
        <f t="shared" si="668"/>
        <v>0</v>
      </c>
      <c r="AK259" s="1062">
        <f t="shared" si="668"/>
        <v>0</v>
      </c>
      <c r="AL259" s="1062">
        <f t="shared" si="668"/>
        <v>0</v>
      </c>
      <c r="AM259" s="1062">
        <f t="shared" si="668"/>
        <v>0</v>
      </c>
      <c r="AN259" s="1062">
        <f t="shared" si="668"/>
        <v>0</v>
      </c>
      <c r="AO259" s="1062">
        <f t="shared" si="668"/>
        <v>0</v>
      </c>
      <c r="AP259" s="1062">
        <f t="shared" si="668"/>
        <v>0</v>
      </c>
    </row>
    <row r="260" spans="2:42">
      <c r="C260" s="1060" t="str">
        <f t="shared" si="664"/>
        <v>МФЦ, в том числе хостел Jo&amp;JOE</v>
      </c>
      <c r="D260" s="1061"/>
      <c r="E260" s="1062"/>
      <c r="F260" s="1062"/>
      <c r="G260" s="1061"/>
      <c r="H260" s="1062">
        <f t="shared" ref="H260:AP260" si="669">SUMIF($192:$192,H$252,200:200)</f>
        <v>0</v>
      </c>
      <c r="I260" s="1062">
        <f t="shared" si="669"/>
        <v>0</v>
      </c>
      <c r="J260" s="1062">
        <f t="shared" si="669"/>
        <v>0</v>
      </c>
      <c r="K260" s="1062">
        <f t="shared" si="669"/>
        <v>15257019.701515175</v>
      </c>
      <c r="L260" s="1062">
        <f t="shared" si="669"/>
        <v>30514039.403030351</v>
      </c>
      <c r="M260" s="1062">
        <f t="shared" si="669"/>
        <v>30514039.403030351</v>
      </c>
      <c r="N260" s="1062">
        <f t="shared" si="669"/>
        <v>30514039.403030351</v>
      </c>
      <c r="O260" s="1062">
        <f t="shared" si="669"/>
        <v>30514039.403030351</v>
      </c>
      <c r="P260" s="1062">
        <f t="shared" si="669"/>
        <v>30514039.403030351</v>
      </c>
      <c r="Q260" s="1062">
        <f t="shared" si="669"/>
        <v>30514039.403030351</v>
      </c>
      <c r="R260" s="1062">
        <f t="shared" si="669"/>
        <v>30514039.403030351</v>
      </c>
      <c r="S260" s="1062">
        <f t="shared" si="669"/>
        <v>30514039.403030351</v>
      </c>
      <c r="T260" s="1062">
        <f t="shared" si="669"/>
        <v>30514039.403030351</v>
      </c>
      <c r="U260" s="1062">
        <f t="shared" si="669"/>
        <v>30514039.403030351</v>
      </c>
      <c r="V260" s="1062">
        <f t="shared" si="669"/>
        <v>30514039.403030351</v>
      </c>
      <c r="W260" s="1062">
        <f t="shared" si="669"/>
        <v>30514039.403030351</v>
      </c>
      <c r="X260" s="1062">
        <f t="shared" si="669"/>
        <v>30514039.403030351</v>
      </c>
      <c r="Y260" s="1062">
        <f t="shared" si="669"/>
        <v>30514039.403030351</v>
      </c>
      <c r="Z260" s="1062">
        <f t="shared" si="669"/>
        <v>30514039.403030351</v>
      </c>
      <c r="AA260" s="1062">
        <f t="shared" si="669"/>
        <v>30514039.403030351</v>
      </c>
      <c r="AB260" s="1062">
        <f t="shared" si="669"/>
        <v>30514039.403030351</v>
      </c>
      <c r="AC260" s="1062">
        <f t="shared" si="669"/>
        <v>30514039.403030351</v>
      </c>
      <c r="AD260" s="1062">
        <f t="shared" si="669"/>
        <v>30514039.403030351</v>
      </c>
      <c r="AE260" s="1062">
        <f t="shared" si="669"/>
        <v>30514039.403030351</v>
      </c>
      <c r="AF260" s="1062">
        <f t="shared" si="669"/>
        <v>30514039.403030351</v>
      </c>
      <c r="AG260" s="1062">
        <f t="shared" si="669"/>
        <v>30514039.403030351</v>
      </c>
      <c r="AH260" s="1062">
        <f t="shared" si="669"/>
        <v>30514039.403030351</v>
      </c>
      <c r="AI260" s="1062">
        <f t="shared" si="669"/>
        <v>30514039.403030351</v>
      </c>
      <c r="AJ260" s="1062">
        <f t="shared" si="669"/>
        <v>30514039.403030351</v>
      </c>
      <c r="AK260" s="1062">
        <f t="shared" si="669"/>
        <v>30514039.403030351</v>
      </c>
      <c r="AL260" s="1062">
        <f t="shared" si="669"/>
        <v>30514039.403030351</v>
      </c>
      <c r="AM260" s="1062">
        <f t="shared" si="669"/>
        <v>30514039.403030351</v>
      </c>
      <c r="AN260" s="1062">
        <f t="shared" si="669"/>
        <v>30514039.403030351</v>
      </c>
      <c r="AO260" s="1062">
        <f t="shared" si="669"/>
        <v>15257019.701515175</v>
      </c>
      <c r="AP260" s="1062">
        <f t="shared" si="669"/>
        <v>0</v>
      </c>
    </row>
    <row r="261" spans="2:42">
      <c r="C261" s="1060" t="str">
        <f t="shared" si="664"/>
        <v>Шале</v>
      </c>
      <c r="D261" s="1061"/>
      <c r="E261" s="1062"/>
      <c r="F261" s="1062"/>
      <c r="G261" s="1061"/>
      <c r="H261" s="1062">
        <f t="shared" ref="H261:AP261" si="670">SUMIF($192:$192,H$252,201:201)</f>
        <v>0</v>
      </c>
      <c r="I261" s="1062">
        <f t="shared" si="670"/>
        <v>0</v>
      </c>
      <c r="J261" s="1062">
        <f t="shared" si="670"/>
        <v>0</v>
      </c>
      <c r="K261" s="1062">
        <f t="shared" si="670"/>
        <v>0</v>
      </c>
      <c r="L261" s="1062">
        <f t="shared" si="670"/>
        <v>3658699.7488498804</v>
      </c>
      <c r="M261" s="1062">
        <f t="shared" si="670"/>
        <v>7317399.4976997608</v>
      </c>
      <c r="N261" s="1062">
        <f t="shared" si="670"/>
        <v>7317399.4976997608</v>
      </c>
      <c r="O261" s="1062">
        <f t="shared" si="670"/>
        <v>7317399.4976997608</v>
      </c>
      <c r="P261" s="1062">
        <f t="shared" si="670"/>
        <v>7317399.4976997608</v>
      </c>
      <c r="Q261" s="1062">
        <f t="shared" si="670"/>
        <v>7317399.4976997608</v>
      </c>
      <c r="R261" s="1062">
        <f t="shared" si="670"/>
        <v>7317399.4976997608</v>
      </c>
      <c r="S261" s="1062">
        <f t="shared" si="670"/>
        <v>7317399.4976997608</v>
      </c>
      <c r="T261" s="1062">
        <f t="shared" si="670"/>
        <v>7317399.4976997608</v>
      </c>
      <c r="U261" s="1062">
        <f t="shared" si="670"/>
        <v>7317399.4976997608</v>
      </c>
      <c r="V261" s="1062">
        <f t="shared" si="670"/>
        <v>7317399.4976997608</v>
      </c>
      <c r="W261" s="1062">
        <f t="shared" si="670"/>
        <v>7317399.4976997608</v>
      </c>
      <c r="X261" s="1062">
        <f t="shared" si="670"/>
        <v>7317399.4976997608</v>
      </c>
      <c r="Y261" s="1062">
        <f t="shared" si="670"/>
        <v>7317399.4976997608</v>
      </c>
      <c r="Z261" s="1062">
        <f t="shared" si="670"/>
        <v>7317399.4976997608</v>
      </c>
      <c r="AA261" s="1062">
        <f t="shared" si="670"/>
        <v>7317399.4976997608</v>
      </c>
      <c r="AB261" s="1062">
        <f t="shared" si="670"/>
        <v>7317399.4976997608</v>
      </c>
      <c r="AC261" s="1062">
        <f t="shared" si="670"/>
        <v>7317399.4976997608</v>
      </c>
      <c r="AD261" s="1062">
        <f t="shared" si="670"/>
        <v>7317399.4976997608</v>
      </c>
      <c r="AE261" s="1062">
        <f t="shared" si="670"/>
        <v>7317399.4976997608</v>
      </c>
      <c r="AF261" s="1062">
        <f t="shared" si="670"/>
        <v>7317399.4976997608</v>
      </c>
      <c r="AG261" s="1062">
        <f t="shared" si="670"/>
        <v>7317399.4976997608</v>
      </c>
      <c r="AH261" s="1062">
        <f t="shared" si="670"/>
        <v>7317399.4976997608</v>
      </c>
      <c r="AI261" s="1062">
        <f t="shared" si="670"/>
        <v>7317399.4976997608</v>
      </c>
      <c r="AJ261" s="1062">
        <f t="shared" si="670"/>
        <v>7317399.4976997608</v>
      </c>
      <c r="AK261" s="1062">
        <f t="shared" si="670"/>
        <v>7317399.4976997608</v>
      </c>
      <c r="AL261" s="1062">
        <f t="shared" si="670"/>
        <v>7317399.4976997608</v>
      </c>
      <c r="AM261" s="1062">
        <f t="shared" si="670"/>
        <v>7317399.4976997608</v>
      </c>
      <c r="AN261" s="1062">
        <f t="shared" si="670"/>
        <v>7317399.4976997608</v>
      </c>
      <c r="AO261" s="1062">
        <f t="shared" si="670"/>
        <v>7317399.4976997608</v>
      </c>
      <c r="AP261" s="1062">
        <f t="shared" si="670"/>
        <v>1829349.8744249402</v>
      </c>
    </row>
    <row r="262" spans="2:42">
      <c r="C262" s="151" t="str">
        <f t="shared" si="664"/>
        <v>Туристские резиденции</v>
      </c>
      <c r="D262" s="45"/>
      <c r="E262" s="44"/>
      <c r="F262" s="44"/>
      <c r="G262" s="45"/>
      <c r="H262" s="44">
        <f t="shared" ref="H262:AP262" si="671">SUMIF($192:$192,H$252,202:202)</f>
        <v>0</v>
      </c>
      <c r="I262" s="44">
        <f t="shared" si="671"/>
        <v>0</v>
      </c>
      <c r="J262" s="44">
        <f t="shared" si="671"/>
        <v>0</v>
      </c>
      <c r="K262" s="44">
        <f t="shared" si="671"/>
        <v>0</v>
      </c>
      <c r="L262" s="44">
        <f t="shared" si="671"/>
        <v>0</v>
      </c>
      <c r="M262" s="44">
        <f t="shared" si="671"/>
        <v>0</v>
      </c>
      <c r="N262" s="44">
        <f t="shared" si="671"/>
        <v>0</v>
      </c>
      <c r="O262" s="44">
        <f t="shared" si="671"/>
        <v>0</v>
      </c>
      <c r="P262" s="44">
        <f t="shared" si="671"/>
        <v>0</v>
      </c>
      <c r="Q262" s="44">
        <f t="shared" si="671"/>
        <v>0</v>
      </c>
      <c r="R262" s="44">
        <f t="shared" si="671"/>
        <v>0</v>
      </c>
      <c r="S262" s="44">
        <f t="shared" si="671"/>
        <v>0</v>
      </c>
      <c r="T262" s="44">
        <f t="shared" si="671"/>
        <v>0</v>
      </c>
      <c r="U262" s="44">
        <f t="shared" si="671"/>
        <v>0</v>
      </c>
      <c r="V262" s="44">
        <f t="shared" si="671"/>
        <v>0</v>
      </c>
      <c r="W262" s="44">
        <f t="shared" si="671"/>
        <v>0</v>
      </c>
      <c r="X262" s="44">
        <f t="shared" si="671"/>
        <v>0</v>
      </c>
      <c r="Y262" s="44">
        <f t="shared" si="671"/>
        <v>0</v>
      </c>
      <c r="Z262" s="44">
        <f t="shared" si="671"/>
        <v>0</v>
      </c>
      <c r="AA262" s="44">
        <f t="shared" si="671"/>
        <v>0</v>
      </c>
      <c r="AB262" s="44">
        <f t="shared" si="671"/>
        <v>0</v>
      </c>
      <c r="AC262" s="44">
        <f t="shared" si="671"/>
        <v>0</v>
      </c>
      <c r="AD262" s="44">
        <f t="shared" si="671"/>
        <v>0</v>
      </c>
      <c r="AE262" s="44">
        <f t="shared" si="671"/>
        <v>0</v>
      </c>
      <c r="AF262" s="44">
        <f t="shared" si="671"/>
        <v>0</v>
      </c>
      <c r="AG262" s="44">
        <f t="shared" si="671"/>
        <v>0</v>
      </c>
      <c r="AH262" s="44">
        <f t="shared" si="671"/>
        <v>0</v>
      </c>
      <c r="AI262" s="44">
        <f t="shared" si="671"/>
        <v>0</v>
      </c>
      <c r="AJ262" s="44">
        <f t="shared" si="671"/>
        <v>0</v>
      </c>
      <c r="AK262" s="44">
        <f t="shared" si="671"/>
        <v>0</v>
      </c>
      <c r="AL262" s="44">
        <f t="shared" si="671"/>
        <v>0</v>
      </c>
      <c r="AM262" s="44">
        <f t="shared" si="671"/>
        <v>0</v>
      </c>
      <c r="AN262" s="44">
        <f t="shared" si="671"/>
        <v>0</v>
      </c>
      <c r="AO262" s="44">
        <f t="shared" si="671"/>
        <v>0</v>
      </c>
      <c r="AP262" s="44">
        <f t="shared" si="671"/>
        <v>0</v>
      </c>
    </row>
    <row r="263" spans="2:42">
      <c r="C263" s="151" t="str">
        <f t="shared" si="664"/>
        <v>Ресторан в зоне катания</v>
      </c>
      <c r="D263" s="45"/>
      <c r="E263" s="44"/>
      <c r="F263" s="44"/>
      <c r="G263" s="45"/>
      <c r="H263" s="44">
        <f t="shared" ref="H263:AP263" si="672">SUMIF($192:$192,H$252,203:203)</f>
        <v>0</v>
      </c>
      <c r="I263" s="44">
        <f t="shared" si="672"/>
        <v>0</v>
      </c>
      <c r="J263" s="44">
        <f t="shared" si="672"/>
        <v>0</v>
      </c>
      <c r="K263" s="44">
        <f t="shared" si="672"/>
        <v>3026899.1566345338</v>
      </c>
      <c r="L263" s="44">
        <f t="shared" si="672"/>
        <v>6053798.3132690676</v>
      </c>
      <c r="M263" s="44">
        <f t="shared" si="672"/>
        <v>6053798.3132690676</v>
      </c>
      <c r="N263" s="44">
        <f t="shared" si="672"/>
        <v>6053798.3132690676</v>
      </c>
      <c r="O263" s="44">
        <f t="shared" si="672"/>
        <v>6053798.3132690676</v>
      </c>
      <c r="P263" s="44">
        <f t="shared" si="672"/>
        <v>6053798.3132690676</v>
      </c>
      <c r="Q263" s="44">
        <f t="shared" si="672"/>
        <v>6053798.3132690676</v>
      </c>
      <c r="R263" s="44">
        <f t="shared" si="672"/>
        <v>6053798.3132690676</v>
      </c>
      <c r="S263" s="44">
        <f t="shared" si="672"/>
        <v>6053798.3132690676</v>
      </c>
      <c r="T263" s="44">
        <f t="shared" si="672"/>
        <v>6053798.3132690676</v>
      </c>
      <c r="U263" s="44">
        <f t="shared" si="672"/>
        <v>6053798.3132690676</v>
      </c>
      <c r="V263" s="44">
        <f t="shared" si="672"/>
        <v>6053798.3132690676</v>
      </c>
      <c r="W263" s="44">
        <f t="shared" si="672"/>
        <v>6053798.3132690676</v>
      </c>
      <c r="X263" s="44">
        <f t="shared" si="672"/>
        <v>6053798.3132690676</v>
      </c>
      <c r="Y263" s="44">
        <f t="shared" si="672"/>
        <v>6053798.3132690676</v>
      </c>
      <c r="Z263" s="44">
        <f t="shared" si="672"/>
        <v>6053798.3132690676</v>
      </c>
      <c r="AA263" s="44">
        <f t="shared" si="672"/>
        <v>6053798.3132690676</v>
      </c>
      <c r="AB263" s="44">
        <f t="shared" si="672"/>
        <v>6053798.3132690676</v>
      </c>
      <c r="AC263" s="44">
        <f t="shared" si="672"/>
        <v>6053798.3132690676</v>
      </c>
      <c r="AD263" s="44">
        <f t="shared" si="672"/>
        <v>6053798.3132690676</v>
      </c>
      <c r="AE263" s="44">
        <f t="shared" si="672"/>
        <v>6053798.3132690676</v>
      </c>
      <c r="AF263" s="44">
        <f t="shared" si="672"/>
        <v>6053798.3132690676</v>
      </c>
      <c r="AG263" s="44">
        <f t="shared" si="672"/>
        <v>6053798.3132690676</v>
      </c>
      <c r="AH263" s="44">
        <f t="shared" si="672"/>
        <v>6053798.3132690676</v>
      </c>
      <c r="AI263" s="44">
        <f t="shared" si="672"/>
        <v>6053798.3132690676</v>
      </c>
      <c r="AJ263" s="44">
        <f t="shared" si="672"/>
        <v>6053798.3132690676</v>
      </c>
      <c r="AK263" s="44">
        <f t="shared" si="672"/>
        <v>6053798.3132690676</v>
      </c>
      <c r="AL263" s="44">
        <f t="shared" si="672"/>
        <v>6053798.3132690676</v>
      </c>
      <c r="AM263" s="44">
        <f t="shared" si="672"/>
        <v>6053798.3132690676</v>
      </c>
      <c r="AN263" s="44">
        <f t="shared" si="672"/>
        <v>6053798.3132690676</v>
      </c>
      <c r="AO263" s="44">
        <f t="shared" si="672"/>
        <v>3026899.1566345338</v>
      </c>
      <c r="AP263" s="44">
        <f t="shared" si="672"/>
        <v>0</v>
      </c>
    </row>
    <row r="264" spans="2:42">
      <c r="C264" s="151" t="str">
        <f t="shared" si="664"/>
        <v>SPA-комплекс</v>
      </c>
      <c r="D264" s="45"/>
      <c r="E264" s="44"/>
      <c r="F264" s="44"/>
      <c r="G264" s="45"/>
      <c r="H264" s="44">
        <f t="shared" ref="H264:AP264" si="673">SUMIF($192:$192,H$252,204:204)</f>
        <v>0</v>
      </c>
      <c r="I264" s="44">
        <f t="shared" si="673"/>
        <v>0</v>
      </c>
      <c r="J264" s="44">
        <f t="shared" si="673"/>
        <v>0</v>
      </c>
      <c r="K264" s="44">
        <f t="shared" si="673"/>
        <v>5233830.3387061208</v>
      </c>
      <c r="L264" s="44">
        <f t="shared" si="673"/>
        <v>10467660.677412242</v>
      </c>
      <c r="M264" s="44">
        <f t="shared" si="673"/>
        <v>10467660.677412242</v>
      </c>
      <c r="N264" s="44">
        <f t="shared" si="673"/>
        <v>10467660.677412242</v>
      </c>
      <c r="O264" s="44">
        <f t="shared" si="673"/>
        <v>10467660.677412242</v>
      </c>
      <c r="P264" s="44">
        <f t="shared" si="673"/>
        <v>10467660.677412242</v>
      </c>
      <c r="Q264" s="44">
        <f t="shared" si="673"/>
        <v>10467660.677412242</v>
      </c>
      <c r="R264" s="44">
        <f t="shared" si="673"/>
        <v>10467660.677412242</v>
      </c>
      <c r="S264" s="44">
        <f t="shared" si="673"/>
        <v>10467660.677412242</v>
      </c>
      <c r="T264" s="44">
        <f t="shared" si="673"/>
        <v>10467660.677412242</v>
      </c>
      <c r="U264" s="44">
        <f t="shared" si="673"/>
        <v>10467660.677412242</v>
      </c>
      <c r="V264" s="44">
        <f t="shared" si="673"/>
        <v>10467660.677412242</v>
      </c>
      <c r="W264" s="44">
        <f t="shared" si="673"/>
        <v>10467660.677412242</v>
      </c>
      <c r="X264" s="44">
        <f t="shared" si="673"/>
        <v>10467660.677412242</v>
      </c>
      <c r="Y264" s="44">
        <f t="shared" si="673"/>
        <v>10467660.677412242</v>
      </c>
      <c r="Z264" s="44">
        <f t="shared" si="673"/>
        <v>10467660.677412242</v>
      </c>
      <c r="AA264" s="44">
        <f t="shared" si="673"/>
        <v>10467660.677412242</v>
      </c>
      <c r="AB264" s="44">
        <f t="shared" si="673"/>
        <v>10467660.677412242</v>
      </c>
      <c r="AC264" s="44">
        <f t="shared" si="673"/>
        <v>10467660.677412242</v>
      </c>
      <c r="AD264" s="44">
        <f t="shared" si="673"/>
        <v>10467660.677412242</v>
      </c>
      <c r="AE264" s="44">
        <f t="shared" si="673"/>
        <v>10467660.677412242</v>
      </c>
      <c r="AF264" s="44">
        <f t="shared" si="673"/>
        <v>10467660.677412242</v>
      </c>
      <c r="AG264" s="44">
        <f t="shared" si="673"/>
        <v>10467660.677412242</v>
      </c>
      <c r="AH264" s="44">
        <f t="shared" si="673"/>
        <v>10467660.677412242</v>
      </c>
      <c r="AI264" s="44">
        <f t="shared" si="673"/>
        <v>10467660.677412242</v>
      </c>
      <c r="AJ264" s="44">
        <f t="shared" si="673"/>
        <v>10467660.677412242</v>
      </c>
      <c r="AK264" s="44">
        <f t="shared" si="673"/>
        <v>10467660.677412242</v>
      </c>
      <c r="AL264" s="44">
        <f t="shared" si="673"/>
        <v>10467660.677412242</v>
      </c>
      <c r="AM264" s="44">
        <f t="shared" si="673"/>
        <v>10467660.677412242</v>
      </c>
      <c r="AN264" s="44">
        <f t="shared" si="673"/>
        <v>10467660.677412242</v>
      </c>
      <c r="AO264" s="44">
        <f t="shared" si="673"/>
        <v>5233830.3387061208</v>
      </c>
      <c r="AP264" s="44">
        <f t="shared" si="673"/>
        <v>0</v>
      </c>
    </row>
    <row r="265" spans="2:42">
      <c r="C265" s="151" t="str">
        <f t="shared" si="664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65" s="45"/>
      <c r="E265" s="44"/>
      <c r="F265" s="44"/>
      <c r="G265" s="45"/>
      <c r="H265" s="44">
        <f t="shared" ref="H265:AP265" si="674">SUMIF($192:$192,H$252,205:205)</f>
        <v>0</v>
      </c>
      <c r="I265" s="44">
        <f t="shared" si="674"/>
        <v>0</v>
      </c>
      <c r="J265" s="44">
        <f t="shared" si="674"/>
        <v>0</v>
      </c>
      <c r="K265" s="44">
        <f t="shared" si="674"/>
        <v>321375.54711353377</v>
      </c>
      <c r="L265" s="44">
        <f t="shared" si="674"/>
        <v>642751.09422706754</v>
      </c>
      <c r="M265" s="44">
        <f t="shared" si="674"/>
        <v>642751.09422706754</v>
      </c>
      <c r="N265" s="44">
        <f t="shared" si="674"/>
        <v>642751.09422706754</v>
      </c>
      <c r="O265" s="44">
        <f t="shared" si="674"/>
        <v>642751.09422706754</v>
      </c>
      <c r="P265" s="44">
        <f t="shared" si="674"/>
        <v>642751.09422706754</v>
      </c>
      <c r="Q265" s="44">
        <f t="shared" si="674"/>
        <v>642751.09422706754</v>
      </c>
      <c r="R265" s="44">
        <f t="shared" si="674"/>
        <v>642751.09422706754</v>
      </c>
      <c r="S265" s="44">
        <f t="shared" si="674"/>
        <v>642751.09422706754</v>
      </c>
      <c r="T265" s="44">
        <f t="shared" si="674"/>
        <v>642751.09422706754</v>
      </c>
      <c r="U265" s="44">
        <f t="shared" si="674"/>
        <v>642751.09422706754</v>
      </c>
      <c r="V265" s="44">
        <f t="shared" si="674"/>
        <v>642751.09422706754</v>
      </c>
      <c r="W265" s="44">
        <f t="shared" si="674"/>
        <v>642751.09422706754</v>
      </c>
      <c r="X265" s="44">
        <f t="shared" si="674"/>
        <v>642751.09422706754</v>
      </c>
      <c r="Y265" s="44">
        <f t="shared" si="674"/>
        <v>642751.09422706754</v>
      </c>
      <c r="Z265" s="44">
        <f t="shared" si="674"/>
        <v>642751.09422706754</v>
      </c>
      <c r="AA265" s="44">
        <f t="shared" si="674"/>
        <v>642751.09422706754</v>
      </c>
      <c r="AB265" s="44">
        <f t="shared" si="674"/>
        <v>642751.09422706754</v>
      </c>
      <c r="AC265" s="44">
        <f t="shared" si="674"/>
        <v>642751.09422706754</v>
      </c>
      <c r="AD265" s="44">
        <f t="shared" si="674"/>
        <v>642751.09422706754</v>
      </c>
      <c r="AE265" s="44">
        <f t="shared" si="674"/>
        <v>642751.09422706754</v>
      </c>
      <c r="AF265" s="44">
        <f t="shared" si="674"/>
        <v>642751.09422706754</v>
      </c>
      <c r="AG265" s="44">
        <f t="shared" si="674"/>
        <v>642751.09422706754</v>
      </c>
      <c r="AH265" s="44">
        <f t="shared" si="674"/>
        <v>642751.09422706754</v>
      </c>
      <c r="AI265" s="44">
        <f t="shared" si="674"/>
        <v>642751.09422706754</v>
      </c>
      <c r="AJ265" s="44">
        <f t="shared" si="674"/>
        <v>642751.09422706754</v>
      </c>
      <c r="AK265" s="44">
        <f t="shared" si="674"/>
        <v>642751.09422706754</v>
      </c>
      <c r="AL265" s="44">
        <f t="shared" si="674"/>
        <v>642751.09422706754</v>
      </c>
      <c r="AM265" s="44">
        <f t="shared" si="674"/>
        <v>642751.09422706754</v>
      </c>
      <c r="AN265" s="44">
        <f t="shared" si="674"/>
        <v>642751.09422706754</v>
      </c>
      <c r="AO265" s="44">
        <f t="shared" si="674"/>
        <v>321375.54711353377</v>
      </c>
      <c r="AP265" s="44">
        <f t="shared" si="674"/>
        <v>0</v>
      </c>
    </row>
    <row r="266" spans="2:42">
      <c r="C266" s="151" t="str">
        <f t="shared" si="664"/>
        <v>Наземный паркинг</v>
      </c>
      <c r="D266" s="45"/>
      <c r="E266" s="44"/>
      <c r="F266" s="44"/>
      <c r="G266" s="45"/>
      <c r="H266" s="44">
        <f t="shared" ref="H266:AP266" si="675">SUMIF($192:$192,H$252,206:206)</f>
        <v>0</v>
      </c>
      <c r="I266" s="44">
        <f t="shared" si="675"/>
        <v>0</v>
      </c>
      <c r="J266" s="44">
        <f t="shared" si="675"/>
        <v>0</v>
      </c>
      <c r="K266" s="44">
        <f t="shared" si="675"/>
        <v>234145.04146843168</v>
      </c>
      <c r="L266" s="44">
        <f t="shared" si="675"/>
        <v>468290.08293686336</v>
      </c>
      <c r="M266" s="44">
        <f t="shared" si="675"/>
        <v>468290.08293686336</v>
      </c>
      <c r="N266" s="44">
        <f t="shared" si="675"/>
        <v>468290.08293686336</v>
      </c>
      <c r="O266" s="44">
        <f t="shared" si="675"/>
        <v>468290.08293686336</v>
      </c>
      <c r="P266" s="44">
        <f t="shared" si="675"/>
        <v>468290.08293686336</v>
      </c>
      <c r="Q266" s="44">
        <f t="shared" si="675"/>
        <v>468290.08293686336</v>
      </c>
      <c r="R266" s="44">
        <f t="shared" si="675"/>
        <v>468290.08293686336</v>
      </c>
      <c r="S266" s="44">
        <f t="shared" si="675"/>
        <v>468290.08293686336</v>
      </c>
      <c r="T266" s="44">
        <f t="shared" si="675"/>
        <v>468290.08293686336</v>
      </c>
      <c r="U266" s="44">
        <f t="shared" si="675"/>
        <v>468290.08293686336</v>
      </c>
      <c r="V266" s="44">
        <f t="shared" si="675"/>
        <v>468290.08293686336</v>
      </c>
      <c r="W266" s="44">
        <f t="shared" si="675"/>
        <v>468290.08293686336</v>
      </c>
      <c r="X266" s="44">
        <f t="shared" si="675"/>
        <v>468290.08293686336</v>
      </c>
      <c r="Y266" s="44">
        <f t="shared" si="675"/>
        <v>468290.08293686336</v>
      </c>
      <c r="Z266" s="44">
        <f t="shared" si="675"/>
        <v>468290.08293686336</v>
      </c>
      <c r="AA266" s="44">
        <f t="shared" si="675"/>
        <v>468290.08293686336</v>
      </c>
      <c r="AB266" s="44">
        <f t="shared" si="675"/>
        <v>468290.08293686336</v>
      </c>
      <c r="AC266" s="44">
        <f t="shared" si="675"/>
        <v>468290.08293686336</v>
      </c>
      <c r="AD266" s="44">
        <f t="shared" si="675"/>
        <v>468290.08293686336</v>
      </c>
      <c r="AE266" s="44">
        <f t="shared" si="675"/>
        <v>468290.08293686336</v>
      </c>
      <c r="AF266" s="44">
        <f t="shared" si="675"/>
        <v>468290.08293686336</v>
      </c>
      <c r="AG266" s="44">
        <f t="shared" si="675"/>
        <v>468290.08293686336</v>
      </c>
      <c r="AH266" s="44">
        <f t="shared" si="675"/>
        <v>468290.08293686336</v>
      </c>
      <c r="AI266" s="44">
        <f t="shared" si="675"/>
        <v>468290.08293686336</v>
      </c>
      <c r="AJ266" s="44">
        <f t="shared" si="675"/>
        <v>468290.08293686336</v>
      </c>
      <c r="AK266" s="44">
        <f t="shared" si="675"/>
        <v>468290.08293686336</v>
      </c>
      <c r="AL266" s="44">
        <f t="shared" si="675"/>
        <v>468290.08293686336</v>
      </c>
      <c r="AM266" s="44">
        <f t="shared" si="675"/>
        <v>468290.08293686336</v>
      </c>
      <c r="AN266" s="44">
        <f t="shared" si="675"/>
        <v>468290.08293686336</v>
      </c>
      <c r="AO266" s="44">
        <f t="shared" si="675"/>
        <v>234145.04146843168</v>
      </c>
      <c r="AP266" s="44">
        <f t="shared" si="675"/>
        <v>0</v>
      </c>
    </row>
    <row r="267" spans="2:42">
      <c r="C267" s="151" t="str">
        <f t="shared" si="664"/>
        <v>Организация набережных</v>
      </c>
      <c r="D267" s="45"/>
      <c r="E267" s="44"/>
      <c r="F267" s="44"/>
      <c r="G267" s="45"/>
      <c r="H267" s="44">
        <f t="shared" ref="H267:AP267" si="676">SUMIF($192:$192,H$252,207:207)</f>
        <v>0</v>
      </c>
      <c r="I267" s="44">
        <f t="shared" si="676"/>
        <v>0</v>
      </c>
      <c r="J267" s="44">
        <f t="shared" si="676"/>
        <v>0</v>
      </c>
      <c r="K267" s="44">
        <f t="shared" si="676"/>
        <v>2203718.0373499454</v>
      </c>
      <c r="L267" s="44">
        <f t="shared" si="676"/>
        <v>4407436.0746998908</v>
      </c>
      <c r="M267" s="44">
        <f t="shared" si="676"/>
        <v>4407436.0746998908</v>
      </c>
      <c r="N267" s="44">
        <f t="shared" si="676"/>
        <v>4407436.0746998908</v>
      </c>
      <c r="O267" s="44">
        <f t="shared" si="676"/>
        <v>4407436.0746998908</v>
      </c>
      <c r="P267" s="44">
        <f t="shared" si="676"/>
        <v>4407436.0746998908</v>
      </c>
      <c r="Q267" s="44">
        <f t="shared" si="676"/>
        <v>4407436.0746998908</v>
      </c>
      <c r="R267" s="44">
        <f t="shared" si="676"/>
        <v>4407436.0746998908</v>
      </c>
      <c r="S267" s="44">
        <f t="shared" si="676"/>
        <v>4407436.0746998908</v>
      </c>
      <c r="T267" s="44">
        <f t="shared" si="676"/>
        <v>4407436.0746998908</v>
      </c>
      <c r="U267" s="44">
        <f t="shared" si="676"/>
        <v>4407436.0746998908</v>
      </c>
      <c r="V267" s="44">
        <f t="shared" si="676"/>
        <v>4407436.0746998908</v>
      </c>
      <c r="W267" s="44">
        <f t="shared" si="676"/>
        <v>4407436.0746998908</v>
      </c>
      <c r="X267" s="44">
        <f t="shared" si="676"/>
        <v>4407436.0746998908</v>
      </c>
      <c r="Y267" s="44">
        <f t="shared" si="676"/>
        <v>4407436.0746998908</v>
      </c>
      <c r="Z267" s="44">
        <f t="shared" si="676"/>
        <v>4407436.0746998908</v>
      </c>
      <c r="AA267" s="44">
        <f t="shared" si="676"/>
        <v>4407436.0746998908</v>
      </c>
      <c r="AB267" s="44">
        <f t="shared" si="676"/>
        <v>4407436.0746998908</v>
      </c>
      <c r="AC267" s="44">
        <f t="shared" si="676"/>
        <v>4407436.0746998908</v>
      </c>
      <c r="AD267" s="44">
        <f t="shared" si="676"/>
        <v>4407436.0746998908</v>
      </c>
      <c r="AE267" s="44">
        <f t="shared" si="676"/>
        <v>4407436.0746998908</v>
      </c>
      <c r="AF267" s="44">
        <f t="shared" si="676"/>
        <v>4407436.0746998908</v>
      </c>
      <c r="AG267" s="44">
        <f t="shared" si="676"/>
        <v>4407436.0746998908</v>
      </c>
      <c r="AH267" s="44">
        <f t="shared" si="676"/>
        <v>4407436.0746998908</v>
      </c>
      <c r="AI267" s="44">
        <f t="shared" si="676"/>
        <v>4407436.0746998908</v>
      </c>
      <c r="AJ267" s="44">
        <f t="shared" si="676"/>
        <v>4407436.0746998908</v>
      </c>
      <c r="AK267" s="44">
        <f t="shared" si="676"/>
        <v>4407436.0746998908</v>
      </c>
      <c r="AL267" s="44">
        <f t="shared" si="676"/>
        <v>4407436.0746998908</v>
      </c>
      <c r="AM267" s="44">
        <f t="shared" si="676"/>
        <v>4407436.0746998908</v>
      </c>
      <c r="AN267" s="44">
        <f t="shared" si="676"/>
        <v>4407436.0746998908</v>
      </c>
      <c r="AO267" s="44">
        <f t="shared" si="676"/>
        <v>2203718.0373499454</v>
      </c>
      <c r="AP267" s="44">
        <f t="shared" si="676"/>
        <v>0</v>
      </c>
    </row>
    <row r="268" spans="2:42">
      <c r="C268" s="151" t="str">
        <f t="shared" si="664"/>
        <v>Трансформаторная подстанция</v>
      </c>
      <c r="D268" s="45"/>
      <c r="E268" s="44"/>
      <c r="F268" s="44"/>
      <c r="G268" s="45"/>
      <c r="H268" s="44">
        <f t="shared" ref="H268:AP268" si="677">SUMIF($192:$192,H$252,208:208)</f>
        <v>0</v>
      </c>
      <c r="I268" s="44">
        <f t="shared" si="677"/>
        <v>0</v>
      </c>
      <c r="J268" s="44">
        <f t="shared" si="677"/>
        <v>0</v>
      </c>
      <c r="K268" s="44">
        <f t="shared" si="677"/>
        <v>220371.80373499455</v>
      </c>
      <c r="L268" s="44">
        <f t="shared" si="677"/>
        <v>440743.6074699891</v>
      </c>
      <c r="M268" s="44">
        <f t="shared" si="677"/>
        <v>440743.6074699891</v>
      </c>
      <c r="N268" s="44">
        <f t="shared" si="677"/>
        <v>440743.6074699891</v>
      </c>
      <c r="O268" s="44">
        <f t="shared" si="677"/>
        <v>440743.6074699891</v>
      </c>
      <c r="P268" s="44">
        <f t="shared" si="677"/>
        <v>440743.6074699891</v>
      </c>
      <c r="Q268" s="44">
        <f t="shared" si="677"/>
        <v>440743.6074699891</v>
      </c>
      <c r="R268" s="44">
        <f t="shared" si="677"/>
        <v>440743.6074699891</v>
      </c>
      <c r="S268" s="44">
        <f t="shared" si="677"/>
        <v>440743.6074699891</v>
      </c>
      <c r="T268" s="44">
        <f t="shared" si="677"/>
        <v>440743.6074699891</v>
      </c>
      <c r="U268" s="44">
        <f t="shared" si="677"/>
        <v>440743.6074699891</v>
      </c>
      <c r="V268" s="44">
        <f t="shared" si="677"/>
        <v>440743.6074699891</v>
      </c>
      <c r="W268" s="44">
        <f t="shared" si="677"/>
        <v>440743.6074699891</v>
      </c>
      <c r="X268" s="44">
        <f t="shared" si="677"/>
        <v>440743.6074699891</v>
      </c>
      <c r="Y268" s="44">
        <f t="shared" si="677"/>
        <v>440743.6074699891</v>
      </c>
      <c r="Z268" s="44">
        <f t="shared" si="677"/>
        <v>440743.6074699891</v>
      </c>
      <c r="AA268" s="44">
        <f t="shared" si="677"/>
        <v>440743.6074699891</v>
      </c>
      <c r="AB268" s="44">
        <f t="shared" si="677"/>
        <v>440743.6074699891</v>
      </c>
      <c r="AC268" s="44">
        <f t="shared" si="677"/>
        <v>440743.6074699891</v>
      </c>
      <c r="AD268" s="44">
        <f t="shared" si="677"/>
        <v>440743.6074699891</v>
      </c>
      <c r="AE268" s="44">
        <f t="shared" si="677"/>
        <v>440743.6074699891</v>
      </c>
      <c r="AF268" s="44">
        <f t="shared" si="677"/>
        <v>440743.6074699891</v>
      </c>
      <c r="AG268" s="44">
        <f t="shared" si="677"/>
        <v>440743.6074699891</v>
      </c>
      <c r="AH268" s="44">
        <f t="shared" si="677"/>
        <v>440743.6074699891</v>
      </c>
      <c r="AI268" s="44">
        <f t="shared" si="677"/>
        <v>440743.6074699891</v>
      </c>
      <c r="AJ268" s="44">
        <f t="shared" si="677"/>
        <v>440743.6074699891</v>
      </c>
      <c r="AK268" s="44">
        <f t="shared" si="677"/>
        <v>440743.6074699891</v>
      </c>
      <c r="AL268" s="44">
        <f t="shared" si="677"/>
        <v>440743.6074699891</v>
      </c>
      <c r="AM268" s="44">
        <f t="shared" si="677"/>
        <v>440743.6074699891</v>
      </c>
      <c r="AN268" s="44">
        <f t="shared" si="677"/>
        <v>440743.6074699891</v>
      </c>
      <c r="AO268" s="44">
        <f t="shared" si="677"/>
        <v>220371.80373499455</v>
      </c>
      <c r="AP268" s="44">
        <f t="shared" si="677"/>
        <v>0</v>
      </c>
    </row>
    <row r="269" spans="2:42">
      <c r="B269" s="139" t="s">
        <v>489</v>
      </c>
      <c r="C269" s="151" t="str">
        <f t="shared" si="664"/>
        <v>Канализационная насосная станция</v>
      </c>
      <c r="D269" s="45"/>
      <c r="E269" s="44"/>
      <c r="F269" s="44"/>
      <c r="G269" s="45"/>
      <c r="H269" s="44">
        <f t="shared" ref="H269:AP269" si="678">SUMIF($192:$192,H$252,209:209)</f>
        <v>0</v>
      </c>
      <c r="I269" s="44">
        <f t="shared" si="678"/>
        <v>0</v>
      </c>
      <c r="J269" s="44">
        <f t="shared" si="678"/>
        <v>0</v>
      </c>
      <c r="K269" s="44">
        <f t="shared" si="678"/>
        <v>83741.285419297928</v>
      </c>
      <c r="L269" s="44">
        <f t="shared" si="678"/>
        <v>167482.57083859586</v>
      </c>
      <c r="M269" s="44">
        <f t="shared" si="678"/>
        <v>167482.57083859586</v>
      </c>
      <c r="N269" s="44">
        <f t="shared" si="678"/>
        <v>167482.57083859586</v>
      </c>
      <c r="O269" s="44">
        <f t="shared" si="678"/>
        <v>167482.57083859586</v>
      </c>
      <c r="P269" s="44">
        <f t="shared" si="678"/>
        <v>167482.57083859586</v>
      </c>
      <c r="Q269" s="44">
        <f t="shared" si="678"/>
        <v>167482.57083859586</v>
      </c>
      <c r="R269" s="44">
        <f t="shared" si="678"/>
        <v>167482.57083859586</v>
      </c>
      <c r="S269" s="44">
        <f t="shared" si="678"/>
        <v>167482.57083859586</v>
      </c>
      <c r="T269" s="44">
        <f t="shared" si="678"/>
        <v>167482.57083859586</v>
      </c>
      <c r="U269" s="44">
        <f t="shared" si="678"/>
        <v>167482.57083859586</v>
      </c>
      <c r="V269" s="44">
        <f t="shared" si="678"/>
        <v>167482.57083859586</v>
      </c>
      <c r="W269" s="44">
        <f t="shared" si="678"/>
        <v>167482.57083859586</v>
      </c>
      <c r="X269" s="44">
        <f t="shared" si="678"/>
        <v>167482.57083859586</v>
      </c>
      <c r="Y269" s="44">
        <f t="shared" si="678"/>
        <v>167482.57083859586</v>
      </c>
      <c r="Z269" s="44">
        <f t="shared" si="678"/>
        <v>167482.57083859586</v>
      </c>
      <c r="AA269" s="44">
        <f t="shared" si="678"/>
        <v>167482.57083859586</v>
      </c>
      <c r="AB269" s="44">
        <f t="shared" si="678"/>
        <v>167482.57083859586</v>
      </c>
      <c r="AC269" s="44">
        <f t="shared" si="678"/>
        <v>167482.57083859586</v>
      </c>
      <c r="AD269" s="44">
        <f t="shared" si="678"/>
        <v>167482.57083859586</v>
      </c>
      <c r="AE269" s="44">
        <f t="shared" si="678"/>
        <v>167482.57083859586</v>
      </c>
      <c r="AF269" s="44">
        <f t="shared" si="678"/>
        <v>167482.57083859586</v>
      </c>
      <c r="AG269" s="44">
        <f t="shared" si="678"/>
        <v>167482.57083859586</v>
      </c>
      <c r="AH269" s="44">
        <f t="shared" si="678"/>
        <v>167482.57083859586</v>
      </c>
      <c r="AI269" s="44">
        <f t="shared" si="678"/>
        <v>167482.57083859586</v>
      </c>
      <c r="AJ269" s="44">
        <f t="shared" si="678"/>
        <v>167482.57083859586</v>
      </c>
      <c r="AK269" s="44">
        <f t="shared" si="678"/>
        <v>167482.57083859586</v>
      </c>
      <c r="AL269" s="44">
        <f t="shared" si="678"/>
        <v>167482.57083859586</v>
      </c>
      <c r="AM269" s="44">
        <f t="shared" si="678"/>
        <v>167482.57083859586</v>
      </c>
      <c r="AN269" s="44">
        <f t="shared" si="678"/>
        <v>167482.57083859586</v>
      </c>
      <c r="AO269" s="44">
        <f t="shared" si="678"/>
        <v>83741.285419297928</v>
      </c>
      <c r="AP269" s="44">
        <f t="shared" si="678"/>
        <v>0</v>
      </c>
    </row>
    <row r="270" spans="2:42">
      <c r="B270" s="459">
        <f>$B$19</f>
        <v>15</v>
      </c>
      <c r="C270" s="151" t="str">
        <f t="shared" si="664"/>
        <v>Стоимость проектных работ - 4% от СМР (мебель и технологическое оборудование не учитываются)</v>
      </c>
      <c r="D270" s="45"/>
      <c r="E270" s="44"/>
      <c r="F270" s="44"/>
      <c r="G270" s="45"/>
      <c r="H270" s="44">
        <f t="shared" ref="H270:AP270" si="679">SUMIF($192:$192,H$252,210:210)</f>
        <v>0</v>
      </c>
      <c r="I270" s="44">
        <f t="shared" si="679"/>
        <v>0</v>
      </c>
      <c r="J270" s="44">
        <f t="shared" si="679"/>
        <v>0</v>
      </c>
      <c r="K270" s="44">
        <f t="shared" si="679"/>
        <v>3973485.0816304744</v>
      </c>
      <c r="L270" s="44">
        <f t="shared" si="679"/>
        <v>7946970.1632609488</v>
      </c>
      <c r="M270" s="44">
        <f t="shared" si="679"/>
        <v>7946970.1632609488</v>
      </c>
      <c r="N270" s="44">
        <f t="shared" si="679"/>
        <v>7946970.1632609488</v>
      </c>
      <c r="O270" s="44">
        <f t="shared" si="679"/>
        <v>7946970.1632609488</v>
      </c>
      <c r="P270" s="44">
        <f t="shared" si="679"/>
        <v>7946970.1632609488</v>
      </c>
      <c r="Q270" s="44">
        <f t="shared" si="679"/>
        <v>7946970.1632609488</v>
      </c>
      <c r="R270" s="44">
        <f t="shared" si="679"/>
        <v>7946970.1632609488</v>
      </c>
      <c r="S270" s="44">
        <f t="shared" si="679"/>
        <v>7946970.1632609488</v>
      </c>
      <c r="T270" s="44">
        <f t="shared" si="679"/>
        <v>7946970.1632609488</v>
      </c>
      <c r="U270" s="44">
        <f t="shared" si="679"/>
        <v>7946970.1632609488</v>
      </c>
      <c r="V270" s="44">
        <f t="shared" si="679"/>
        <v>7946970.1632609488</v>
      </c>
      <c r="W270" s="44">
        <f t="shared" si="679"/>
        <v>7946970.1632609488</v>
      </c>
      <c r="X270" s="44">
        <f t="shared" si="679"/>
        <v>7946970.1632609488</v>
      </c>
      <c r="Y270" s="44">
        <f t="shared" si="679"/>
        <v>7946970.1632609488</v>
      </c>
      <c r="Z270" s="44">
        <f t="shared" si="679"/>
        <v>7946970.1632609488</v>
      </c>
      <c r="AA270" s="44">
        <f t="shared" si="679"/>
        <v>7946970.1632609488</v>
      </c>
      <c r="AB270" s="44">
        <f t="shared" si="679"/>
        <v>7946970.1632609488</v>
      </c>
      <c r="AC270" s="44">
        <f t="shared" si="679"/>
        <v>7946970.1632609488</v>
      </c>
      <c r="AD270" s="44">
        <f t="shared" si="679"/>
        <v>7946970.1632609488</v>
      </c>
      <c r="AE270" s="44">
        <f t="shared" si="679"/>
        <v>7946970.1632609488</v>
      </c>
      <c r="AF270" s="44">
        <f t="shared" si="679"/>
        <v>7946970.1632609488</v>
      </c>
      <c r="AG270" s="44">
        <f t="shared" si="679"/>
        <v>7946970.1632609488</v>
      </c>
      <c r="AH270" s="44">
        <f t="shared" si="679"/>
        <v>7946970.1632609488</v>
      </c>
      <c r="AI270" s="44">
        <f t="shared" si="679"/>
        <v>7946970.1632609488</v>
      </c>
      <c r="AJ270" s="44">
        <f t="shared" si="679"/>
        <v>7946970.1632609488</v>
      </c>
      <c r="AK270" s="44">
        <f t="shared" si="679"/>
        <v>7946970.1632609488</v>
      </c>
      <c r="AL270" s="44">
        <f t="shared" si="679"/>
        <v>7946970.1632609488</v>
      </c>
      <c r="AM270" s="44">
        <f t="shared" si="679"/>
        <v>7946970.1632609488</v>
      </c>
      <c r="AN270" s="44">
        <f t="shared" si="679"/>
        <v>7946970.1632609488</v>
      </c>
      <c r="AO270" s="44">
        <f t="shared" si="679"/>
        <v>3973485.0816304744</v>
      </c>
      <c r="AP270" s="44">
        <f t="shared" si="679"/>
        <v>0</v>
      </c>
    </row>
    <row r="271" spans="2:42">
      <c r="B271" s="40"/>
    </row>
    <row r="272" spans="2:42">
      <c r="B272" s="40"/>
    </row>
    <row r="273" spans="2:42" ht="15.75">
      <c r="B273" s="40"/>
      <c r="C273" s="22"/>
      <c r="E273" s="40"/>
      <c r="F273" s="40"/>
      <c r="G273" s="40"/>
      <c r="H273" s="463">
        <f t="shared" ref="H273:AP273" si="680">H252</f>
        <v>2022</v>
      </c>
      <c r="I273" s="463">
        <f t="shared" si="680"/>
        <v>2023</v>
      </c>
      <c r="J273" s="463">
        <f t="shared" si="680"/>
        <v>2024</v>
      </c>
      <c r="K273" s="463">
        <f t="shared" si="680"/>
        <v>2025</v>
      </c>
      <c r="L273" s="463">
        <f t="shared" si="680"/>
        <v>2026</v>
      </c>
      <c r="M273" s="463">
        <f t="shared" si="680"/>
        <v>2027</v>
      </c>
      <c r="N273" s="463">
        <f t="shared" si="680"/>
        <v>2028</v>
      </c>
      <c r="O273" s="463">
        <f t="shared" si="680"/>
        <v>2029</v>
      </c>
      <c r="P273" s="463">
        <f t="shared" si="680"/>
        <v>2030</v>
      </c>
      <c r="Q273" s="463">
        <f t="shared" si="680"/>
        <v>2031</v>
      </c>
      <c r="R273" s="463">
        <f t="shared" si="680"/>
        <v>2032</v>
      </c>
      <c r="S273" s="463">
        <f t="shared" si="680"/>
        <v>2033</v>
      </c>
      <c r="T273" s="463">
        <f t="shared" si="680"/>
        <v>2034</v>
      </c>
      <c r="U273" s="463">
        <f t="shared" si="680"/>
        <v>2035</v>
      </c>
      <c r="V273" s="463">
        <f t="shared" si="680"/>
        <v>2036</v>
      </c>
      <c r="W273" s="463">
        <f t="shared" si="680"/>
        <v>2037</v>
      </c>
      <c r="X273" s="463">
        <f t="shared" si="680"/>
        <v>2038</v>
      </c>
      <c r="Y273" s="463">
        <f t="shared" si="680"/>
        <v>2039</v>
      </c>
      <c r="Z273" s="463">
        <f t="shared" si="680"/>
        <v>2040</v>
      </c>
      <c r="AA273" s="463">
        <f t="shared" si="680"/>
        <v>2041</v>
      </c>
      <c r="AB273" s="463">
        <f t="shared" si="680"/>
        <v>2042</v>
      </c>
      <c r="AC273" s="463">
        <f t="shared" si="680"/>
        <v>2043</v>
      </c>
      <c r="AD273" s="463">
        <f t="shared" si="680"/>
        <v>2044</v>
      </c>
      <c r="AE273" s="463">
        <f t="shared" si="680"/>
        <v>2045</v>
      </c>
      <c r="AF273" s="463">
        <f t="shared" si="680"/>
        <v>2046</v>
      </c>
      <c r="AG273" s="463">
        <f t="shared" si="680"/>
        <v>2047</v>
      </c>
      <c r="AH273" s="463">
        <f t="shared" si="680"/>
        <v>2048</v>
      </c>
      <c r="AI273" s="463">
        <f t="shared" si="680"/>
        <v>2049</v>
      </c>
      <c r="AJ273" s="463">
        <f t="shared" si="680"/>
        <v>2050</v>
      </c>
      <c r="AK273" s="463">
        <f t="shared" si="680"/>
        <v>2051</v>
      </c>
      <c r="AL273" s="463">
        <f t="shared" si="680"/>
        <v>2052</v>
      </c>
      <c r="AM273" s="463">
        <f t="shared" si="680"/>
        <v>2053</v>
      </c>
      <c r="AN273" s="463">
        <f t="shared" si="680"/>
        <v>2054</v>
      </c>
      <c r="AO273" s="463">
        <f t="shared" si="680"/>
        <v>2055</v>
      </c>
      <c r="AP273" s="463">
        <f t="shared" si="680"/>
        <v>2056</v>
      </c>
    </row>
    <row r="274" spans="2:42" ht="15.75">
      <c r="B274" s="40"/>
      <c r="C274" s="22"/>
      <c r="E274" s="40"/>
      <c r="F274" s="40"/>
      <c r="G274" s="40"/>
      <c r="H274" s="464">
        <f t="shared" ref="H274:AP274" si="681">H253</f>
        <v>44593</v>
      </c>
      <c r="I274" s="464">
        <f t="shared" si="681"/>
        <v>44927</v>
      </c>
      <c r="J274" s="464">
        <f t="shared" si="681"/>
        <v>45292</v>
      </c>
      <c r="K274" s="464">
        <f t="shared" si="681"/>
        <v>45658</v>
      </c>
      <c r="L274" s="464">
        <f t="shared" si="681"/>
        <v>46023</v>
      </c>
      <c r="M274" s="464">
        <f t="shared" si="681"/>
        <v>46388</v>
      </c>
      <c r="N274" s="464">
        <f t="shared" si="681"/>
        <v>46753</v>
      </c>
      <c r="O274" s="464">
        <f t="shared" si="681"/>
        <v>47119</v>
      </c>
      <c r="P274" s="464">
        <f t="shared" si="681"/>
        <v>47484</v>
      </c>
      <c r="Q274" s="464">
        <f t="shared" si="681"/>
        <v>47849</v>
      </c>
      <c r="R274" s="464">
        <f t="shared" si="681"/>
        <v>48214</v>
      </c>
      <c r="S274" s="464">
        <f t="shared" si="681"/>
        <v>48580</v>
      </c>
      <c r="T274" s="464">
        <f t="shared" si="681"/>
        <v>48945</v>
      </c>
      <c r="U274" s="464">
        <f t="shared" si="681"/>
        <v>49310</v>
      </c>
      <c r="V274" s="464">
        <f t="shared" si="681"/>
        <v>49675</v>
      </c>
      <c r="W274" s="464">
        <f t="shared" si="681"/>
        <v>50041</v>
      </c>
      <c r="X274" s="464">
        <f t="shared" si="681"/>
        <v>50406</v>
      </c>
      <c r="Y274" s="464">
        <f t="shared" si="681"/>
        <v>50771</v>
      </c>
      <c r="Z274" s="464">
        <f t="shared" si="681"/>
        <v>51136</v>
      </c>
      <c r="AA274" s="464">
        <f t="shared" si="681"/>
        <v>51502</v>
      </c>
      <c r="AB274" s="464">
        <f t="shared" si="681"/>
        <v>51867</v>
      </c>
      <c r="AC274" s="464">
        <f t="shared" si="681"/>
        <v>52232</v>
      </c>
      <c r="AD274" s="464">
        <f t="shared" si="681"/>
        <v>52597</v>
      </c>
      <c r="AE274" s="464">
        <f t="shared" si="681"/>
        <v>52963</v>
      </c>
      <c r="AF274" s="464">
        <f t="shared" si="681"/>
        <v>53328</v>
      </c>
      <c r="AG274" s="464">
        <f t="shared" si="681"/>
        <v>53693</v>
      </c>
      <c r="AH274" s="464">
        <f t="shared" si="681"/>
        <v>54058</v>
      </c>
      <c r="AI274" s="464">
        <f t="shared" si="681"/>
        <v>54424</v>
      </c>
      <c r="AJ274" s="464">
        <f t="shared" si="681"/>
        <v>54789</v>
      </c>
      <c r="AK274" s="464">
        <f t="shared" si="681"/>
        <v>55154</v>
      </c>
      <c r="AL274" s="464">
        <f t="shared" si="681"/>
        <v>55519</v>
      </c>
      <c r="AM274" s="464">
        <f t="shared" si="681"/>
        <v>55885</v>
      </c>
      <c r="AN274" s="464">
        <f t="shared" si="681"/>
        <v>56250</v>
      </c>
      <c r="AO274" s="464">
        <f t="shared" si="681"/>
        <v>56615</v>
      </c>
      <c r="AP274" s="464">
        <f t="shared" si="681"/>
        <v>56980</v>
      </c>
    </row>
    <row r="275" spans="2:42" ht="15.75">
      <c r="C275" s="22" t="s">
        <v>490</v>
      </c>
      <c r="E275" s="42"/>
      <c r="F275" s="42"/>
      <c r="G275" s="42"/>
      <c r="H275" s="464">
        <f t="shared" ref="H275:AP275" si="682">H254</f>
        <v>44926</v>
      </c>
      <c r="I275" s="464">
        <f t="shared" si="682"/>
        <v>45291</v>
      </c>
      <c r="J275" s="464">
        <f t="shared" si="682"/>
        <v>45657</v>
      </c>
      <c r="K275" s="464">
        <f t="shared" si="682"/>
        <v>46022</v>
      </c>
      <c r="L275" s="464">
        <f t="shared" si="682"/>
        <v>46387</v>
      </c>
      <c r="M275" s="464">
        <f t="shared" si="682"/>
        <v>46752</v>
      </c>
      <c r="N275" s="464">
        <f t="shared" si="682"/>
        <v>47118</v>
      </c>
      <c r="O275" s="464">
        <f t="shared" si="682"/>
        <v>47483</v>
      </c>
      <c r="P275" s="464">
        <f t="shared" si="682"/>
        <v>47848</v>
      </c>
      <c r="Q275" s="464">
        <f t="shared" si="682"/>
        <v>48213</v>
      </c>
      <c r="R275" s="464">
        <f t="shared" si="682"/>
        <v>48579</v>
      </c>
      <c r="S275" s="464">
        <f t="shared" si="682"/>
        <v>48944</v>
      </c>
      <c r="T275" s="464">
        <f t="shared" si="682"/>
        <v>49309</v>
      </c>
      <c r="U275" s="464">
        <f t="shared" si="682"/>
        <v>49674</v>
      </c>
      <c r="V275" s="464">
        <f t="shared" si="682"/>
        <v>50040</v>
      </c>
      <c r="W275" s="464">
        <f t="shared" si="682"/>
        <v>50405</v>
      </c>
      <c r="X275" s="464">
        <f t="shared" si="682"/>
        <v>50770</v>
      </c>
      <c r="Y275" s="464">
        <f t="shared" si="682"/>
        <v>51135</v>
      </c>
      <c r="Z275" s="464">
        <f t="shared" si="682"/>
        <v>51501</v>
      </c>
      <c r="AA275" s="464">
        <f t="shared" si="682"/>
        <v>51866</v>
      </c>
      <c r="AB275" s="464">
        <f t="shared" si="682"/>
        <v>52231</v>
      </c>
      <c r="AC275" s="464">
        <f t="shared" si="682"/>
        <v>52596</v>
      </c>
      <c r="AD275" s="464">
        <f t="shared" si="682"/>
        <v>52962</v>
      </c>
      <c r="AE275" s="464">
        <f t="shared" si="682"/>
        <v>53327</v>
      </c>
      <c r="AF275" s="464">
        <f t="shared" si="682"/>
        <v>53692</v>
      </c>
      <c r="AG275" s="464">
        <f t="shared" si="682"/>
        <v>54057</v>
      </c>
      <c r="AH275" s="464">
        <f t="shared" si="682"/>
        <v>54423</v>
      </c>
      <c r="AI275" s="464">
        <f t="shared" si="682"/>
        <v>54788</v>
      </c>
      <c r="AJ275" s="464">
        <f t="shared" si="682"/>
        <v>55153</v>
      </c>
      <c r="AK275" s="464">
        <f t="shared" si="682"/>
        <v>55518</v>
      </c>
      <c r="AL275" s="464">
        <f t="shared" si="682"/>
        <v>55884</v>
      </c>
      <c r="AM275" s="464">
        <f t="shared" si="682"/>
        <v>56249</v>
      </c>
      <c r="AN275" s="464">
        <f t="shared" si="682"/>
        <v>56614</v>
      </c>
      <c r="AO275" s="464">
        <f t="shared" si="682"/>
        <v>56979</v>
      </c>
      <c r="AP275" s="464">
        <f t="shared" si="682"/>
        <v>57345</v>
      </c>
    </row>
    <row r="276" spans="2:42">
      <c r="C276" s="465" t="str">
        <f>C214</f>
        <v>Остаточная ст-ть</v>
      </c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5"/>
      <c r="T276" s="465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465"/>
      <c r="AM276" s="465"/>
      <c r="AN276" s="465"/>
      <c r="AO276" s="465"/>
      <c r="AP276" s="465"/>
    </row>
    <row r="277" spans="2:42">
      <c r="C277" s="1060" t="str">
        <f t="shared" ref="C277:C291" si="683">C256</f>
        <v>Гостиница 5*</v>
      </c>
      <c r="D277" s="1061"/>
      <c r="E277" s="1062"/>
      <c r="F277" s="1062"/>
      <c r="G277" s="1061"/>
      <c r="H277" s="1062">
        <f t="shared" ref="H277:AP277" si="684">SUMIF($213:$213,H$275,215:215)</f>
        <v>0</v>
      </c>
      <c r="I277" s="1062">
        <f t="shared" si="684"/>
        <v>0</v>
      </c>
      <c r="J277" s="1062">
        <f t="shared" si="684"/>
        <v>0</v>
      </c>
      <c r="K277" s="1062">
        <f t="shared" si="684"/>
        <v>0</v>
      </c>
      <c r="L277" s="1062">
        <f t="shared" si="684"/>
        <v>2100725533.0079124</v>
      </c>
      <c r="M277" s="1062">
        <f t="shared" si="684"/>
        <v>2029514497.9906948</v>
      </c>
      <c r="N277" s="1062">
        <f t="shared" si="684"/>
        <v>1958303462.9734771</v>
      </c>
      <c r="O277" s="1062">
        <f t="shared" si="684"/>
        <v>1887092427.9562595</v>
      </c>
      <c r="P277" s="1062">
        <f t="shared" si="684"/>
        <v>1815881392.9390419</v>
      </c>
      <c r="Q277" s="1062">
        <f t="shared" si="684"/>
        <v>1744670357.9218242</v>
      </c>
      <c r="R277" s="1062">
        <f t="shared" si="684"/>
        <v>1673459322.9046066</v>
      </c>
      <c r="S277" s="1062">
        <f t="shared" si="684"/>
        <v>1602248287.8873889</v>
      </c>
      <c r="T277" s="1062">
        <f t="shared" si="684"/>
        <v>1531037252.8701713</v>
      </c>
      <c r="U277" s="1062">
        <f t="shared" si="684"/>
        <v>1459826217.8529537</v>
      </c>
      <c r="V277" s="1062">
        <f t="shared" si="684"/>
        <v>1388615182.835736</v>
      </c>
      <c r="W277" s="1062">
        <f t="shared" si="684"/>
        <v>1317404147.8185184</v>
      </c>
      <c r="X277" s="1062">
        <f t="shared" si="684"/>
        <v>1246193112.8013008</v>
      </c>
      <c r="Y277" s="1062">
        <f t="shared" si="684"/>
        <v>1174982077.7840831</v>
      </c>
      <c r="Z277" s="1062">
        <f t="shared" si="684"/>
        <v>1103771042.7668655</v>
      </c>
      <c r="AA277" s="1062">
        <f t="shared" si="684"/>
        <v>1032560007.7496482</v>
      </c>
      <c r="AB277" s="1062">
        <f t="shared" si="684"/>
        <v>961348972.73243105</v>
      </c>
      <c r="AC277" s="1062">
        <f t="shared" si="684"/>
        <v>890137937.71521389</v>
      </c>
      <c r="AD277" s="1062">
        <f t="shared" si="684"/>
        <v>818926902.69799674</v>
      </c>
      <c r="AE277" s="1062">
        <f t="shared" si="684"/>
        <v>747715867.68077958</v>
      </c>
      <c r="AF277" s="1062">
        <f t="shared" si="684"/>
        <v>676504832.66356242</v>
      </c>
      <c r="AG277" s="1062">
        <f t="shared" si="684"/>
        <v>605293797.64634526</v>
      </c>
      <c r="AH277" s="1062">
        <f t="shared" si="684"/>
        <v>534082762.62912804</v>
      </c>
      <c r="AI277" s="1062">
        <f t="shared" si="684"/>
        <v>462871727.61191064</v>
      </c>
      <c r="AJ277" s="1062">
        <f t="shared" si="684"/>
        <v>391660692.59469324</v>
      </c>
      <c r="AK277" s="1062">
        <f t="shared" si="684"/>
        <v>320449657.57747585</v>
      </c>
      <c r="AL277" s="1062">
        <f t="shared" si="684"/>
        <v>249238622.56025845</v>
      </c>
      <c r="AM277" s="1062">
        <f t="shared" si="684"/>
        <v>178027587.54304105</v>
      </c>
      <c r="AN277" s="1062">
        <f t="shared" si="684"/>
        <v>106816552.52582365</v>
      </c>
      <c r="AO277" s="1062">
        <f t="shared" si="684"/>
        <v>35605517.50860627</v>
      </c>
      <c r="AP277" s="1062">
        <f t="shared" si="684"/>
        <v>0</v>
      </c>
    </row>
    <row r="278" spans="2:42">
      <c r="C278" s="1060" t="str">
        <f t="shared" si="683"/>
        <v>Гостиница 4*</v>
      </c>
      <c r="D278" s="1061"/>
      <c r="E278" s="1062"/>
      <c r="F278" s="1062"/>
      <c r="G278" s="1061"/>
      <c r="H278" s="1062">
        <f t="shared" ref="H278:AP278" si="685">SUMIF($213:$213,H$275,216:216)</f>
        <v>0</v>
      </c>
      <c r="I278" s="1062">
        <f t="shared" si="685"/>
        <v>0</v>
      </c>
      <c r="J278" s="1062">
        <f t="shared" si="685"/>
        <v>0</v>
      </c>
      <c r="K278" s="1062">
        <f t="shared" si="685"/>
        <v>0</v>
      </c>
      <c r="L278" s="1062">
        <f t="shared" si="685"/>
        <v>1989320627.8263807</v>
      </c>
      <c r="M278" s="1062">
        <f t="shared" si="685"/>
        <v>1921886030.2729445</v>
      </c>
      <c r="N278" s="1062">
        <f t="shared" si="685"/>
        <v>1854451432.7195082</v>
      </c>
      <c r="O278" s="1062">
        <f t="shared" si="685"/>
        <v>1787016835.1660719</v>
      </c>
      <c r="P278" s="1062">
        <f t="shared" si="685"/>
        <v>1719582237.6126356</v>
      </c>
      <c r="Q278" s="1062">
        <f t="shared" si="685"/>
        <v>1652147640.0591993</v>
      </c>
      <c r="R278" s="1062">
        <f t="shared" si="685"/>
        <v>1584713042.5057631</v>
      </c>
      <c r="S278" s="1062">
        <f t="shared" si="685"/>
        <v>1517278444.9523268</v>
      </c>
      <c r="T278" s="1062">
        <f t="shared" si="685"/>
        <v>1449843847.3988905</v>
      </c>
      <c r="U278" s="1062">
        <f t="shared" si="685"/>
        <v>1382409249.8454542</v>
      </c>
      <c r="V278" s="1062">
        <f t="shared" si="685"/>
        <v>1314974652.2920179</v>
      </c>
      <c r="W278" s="1062">
        <f t="shared" si="685"/>
        <v>1247540054.7385817</v>
      </c>
      <c r="X278" s="1062">
        <f t="shared" si="685"/>
        <v>1180105457.1851454</v>
      </c>
      <c r="Y278" s="1062">
        <f t="shared" si="685"/>
        <v>1112670859.6317091</v>
      </c>
      <c r="Z278" s="1062">
        <f t="shared" si="685"/>
        <v>1045236262.0782726</v>
      </c>
      <c r="AA278" s="1062">
        <f t="shared" si="685"/>
        <v>977801664.52483582</v>
      </c>
      <c r="AB278" s="1062">
        <f t="shared" si="685"/>
        <v>910367066.97139907</v>
      </c>
      <c r="AC278" s="1062">
        <f t="shared" si="685"/>
        <v>842932469.41796231</v>
      </c>
      <c r="AD278" s="1062">
        <f t="shared" si="685"/>
        <v>775497871.86452556</v>
      </c>
      <c r="AE278" s="1062">
        <f t="shared" si="685"/>
        <v>708063274.3110888</v>
      </c>
      <c r="AF278" s="1062">
        <f t="shared" si="685"/>
        <v>640628676.75765204</v>
      </c>
      <c r="AG278" s="1062">
        <f t="shared" si="685"/>
        <v>573194079.20421529</v>
      </c>
      <c r="AH278" s="1062">
        <f t="shared" si="685"/>
        <v>505759481.65077865</v>
      </c>
      <c r="AI278" s="1062">
        <f t="shared" si="685"/>
        <v>438324884.09734213</v>
      </c>
      <c r="AJ278" s="1062">
        <f t="shared" si="685"/>
        <v>370890286.54390562</v>
      </c>
      <c r="AK278" s="1062">
        <f t="shared" si="685"/>
        <v>303455688.9904691</v>
      </c>
      <c r="AL278" s="1062">
        <f t="shared" si="685"/>
        <v>236021091.43703252</v>
      </c>
      <c r="AM278" s="1062">
        <f t="shared" si="685"/>
        <v>168586493.88359588</v>
      </c>
      <c r="AN278" s="1062">
        <f t="shared" si="685"/>
        <v>101151896.33015925</v>
      </c>
      <c r="AO278" s="1062">
        <f t="shared" si="685"/>
        <v>33717298.77672261</v>
      </c>
      <c r="AP278" s="1062">
        <f t="shared" si="685"/>
        <v>0</v>
      </c>
    </row>
    <row r="279" spans="2:42">
      <c r="C279" s="1060" t="str">
        <f t="shared" si="683"/>
        <v>Гостиница 3*</v>
      </c>
      <c r="D279" s="1061"/>
      <c r="E279" s="1062"/>
      <c r="F279" s="1062"/>
      <c r="G279" s="1061"/>
      <c r="H279" s="1062">
        <f t="shared" ref="H279:AP279" si="686">SUMIF($213:$213,H$275,217:217)</f>
        <v>0</v>
      </c>
      <c r="I279" s="1062">
        <f t="shared" si="686"/>
        <v>0</v>
      </c>
      <c r="J279" s="1062">
        <f t="shared" si="686"/>
        <v>0</v>
      </c>
      <c r="K279" s="1062">
        <f t="shared" si="686"/>
        <v>786429712.92320037</v>
      </c>
      <c r="L279" s="1062">
        <f t="shared" si="686"/>
        <v>759771078.58682084</v>
      </c>
      <c r="M279" s="1062">
        <f t="shared" si="686"/>
        <v>733112444.25044131</v>
      </c>
      <c r="N279" s="1062">
        <f t="shared" si="686"/>
        <v>706453809.91406178</v>
      </c>
      <c r="O279" s="1062">
        <f t="shared" si="686"/>
        <v>679795175.57768226</v>
      </c>
      <c r="P279" s="1062">
        <f t="shared" si="686"/>
        <v>653136541.24130273</v>
      </c>
      <c r="Q279" s="1062">
        <f t="shared" si="686"/>
        <v>626477906.9049232</v>
      </c>
      <c r="R279" s="1062">
        <f t="shared" si="686"/>
        <v>599819272.56854367</v>
      </c>
      <c r="S279" s="1062">
        <f t="shared" si="686"/>
        <v>573160638.23216414</v>
      </c>
      <c r="T279" s="1062">
        <f t="shared" si="686"/>
        <v>546502003.89578462</v>
      </c>
      <c r="U279" s="1062">
        <f t="shared" si="686"/>
        <v>519843369.55940491</v>
      </c>
      <c r="V279" s="1062">
        <f t="shared" si="686"/>
        <v>493184735.22302514</v>
      </c>
      <c r="W279" s="1062">
        <f t="shared" si="686"/>
        <v>466526100.88664538</v>
      </c>
      <c r="X279" s="1062">
        <f t="shared" si="686"/>
        <v>439867466.55026561</v>
      </c>
      <c r="Y279" s="1062">
        <f t="shared" si="686"/>
        <v>413208832.21388584</v>
      </c>
      <c r="Z279" s="1062">
        <f t="shared" si="686"/>
        <v>386550197.87750608</v>
      </c>
      <c r="AA279" s="1062">
        <f t="shared" si="686"/>
        <v>359891563.54112631</v>
      </c>
      <c r="AB279" s="1062">
        <f t="shared" si="686"/>
        <v>333232929.20474654</v>
      </c>
      <c r="AC279" s="1062">
        <f t="shared" si="686"/>
        <v>306574294.86836678</v>
      </c>
      <c r="AD279" s="1062">
        <f t="shared" si="686"/>
        <v>279915660.53198701</v>
      </c>
      <c r="AE279" s="1062">
        <f t="shared" si="686"/>
        <v>253257026.19560733</v>
      </c>
      <c r="AF279" s="1062">
        <f t="shared" si="686"/>
        <v>226598391.85922769</v>
      </c>
      <c r="AG279" s="1062">
        <f t="shared" si="686"/>
        <v>199939757.52284804</v>
      </c>
      <c r="AH279" s="1062">
        <f t="shared" si="686"/>
        <v>173281123.18646839</v>
      </c>
      <c r="AI279" s="1062">
        <f t="shared" si="686"/>
        <v>146622488.85008875</v>
      </c>
      <c r="AJ279" s="1062">
        <f t="shared" si="686"/>
        <v>119963854.5137091</v>
      </c>
      <c r="AK279" s="1062">
        <f t="shared" si="686"/>
        <v>93305220.177329451</v>
      </c>
      <c r="AL279" s="1062">
        <f t="shared" si="686"/>
        <v>66646585.840949796</v>
      </c>
      <c r="AM279" s="1062">
        <f t="shared" si="686"/>
        <v>39987951.504570119</v>
      </c>
      <c r="AN279" s="1062">
        <f t="shared" si="686"/>
        <v>13329317.168190444</v>
      </c>
      <c r="AO279" s="1062">
        <f t="shared" si="686"/>
        <v>6.0908496379852295E-7</v>
      </c>
      <c r="AP279" s="1062">
        <f t="shared" si="686"/>
        <v>0</v>
      </c>
    </row>
    <row r="280" spans="2:42">
      <c r="C280" s="1060" t="str">
        <f t="shared" si="683"/>
        <v>Гостиница 2*</v>
      </c>
      <c r="D280" s="1061"/>
      <c r="E280" s="1062"/>
      <c r="F280" s="1062"/>
      <c r="G280" s="1061"/>
      <c r="H280" s="1062">
        <f t="shared" ref="H280:AP280" si="687">SUMIF($213:$213,H$275,218:218)</f>
        <v>0</v>
      </c>
      <c r="I280" s="1062">
        <f t="shared" si="687"/>
        <v>0</v>
      </c>
      <c r="J280" s="1062">
        <f t="shared" si="687"/>
        <v>0</v>
      </c>
      <c r="K280" s="1062">
        <f t="shared" si="687"/>
        <v>0</v>
      </c>
      <c r="L280" s="1320">
        <f t="shared" si="687"/>
        <v>0</v>
      </c>
      <c r="M280" s="1062">
        <f t="shared" si="687"/>
        <v>0</v>
      </c>
      <c r="N280" s="1062">
        <f t="shared" si="687"/>
        <v>0</v>
      </c>
      <c r="O280" s="1062">
        <f t="shared" si="687"/>
        <v>0</v>
      </c>
      <c r="P280" s="1062">
        <f t="shared" si="687"/>
        <v>0</v>
      </c>
      <c r="Q280" s="1062">
        <f t="shared" si="687"/>
        <v>0</v>
      </c>
      <c r="R280" s="1062">
        <f t="shared" si="687"/>
        <v>0</v>
      </c>
      <c r="S280" s="1062">
        <f t="shared" si="687"/>
        <v>0</v>
      </c>
      <c r="T280" s="1062">
        <f t="shared" si="687"/>
        <v>0</v>
      </c>
      <c r="U280" s="1062">
        <f t="shared" si="687"/>
        <v>0</v>
      </c>
      <c r="V280" s="1062">
        <f t="shared" si="687"/>
        <v>0</v>
      </c>
      <c r="W280" s="1062">
        <f t="shared" si="687"/>
        <v>0</v>
      </c>
      <c r="X280" s="1062">
        <f t="shared" si="687"/>
        <v>0</v>
      </c>
      <c r="Y280" s="1062">
        <f t="shared" si="687"/>
        <v>0</v>
      </c>
      <c r="Z280" s="1062">
        <f t="shared" si="687"/>
        <v>0</v>
      </c>
      <c r="AA280" s="1062">
        <f t="shared" si="687"/>
        <v>0</v>
      </c>
      <c r="AB280" s="1062">
        <f t="shared" si="687"/>
        <v>0</v>
      </c>
      <c r="AC280" s="1062">
        <f t="shared" si="687"/>
        <v>0</v>
      </c>
      <c r="AD280" s="1062">
        <f t="shared" si="687"/>
        <v>0</v>
      </c>
      <c r="AE280" s="1062">
        <f t="shared" si="687"/>
        <v>0</v>
      </c>
      <c r="AF280" s="1062">
        <f t="shared" si="687"/>
        <v>0</v>
      </c>
      <c r="AG280" s="1062">
        <f t="shared" si="687"/>
        <v>0</v>
      </c>
      <c r="AH280" s="1062">
        <f t="shared" si="687"/>
        <v>0</v>
      </c>
      <c r="AI280" s="1062">
        <f t="shared" si="687"/>
        <v>0</v>
      </c>
      <c r="AJ280" s="1062">
        <f t="shared" si="687"/>
        <v>0</v>
      </c>
      <c r="AK280" s="1062">
        <f t="shared" si="687"/>
        <v>0</v>
      </c>
      <c r="AL280" s="1062">
        <f t="shared" si="687"/>
        <v>0</v>
      </c>
      <c r="AM280" s="1062">
        <f t="shared" si="687"/>
        <v>0</v>
      </c>
      <c r="AN280" s="1062">
        <f t="shared" si="687"/>
        <v>0</v>
      </c>
      <c r="AO280" s="1062">
        <f t="shared" si="687"/>
        <v>0</v>
      </c>
      <c r="AP280" s="1062">
        <f t="shared" si="687"/>
        <v>0</v>
      </c>
    </row>
    <row r="281" spans="2:42">
      <c r="C281" s="1060" t="str">
        <f t="shared" si="683"/>
        <v>МФЦ, в том числе хостел Jo&amp;JOE</v>
      </c>
      <c r="D281" s="1061"/>
      <c r="E281" s="1062"/>
      <c r="F281" s="1062"/>
      <c r="G281" s="1061"/>
      <c r="H281" s="1062">
        <f t="shared" ref="H281:AP281" si="688">SUMIF($213:$213,H$275,219:219)</f>
        <v>0</v>
      </c>
      <c r="I281" s="1062">
        <f t="shared" si="688"/>
        <v>0</v>
      </c>
      <c r="J281" s="1062">
        <f t="shared" si="688"/>
        <v>0</v>
      </c>
      <c r="K281" s="1062">
        <f t="shared" si="688"/>
        <v>900164162.38939536</v>
      </c>
      <c r="L281" s="1062">
        <f t="shared" si="688"/>
        <v>869650122.98636496</v>
      </c>
      <c r="M281" s="1062">
        <f t="shared" si="688"/>
        <v>839136083.58333457</v>
      </c>
      <c r="N281" s="1062">
        <f t="shared" si="688"/>
        <v>808622044.18030417</v>
      </c>
      <c r="O281" s="1062">
        <f t="shared" si="688"/>
        <v>778108004.77727377</v>
      </c>
      <c r="P281" s="1062">
        <f t="shared" si="688"/>
        <v>747593965.37424338</v>
      </c>
      <c r="Q281" s="1062">
        <f t="shared" si="688"/>
        <v>717079925.97121298</v>
      </c>
      <c r="R281" s="1062">
        <f t="shared" si="688"/>
        <v>686565886.56818259</v>
      </c>
      <c r="S281" s="1062">
        <f t="shared" si="688"/>
        <v>656051847.16515219</v>
      </c>
      <c r="T281" s="1062">
        <f t="shared" si="688"/>
        <v>625537807.7621218</v>
      </c>
      <c r="U281" s="1062">
        <f t="shared" si="688"/>
        <v>595023768.3590914</v>
      </c>
      <c r="V281" s="1062">
        <f t="shared" si="688"/>
        <v>564509728.95606101</v>
      </c>
      <c r="W281" s="1062">
        <f t="shared" si="688"/>
        <v>533995689.55303061</v>
      </c>
      <c r="X281" s="1062">
        <f t="shared" si="688"/>
        <v>503481650.15000021</v>
      </c>
      <c r="Y281" s="1062">
        <f t="shared" si="688"/>
        <v>472967610.74696982</v>
      </c>
      <c r="Z281" s="1062">
        <f t="shared" si="688"/>
        <v>442453571.34393942</v>
      </c>
      <c r="AA281" s="1062">
        <f t="shared" si="688"/>
        <v>411939531.94090903</v>
      </c>
      <c r="AB281" s="1062">
        <f t="shared" si="688"/>
        <v>381425492.53787863</v>
      </c>
      <c r="AC281" s="1062">
        <f t="shared" si="688"/>
        <v>350911453.13484824</v>
      </c>
      <c r="AD281" s="1062">
        <f t="shared" si="688"/>
        <v>320397413.73181784</v>
      </c>
      <c r="AE281" s="1062">
        <f t="shared" si="688"/>
        <v>289883374.32878745</v>
      </c>
      <c r="AF281" s="1062">
        <f t="shared" si="688"/>
        <v>259369334.92575705</v>
      </c>
      <c r="AG281" s="1062">
        <f t="shared" si="688"/>
        <v>228855295.52272666</v>
      </c>
      <c r="AH281" s="1062">
        <f t="shared" si="688"/>
        <v>198341256.11969626</v>
      </c>
      <c r="AI281" s="1062">
        <f t="shared" si="688"/>
        <v>167827216.71666586</v>
      </c>
      <c r="AJ281" s="1062">
        <f t="shared" si="688"/>
        <v>137313177.31363547</v>
      </c>
      <c r="AK281" s="1062">
        <f t="shared" si="688"/>
        <v>106799137.91060513</v>
      </c>
      <c r="AL281" s="1062">
        <f t="shared" si="688"/>
        <v>76285098.507574797</v>
      </c>
      <c r="AM281" s="1062">
        <f t="shared" si="688"/>
        <v>45771059.104544461</v>
      </c>
      <c r="AN281" s="1062">
        <f t="shared" si="688"/>
        <v>15257019.701514114</v>
      </c>
      <c r="AO281" s="1062">
        <f t="shared" si="688"/>
        <v>0</v>
      </c>
      <c r="AP281" s="1062">
        <f t="shared" si="688"/>
        <v>0</v>
      </c>
    </row>
    <row r="282" spans="2:42">
      <c r="C282" s="1060" t="str">
        <f t="shared" si="683"/>
        <v>Шале</v>
      </c>
      <c r="D282" s="1061"/>
      <c r="E282" s="1062"/>
      <c r="F282" s="1062"/>
      <c r="G282" s="1061"/>
      <c r="H282" s="1062">
        <f t="shared" ref="H282:AP282" si="689">SUMIF($213:$213,H$275,220:220)</f>
        <v>0</v>
      </c>
      <c r="I282" s="1062">
        <f t="shared" si="689"/>
        <v>0</v>
      </c>
      <c r="J282" s="1062">
        <f t="shared" si="689"/>
        <v>0</v>
      </c>
      <c r="K282" s="1062">
        <f t="shared" si="689"/>
        <v>0</v>
      </c>
      <c r="L282" s="1062">
        <f t="shared" si="689"/>
        <v>215863285.18214297</v>
      </c>
      <c r="M282" s="1062">
        <f t="shared" si="689"/>
        <v>208545885.68444324</v>
      </c>
      <c r="N282" s="1062">
        <f t="shared" si="689"/>
        <v>201228486.1867435</v>
      </c>
      <c r="O282" s="1062">
        <f t="shared" si="689"/>
        <v>193911086.68904376</v>
      </c>
      <c r="P282" s="1062">
        <f t="shared" si="689"/>
        <v>186593687.19134402</v>
      </c>
      <c r="Q282" s="1062">
        <f t="shared" si="689"/>
        <v>179276287.69364429</v>
      </c>
      <c r="R282" s="1062">
        <f t="shared" si="689"/>
        <v>171958888.19594455</v>
      </c>
      <c r="S282" s="1062">
        <f t="shared" si="689"/>
        <v>164641488.69824481</v>
      </c>
      <c r="T282" s="1062">
        <f t="shared" si="689"/>
        <v>157324089.20054507</v>
      </c>
      <c r="U282" s="1062">
        <f t="shared" si="689"/>
        <v>150006689.70284534</v>
      </c>
      <c r="V282" s="1062">
        <f t="shared" si="689"/>
        <v>142689290.2051456</v>
      </c>
      <c r="W282" s="1062">
        <f t="shared" si="689"/>
        <v>135371890.70744586</v>
      </c>
      <c r="X282" s="1062">
        <f t="shared" si="689"/>
        <v>128054491.20974612</v>
      </c>
      <c r="Y282" s="1062">
        <f t="shared" si="689"/>
        <v>120737091.71204638</v>
      </c>
      <c r="Z282" s="1062">
        <f t="shared" si="689"/>
        <v>113419692.21434665</v>
      </c>
      <c r="AA282" s="1062">
        <f t="shared" si="689"/>
        <v>106102292.71664691</v>
      </c>
      <c r="AB282" s="1062">
        <f t="shared" si="689"/>
        <v>98784893.218947172</v>
      </c>
      <c r="AC282" s="1062">
        <f t="shared" si="689"/>
        <v>91467493.721247435</v>
      </c>
      <c r="AD282" s="1062">
        <f t="shared" si="689"/>
        <v>84150094.223547697</v>
      </c>
      <c r="AE282" s="1062">
        <f t="shared" si="689"/>
        <v>76832694.72584796</v>
      </c>
      <c r="AF282" s="1062">
        <f t="shared" si="689"/>
        <v>69515295.228148222</v>
      </c>
      <c r="AG282" s="1062">
        <f t="shared" si="689"/>
        <v>62197895.730448462</v>
      </c>
      <c r="AH282" s="1062">
        <f t="shared" si="689"/>
        <v>54880496.232748695</v>
      </c>
      <c r="AI282" s="1062">
        <f t="shared" si="689"/>
        <v>47563096.735048927</v>
      </c>
      <c r="AJ282" s="1062">
        <f t="shared" si="689"/>
        <v>40245697.23734916</v>
      </c>
      <c r="AK282" s="1062">
        <f t="shared" si="689"/>
        <v>32928297.739649393</v>
      </c>
      <c r="AL282" s="1062">
        <f t="shared" si="689"/>
        <v>25610898.241949625</v>
      </c>
      <c r="AM282" s="1062">
        <f t="shared" si="689"/>
        <v>18293498.744249858</v>
      </c>
      <c r="AN282" s="1062">
        <f t="shared" si="689"/>
        <v>10976099.246550098</v>
      </c>
      <c r="AO282" s="1062">
        <f t="shared" si="689"/>
        <v>3658699.7488503382</v>
      </c>
      <c r="AP282" s="1062">
        <f t="shared" si="689"/>
        <v>0</v>
      </c>
    </row>
    <row r="283" spans="2:42">
      <c r="C283" s="151" t="str">
        <f t="shared" si="683"/>
        <v>Туристские резиденции</v>
      </c>
      <c r="D283" s="45"/>
      <c r="E283" s="44"/>
      <c r="F283" s="44"/>
      <c r="G283" s="45"/>
      <c r="H283" s="44">
        <f t="shared" ref="H283:AP283" si="690">SUMIF($213:$213,H$275,221:221)</f>
        <v>0</v>
      </c>
      <c r="I283" s="44">
        <f t="shared" si="690"/>
        <v>0</v>
      </c>
      <c r="J283" s="44">
        <f t="shared" si="690"/>
        <v>0</v>
      </c>
      <c r="K283" s="44">
        <f t="shared" si="690"/>
        <v>0</v>
      </c>
      <c r="L283" s="44">
        <f t="shared" si="690"/>
        <v>0</v>
      </c>
      <c r="M283" s="44">
        <f t="shared" si="690"/>
        <v>0</v>
      </c>
      <c r="N283" s="44">
        <f t="shared" si="690"/>
        <v>0</v>
      </c>
      <c r="O283" s="44">
        <f t="shared" si="690"/>
        <v>0</v>
      </c>
      <c r="P283" s="44">
        <f t="shared" si="690"/>
        <v>0</v>
      </c>
      <c r="Q283" s="44">
        <f t="shared" si="690"/>
        <v>0</v>
      </c>
      <c r="R283" s="44">
        <f t="shared" si="690"/>
        <v>0</v>
      </c>
      <c r="S283" s="44">
        <f t="shared" si="690"/>
        <v>0</v>
      </c>
      <c r="T283" s="44">
        <f t="shared" si="690"/>
        <v>0</v>
      </c>
      <c r="U283" s="44">
        <f t="shared" si="690"/>
        <v>0</v>
      </c>
      <c r="V283" s="44">
        <f t="shared" si="690"/>
        <v>0</v>
      </c>
      <c r="W283" s="44">
        <f t="shared" si="690"/>
        <v>0</v>
      </c>
      <c r="X283" s="44">
        <f t="shared" si="690"/>
        <v>0</v>
      </c>
      <c r="Y283" s="44">
        <f t="shared" si="690"/>
        <v>0</v>
      </c>
      <c r="Z283" s="44">
        <f t="shared" si="690"/>
        <v>0</v>
      </c>
      <c r="AA283" s="44">
        <f t="shared" si="690"/>
        <v>0</v>
      </c>
      <c r="AB283" s="44">
        <f t="shared" si="690"/>
        <v>0</v>
      </c>
      <c r="AC283" s="44">
        <f t="shared" si="690"/>
        <v>0</v>
      </c>
      <c r="AD283" s="44">
        <f t="shared" si="690"/>
        <v>0</v>
      </c>
      <c r="AE283" s="44">
        <f t="shared" si="690"/>
        <v>0</v>
      </c>
      <c r="AF283" s="44">
        <f t="shared" si="690"/>
        <v>0</v>
      </c>
      <c r="AG283" s="44">
        <f t="shared" si="690"/>
        <v>0</v>
      </c>
      <c r="AH283" s="44">
        <f t="shared" si="690"/>
        <v>0</v>
      </c>
      <c r="AI283" s="44">
        <f t="shared" si="690"/>
        <v>0</v>
      </c>
      <c r="AJ283" s="44">
        <f t="shared" si="690"/>
        <v>0</v>
      </c>
      <c r="AK283" s="44">
        <f t="shared" si="690"/>
        <v>0</v>
      </c>
      <c r="AL283" s="44">
        <f t="shared" si="690"/>
        <v>0</v>
      </c>
      <c r="AM283" s="44">
        <f t="shared" si="690"/>
        <v>0</v>
      </c>
      <c r="AN283" s="44">
        <f t="shared" si="690"/>
        <v>0</v>
      </c>
      <c r="AO283" s="44">
        <f t="shared" si="690"/>
        <v>0</v>
      </c>
      <c r="AP283" s="44">
        <f t="shared" si="690"/>
        <v>0</v>
      </c>
    </row>
    <row r="284" spans="2:42">
      <c r="C284" s="151" t="str">
        <f t="shared" si="683"/>
        <v>Ресторан в зоне катания</v>
      </c>
      <c r="D284" s="45"/>
      <c r="E284" s="44"/>
      <c r="F284" s="44"/>
      <c r="G284" s="45"/>
      <c r="H284" s="44">
        <f t="shared" ref="H284:AP284" si="691">SUMIF($213:$213,H$275,222:222)</f>
        <v>0</v>
      </c>
      <c r="I284" s="44">
        <f t="shared" si="691"/>
        <v>0</v>
      </c>
      <c r="J284" s="44">
        <f t="shared" si="691"/>
        <v>0</v>
      </c>
      <c r="K284" s="44">
        <f t="shared" si="691"/>
        <v>178587050.24143752</v>
      </c>
      <c r="L284" s="44">
        <f t="shared" si="691"/>
        <v>172533251.92816851</v>
      </c>
      <c r="M284" s="44">
        <f t="shared" si="691"/>
        <v>166479453.61489949</v>
      </c>
      <c r="N284" s="44">
        <f t="shared" si="691"/>
        <v>160425655.30163047</v>
      </c>
      <c r="O284" s="44">
        <f t="shared" si="691"/>
        <v>154371856.98836145</v>
      </c>
      <c r="P284" s="44">
        <f t="shared" si="691"/>
        <v>148318058.67509243</v>
      </c>
      <c r="Q284" s="44">
        <f t="shared" si="691"/>
        <v>142264260.36182341</v>
      </c>
      <c r="R284" s="44">
        <f t="shared" si="691"/>
        <v>136210462.04855439</v>
      </c>
      <c r="S284" s="44">
        <f t="shared" si="691"/>
        <v>130156663.73528533</v>
      </c>
      <c r="T284" s="44">
        <f t="shared" si="691"/>
        <v>124102865.42201625</v>
      </c>
      <c r="U284" s="44">
        <f t="shared" si="691"/>
        <v>118049067.10874717</v>
      </c>
      <c r="V284" s="44">
        <f t="shared" si="691"/>
        <v>111995268.79547809</v>
      </c>
      <c r="W284" s="44">
        <f t="shared" si="691"/>
        <v>105941470.48220901</v>
      </c>
      <c r="X284" s="44">
        <f t="shared" si="691"/>
        <v>99887672.168939933</v>
      </c>
      <c r="Y284" s="44">
        <f t="shared" si="691"/>
        <v>93833873.855670854</v>
      </c>
      <c r="Z284" s="44">
        <f t="shared" si="691"/>
        <v>87780075.542401776</v>
      </c>
      <c r="AA284" s="44">
        <f t="shared" si="691"/>
        <v>81726277.229132697</v>
      </c>
      <c r="AB284" s="44">
        <f t="shared" si="691"/>
        <v>75672478.915863618</v>
      </c>
      <c r="AC284" s="44">
        <f t="shared" si="691"/>
        <v>69618680.60259454</v>
      </c>
      <c r="AD284" s="44">
        <f t="shared" si="691"/>
        <v>63564882.289325461</v>
      </c>
      <c r="AE284" s="44">
        <f t="shared" si="691"/>
        <v>57511083.976056382</v>
      </c>
      <c r="AF284" s="44">
        <f t="shared" si="691"/>
        <v>51457285.662787303</v>
      </c>
      <c r="AG284" s="44">
        <f t="shared" si="691"/>
        <v>45403487.349518225</v>
      </c>
      <c r="AH284" s="44">
        <f t="shared" si="691"/>
        <v>39349689.036249146</v>
      </c>
      <c r="AI284" s="44">
        <f t="shared" si="691"/>
        <v>33295890.722980071</v>
      </c>
      <c r="AJ284" s="44">
        <f t="shared" si="691"/>
        <v>27242092.409711007</v>
      </c>
      <c r="AK284" s="44">
        <f t="shared" si="691"/>
        <v>21188294.096441943</v>
      </c>
      <c r="AL284" s="44">
        <f t="shared" si="691"/>
        <v>15134495.783172879</v>
      </c>
      <c r="AM284" s="44">
        <f t="shared" si="691"/>
        <v>9080697.4699038155</v>
      </c>
      <c r="AN284" s="44">
        <f t="shared" si="691"/>
        <v>3026899.156634748</v>
      </c>
      <c r="AO284" s="44">
        <f t="shared" si="691"/>
        <v>2.1420419216156006E-7</v>
      </c>
      <c r="AP284" s="44">
        <f t="shared" si="691"/>
        <v>0</v>
      </c>
    </row>
    <row r="285" spans="2:42">
      <c r="C285" s="151" t="str">
        <f t="shared" si="683"/>
        <v>SPA-комплекс</v>
      </c>
      <c r="D285" s="45"/>
      <c r="E285" s="44"/>
      <c r="F285" s="44"/>
      <c r="G285" s="45"/>
      <c r="H285" s="44">
        <f t="shared" ref="H285:AP285" si="692">SUMIF($213:$213,H$275,223:223)</f>
        <v>0</v>
      </c>
      <c r="I285" s="44">
        <f t="shared" si="692"/>
        <v>0</v>
      </c>
      <c r="J285" s="44">
        <f t="shared" si="692"/>
        <v>0</v>
      </c>
      <c r="K285" s="44">
        <f t="shared" si="692"/>
        <v>308795989.98366112</v>
      </c>
      <c r="L285" s="44">
        <f t="shared" si="692"/>
        <v>298328329.30624884</v>
      </c>
      <c r="M285" s="44">
        <f t="shared" si="692"/>
        <v>287860668.62883657</v>
      </c>
      <c r="N285" s="44">
        <f t="shared" si="692"/>
        <v>277393007.9514243</v>
      </c>
      <c r="O285" s="44">
        <f t="shared" si="692"/>
        <v>266925347.27401203</v>
      </c>
      <c r="P285" s="44">
        <f t="shared" si="692"/>
        <v>256457686.59659976</v>
      </c>
      <c r="Q285" s="44">
        <f t="shared" si="692"/>
        <v>245990025.91918749</v>
      </c>
      <c r="R285" s="44">
        <f t="shared" si="692"/>
        <v>235522365.24177521</v>
      </c>
      <c r="S285" s="44">
        <f t="shared" si="692"/>
        <v>225054704.56436294</v>
      </c>
      <c r="T285" s="44">
        <f t="shared" si="692"/>
        <v>214587043.88695067</v>
      </c>
      <c r="U285" s="44">
        <f t="shared" si="692"/>
        <v>204119383.2095384</v>
      </c>
      <c r="V285" s="44">
        <f t="shared" si="692"/>
        <v>193651722.53212613</v>
      </c>
      <c r="W285" s="44">
        <f t="shared" si="692"/>
        <v>183184061.85471386</v>
      </c>
      <c r="X285" s="44">
        <f t="shared" si="692"/>
        <v>172716401.17730159</v>
      </c>
      <c r="Y285" s="44">
        <f t="shared" si="692"/>
        <v>162248740.49988931</v>
      </c>
      <c r="Z285" s="44">
        <f t="shared" si="692"/>
        <v>151781079.82247704</v>
      </c>
      <c r="AA285" s="44">
        <f t="shared" si="692"/>
        <v>141313419.14506477</v>
      </c>
      <c r="AB285" s="44">
        <f t="shared" si="692"/>
        <v>130845758.4676525</v>
      </c>
      <c r="AC285" s="44">
        <f t="shared" si="692"/>
        <v>120378097.79024023</v>
      </c>
      <c r="AD285" s="44">
        <f t="shared" si="692"/>
        <v>109910437.11282796</v>
      </c>
      <c r="AE285" s="44">
        <f t="shared" si="692"/>
        <v>99442776.435415685</v>
      </c>
      <c r="AF285" s="44">
        <f t="shared" si="692"/>
        <v>88975115.758003414</v>
      </c>
      <c r="AG285" s="44">
        <f t="shared" si="692"/>
        <v>78507455.080591142</v>
      </c>
      <c r="AH285" s="44">
        <f t="shared" si="692"/>
        <v>68039794.403178871</v>
      </c>
      <c r="AI285" s="44">
        <f t="shared" si="692"/>
        <v>57572133.725766629</v>
      </c>
      <c r="AJ285" s="44">
        <f t="shared" si="692"/>
        <v>47104473.048354387</v>
      </c>
      <c r="AK285" s="44">
        <f t="shared" si="692"/>
        <v>36636812.370942146</v>
      </c>
      <c r="AL285" s="44">
        <f t="shared" si="692"/>
        <v>26169151.693529904</v>
      </c>
      <c r="AM285" s="44">
        <f t="shared" si="692"/>
        <v>15701491.016117662</v>
      </c>
      <c r="AN285" s="44">
        <f t="shared" si="692"/>
        <v>5233830.3387054205</v>
      </c>
      <c r="AO285" s="44">
        <f t="shared" si="692"/>
        <v>0</v>
      </c>
      <c r="AP285" s="44">
        <f t="shared" si="692"/>
        <v>0</v>
      </c>
    </row>
    <row r="286" spans="2:42">
      <c r="C286" s="151" t="str">
        <f t="shared" si="683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286" s="45"/>
      <c r="E286" s="44"/>
      <c r="F286" s="44"/>
      <c r="G286" s="45"/>
      <c r="H286" s="44">
        <f t="shared" ref="H286:AP286" si="693">SUMIF($213:$213,H$275,224:224)</f>
        <v>0</v>
      </c>
      <c r="I286" s="44">
        <f t="shared" si="693"/>
        <v>0</v>
      </c>
      <c r="J286" s="44">
        <f t="shared" si="693"/>
        <v>0</v>
      </c>
      <c r="K286" s="44">
        <f t="shared" si="693"/>
        <v>18961157.279698495</v>
      </c>
      <c r="L286" s="44">
        <f t="shared" si="693"/>
        <v>18318406.185471434</v>
      </c>
      <c r="M286" s="44">
        <f t="shared" si="693"/>
        <v>17675655.091244373</v>
      </c>
      <c r="N286" s="44">
        <f t="shared" si="693"/>
        <v>17032903.997017313</v>
      </c>
      <c r="O286" s="44">
        <f t="shared" si="693"/>
        <v>16390152.902790247</v>
      </c>
      <c r="P286" s="44">
        <f t="shared" si="693"/>
        <v>15747401.808563178</v>
      </c>
      <c r="Q286" s="44">
        <f t="shared" si="693"/>
        <v>15104650.71433611</v>
      </c>
      <c r="R286" s="44">
        <f t="shared" si="693"/>
        <v>14461899.620109042</v>
      </c>
      <c r="S286" s="44">
        <f t="shared" si="693"/>
        <v>13819148.525881974</v>
      </c>
      <c r="T286" s="44">
        <f t="shared" si="693"/>
        <v>13176397.431654906</v>
      </c>
      <c r="U286" s="44">
        <f t="shared" si="693"/>
        <v>12533646.337427838</v>
      </c>
      <c r="V286" s="44">
        <f t="shared" si="693"/>
        <v>11890895.24320077</v>
      </c>
      <c r="W286" s="44">
        <f t="shared" si="693"/>
        <v>11248144.148973702</v>
      </c>
      <c r="X286" s="44">
        <f t="shared" si="693"/>
        <v>10605393.054746633</v>
      </c>
      <c r="Y286" s="44">
        <f t="shared" si="693"/>
        <v>9962641.9605195653</v>
      </c>
      <c r="Z286" s="44">
        <f t="shared" si="693"/>
        <v>9319890.8662924971</v>
      </c>
      <c r="AA286" s="44">
        <f t="shared" si="693"/>
        <v>8677139.772065429</v>
      </c>
      <c r="AB286" s="44">
        <f t="shared" si="693"/>
        <v>8034388.6778383609</v>
      </c>
      <c r="AC286" s="44">
        <f t="shared" si="693"/>
        <v>7391637.5836112928</v>
      </c>
      <c r="AD286" s="44">
        <f t="shared" si="693"/>
        <v>6748886.4893842246</v>
      </c>
      <c r="AE286" s="44">
        <f t="shared" si="693"/>
        <v>6106135.3951571565</v>
      </c>
      <c r="AF286" s="44">
        <f t="shared" si="693"/>
        <v>5463384.3009300884</v>
      </c>
      <c r="AG286" s="44">
        <f t="shared" si="693"/>
        <v>4820633.2067030203</v>
      </c>
      <c r="AH286" s="44">
        <f t="shared" si="693"/>
        <v>4177882.1124759521</v>
      </c>
      <c r="AI286" s="44">
        <f t="shared" si="693"/>
        <v>3535131.018248884</v>
      </c>
      <c r="AJ286" s="44">
        <f t="shared" si="693"/>
        <v>2892379.9240218159</v>
      </c>
      <c r="AK286" s="44">
        <f t="shared" si="693"/>
        <v>2249628.8297947478</v>
      </c>
      <c r="AL286" s="44">
        <f t="shared" si="693"/>
        <v>1606877.7355676806</v>
      </c>
      <c r="AM286" s="44">
        <f t="shared" si="693"/>
        <v>964126.64134061325</v>
      </c>
      <c r="AN286" s="44">
        <f t="shared" si="693"/>
        <v>321375.54711354559</v>
      </c>
      <c r="AO286" s="44">
        <f t="shared" si="693"/>
        <v>1.1816155165433884E-8</v>
      </c>
      <c r="AP286" s="44">
        <f t="shared" si="693"/>
        <v>0</v>
      </c>
    </row>
    <row r="287" spans="2:42">
      <c r="C287" s="151" t="str">
        <f t="shared" si="683"/>
        <v>Наземный паркинг</v>
      </c>
      <c r="D287" s="45"/>
      <c r="E287" s="44"/>
      <c r="F287" s="44"/>
      <c r="G287" s="45"/>
      <c r="H287" s="44">
        <f t="shared" ref="H287:AP287" si="694">SUMIF($213:$213,H$275,225:225)</f>
        <v>0</v>
      </c>
      <c r="I287" s="44">
        <f t="shared" si="694"/>
        <v>0</v>
      </c>
      <c r="J287" s="44">
        <f t="shared" si="694"/>
        <v>0</v>
      </c>
      <c r="K287" s="44">
        <f t="shared" si="694"/>
        <v>13814557.44663747</v>
      </c>
      <c r="L287" s="44">
        <f t="shared" si="694"/>
        <v>13346267.36370061</v>
      </c>
      <c r="M287" s="44">
        <f t="shared" si="694"/>
        <v>12877977.280763749</v>
      </c>
      <c r="N287" s="44">
        <f t="shared" si="694"/>
        <v>12409687.197826888</v>
      </c>
      <c r="O287" s="44">
        <f t="shared" si="694"/>
        <v>11941397.114890028</v>
      </c>
      <c r="P287" s="44">
        <f t="shared" si="694"/>
        <v>11473107.031953167</v>
      </c>
      <c r="Q287" s="44">
        <f t="shared" si="694"/>
        <v>11004816.949016307</v>
      </c>
      <c r="R287" s="44">
        <f t="shared" si="694"/>
        <v>10536526.866079446</v>
      </c>
      <c r="S287" s="44">
        <f t="shared" si="694"/>
        <v>10068236.783142585</v>
      </c>
      <c r="T287" s="44">
        <f t="shared" si="694"/>
        <v>9599946.7002057247</v>
      </c>
      <c r="U287" s="44">
        <f t="shared" si="694"/>
        <v>9131656.6172688641</v>
      </c>
      <c r="V287" s="44">
        <f t="shared" si="694"/>
        <v>8663366.5343320034</v>
      </c>
      <c r="W287" s="44">
        <f t="shared" si="694"/>
        <v>8195076.451395141</v>
      </c>
      <c r="X287" s="44">
        <f t="shared" si="694"/>
        <v>7726786.3684582766</v>
      </c>
      <c r="Y287" s="44">
        <f t="shared" si="694"/>
        <v>7258496.2855214123</v>
      </c>
      <c r="Z287" s="44">
        <f t="shared" si="694"/>
        <v>6790206.2025845479</v>
      </c>
      <c r="AA287" s="44">
        <f t="shared" si="694"/>
        <v>6321916.1196476836</v>
      </c>
      <c r="AB287" s="44">
        <f t="shared" si="694"/>
        <v>5853626.0367108192</v>
      </c>
      <c r="AC287" s="44">
        <f t="shared" si="694"/>
        <v>5385335.9537739549</v>
      </c>
      <c r="AD287" s="44">
        <f t="shared" si="694"/>
        <v>4917045.8708370905</v>
      </c>
      <c r="AE287" s="44">
        <f t="shared" si="694"/>
        <v>4448755.7879002262</v>
      </c>
      <c r="AF287" s="44">
        <f t="shared" si="694"/>
        <v>3980465.7049633628</v>
      </c>
      <c r="AG287" s="44">
        <f t="shared" si="694"/>
        <v>3512175.6220265003</v>
      </c>
      <c r="AH287" s="44">
        <f t="shared" si="694"/>
        <v>3043885.5390896378</v>
      </c>
      <c r="AI287" s="44">
        <f t="shared" si="694"/>
        <v>2575595.4561527753</v>
      </c>
      <c r="AJ287" s="44">
        <f t="shared" si="694"/>
        <v>2107305.3732159128</v>
      </c>
      <c r="AK287" s="44">
        <f t="shared" si="694"/>
        <v>1639015.2902790494</v>
      </c>
      <c r="AL287" s="44">
        <f t="shared" si="694"/>
        <v>1170725.207342186</v>
      </c>
      <c r="AM287" s="44">
        <f t="shared" si="694"/>
        <v>702435.1244053226</v>
      </c>
      <c r="AN287" s="44">
        <f t="shared" si="694"/>
        <v>234145.04146845918</v>
      </c>
      <c r="AO287" s="44">
        <f t="shared" si="694"/>
        <v>2.750311978161335E-8</v>
      </c>
      <c r="AP287" s="44">
        <f t="shared" si="694"/>
        <v>0</v>
      </c>
    </row>
    <row r="288" spans="2:42">
      <c r="C288" s="151" t="str">
        <f t="shared" si="683"/>
        <v>Организация набережных</v>
      </c>
      <c r="D288" s="45"/>
      <c r="E288" s="44"/>
      <c r="F288" s="44"/>
      <c r="G288" s="45"/>
      <c r="H288" s="44">
        <f t="shared" ref="H288:AP288" si="695">SUMIF($213:$213,H$275,226:226)</f>
        <v>0</v>
      </c>
      <c r="I288" s="44">
        <f t="shared" si="695"/>
        <v>0</v>
      </c>
      <c r="J288" s="44">
        <f t="shared" si="695"/>
        <v>0</v>
      </c>
      <c r="K288" s="44">
        <f t="shared" si="695"/>
        <v>130019364.20364678</v>
      </c>
      <c r="L288" s="44">
        <f t="shared" si="695"/>
        <v>125611928.1289469</v>
      </c>
      <c r="M288" s="44">
        <f t="shared" si="695"/>
        <v>121204492.05424702</v>
      </c>
      <c r="N288" s="44">
        <f t="shared" si="695"/>
        <v>116797055.97954714</v>
      </c>
      <c r="O288" s="44">
        <f t="shared" si="695"/>
        <v>112389619.90484726</v>
      </c>
      <c r="P288" s="44">
        <f t="shared" si="695"/>
        <v>107982183.83014739</v>
      </c>
      <c r="Q288" s="44">
        <f t="shared" si="695"/>
        <v>103574747.75544751</v>
      </c>
      <c r="R288" s="44">
        <f t="shared" si="695"/>
        <v>99167311.680747628</v>
      </c>
      <c r="S288" s="44">
        <f t="shared" si="695"/>
        <v>94759875.60604775</v>
      </c>
      <c r="T288" s="44">
        <f t="shared" si="695"/>
        <v>90352439.531347871</v>
      </c>
      <c r="U288" s="44">
        <f t="shared" si="695"/>
        <v>85945003.456647992</v>
      </c>
      <c r="V288" s="44">
        <f t="shared" si="695"/>
        <v>81537567.381948113</v>
      </c>
      <c r="W288" s="44">
        <f t="shared" si="695"/>
        <v>77130131.307248235</v>
      </c>
      <c r="X288" s="44">
        <f t="shared" si="695"/>
        <v>72722695.232548356</v>
      </c>
      <c r="Y288" s="44">
        <f t="shared" si="695"/>
        <v>68315259.157848477</v>
      </c>
      <c r="Z288" s="44">
        <f t="shared" si="695"/>
        <v>63907823.083148599</v>
      </c>
      <c r="AA288" s="44">
        <f t="shared" si="695"/>
        <v>59500387.00844872</v>
      </c>
      <c r="AB288" s="44">
        <f t="shared" si="695"/>
        <v>55092950.933748841</v>
      </c>
      <c r="AC288" s="44">
        <f t="shared" si="695"/>
        <v>50685514.859048963</v>
      </c>
      <c r="AD288" s="44">
        <f t="shared" si="695"/>
        <v>46278078.784349084</v>
      </c>
      <c r="AE288" s="44">
        <f t="shared" si="695"/>
        <v>41870642.709649205</v>
      </c>
      <c r="AF288" s="44">
        <f t="shared" si="695"/>
        <v>37463206.634949327</v>
      </c>
      <c r="AG288" s="44">
        <f t="shared" si="695"/>
        <v>33055770.560249444</v>
      </c>
      <c r="AH288" s="44">
        <f t="shared" si="695"/>
        <v>28648334.485549551</v>
      </c>
      <c r="AI288" s="44">
        <f t="shared" si="695"/>
        <v>24240898.410849657</v>
      </c>
      <c r="AJ288" s="44">
        <f t="shared" si="695"/>
        <v>19833462.336149763</v>
      </c>
      <c r="AK288" s="44">
        <f t="shared" si="695"/>
        <v>15426026.26144987</v>
      </c>
      <c r="AL288" s="44">
        <f t="shared" si="695"/>
        <v>11018590.186749976</v>
      </c>
      <c r="AM288" s="44">
        <f t="shared" si="695"/>
        <v>6611154.1120500844</v>
      </c>
      <c r="AN288" s="44">
        <f t="shared" si="695"/>
        <v>2203718.0373501945</v>
      </c>
      <c r="AO288" s="44">
        <f t="shared" si="695"/>
        <v>2.491287887096405E-7</v>
      </c>
      <c r="AP288" s="44">
        <f t="shared" si="695"/>
        <v>0</v>
      </c>
    </row>
    <row r="289" spans="2:42">
      <c r="C289" s="151" t="str">
        <f t="shared" si="683"/>
        <v>Трансформаторная подстанция</v>
      </c>
      <c r="D289" s="45"/>
      <c r="E289" s="44"/>
      <c r="F289" s="44"/>
      <c r="G289" s="45"/>
      <c r="H289" s="44">
        <f t="shared" ref="H289:AP289" si="696">SUMIF($213:$213,H$275,227:227)</f>
        <v>0</v>
      </c>
      <c r="I289" s="44">
        <f t="shared" si="696"/>
        <v>0</v>
      </c>
      <c r="J289" s="44">
        <f t="shared" si="696"/>
        <v>0</v>
      </c>
      <c r="K289" s="44">
        <f t="shared" si="696"/>
        <v>13001936.420364678</v>
      </c>
      <c r="L289" s="44">
        <f t="shared" si="696"/>
        <v>12561192.812894687</v>
      </c>
      <c r="M289" s="44">
        <f t="shared" si="696"/>
        <v>12120449.205424696</v>
      </c>
      <c r="N289" s="44">
        <f t="shared" si="696"/>
        <v>11679705.597954705</v>
      </c>
      <c r="O289" s="44">
        <f t="shared" si="696"/>
        <v>11238961.990484715</v>
      </c>
      <c r="P289" s="44">
        <f t="shared" si="696"/>
        <v>10798218.383014724</v>
      </c>
      <c r="Q289" s="44">
        <f t="shared" si="696"/>
        <v>10357474.775544733</v>
      </c>
      <c r="R289" s="44">
        <f t="shared" si="696"/>
        <v>9916731.168074742</v>
      </c>
      <c r="S289" s="44">
        <f t="shared" si="696"/>
        <v>9475987.5606047511</v>
      </c>
      <c r="T289" s="44">
        <f t="shared" si="696"/>
        <v>9035243.9531347603</v>
      </c>
      <c r="U289" s="44">
        <f t="shared" si="696"/>
        <v>8594500.3456647694</v>
      </c>
      <c r="V289" s="44">
        <f t="shared" si="696"/>
        <v>8153756.7381947786</v>
      </c>
      <c r="W289" s="44">
        <f t="shared" si="696"/>
        <v>7713013.1307247877</v>
      </c>
      <c r="X289" s="44">
        <f t="shared" si="696"/>
        <v>7272269.5232547969</v>
      </c>
      <c r="Y289" s="44">
        <f t="shared" si="696"/>
        <v>6831525.915784806</v>
      </c>
      <c r="Z289" s="44">
        <f t="shared" si="696"/>
        <v>6390782.3083148152</v>
      </c>
      <c r="AA289" s="44">
        <f t="shared" si="696"/>
        <v>5950038.7008448243</v>
      </c>
      <c r="AB289" s="44">
        <f t="shared" si="696"/>
        <v>5509295.0933748335</v>
      </c>
      <c r="AC289" s="44">
        <f t="shared" si="696"/>
        <v>5068551.4859048426</v>
      </c>
      <c r="AD289" s="44">
        <f t="shared" si="696"/>
        <v>4627807.8784348518</v>
      </c>
      <c r="AE289" s="44">
        <f t="shared" si="696"/>
        <v>4187064.2709648614</v>
      </c>
      <c r="AF289" s="44">
        <f t="shared" si="696"/>
        <v>3746320.6634948724</v>
      </c>
      <c r="AG289" s="44">
        <f t="shared" si="696"/>
        <v>3305577.0560248834</v>
      </c>
      <c r="AH289" s="44">
        <f t="shared" si="696"/>
        <v>2864833.4485548944</v>
      </c>
      <c r="AI289" s="44">
        <f t="shared" si="696"/>
        <v>2424089.8410849054</v>
      </c>
      <c r="AJ289" s="44">
        <f t="shared" si="696"/>
        <v>1983346.2336149164</v>
      </c>
      <c r="AK289" s="44">
        <f t="shared" si="696"/>
        <v>1542602.6261449275</v>
      </c>
      <c r="AL289" s="44">
        <f t="shared" si="696"/>
        <v>1101859.0186749385</v>
      </c>
      <c r="AM289" s="44">
        <f t="shared" si="696"/>
        <v>661115.41120494949</v>
      </c>
      <c r="AN289" s="44">
        <f t="shared" si="696"/>
        <v>220371.80373496047</v>
      </c>
      <c r="AO289" s="44">
        <f t="shared" si="696"/>
        <v>0</v>
      </c>
      <c r="AP289" s="44">
        <f t="shared" si="696"/>
        <v>0</v>
      </c>
    </row>
    <row r="290" spans="2:42">
      <c r="B290" s="139" t="s">
        <v>489</v>
      </c>
      <c r="C290" s="151" t="str">
        <f t="shared" si="683"/>
        <v>Канализационная насосная станция</v>
      </c>
      <c r="D290" s="45"/>
      <c r="E290" s="44"/>
      <c r="F290" s="44"/>
      <c r="G290" s="45"/>
      <c r="H290" s="44">
        <f t="shared" ref="H290:AP290" si="697">SUMIF($213:$213,H$275,228:228)</f>
        <v>0</v>
      </c>
      <c r="I290" s="44">
        <f t="shared" si="697"/>
        <v>0</v>
      </c>
      <c r="J290" s="44">
        <f t="shared" si="697"/>
        <v>0</v>
      </c>
      <c r="K290" s="44">
        <f t="shared" si="697"/>
        <v>4940735.8397385776</v>
      </c>
      <c r="L290" s="44">
        <f t="shared" si="697"/>
        <v>4773253.2688999809</v>
      </c>
      <c r="M290" s="44">
        <f t="shared" si="697"/>
        <v>4605770.6980613843</v>
      </c>
      <c r="N290" s="44">
        <f t="shared" si="697"/>
        <v>4438288.1272227876</v>
      </c>
      <c r="O290" s="44">
        <f t="shared" si="697"/>
        <v>4270805.5563841909</v>
      </c>
      <c r="P290" s="44">
        <f t="shared" si="697"/>
        <v>4103322.9855455942</v>
      </c>
      <c r="Q290" s="44">
        <f t="shared" si="697"/>
        <v>3935840.4147069976</v>
      </c>
      <c r="R290" s="44">
        <f t="shared" si="697"/>
        <v>3768357.8438684009</v>
      </c>
      <c r="S290" s="44">
        <f t="shared" si="697"/>
        <v>3600875.2730298042</v>
      </c>
      <c r="T290" s="44">
        <f t="shared" si="697"/>
        <v>3433392.7021912076</v>
      </c>
      <c r="U290" s="44">
        <f t="shared" si="697"/>
        <v>3265910.1313526109</v>
      </c>
      <c r="V290" s="44">
        <f t="shared" si="697"/>
        <v>3098427.5605140142</v>
      </c>
      <c r="W290" s="44">
        <f t="shared" si="697"/>
        <v>2930944.9896754175</v>
      </c>
      <c r="X290" s="44">
        <f t="shared" si="697"/>
        <v>2763462.4188368209</v>
      </c>
      <c r="Y290" s="44">
        <f t="shared" si="697"/>
        <v>2595979.8479982242</v>
      </c>
      <c r="Z290" s="44">
        <f t="shared" si="697"/>
        <v>2428497.2771596275</v>
      </c>
      <c r="AA290" s="44">
        <f t="shared" si="697"/>
        <v>2261014.7063210309</v>
      </c>
      <c r="AB290" s="44">
        <f t="shared" si="697"/>
        <v>2093532.1354824344</v>
      </c>
      <c r="AC290" s="44">
        <f t="shared" si="697"/>
        <v>1926049.5646438387</v>
      </c>
      <c r="AD290" s="44">
        <f t="shared" si="697"/>
        <v>1758566.9938052429</v>
      </c>
      <c r="AE290" s="44">
        <f t="shared" si="697"/>
        <v>1591084.4229666472</v>
      </c>
      <c r="AF290" s="44">
        <f t="shared" si="697"/>
        <v>1423601.8521280515</v>
      </c>
      <c r="AG290" s="44">
        <f t="shared" si="697"/>
        <v>1256119.2812894557</v>
      </c>
      <c r="AH290" s="44">
        <f t="shared" si="697"/>
        <v>1088636.71045086</v>
      </c>
      <c r="AI290" s="44">
        <f t="shared" si="697"/>
        <v>921154.13961226423</v>
      </c>
      <c r="AJ290" s="44">
        <f t="shared" si="697"/>
        <v>753671.56877366849</v>
      </c>
      <c r="AK290" s="44">
        <f t="shared" si="697"/>
        <v>586188.99793507275</v>
      </c>
      <c r="AL290" s="44">
        <f t="shared" si="697"/>
        <v>418706.42709647701</v>
      </c>
      <c r="AM290" s="44">
        <f t="shared" si="697"/>
        <v>251223.85625788124</v>
      </c>
      <c r="AN290" s="44">
        <f t="shared" si="697"/>
        <v>83741.285419285385</v>
      </c>
      <c r="AO290" s="44">
        <f t="shared" si="697"/>
        <v>0</v>
      </c>
      <c r="AP290" s="44">
        <f t="shared" si="697"/>
        <v>0</v>
      </c>
    </row>
    <row r="291" spans="2:42">
      <c r="B291" s="459">
        <f>$B$19</f>
        <v>15</v>
      </c>
      <c r="C291" s="151" t="str">
        <f t="shared" si="683"/>
        <v>Стоимость проектных работ - 4% от СМР (мебель и технологическое оборудование не учитываются)</v>
      </c>
      <c r="D291" s="45"/>
      <c r="E291" s="44"/>
      <c r="F291" s="44"/>
      <c r="G291" s="45"/>
      <c r="H291" s="44">
        <f t="shared" ref="H291:AP291" si="698">SUMIF($213:$213,H$275,229:229)</f>
        <v>0</v>
      </c>
      <c r="I291" s="44">
        <f t="shared" si="698"/>
        <v>0</v>
      </c>
      <c r="J291" s="44">
        <f t="shared" si="698"/>
        <v>0</v>
      </c>
      <c r="K291" s="44">
        <f t="shared" si="698"/>
        <v>234435619.81619799</v>
      </c>
      <c r="L291" s="44">
        <f t="shared" si="698"/>
        <v>226488649.65293705</v>
      </c>
      <c r="M291" s="44">
        <f t="shared" si="698"/>
        <v>218541679.48967612</v>
      </c>
      <c r="N291" s="44">
        <f t="shared" si="698"/>
        <v>210594709.32641518</v>
      </c>
      <c r="O291" s="44">
        <f t="shared" si="698"/>
        <v>202647739.16315424</v>
      </c>
      <c r="P291" s="44">
        <f t="shared" si="698"/>
        <v>194700768.99989331</v>
      </c>
      <c r="Q291" s="44">
        <f t="shared" si="698"/>
        <v>186753798.83663237</v>
      </c>
      <c r="R291" s="44">
        <f t="shared" si="698"/>
        <v>178806828.67337143</v>
      </c>
      <c r="S291" s="44">
        <f t="shared" si="698"/>
        <v>170859858.5101105</v>
      </c>
      <c r="T291" s="44">
        <f t="shared" si="698"/>
        <v>162912888.34684956</v>
      </c>
      <c r="U291" s="44">
        <f t="shared" si="698"/>
        <v>154965918.18358862</v>
      </c>
      <c r="V291" s="44">
        <f t="shared" si="698"/>
        <v>147018948.02032769</v>
      </c>
      <c r="W291" s="44">
        <f t="shared" si="698"/>
        <v>139071977.85706675</v>
      </c>
      <c r="X291" s="44">
        <f t="shared" si="698"/>
        <v>131125007.69380581</v>
      </c>
      <c r="Y291" s="44">
        <f t="shared" si="698"/>
        <v>123178037.53054488</v>
      </c>
      <c r="Z291" s="44">
        <f t="shared" si="698"/>
        <v>115231067.36728394</v>
      </c>
      <c r="AA291" s="44">
        <f t="shared" si="698"/>
        <v>107284097.204023</v>
      </c>
      <c r="AB291" s="44">
        <f t="shared" si="698"/>
        <v>99337127.040762067</v>
      </c>
      <c r="AC291" s="44">
        <f t="shared" si="698"/>
        <v>91390156.87750113</v>
      </c>
      <c r="AD291" s="44">
        <f t="shared" si="698"/>
        <v>83443186.714240193</v>
      </c>
      <c r="AE291" s="44">
        <f t="shared" si="698"/>
        <v>75496216.550979257</v>
      </c>
      <c r="AF291" s="44">
        <f t="shared" si="698"/>
        <v>67549246.38771832</v>
      </c>
      <c r="AG291" s="44">
        <f t="shared" si="698"/>
        <v>59602276.224457383</v>
      </c>
      <c r="AH291" s="44">
        <f t="shared" si="698"/>
        <v>51655306.061196446</v>
      </c>
      <c r="AI291" s="44">
        <f t="shared" si="698"/>
        <v>43708335.89793551</v>
      </c>
      <c r="AJ291" s="44">
        <f t="shared" si="698"/>
        <v>35761365.734674573</v>
      </c>
      <c r="AK291" s="44">
        <f t="shared" si="698"/>
        <v>27814395.571413625</v>
      </c>
      <c r="AL291" s="44">
        <f t="shared" si="698"/>
        <v>19867425.408152673</v>
      </c>
      <c r="AM291" s="44">
        <f t="shared" si="698"/>
        <v>11920455.244891722</v>
      </c>
      <c r="AN291" s="44">
        <f t="shared" si="698"/>
        <v>3973485.0816307729</v>
      </c>
      <c r="AO291" s="44">
        <f t="shared" si="698"/>
        <v>2.9848888516426086E-7</v>
      </c>
      <c r="AP291" s="44">
        <f t="shared" si="698"/>
        <v>0</v>
      </c>
    </row>
    <row r="292" spans="2:42">
      <c r="B292" s="40"/>
    </row>
    <row r="293" spans="2:42">
      <c r="B293" s="40"/>
    </row>
    <row r="294" spans="2:42">
      <c r="B294" s="40"/>
    </row>
    <row r="295" spans="2:42" s="1414" customFormat="1" ht="15.75">
      <c r="C295" s="1544"/>
      <c r="D295" s="1444"/>
      <c r="H295" s="463">
        <f t="shared" ref="H295:AP295" si="699">H273</f>
        <v>2022</v>
      </c>
      <c r="I295" s="463">
        <f t="shared" si="699"/>
        <v>2023</v>
      </c>
      <c r="J295" s="463">
        <f t="shared" si="699"/>
        <v>2024</v>
      </c>
      <c r="K295" s="463">
        <f t="shared" si="699"/>
        <v>2025</v>
      </c>
      <c r="L295" s="463">
        <f t="shared" si="699"/>
        <v>2026</v>
      </c>
      <c r="M295" s="463">
        <f t="shared" si="699"/>
        <v>2027</v>
      </c>
      <c r="N295" s="463">
        <f t="shared" si="699"/>
        <v>2028</v>
      </c>
      <c r="O295" s="463">
        <f t="shared" si="699"/>
        <v>2029</v>
      </c>
      <c r="P295" s="463">
        <f t="shared" si="699"/>
        <v>2030</v>
      </c>
      <c r="Q295" s="463">
        <f t="shared" si="699"/>
        <v>2031</v>
      </c>
      <c r="R295" s="463">
        <f t="shared" si="699"/>
        <v>2032</v>
      </c>
      <c r="S295" s="463">
        <f t="shared" si="699"/>
        <v>2033</v>
      </c>
      <c r="T295" s="463">
        <f t="shared" si="699"/>
        <v>2034</v>
      </c>
      <c r="U295" s="463">
        <f t="shared" si="699"/>
        <v>2035</v>
      </c>
      <c r="V295" s="463">
        <f t="shared" si="699"/>
        <v>2036</v>
      </c>
      <c r="W295" s="463">
        <f t="shared" si="699"/>
        <v>2037</v>
      </c>
      <c r="X295" s="463">
        <f t="shared" si="699"/>
        <v>2038</v>
      </c>
      <c r="Y295" s="463">
        <f t="shared" si="699"/>
        <v>2039</v>
      </c>
      <c r="Z295" s="463">
        <f t="shared" si="699"/>
        <v>2040</v>
      </c>
      <c r="AA295" s="463">
        <f t="shared" si="699"/>
        <v>2041</v>
      </c>
      <c r="AB295" s="463">
        <f t="shared" si="699"/>
        <v>2042</v>
      </c>
      <c r="AC295" s="463">
        <f t="shared" si="699"/>
        <v>2043</v>
      </c>
      <c r="AD295" s="463">
        <f t="shared" si="699"/>
        <v>2044</v>
      </c>
      <c r="AE295" s="463">
        <f t="shared" si="699"/>
        <v>2045</v>
      </c>
      <c r="AF295" s="463">
        <f t="shared" si="699"/>
        <v>2046</v>
      </c>
      <c r="AG295" s="463">
        <f t="shared" si="699"/>
        <v>2047</v>
      </c>
      <c r="AH295" s="463">
        <f t="shared" si="699"/>
        <v>2048</v>
      </c>
      <c r="AI295" s="463">
        <f t="shared" si="699"/>
        <v>2049</v>
      </c>
      <c r="AJ295" s="463">
        <f t="shared" si="699"/>
        <v>2050</v>
      </c>
      <c r="AK295" s="463">
        <f t="shared" si="699"/>
        <v>2051</v>
      </c>
      <c r="AL295" s="463">
        <f t="shared" si="699"/>
        <v>2052</v>
      </c>
      <c r="AM295" s="463">
        <f t="shared" si="699"/>
        <v>2053</v>
      </c>
      <c r="AN295" s="463">
        <f t="shared" si="699"/>
        <v>2054</v>
      </c>
      <c r="AO295" s="463">
        <f t="shared" si="699"/>
        <v>2055</v>
      </c>
      <c r="AP295" s="463">
        <f t="shared" si="699"/>
        <v>2056</v>
      </c>
    </row>
    <row r="296" spans="2:42" ht="15.75">
      <c r="B296" s="40"/>
      <c r="C296" s="22"/>
      <c r="E296" s="40"/>
      <c r="F296" s="40"/>
      <c r="G296" s="40"/>
      <c r="H296" s="464">
        <f t="shared" ref="H296:AP296" si="700">H274</f>
        <v>44593</v>
      </c>
      <c r="I296" s="464">
        <f t="shared" si="700"/>
        <v>44927</v>
      </c>
      <c r="J296" s="464">
        <f t="shared" si="700"/>
        <v>45292</v>
      </c>
      <c r="K296" s="464">
        <f t="shared" si="700"/>
        <v>45658</v>
      </c>
      <c r="L296" s="464">
        <f t="shared" si="700"/>
        <v>46023</v>
      </c>
      <c r="M296" s="464">
        <f t="shared" si="700"/>
        <v>46388</v>
      </c>
      <c r="N296" s="464">
        <f t="shared" si="700"/>
        <v>46753</v>
      </c>
      <c r="O296" s="464">
        <f t="shared" si="700"/>
        <v>47119</v>
      </c>
      <c r="P296" s="464">
        <f t="shared" si="700"/>
        <v>47484</v>
      </c>
      <c r="Q296" s="464">
        <f t="shared" si="700"/>
        <v>47849</v>
      </c>
      <c r="R296" s="464">
        <f t="shared" si="700"/>
        <v>48214</v>
      </c>
      <c r="S296" s="464">
        <f t="shared" si="700"/>
        <v>48580</v>
      </c>
      <c r="T296" s="464">
        <f t="shared" si="700"/>
        <v>48945</v>
      </c>
      <c r="U296" s="464">
        <f t="shared" si="700"/>
        <v>49310</v>
      </c>
      <c r="V296" s="464">
        <f t="shared" si="700"/>
        <v>49675</v>
      </c>
      <c r="W296" s="464">
        <f t="shared" si="700"/>
        <v>50041</v>
      </c>
      <c r="X296" s="464">
        <f t="shared" si="700"/>
        <v>50406</v>
      </c>
      <c r="Y296" s="464">
        <f t="shared" si="700"/>
        <v>50771</v>
      </c>
      <c r="Z296" s="464">
        <f t="shared" si="700"/>
        <v>51136</v>
      </c>
      <c r="AA296" s="464">
        <f t="shared" si="700"/>
        <v>51502</v>
      </c>
      <c r="AB296" s="464">
        <f t="shared" si="700"/>
        <v>51867</v>
      </c>
      <c r="AC296" s="464">
        <f t="shared" si="700"/>
        <v>52232</v>
      </c>
      <c r="AD296" s="464">
        <f t="shared" si="700"/>
        <v>52597</v>
      </c>
      <c r="AE296" s="464">
        <f t="shared" si="700"/>
        <v>52963</v>
      </c>
      <c r="AF296" s="464">
        <f t="shared" si="700"/>
        <v>53328</v>
      </c>
      <c r="AG296" s="464">
        <f t="shared" si="700"/>
        <v>53693</v>
      </c>
      <c r="AH296" s="464">
        <f t="shared" si="700"/>
        <v>54058</v>
      </c>
      <c r="AI296" s="464">
        <f t="shared" si="700"/>
        <v>54424</v>
      </c>
      <c r="AJ296" s="464">
        <f t="shared" si="700"/>
        <v>54789</v>
      </c>
      <c r="AK296" s="464">
        <f t="shared" si="700"/>
        <v>55154</v>
      </c>
      <c r="AL296" s="464">
        <f t="shared" si="700"/>
        <v>55519</v>
      </c>
      <c r="AM296" s="464">
        <f t="shared" si="700"/>
        <v>55885</v>
      </c>
      <c r="AN296" s="464">
        <f t="shared" si="700"/>
        <v>56250</v>
      </c>
      <c r="AO296" s="464">
        <f t="shared" si="700"/>
        <v>56615</v>
      </c>
      <c r="AP296" s="464">
        <f t="shared" si="700"/>
        <v>56980</v>
      </c>
    </row>
    <row r="297" spans="2:42" ht="15.75">
      <c r="C297" s="22" t="s">
        <v>490</v>
      </c>
      <c r="E297" s="419" t="b">
        <f>ROUND(SUM(H299:AP313),2)=ROUND(SUM(H234:EN248),2)</f>
        <v>1</v>
      </c>
      <c r="F297" s="42"/>
      <c r="G297" s="42"/>
      <c r="H297" s="464">
        <f t="shared" ref="H297:AP297" si="701">H275</f>
        <v>44926</v>
      </c>
      <c r="I297" s="464">
        <f t="shared" si="701"/>
        <v>45291</v>
      </c>
      <c r="J297" s="464">
        <f t="shared" si="701"/>
        <v>45657</v>
      </c>
      <c r="K297" s="464">
        <f t="shared" si="701"/>
        <v>46022</v>
      </c>
      <c r="L297" s="464">
        <f t="shared" si="701"/>
        <v>46387</v>
      </c>
      <c r="M297" s="464">
        <f t="shared" si="701"/>
        <v>46752</v>
      </c>
      <c r="N297" s="464">
        <f t="shared" si="701"/>
        <v>47118</v>
      </c>
      <c r="O297" s="464">
        <f t="shared" si="701"/>
        <v>47483</v>
      </c>
      <c r="P297" s="464">
        <f t="shared" si="701"/>
        <v>47848</v>
      </c>
      <c r="Q297" s="464">
        <f t="shared" si="701"/>
        <v>48213</v>
      </c>
      <c r="R297" s="464">
        <f t="shared" si="701"/>
        <v>48579</v>
      </c>
      <c r="S297" s="464">
        <f t="shared" si="701"/>
        <v>48944</v>
      </c>
      <c r="T297" s="464">
        <f t="shared" si="701"/>
        <v>49309</v>
      </c>
      <c r="U297" s="464">
        <f t="shared" si="701"/>
        <v>49674</v>
      </c>
      <c r="V297" s="464">
        <f t="shared" si="701"/>
        <v>50040</v>
      </c>
      <c r="W297" s="464">
        <f t="shared" si="701"/>
        <v>50405</v>
      </c>
      <c r="X297" s="464">
        <f t="shared" si="701"/>
        <v>50770</v>
      </c>
      <c r="Y297" s="464">
        <f t="shared" si="701"/>
        <v>51135</v>
      </c>
      <c r="Z297" s="464">
        <f t="shared" si="701"/>
        <v>51501</v>
      </c>
      <c r="AA297" s="464">
        <f t="shared" si="701"/>
        <v>51866</v>
      </c>
      <c r="AB297" s="464">
        <f t="shared" si="701"/>
        <v>52231</v>
      </c>
      <c r="AC297" s="464">
        <f t="shared" si="701"/>
        <v>52596</v>
      </c>
      <c r="AD297" s="464">
        <f t="shared" si="701"/>
        <v>52962</v>
      </c>
      <c r="AE297" s="464">
        <f t="shared" si="701"/>
        <v>53327</v>
      </c>
      <c r="AF297" s="464">
        <f t="shared" si="701"/>
        <v>53692</v>
      </c>
      <c r="AG297" s="464">
        <f t="shared" si="701"/>
        <v>54057</v>
      </c>
      <c r="AH297" s="464">
        <f t="shared" si="701"/>
        <v>54423</v>
      </c>
      <c r="AI297" s="464">
        <f t="shared" si="701"/>
        <v>54788</v>
      </c>
      <c r="AJ297" s="464">
        <f t="shared" si="701"/>
        <v>55153</v>
      </c>
      <c r="AK297" s="464">
        <f t="shared" si="701"/>
        <v>55518</v>
      </c>
      <c r="AL297" s="464">
        <f t="shared" si="701"/>
        <v>55884</v>
      </c>
      <c r="AM297" s="464">
        <f t="shared" si="701"/>
        <v>56249</v>
      </c>
      <c r="AN297" s="464">
        <f t="shared" si="701"/>
        <v>56614</v>
      </c>
      <c r="AO297" s="464">
        <f t="shared" si="701"/>
        <v>56979</v>
      </c>
      <c r="AP297" s="464">
        <f t="shared" si="701"/>
        <v>57345</v>
      </c>
    </row>
    <row r="298" spans="2:42" s="1414" customFormat="1">
      <c r="B298" s="1319"/>
      <c r="C298" s="465" t="str">
        <f>C233</f>
        <v>Налог на имущество</v>
      </c>
      <c r="D298" s="465"/>
      <c r="E298" s="465"/>
      <c r="F298" s="465"/>
      <c r="G298" s="465"/>
      <c r="H298" s="473">
        <f t="shared" ref="H298:AP298" si="702">SUM(H299:H304)</f>
        <v>0</v>
      </c>
      <c r="I298" s="473">
        <f t="shared" si="702"/>
        <v>0</v>
      </c>
      <c r="J298" s="473">
        <f t="shared" si="702"/>
        <v>0</v>
      </c>
      <c r="K298" s="473">
        <f t="shared" si="702"/>
        <v>0</v>
      </c>
      <c r="L298" s="473">
        <f t="shared" si="702"/>
        <v>0</v>
      </c>
      <c r="M298" s="473">
        <f t="shared" si="702"/>
        <v>0</v>
      </c>
      <c r="N298" s="473">
        <f t="shared" si="702"/>
        <v>0</v>
      </c>
      <c r="O298" s="473">
        <f t="shared" si="702"/>
        <v>0</v>
      </c>
      <c r="P298" s="473">
        <f t="shared" si="702"/>
        <v>0</v>
      </c>
      <c r="Q298" s="473">
        <f t="shared" si="702"/>
        <v>0</v>
      </c>
      <c r="R298" s="473">
        <f t="shared" si="702"/>
        <v>0</v>
      </c>
      <c r="S298" s="473">
        <f t="shared" si="702"/>
        <v>0</v>
      </c>
      <c r="T298" s="473">
        <f t="shared" si="702"/>
        <v>0</v>
      </c>
      <c r="U298" s="473">
        <f t="shared" si="702"/>
        <v>25155976.445340425</v>
      </c>
      <c r="V298" s="473">
        <f t="shared" si="702"/>
        <v>88121911.733149081</v>
      </c>
      <c r="W298" s="473">
        <f t="shared" si="702"/>
        <v>83652926.205378279</v>
      </c>
      <c r="X298" s="473">
        <f t="shared" si="702"/>
        <v>79183940.677607477</v>
      </c>
      <c r="Y298" s="473">
        <f t="shared" si="702"/>
        <v>74714955.149836674</v>
      </c>
      <c r="Z298" s="473">
        <f t="shared" si="702"/>
        <v>70245969.622065872</v>
      </c>
      <c r="AA298" s="473">
        <f t="shared" si="702"/>
        <v>65776984.094295055</v>
      </c>
      <c r="AB298" s="473">
        <f t="shared" si="702"/>
        <v>61307998.566524252</v>
      </c>
      <c r="AC298" s="473">
        <f t="shared" si="702"/>
        <v>56839013.038753457</v>
      </c>
      <c r="AD298" s="473">
        <f t="shared" si="702"/>
        <v>52370027.510982648</v>
      </c>
      <c r="AE298" s="473">
        <f t="shared" si="702"/>
        <v>47901041.983211845</v>
      </c>
      <c r="AF298" s="473">
        <f t="shared" si="702"/>
        <v>43432056.455441035</v>
      </c>
      <c r="AG298" s="473">
        <f t="shared" si="702"/>
        <v>38963070.92767024</v>
      </c>
      <c r="AH298" s="473">
        <f t="shared" si="702"/>
        <v>34494085.399899438</v>
      </c>
      <c r="AI298" s="473">
        <f t="shared" si="702"/>
        <v>30025099.872128636</v>
      </c>
      <c r="AJ298" s="473">
        <f t="shared" si="702"/>
        <v>25556114.344357837</v>
      </c>
      <c r="AK298" s="473">
        <f t="shared" si="702"/>
        <v>21087128.816587035</v>
      </c>
      <c r="AL298" s="473">
        <f t="shared" si="702"/>
        <v>16618143.288816236</v>
      </c>
      <c r="AM298" s="473">
        <f t="shared" si="702"/>
        <v>12149157.761045432</v>
      </c>
      <c r="AN298" s="473">
        <f t="shared" si="702"/>
        <v>7680172.2332746284</v>
      </c>
      <c r="AO298" s="473">
        <f t="shared" si="702"/>
        <v>3368411.5582872164</v>
      </c>
      <c r="AP298" s="473">
        <f t="shared" si="702"/>
        <v>301048.75364099583</v>
      </c>
    </row>
    <row r="299" spans="2:42">
      <c r="C299" s="1060" t="str">
        <f t="shared" ref="C299:C313" si="703">C277</f>
        <v>Гостиница 5*</v>
      </c>
      <c r="D299" s="1061"/>
      <c r="E299" s="1062"/>
      <c r="F299" s="1062"/>
      <c r="G299" s="1061"/>
      <c r="H299" s="1062">
        <f t="shared" ref="H299:AP299" si="704">SUMIF($230:$230,H$295,234:234)</f>
        <v>0</v>
      </c>
      <c r="I299" s="1062">
        <f t="shared" si="704"/>
        <v>0</v>
      </c>
      <c r="J299" s="1062">
        <f t="shared" si="704"/>
        <v>0</v>
      </c>
      <c r="K299" s="1062">
        <f t="shared" si="704"/>
        <v>0</v>
      </c>
      <c r="L299" s="1320">
        <f t="shared" si="704"/>
        <v>0</v>
      </c>
      <c r="M299" s="1062">
        <f t="shared" si="704"/>
        <v>0</v>
      </c>
      <c r="N299" s="1062">
        <f t="shared" si="704"/>
        <v>0</v>
      </c>
      <c r="O299" s="1062">
        <f t="shared" si="704"/>
        <v>0</v>
      </c>
      <c r="P299" s="1062">
        <f t="shared" si="704"/>
        <v>0</v>
      </c>
      <c r="Q299" s="1062">
        <f t="shared" si="704"/>
        <v>0</v>
      </c>
      <c r="R299" s="1062">
        <f t="shared" si="704"/>
        <v>0</v>
      </c>
      <c r="S299" s="1062">
        <f t="shared" si="704"/>
        <v>0</v>
      </c>
      <c r="T299" s="1062">
        <f t="shared" si="704"/>
        <v>0</v>
      </c>
      <c r="U299" s="1062">
        <f t="shared" si="704"/>
        <v>0</v>
      </c>
      <c r="V299" s="1062">
        <f t="shared" si="704"/>
        <v>31332855.407575585</v>
      </c>
      <c r="W299" s="1062">
        <f t="shared" si="704"/>
        <v>29766212.637196794</v>
      </c>
      <c r="X299" s="1062">
        <f t="shared" si="704"/>
        <v>28199569.866818011</v>
      </c>
      <c r="Y299" s="1062">
        <f t="shared" si="704"/>
        <v>26632927.09643922</v>
      </c>
      <c r="Z299" s="1062">
        <f t="shared" si="704"/>
        <v>25066284.326060429</v>
      </c>
      <c r="AA299" s="1062">
        <f t="shared" si="704"/>
        <v>23499641.55568165</v>
      </c>
      <c r="AB299" s="1062">
        <f t="shared" si="704"/>
        <v>21932998.78530287</v>
      </c>
      <c r="AC299" s="1062">
        <f t="shared" si="704"/>
        <v>20366356.014924094</v>
      </c>
      <c r="AD299" s="1062">
        <f t="shared" si="704"/>
        <v>18799713.244545318</v>
      </c>
      <c r="AE299" s="1062">
        <f t="shared" si="704"/>
        <v>17233070.474166539</v>
      </c>
      <c r="AF299" s="1062">
        <f t="shared" si="704"/>
        <v>15666427.703787761</v>
      </c>
      <c r="AG299" s="1062">
        <f t="shared" si="704"/>
        <v>14099784.933408983</v>
      </c>
      <c r="AH299" s="1062">
        <f t="shared" si="704"/>
        <v>12533142.163030205</v>
      </c>
      <c r="AI299" s="1062">
        <f t="shared" si="704"/>
        <v>10966499.392651424</v>
      </c>
      <c r="AJ299" s="1062">
        <f t="shared" si="704"/>
        <v>9399856.6222726423</v>
      </c>
      <c r="AK299" s="1062">
        <f t="shared" si="704"/>
        <v>7833213.8518938599</v>
      </c>
      <c r="AL299" s="1062">
        <f t="shared" si="704"/>
        <v>6266571.0815150775</v>
      </c>
      <c r="AM299" s="1062">
        <f t="shared" si="704"/>
        <v>4699928.3111362942</v>
      </c>
      <c r="AN299" s="1062">
        <f t="shared" si="704"/>
        <v>3133285.5407575117</v>
      </c>
      <c r="AO299" s="1062">
        <f t="shared" si="704"/>
        <v>1566642.7703787291</v>
      </c>
      <c r="AP299" s="1062">
        <f t="shared" si="704"/>
        <v>146872.75972299752</v>
      </c>
    </row>
    <row r="300" spans="2:42">
      <c r="C300" s="1060" t="str">
        <f t="shared" si="703"/>
        <v>Гостиница 4*</v>
      </c>
      <c r="D300" s="1061"/>
      <c r="E300" s="1062"/>
      <c r="F300" s="1062"/>
      <c r="G300" s="1061"/>
      <c r="H300" s="1062">
        <f t="shared" ref="H300:AP300" si="705">SUMIF($230:$230,H$295,235:235)</f>
        <v>0</v>
      </c>
      <c r="I300" s="1062">
        <f t="shared" si="705"/>
        <v>0</v>
      </c>
      <c r="J300" s="1062">
        <f t="shared" si="705"/>
        <v>0</v>
      </c>
      <c r="K300" s="1062">
        <f t="shared" si="705"/>
        <v>0</v>
      </c>
      <c r="L300" s="1062">
        <f t="shared" si="705"/>
        <v>0</v>
      </c>
      <c r="M300" s="1062">
        <f t="shared" si="705"/>
        <v>0</v>
      </c>
      <c r="N300" s="1062">
        <f t="shared" si="705"/>
        <v>0</v>
      </c>
      <c r="O300" s="1062">
        <f t="shared" si="705"/>
        <v>0</v>
      </c>
      <c r="P300" s="1062">
        <f t="shared" si="705"/>
        <v>0</v>
      </c>
      <c r="Q300" s="1062">
        <f t="shared" si="705"/>
        <v>0</v>
      </c>
      <c r="R300" s="1062">
        <f t="shared" si="705"/>
        <v>0</v>
      </c>
      <c r="S300" s="1062">
        <f t="shared" si="705"/>
        <v>0</v>
      </c>
      <c r="T300" s="1062">
        <f t="shared" si="705"/>
        <v>0</v>
      </c>
      <c r="U300" s="1062">
        <f t="shared" si="705"/>
        <v>0</v>
      </c>
      <c r="V300" s="1062">
        <f t="shared" si="705"/>
        <v>29671222.923512194</v>
      </c>
      <c r="W300" s="1062">
        <f t="shared" si="705"/>
        <v>28187661.777336597</v>
      </c>
      <c r="X300" s="1062">
        <f t="shared" si="705"/>
        <v>26704100.631160997</v>
      </c>
      <c r="Y300" s="1062">
        <f t="shared" si="705"/>
        <v>25220539.4849854</v>
      </c>
      <c r="Z300" s="1062">
        <f t="shared" si="705"/>
        <v>23736978.338809799</v>
      </c>
      <c r="AA300" s="1062">
        <f t="shared" si="705"/>
        <v>22253417.192634191</v>
      </c>
      <c r="AB300" s="1062">
        <f t="shared" si="705"/>
        <v>20769856.046458583</v>
      </c>
      <c r="AC300" s="1062">
        <f t="shared" si="705"/>
        <v>19286294.900282975</v>
      </c>
      <c r="AD300" s="1062">
        <f t="shared" si="705"/>
        <v>17802733.754107367</v>
      </c>
      <c r="AE300" s="1062">
        <f t="shared" si="705"/>
        <v>16319172.607931755</v>
      </c>
      <c r="AF300" s="1062">
        <f t="shared" si="705"/>
        <v>14835611.461756147</v>
      </c>
      <c r="AG300" s="1062">
        <f t="shared" si="705"/>
        <v>13352050.315580539</v>
      </c>
      <c r="AH300" s="1062">
        <f t="shared" si="705"/>
        <v>11868489.169404931</v>
      </c>
      <c r="AI300" s="1062">
        <f t="shared" si="705"/>
        <v>10384928.023229327</v>
      </c>
      <c r="AJ300" s="1062">
        <f t="shared" si="705"/>
        <v>8901366.8770537246</v>
      </c>
      <c r="AK300" s="1062">
        <f t="shared" si="705"/>
        <v>7417805.7308781222</v>
      </c>
      <c r="AL300" s="1062">
        <f t="shared" si="705"/>
        <v>5934244.5847025178</v>
      </c>
      <c r="AM300" s="1062">
        <f t="shared" si="705"/>
        <v>4450683.4385269117</v>
      </c>
      <c r="AN300" s="1062">
        <f t="shared" si="705"/>
        <v>2967122.2923513064</v>
      </c>
      <c r="AO300" s="1062">
        <f t="shared" si="705"/>
        <v>1483561.1461757002</v>
      </c>
      <c r="AP300" s="1062">
        <f t="shared" si="705"/>
        <v>139083.85745398665</v>
      </c>
    </row>
    <row r="301" spans="2:42">
      <c r="C301" s="1060" t="str">
        <f t="shared" si="703"/>
        <v>Гостиница 3*</v>
      </c>
      <c r="D301" s="1061"/>
      <c r="E301" s="1062"/>
      <c r="F301" s="1062"/>
      <c r="G301" s="1061"/>
      <c r="H301" s="1062">
        <f t="shared" ref="H301:AP301" si="706">SUMIF($230:$230,H$295,236:236)</f>
        <v>0</v>
      </c>
      <c r="I301" s="1062">
        <f t="shared" si="706"/>
        <v>0</v>
      </c>
      <c r="J301" s="1062">
        <f t="shared" si="706"/>
        <v>0</v>
      </c>
      <c r="K301" s="1062">
        <f t="shared" si="706"/>
        <v>0</v>
      </c>
      <c r="L301" s="1062">
        <f t="shared" si="706"/>
        <v>0</v>
      </c>
      <c r="M301" s="1062">
        <f t="shared" si="706"/>
        <v>0</v>
      </c>
      <c r="N301" s="1062">
        <f t="shared" si="706"/>
        <v>0</v>
      </c>
      <c r="O301" s="1062">
        <f t="shared" si="706"/>
        <v>0</v>
      </c>
      <c r="P301" s="1062">
        <f t="shared" si="706"/>
        <v>0</v>
      </c>
      <c r="Q301" s="1062">
        <f t="shared" si="706"/>
        <v>0</v>
      </c>
      <c r="R301" s="1062">
        <f t="shared" si="706"/>
        <v>0</v>
      </c>
      <c r="S301" s="1062">
        <f t="shared" si="706"/>
        <v>0</v>
      </c>
      <c r="T301" s="1062">
        <f t="shared" si="706"/>
        <v>0</v>
      </c>
      <c r="U301" s="1062">
        <f t="shared" si="706"/>
        <v>11729799.108007083</v>
      </c>
      <c r="V301" s="1062">
        <f t="shared" si="706"/>
        <v>11143309.152606729</v>
      </c>
      <c r="W301" s="1062">
        <f t="shared" si="706"/>
        <v>10556819.197206376</v>
      </c>
      <c r="X301" s="1062">
        <f t="shared" si="706"/>
        <v>9970329.241806021</v>
      </c>
      <c r="Y301" s="1062">
        <f t="shared" si="706"/>
        <v>9383839.2864056658</v>
      </c>
      <c r="Z301" s="1062">
        <f t="shared" si="706"/>
        <v>8797349.3310053106</v>
      </c>
      <c r="AA301" s="1062">
        <f t="shared" si="706"/>
        <v>8210859.3756049564</v>
      </c>
      <c r="AB301" s="1062">
        <f t="shared" si="706"/>
        <v>7624369.4202046013</v>
      </c>
      <c r="AC301" s="1062">
        <f t="shared" si="706"/>
        <v>7037879.4648042461</v>
      </c>
      <c r="AD301" s="1062">
        <f t="shared" si="706"/>
        <v>6451389.5094038919</v>
      </c>
      <c r="AE301" s="1062">
        <f t="shared" si="706"/>
        <v>5864899.5540035376</v>
      </c>
      <c r="AF301" s="1062">
        <f t="shared" si="706"/>
        <v>5278409.5986031853</v>
      </c>
      <c r="AG301" s="1062">
        <f t="shared" si="706"/>
        <v>4691919.6432028329</v>
      </c>
      <c r="AH301" s="1062">
        <f t="shared" si="706"/>
        <v>4105429.6878024805</v>
      </c>
      <c r="AI301" s="1062">
        <f t="shared" si="706"/>
        <v>3518939.7324021282</v>
      </c>
      <c r="AJ301" s="1062">
        <f t="shared" si="706"/>
        <v>2932449.7770017763</v>
      </c>
      <c r="AK301" s="1062">
        <f t="shared" si="706"/>
        <v>2345959.8216014239</v>
      </c>
      <c r="AL301" s="1062">
        <f t="shared" si="706"/>
        <v>1759469.8662010718</v>
      </c>
      <c r="AM301" s="1062">
        <f t="shared" si="706"/>
        <v>1172979.9108007189</v>
      </c>
      <c r="AN301" s="1062">
        <f t="shared" si="706"/>
        <v>586489.9554003661</v>
      </c>
      <c r="AO301" s="1062">
        <f t="shared" si="706"/>
        <v>73311.244425057492</v>
      </c>
      <c r="AP301" s="1062">
        <f t="shared" si="706"/>
        <v>3.3499673008918762E-9</v>
      </c>
    </row>
    <row r="302" spans="2:42">
      <c r="C302" s="1060" t="str">
        <f t="shared" si="703"/>
        <v>Гостиница 2*</v>
      </c>
      <c r="D302" s="1061"/>
      <c r="E302" s="1062"/>
      <c r="F302" s="1062"/>
      <c r="G302" s="1061"/>
      <c r="H302" s="1062">
        <f t="shared" ref="H302:AP302" si="707">SUMIF($230:$230,H$295,237:237)</f>
        <v>0</v>
      </c>
      <c r="I302" s="1062">
        <f t="shared" si="707"/>
        <v>0</v>
      </c>
      <c r="J302" s="1062">
        <f t="shared" si="707"/>
        <v>0</v>
      </c>
      <c r="K302" s="1062">
        <f t="shared" si="707"/>
        <v>0</v>
      </c>
      <c r="L302" s="1062">
        <f t="shared" si="707"/>
        <v>0</v>
      </c>
      <c r="M302" s="1062">
        <f t="shared" si="707"/>
        <v>0</v>
      </c>
      <c r="N302" s="1062">
        <f t="shared" si="707"/>
        <v>0</v>
      </c>
      <c r="O302" s="1062">
        <f t="shared" si="707"/>
        <v>0</v>
      </c>
      <c r="P302" s="1062">
        <f t="shared" si="707"/>
        <v>0</v>
      </c>
      <c r="Q302" s="1062">
        <f t="shared" si="707"/>
        <v>0</v>
      </c>
      <c r="R302" s="1062">
        <f t="shared" si="707"/>
        <v>0</v>
      </c>
      <c r="S302" s="1062">
        <f t="shared" si="707"/>
        <v>0</v>
      </c>
      <c r="T302" s="1062">
        <f t="shared" si="707"/>
        <v>0</v>
      </c>
      <c r="U302" s="1062">
        <f t="shared" si="707"/>
        <v>0</v>
      </c>
      <c r="V302" s="1062">
        <f t="shared" si="707"/>
        <v>0</v>
      </c>
      <c r="W302" s="1062">
        <f t="shared" si="707"/>
        <v>0</v>
      </c>
      <c r="X302" s="1062">
        <f t="shared" si="707"/>
        <v>0</v>
      </c>
      <c r="Y302" s="1062">
        <f t="shared" si="707"/>
        <v>0</v>
      </c>
      <c r="Z302" s="1062">
        <f t="shared" si="707"/>
        <v>0</v>
      </c>
      <c r="AA302" s="1062">
        <f t="shared" si="707"/>
        <v>0</v>
      </c>
      <c r="AB302" s="1062">
        <f t="shared" si="707"/>
        <v>0</v>
      </c>
      <c r="AC302" s="1062">
        <f t="shared" si="707"/>
        <v>0</v>
      </c>
      <c r="AD302" s="1062">
        <f t="shared" si="707"/>
        <v>0</v>
      </c>
      <c r="AE302" s="1062">
        <f t="shared" si="707"/>
        <v>0</v>
      </c>
      <c r="AF302" s="1062">
        <f t="shared" si="707"/>
        <v>0</v>
      </c>
      <c r="AG302" s="1062">
        <f t="shared" si="707"/>
        <v>0</v>
      </c>
      <c r="AH302" s="1062">
        <f t="shared" si="707"/>
        <v>0</v>
      </c>
      <c r="AI302" s="1062">
        <f t="shared" si="707"/>
        <v>0</v>
      </c>
      <c r="AJ302" s="1062">
        <f t="shared" si="707"/>
        <v>0</v>
      </c>
      <c r="AK302" s="1062">
        <f t="shared" si="707"/>
        <v>0</v>
      </c>
      <c r="AL302" s="1062">
        <f t="shared" si="707"/>
        <v>0</v>
      </c>
      <c r="AM302" s="1062">
        <f t="shared" si="707"/>
        <v>0</v>
      </c>
      <c r="AN302" s="1062">
        <f t="shared" si="707"/>
        <v>0</v>
      </c>
      <c r="AO302" s="1062">
        <f t="shared" si="707"/>
        <v>0</v>
      </c>
      <c r="AP302" s="1062">
        <f t="shared" si="707"/>
        <v>0</v>
      </c>
    </row>
    <row r="303" spans="2:42">
      <c r="C303" s="1060" t="str">
        <f t="shared" si="703"/>
        <v>МФЦ, в том числе хостел Jo&amp;JOE</v>
      </c>
      <c r="D303" s="1061"/>
      <c r="E303" s="1062"/>
      <c r="F303" s="1062"/>
      <c r="G303" s="1061"/>
      <c r="H303" s="1062">
        <f t="shared" ref="H303:AP303" si="708">SUMIF($230:$230,H$295,238:238)</f>
        <v>0</v>
      </c>
      <c r="I303" s="1062">
        <f t="shared" si="708"/>
        <v>0</v>
      </c>
      <c r="J303" s="1062">
        <f t="shared" si="708"/>
        <v>0</v>
      </c>
      <c r="K303" s="1062">
        <f t="shared" si="708"/>
        <v>0</v>
      </c>
      <c r="L303" s="1062">
        <f t="shared" si="708"/>
        <v>0</v>
      </c>
      <c r="M303" s="1062">
        <f t="shared" si="708"/>
        <v>0</v>
      </c>
      <c r="N303" s="1062">
        <f t="shared" si="708"/>
        <v>0</v>
      </c>
      <c r="O303" s="1062">
        <f t="shared" si="708"/>
        <v>0</v>
      </c>
      <c r="P303" s="1062">
        <f t="shared" si="708"/>
        <v>0</v>
      </c>
      <c r="Q303" s="1062">
        <f t="shared" si="708"/>
        <v>0</v>
      </c>
      <c r="R303" s="1062">
        <f t="shared" si="708"/>
        <v>0</v>
      </c>
      <c r="S303" s="1062">
        <f t="shared" si="708"/>
        <v>0</v>
      </c>
      <c r="T303" s="1062">
        <f t="shared" si="708"/>
        <v>0</v>
      </c>
      <c r="U303" s="1062">
        <f t="shared" si="708"/>
        <v>13426177.337333344</v>
      </c>
      <c r="V303" s="1062">
        <f t="shared" si="708"/>
        <v>12754868.470466675</v>
      </c>
      <c r="W303" s="1062">
        <f t="shared" si="708"/>
        <v>12083559.603600007</v>
      </c>
      <c r="X303" s="1062">
        <f t="shared" si="708"/>
        <v>11412250.736733338</v>
      </c>
      <c r="Y303" s="1062">
        <f t="shared" si="708"/>
        <v>10740941.869866669</v>
      </c>
      <c r="Z303" s="1062">
        <f t="shared" si="708"/>
        <v>10069633.003</v>
      </c>
      <c r="AA303" s="1062">
        <f t="shared" si="708"/>
        <v>9398324.1361333318</v>
      </c>
      <c r="AB303" s="1062">
        <f t="shared" si="708"/>
        <v>8727015.2692666631</v>
      </c>
      <c r="AC303" s="1062">
        <f t="shared" si="708"/>
        <v>8055706.4023999944</v>
      </c>
      <c r="AD303" s="1062">
        <f t="shared" si="708"/>
        <v>7384397.5355333257</v>
      </c>
      <c r="AE303" s="1062">
        <f t="shared" si="708"/>
        <v>6713088.668666658</v>
      </c>
      <c r="AF303" s="1062">
        <f t="shared" si="708"/>
        <v>6041779.8017999893</v>
      </c>
      <c r="AG303" s="1062">
        <f t="shared" si="708"/>
        <v>5370470.9349333206</v>
      </c>
      <c r="AH303" s="1062">
        <f t="shared" si="708"/>
        <v>4699162.0680666519</v>
      </c>
      <c r="AI303" s="1062">
        <f t="shared" si="708"/>
        <v>4027853.2011999828</v>
      </c>
      <c r="AJ303" s="1062">
        <f t="shared" si="708"/>
        <v>3356544.3343333141</v>
      </c>
      <c r="AK303" s="1062">
        <f t="shared" si="708"/>
        <v>2685235.4674666468</v>
      </c>
      <c r="AL303" s="1062">
        <f t="shared" si="708"/>
        <v>2013926.6005999791</v>
      </c>
      <c r="AM303" s="1062">
        <f t="shared" si="708"/>
        <v>1342617.7337333118</v>
      </c>
      <c r="AN303" s="1062">
        <f t="shared" si="708"/>
        <v>671308.86686664424</v>
      </c>
      <c r="AO303" s="1062">
        <f t="shared" si="708"/>
        <v>83913.608358324695</v>
      </c>
      <c r="AP303" s="1062">
        <f t="shared" si="708"/>
        <v>0</v>
      </c>
    </row>
    <row r="304" spans="2:42">
      <c r="C304" s="1060" t="str">
        <f t="shared" si="703"/>
        <v>Шале</v>
      </c>
      <c r="D304" s="1061"/>
      <c r="E304" s="1062"/>
      <c r="F304" s="1062"/>
      <c r="G304" s="1061"/>
      <c r="H304" s="1062">
        <f t="shared" ref="H304:AP304" si="709">SUMIF($230:$230,H$295,239:239)</f>
        <v>0</v>
      </c>
      <c r="I304" s="1062">
        <f t="shared" si="709"/>
        <v>0</v>
      </c>
      <c r="J304" s="1062">
        <f t="shared" si="709"/>
        <v>0</v>
      </c>
      <c r="K304" s="1062">
        <f t="shared" si="709"/>
        <v>0</v>
      </c>
      <c r="L304" s="1062">
        <f t="shared" si="709"/>
        <v>0</v>
      </c>
      <c r="M304" s="1062">
        <f t="shared" si="709"/>
        <v>0</v>
      </c>
      <c r="N304" s="1062">
        <f t="shared" si="709"/>
        <v>0</v>
      </c>
      <c r="O304" s="1062">
        <f t="shared" si="709"/>
        <v>0</v>
      </c>
      <c r="P304" s="1062">
        <f t="shared" si="709"/>
        <v>0</v>
      </c>
      <c r="Q304" s="1062">
        <f t="shared" si="709"/>
        <v>0</v>
      </c>
      <c r="R304" s="1062">
        <f t="shared" si="709"/>
        <v>0</v>
      </c>
      <c r="S304" s="1062">
        <f t="shared" si="709"/>
        <v>0</v>
      </c>
      <c r="T304" s="1062">
        <f t="shared" si="709"/>
        <v>0</v>
      </c>
      <c r="U304" s="1062">
        <f t="shared" si="709"/>
        <v>0</v>
      </c>
      <c r="V304" s="1062">
        <f t="shared" si="709"/>
        <v>3219655.7789879004</v>
      </c>
      <c r="W304" s="1062">
        <f t="shared" si="709"/>
        <v>3058672.9900385062</v>
      </c>
      <c r="X304" s="1062">
        <f t="shared" si="709"/>
        <v>2897690.2010891116</v>
      </c>
      <c r="Y304" s="1062">
        <f t="shared" si="709"/>
        <v>2736707.412139717</v>
      </c>
      <c r="Z304" s="1062">
        <f t="shared" si="709"/>
        <v>2575724.6231903234</v>
      </c>
      <c r="AA304" s="1062">
        <f t="shared" si="709"/>
        <v>2414741.8342409292</v>
      </c>
      <c r="AB304" s="1062">
        <f t="shared" si="709"/>
        <v>2253759.0452915351</v>
      </c>
      <c r="AC304" s="1062">
        <f t="shared" si="709"/>
        <v>2092776.2563421405</v>
      </c>
      <c r="AD304" s="1062">
        <f t="shared" si="709"/>
        <v>1931793.4673927464</v>
      </c>
      <c r="AE304" s="1062">
        <f t="shared" si="709"/>
        <v>1770810.6784433522</v>
      </c>
      <c r="AF304" s="1062">
        <f t="shared" si="709"/>
        <v>1609827.8894939579</v>
      </c>
      <c r="AG304" s="1062">
        <f t="shared" si="709"/>
        <v>1448845.1005445635</v>
      </c>
      <c r="AH304" s="1062">
        <f t="shared" si="709"/>
        <v>1287862.3115951687</v>
      </c>
      <c r="AI304" s="1062">
        <f t="shared" si="709"/>
        <v>1126879.5226457738</v>
      </c>
      <c r="AJ304" s="1062">
        <f t="shared" si="709"/>
        <v>965896.73369637888</v>
      </c>
      <c r="AK304" s="1062">
        <f t="shared" si="709"/>
        <v>804913.94474698405</v>
      </c>
      <c r="AL304" s="1062">
        <f t="shared" si="709"/>
        <v>643931.1557975891</v>
      </c>
      <c r="AM304" s="1062">
        <f t="shared" si="709"/>
        <v>482948.36684819427</v>
      </c>
      <c r="AN304" s="1062">
        <f t="shared" si="709"/>
        <v>321965.5778987995</v>
      </c>
      <c r="AO304" s="1062">
        <f t="shared" si="709"/>
        <v>160982.78894940478</v>
      </c>
      <c r="AP304" s="1062">
        <f t="shared" si="709"/>
        <v>15092.136464008274</v>
      </c>
    </row>
    <row r="305" spans="2:42">
      <c r="C305" s="151" t="str">
        <f t="shared" si="703"/>
        <v>Туристские резиденции</v>
      </c>
      <c r="D305" s="45"/>
      <c r="E305" s="44"/>
      <c r="F305" s="44"/>
      <c r="G305" s="45"/>
      <c r="H305" s="44">
        <f t="shared" ref="H305:AP305" si="710">SUMIF($230:$230,H$295,240:240)</f>
        <v>0</v>
      </c>
      <c r="I305" s="44">
        <f t="shared" si="710"/>
        <v>0</v>
      </c>
      <c r="J305" s="44">
        <f t="shared" si="710"/>
        <v>0</v>
      </c>
      <c r="K305" s="44">
        <f t="shared" si="710"/>
        <v>0</v>
      </c>
      <c r="L305" s="44">
        <f t="shared" si="710"/>
        <v>0</v>
      </c>
      <c r="M305" s="44">
        <f t="shared" si="710"/>
        <v>0</v>
      </c>
      <c r="N305" s="44">
        <f t="shared" si="710"/>
        <v>0</v>
      </c>
      <c r="O305" s="44">
        <f t="shared" si="710"/>
        <v>0</v>
      </c>
      <c r="P305" s="44">
        <f t="shared" si="710"/>
        <v>0</v>
      </c>
      <c r="Q305" s="44">
        <f t="shared" si="710"/>
        <v>0</v>
      </c>
      <c r="R305" s="44">
        <f t="shared" si="710"/>
        <v>0</v>
      </c>
      <c r="S305" s="44">
        <f t="shared" si="710"/>
        <v>0</v>
      </c>
      <c r="T305" s="44">
        <f t="shared" si="710"/>
        <v>0</v>
      </c>
      <c r="U305" s="44">
        <f t="shared" si="710"/>
        <v>0</v>
      </c>
      <c r="V305" s="44">
        <f t="shared" si="710"/>
        <v>0</v>
      </c>
      <c r="W305" s="44">
        <f t="shared" si="710"/>
        <v>0</v>
      </c>
      <c r="X305" s="44">
        <f t="shared" si="710"/>
        <v>0</v>
      </c>
      <c r="Y305" s="44">
        <f t="shared" si="710"/>
        <v>0</v>
      </c>
      <c r="Z305" s="44">
        <f t="shared" si="710"/>
        <v>0</v>
      </c>
      <c r="AA305" s="44">
        <f t="shared" si="710"/>
        <v>0</v>
      </c>
      <c r="AB305" s="44">
        <f t="shared" si="710"/>
        <v>0</v>
      </c>
      <c r="AC305" s="44">
        <f t="shared" si="710"/>
        <v>0</v>
      </c>
      <c r="AD305" s="44">
        <f t="shared" si="710"/>
        <v>0</v>
      </c>
      <c r="AE305" s="44">
        <f t="shared" si="710"/>
        <v>0</v>
      </c>
      <c r="AF305" s="44">
        <f t="shared" si="710"/>
        <v>0</v>
      </c>
      <c r="AG305" s="44">
        <f t="shared" si="710"/>
        <v>0</v>
      </c>
      <c r="AH305" s="44">
        <f t="shared" si="710"/>
        <v>0</v>
      </c>
      <c r="AI305" s="44">
        <f t="shared" si="710"/>
        <v>0</v>
      </c>
      <c r="AJ305" s="44">
        <f t="shared" si="710"/>
        <v>0</v>
      </c>
      <c r="AK305" s="44">
        <f t="shared" si="710"/>
        <v>0</v>
      </c>
      <c r="AL305" s="44">
        <f t="shared" si="710"/>
        <v>0</v>
      </c>
      <c r="AM305" s="44">
        <f t="shared" si="710"/>
        <v>0</v>
      </c>
      <c r="AN305" s="44">
        <f t="shared" si="710"/>
        <v>0</v>
      </c>
      <c r="AO305" s="44">
        <f t="shared" si="710"/>
        <v>0</v>
      </c>
      <c r="AP305" s="44">
        <f t="shared" si="710"/>
        <v>0</v>
      </c>
    </row>
    <row r="306" spans="2:42">
      <c r="C306" s="151" t="str">
        <f t="shared" si="703"/>
        <v>Ресторан в зоне катания</v>
      </c>
      <c r="D306" s="45"/>
      <c r="E306" s="44"/>
      <c r="F306" s="44"/>
      <c r="G306" s="45"/>
      <c r="H306" s="44">
        <f t="shared" ref="H306:AP306" si="711">SUMIF($230:$230,H$295,241:241)</f>
        <v>0</v>
      </c>
      <c r="I306" s="44">
        <f t="shared" si="711"/>
        <v>0</v>
      </c>
      <c r="J306" s="44">
        <f t="shared" si="711"/>
        <v>0</v>
      </c>
      <c r="K306" s="44">
        <f t="shared" si="711"/>
        <v>0</v>
      </c>
      <c r="L306" s="44">
        <f t="shared" si="711"/>
        <v>0</v>
      </c>
      <c r="M306" s="44">
        <f t="shared" si="711"/>
        <v>0</v>
      </c>
      <c r="N306" s="44">
        <f t="shared" si="711"/>
        <v>0</v>
      </c>
      <c r="O306" s="44">
        <f t="shared" si="711"/>
        <v>0</v>
      </c>
      <c r="P306" s="44">
        <f t="shared" si="711"/>
        <v>0</v>
      </c>
      <c r="Q306" s="44">
        <f t="shared" si="711"/>
        <v>0</v>
      </c>
      <c r="R306" s="44">
        <f t="shared" si="711"/>
        <v>0</v>
      </c>
      <c r="S306" s="44">
        <f t="shared" si="711"/>
        <v>0</v>
      </c>
      <c r="T306" s="44">
        <f t="shared" si="711"/>
        <v>0</v>
      </c>
      <c r="U306" s="44">
        <f t="shared" si="711"/>
        <v>2663671.2578383973</v>
      </c>
      <c r="V306" s="44">
        <f t="shared" si="711"/>
        <v>2530487.6949464777</v>
      </c>
      <c r="W306" s="44">
        <f t="shared" si="711"/>
        <v>2397304.132054558</v>
      </c>
      <c r="X306" s="44">
        <f t="shared" si="711"/>
        <v>2264120.5691626384</v>
      </c>
      <c r="Y306" s="44">
        <f t="shared" si="711"/>
        <v>2130937.0062707183</v>
      </c>
      <c r="Z306" s="44">
        <f t="shared" si="711"/>
        <v>1997753.4433787987</v>
      </c>
      <c r="AA306" s="44">
        <f t="shared" si="711"/>
        <v>1864569.8804868793</v>
      </c>
      <c r="AB306" s="44">
        <f t="shared" si="711"/>
        <v>1731386.3175949592</v>
      </c>
      <c r="AC306" s="44">
        <f t="shared" si="711"/>
        <v>1598202.7547030398</v>
      </c>
      <c r="AD306" s="44">
        <f t="shared" si="711"/>
        <v>1465019.1918111199</v>
      </c>
      <c r="AE306" s="44">
        <f t="shared" si="711"/>
        <v>1331835.6289192003</v>
      </c>
      <c r="AF306" s="44">
        <f t="shared" si="711"/>
        <v>1198652.0660272804</v>
      </c>
      <c r="AG306" s="44">
        <f t="shared" si="711"/>
        <v>1065468.5031353608</v>
      </c>
      <c r="AH306" s="44">
        <f t="shared" si="711"/>
        <v>932284.94024344103</v>
      </c>
      <c r="AI306" s="44">
        <f t="shared" si="711"/>
        <v>799101.37735152128</v>
      </c>
      <c r="AJ306" s="44">
        <f t="shared" si="711"/>
        <v>665917.81445960188</v>
      </c>
      <c r="AK306" s="44">
        <f t="shared" si="711"/>
        <v>532734.25156768248</v>
      </c>
      <c r="AL306" s="44">
        <f t="shared" si="711"/>
        <v>399550.68867576303</v>
      </c>
      <c r="AM306" s="44">
        <f t="shared" si="711"/>
        <v>266367.12578384363</v>
      </c>
      <c r="AN306" s="44">
        <f t="shared" si="711"/>
        <v>133183.5628919242</v>
      </c>
      <c r="AO306" s="44">
        <f t="shared" si="711"/>
        <v>16647.945361494647</v>
      </c>
      <c r="AP306" s="44">
        <f t="shared" si="711"/>
        <v>1.1781230568885802E-9</v>
      </c>
    </row>
    <row r="307" spans="2:42">
      <c r="C307" s="151" t="str">
        <f t="shared" si="703"/>
        <v>SPA-комплекс</v>
      </c>
      <c r="D307" s="45"/>
      <c r="E307" s="44"/>
      <c r="F307" s="44"/>
      <c r="G307" s="45"/>
      <c r="H307" s="44">
        <f t="shared" ref="H307:AP307" si="712">SUMIF($230:$230,H$295,242:242)</f>
        <v>0</v>
      </c>
      <c r="I307" s="44">
        <f t="shared" si="712"/>
        <v>0</v>
      </c>
      <c r="J307" s="44">
        <f t="shared" si="712"/>
        <v>0</v>
      </c>
      <c r="K307" s="44">
        <f t="shared" si="712"/>
        <v>0</v>
      </c>
      <c r="L307" s="44">
        <f t="shared" si="712"/>
        <v>0</v>
      </c>
      <c r="M307" s="44">
        <f t="shared" si="712"/>
        <v>0</v>
      </c>
      <c r="N307" s="44">
        <f t="shared" si="712"/>
        <v>0</v>
      </c>
      <c r="O307" s="44">
        <f t="shared" si="712"/>
        <v>0</v>
      </c>
      <c r="P307" s="44">
        <f t="shared" si="712"/>
        <v>0</v>
      </c>
      <c r="Q307" s="44">
        <f t="shared" si="712"/>
        <v>0</v>
      </c>
      <c r="R307" s="44">
        <f t="shared" si="712"/>
        <v>0</v>
      </c>
      <c r="S307" s="44">
        <f t="shared" si="712"/>
        <v>0</v>
      </c>
      <c r="T307" s="44">
        <f t="shared" si="712"/>
        <v>0</v>
      </c>
      <c r="U307" s="44">
        <f t="shared" si="712"/>
        <v>4605770.6980613796</v>
      </c>
      <c r="V307" s="44">
        <f t="shared" si="712"/>
        <v>4375482.1631583096</v>
      </c>
      <c r="W307" s="44">
        <f t="shared" si="712"/>
        <v>4145193.6282552392</v>
      </c>
      <c r="X307" s="44">
        <f t="shared" si="712"/>
        <v>3914905.0933521693</v>
      </c>
      <c r="Y307" s="44">
        <f t="shared" si="712"/>
        <v>3684616.5584490993</v>
      </c>
      <c r="Z307" s="44">
        <f t="shared" si="712"/>
        <v>3454328.0235460293</v>
      </c>
      <c r="AA307" s="44">
        <f t="shared" si="712"/>
        <v>3224039.4886429594</v>
      </c>
      <c r="AB307" s="44">
        <f t="shared" si="712"/>
        <v>2993750.9537398894</v>
      </c>
      <c r="AC307" s="44">
        <f t="shared" si="712"/>
        <v>2763462.4188368195</v>
      </c>
      <c r="AD307" s="44">
        <f t="shared" si="712"/>
        <v>2533173.8839337495</v>
      </c>
      <c r="AE307" s="44">
        <f t="shared" si="712"/>
        <v>2302885.3490306796</v>
      </c>
      <c r="AF307" s="44">
        <f t="shared" si="712"/>
        <v>2072596.8141276098</v>
      </c>
      <c r="AG307" s="44">
        <f t="shared" si="712"/>
        <v>1842308.2792245401</v>
      </c>
      <c r="AH307" s="44">
        <f t="shared" si="712"/>
        <v>1612019.7443214701</v>
      </c>
      <c r="AI307" s="44">
        <f t="shared" si="712"/>
        <v>1381731.2094184004</v>
      </c>
      <c r="AJ307" s="44">
        <f t="shared" si="712"/>
        <v>1151442.6745153312</v>
      </c>
      <c r="AK307" s="44">
        <f t="shared" si="712"/>
        <v>921154.1396122619</v>
      </c>
      <c r="AL307" s="44">
        <f t="shared" si="712"/>
        <v>690865.60470919253</v>
      </c>
      <c r="AM307" s="44">
        <f t="shared" si="712"/>
        <v>460577.06980612315</v>
      </c>
      <c r="AN307" s="44">
        <f t="shared" si="712"/>
        <v>230288.53490305389</v>
      </c>
      <c r="AO307" s="44">
        <f t="shared" si="712"/>
        <v>28786.066862877884</v>
      </c>
      <c r="AP307" s="44">
        <f t="shared" si="712"/>
        <v>0</v>
      </c>
    </row>
    <row r="308" spans="2:42">
      <c r="C308" s="151" t="str">
        <f t="shared" si="703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308" s="45"/>
      <c r="E308" s="44"/>
      <c r="F308" s="44"/>
      <c r="G308" s="45"/>
      <c r="H308" s="44">
        <f t="shared" ref="H308:AP308" si="713">SUMIF($230:$230,H$295,243:243)</f>
        <v>0</v>
      </c>
      <c r="I308" s="44">
        <f t="shared" si="713"/>
        <v>0</v>
      </c>
      <c r="J308" s="44">
        <f t="shared" si="713"/>
        <v>0</v>
      </c>
      <c r="K308" s="44">
        <f t="shared" si="713"/>
        <v>0</v>
      </c>
      <c r="L308" s="44">
        <f t="shared" si="713"/>
        <v>0</v>
      </c>
      <c r="M308" s="44">
        <f t="shared" si="713"/>
        <v>0</v>
      </c>
      <c r="N308" s="44">
        <f t="shared" si="713"/>
        <v>0</v>
      </c>
      <c r="O308" s="44">
        <f t="shared" si="713"/>
        <v>0</v>
      </c>
      <c r="P308" s="44">
        <f t="shared" si="713"/>
        <v>0</v>
      </c>
      <c r="Q308" s="44">
        <f t="shared" si="713"/>
        <v>0</v>
      </c>
      <c r="R308" s="44">
        <f t="shared" si="713"/>
        <v>0</v>
      </c>
      <c r="S308" s="44">
        <f t="shared" si="713"/>
        <v>0</v>
      </c>
      <c r="T308" s="44">
        <f t="shared" si="713"/>
        <v>0</v>
      </c>
      <c r="U308" s="44">
        <f t="shared" si="713"/>
        <v>282810.48145991017</v>
      </c>
      <c r="V308" s="44">
        <f t="shared" si="713"/>
        <v>268669.95738691464</v>
      </c>
      <c r="W308" s="44">
        <f t="shared" si="713"/>
        <v>254529.43331391917</v>
      </c>
      <c r="X308" s="44">
        <f t="shared" si="713"/>
        <v>240388.90924092368</v>
      </c>
      <c r="Y308" s="44">
        <f t="shared" si="713"/>
        <v>226248.38516792818</v>
      </c>
      <c r="Z308" s="44">
        <f t="shared" si="713"/>
        <v>212107.86109493268</v>
      </c>
      <c r="AA308" s="44">
        <f t="shared" si="713"/>
        <v>197967.33702193719</v>
      </c>
      <c r="AB308" s="44">
        <f t="shared" si="713"/>
        <v>183826.81294894166</v>
      </c>
      <c r="AC308" s="44">
        <f t="shared" si="713"/>
        <v>169686.28887594619</v>
      </c>
      <c r="AD308" s="44">
        <f t="shared" si="713"/>
        <v>155545.7648029507</v>
      </c>
      <c r="AE308" s="44">
        <f t="shared" si="713"/>
        <v>141405.24072995517</v>
      </c>
      <c r="AF308" s="44">
        <f t="shared" si="713"/>
        <v>127264.71665695969</v>
      </c>
      <c r="AG308" s="44">
        <f t="shared" si="713"/>
        <v>113124.19258396419</v>
      </c>
      <c r="AH308" s="44">
        <f t="shared" si="713"/>
        <v>98983.66851096868</v>
      </c>
      <c r="AI308" s="44">
        <f t="shared" si="713"/>
        <v>84843.144437973184</v>
      </c>
      <c r="AJ308" s="44">
        <f t="shared" si="713"/>
        <v>70702.620364977687</v>
      </c>
      <c r="AK308" s="44">
        <f t="shared" si="713"/>
        <v>56562.096291982198</v>
      </c>
      <c r="AL308" s="44">
        <f t="shared" si="713"/>
        <v>42421.572218986708</v>
      </c>
      <c r="AM308" s="44">
        <f t="shared" si="713"/>
        <v>28281.048145991226</v>
      </c>
      <c r="AN308" s="44">
        <f t="shared" si="713"/>
        <v>14140.524072995746</v>
      </c>
      <c r="AO308" s="44">
        <f t="shared" si="713"/>
        <v>1767.5655091246956</v>
      </c>
      <c r="AP308" s="44">
        <f t="shared" si="713"/>
        <v>6.498885340988635E-11</v>
      </c>
    </row>
    <row r="309" spans="2:42">
      <c r="C309" s="151" t="str">
        <f t="shared" si="703"/>
        <v>Наземный паркинг</v>
      </c>
      <c r="D309" s="45"/>
      <c r="E309" s="44"/>
      <c r="F309" s="44"/>
      <c r="G309" s="45"/>
      <c r="H309" s="44">
        <f t="shared" ref="H309:AP309" si="714">SUMIF($230:$230,H$295,244:244)</f>
        <v>0</v>
      </c>
      <c r="I309" s="44">
        <f t="shared" si="714"/>
        <v>0</v>
      </c>
      <c r="J309" s="44">
        <f t="shared" si="714"/>
        <v>0</v>
      </c>
      <c r="K309" s="44">
        <f t="shared" si="714"/>
        <v>0</v>
      </c>
      <c r="L309" s="44">
        <f t="shared" si="714"/>
        <v>0</v>
      </c>
      <c r="M309" s="44">
        <f t="shared" si="714"/>
        <v>0</v>
      </c>
      <c r="N309" s="44">
        <f t="shared" si="714"/>
        <v>0</v>
      </c>
      <c r="O309" s="44">
        <f t="shared" si="714"/>
        <v>0</v>
      </c>
      <c r="P309" s="44">
        <f t="shared" si="714"/>
        <v>0</v>
      </c>
      <c r="Q309" s="44">
        <f t="shared" si="714"/>
        <v>0</v>
      </c>
      <c r="R309" s="44">
        <f t="shared" si="714"/>
        <v>0</v>
      </c>
      <c r="S309" s="44">
        <f t="shared" si="714"/>
        <v>0</v>
      </c>
      <c r="T309" s="44">
        <f t="shared" si="714"/>
        <v>0</v>
      </c>
      <c r="U309" s="44">
        <f t="shared" si="714"/>
        <v>206047.63649222045</v>
      </c>
      <c r="V309" s="44">
        <f t="shared" si="714"/>
        <v>195745.25466760952</v>
      </c>
      <c r="W309" s="44">
        <f t="shared" si="714"/>
        <v>185442.87284299859</v>
      </c>
      <c r="X309" s="44">
        <f t="shared" si="714"/>
        <v>175140.49101838761</v>
      </c>
      <c r="Y309" s="44">
        <f t="shared" si="714"/>
        <v>164838.10919377656</v>
      </c>
      <c r="Z309" s="44">
        <f t="shared" si="714"/>
        <v>154535.72736916557</v>
      </c>
      <c r="AA309" s="44">
        <f t="shared" si="714"/>
        <v>144233.34554455453</v>
      </c>
      <c r="AB309" s="44">
        <f t="shared" si="714"/>
        <v>133930.96371994354</v>
      </c>
      <c r="AC309" s="44">
        <f t="shared" si="714"/>
        <v>123628.58189533252</v>
      </c>
      <c r="AD309" s="44">
        <f t="shared" si="714"/>
        <v>113326.20007072149</v>
      </c>
      <c r="AE309" s="44">
        <f t="shared" si="714"/>
        <v>103023.81824611047</v>
      </c>
      <c r="AF309" s="44">
        <f t="shared" si="714"/>
        <v>92721.436421499471</v>
      </c>
      <c r="AG309" s="44">
        <f t="shared" si="714"/>
        <v>82419.054596888484</v>
      </c>
      <c r="AH309" s="44">
        <f t="shared" si="714"/>
        <v>72116.67277227751</v>
      </c>
      <c r="AI309" s="44">
        <f t="shared" si="714"/>
        <v>61814.290947666537</v>
      </c>
      <c r="AJ309" s="44">
        <f t="shared" si="714"/>
        <v>51511.909123055564</v>
      </c>
      <c r="AK309" s="44">
        <f t="shared" si="714"/>
        <v>41209.527298444584</v>
      </c>
      <c r="AL309" s="44">
        <f t="shared" si="714"/>
        <v>30907.145473833589</v>
      </c>
      <c r="AM309" s="44">
        <f t="shared" si="714"/>
        <v>20604.763649222594</v>
      </c>
      <c r="AN309" s="44">
        <f t="shared" si="714"/>
        <v>10302.381824611599</v>
      </c>
      <c r="AO309" s="44">
        <f t="shared" si="714"/>
        <v>1287.7977280769792</v>
      </c>
      <c r="AP309" s="44">
        <f t="shared" si="714"/>
        <v>1.5126715879887342E-10</v>
      </c>
    </row>
    <row r="310" spans="2:42">
      <c r="C310" s="151" t="str">
        <f t="shared" si="703"/>
        <v>Организация набережных</v>
      </c>
      <c r="D310" s="45"/>
      <c r="E310" s="44"/>
      <c r="F310" s="44"/>
      <c r="G310" s="45"/>
      <c r="H310" s="44">
        <f t="shared" ref="H310:AP310" si="715">SUMIF($230:$230,H$295,245:245)</f>
        <v>0</v>
      </c>
      <c r="I310" s="44">
        <f t="shared" si="715"/>
        <v>0</v>
      </c>
      <c r="J310" s="44">
        <f t="shared" si="715"/>
        <v>0</v>
      </c>
      <c r="K310" s="44">
        <f t="shared" si="715"/>
        <v>0</v>
      </c>
      <c r="L310" s="44">
        <f t="shared" si="715"/>
        <v>0</v>
      </c>
      <c r="M310" s="44">
        <f t="shared" si="715"/>
        <v>0</v>
      </c>
      <c r="N310" s="44">
        <f t="shared" si="715"/>
        <v>0</v>
      </c>
      <c r="O310" s="44">
        <f t="shared" si="715"/>
        <v>0</v>
      </c>
      <c r="P310" s="44">
        <f t="shared" si="715"/>
        <v>0</v>
      </c>
      <c r="Q310" s="44">
        <f t="shared" si="715"/>
        <v>0</v>
      </c>
      <c r="R310" s="44">
        <f t="shared" si="715"/>
        <v>0</v>
      </c>
      <c r="S310" s="44">
        <f t="shared" si="715"/>
        <v>0</v>
      </c>
      <c r="T310" s="44">
        <f t="shared" si="715"/>
        <v>0</v>
      </c>
      <c r="U310" s="44">
        <f t="shared" si="715"/>
        <v>1939271.8728679542</v>
      </c>
      <c r="V310" s="44">
        <f t="shared" si="715"/>
        <v>1842308.2792245571</v>
      </c>
      <c r="W310" s="44">
        <f t="shared" si="715"/>
        <v>1745344.6855811598</v>
      </c>
      <c r="X310" s="44">
        <f t="shared" si="715"/>
        <v>1648381.0919377622</v>
      </c>
      <c r="Y310" s="44">
        <f t="shared" si="715"/>
        <v>1551417.4982943651</v>
      </c>
      <c r="Z310" s="44">
        <f t="shared" si="715"/>
        <v>1454453.9046509678</v>
      </c>
      <c r="AA310" s="44">
        <f t="shared" si="715"/>
        <v>1357490.3110075705</v>
      </c>
      <c r="AB310" s="44">
        <f t="shared" si="715"/>
        <v>1260526.7173641729</v>
      </c>
      <c r="AC310" s="44">
        <f t="shared" si="715"/>
        <v>1163563.1237207758</v>
      </c>
      <c r="AD310" s="44">
        <f t="shared" si="715"/>
        <v>1066599.5300773785</v>
      </c>
      <c r="AE310" s="44">
        <f t="shared" si="715"/>
        <v>969635.93643398117</v>
      </c>
      <c r="AF310" s="44">
        <f t="shared" si="715"/>
        <v>872672.34279058373</v>
      </c>
      <c r="AG310" s="44">
        <f t="shared" si="715"/>
        <v>775708.74914718652</v>
      </c>
      <c r="AH310" s="44">
        <f t="shared" si="715"/>
        <v>678745.15550378896</v>
      </c>
      <c r="AI310" s="44">
        <f t="shared" si="715"/>
        <v>581781.56186039129</v>
      </c>
      <c r="AJ310" s="44">
        <f t="shared" si="715"/>
        <v>484817.96821699361</v>
      </c>
      <c r="AK310" s="44">
        <f t="shared" si="715"/>
        <v>387854.37457359594</v>
      </c>
      <c r="AL310" s="44">
        <f t="shared" si="715"/>
        <v>290890.78093019826</v>
      </c>
      <c r="AM310" s="44">
        <f t="shared" si="715"/>
        <v>193927.18728680065</v>
      </c>
      <c r="AN310" s="44">
        <f t="shared" si="715"/>
        <v>96963.593643403059</v>
      </c>
      <c r="AO310" s="44">
        <f t="shared" si="715"/>
        <v>12120.449205430179</v>
      </c>
      <c r="AP310" s="44">
        <f t="shared" si="715"/>
        <v>1.3702083379030227E-9</v>
      </c>
    </row>
    <row r="311" spans="2:42">
      <c r="C311" s="151" t="str">
        <f t="shared" si="703"/>
        <v>Трансформаторная подстанция</v>
      </c>
      <c r="D311" s="45"/>
      <c r="E311" s="44"/>
      <c r="F311" s="44"/>
      <c r="G311" s="45"/>
      <c r="H311" s="44">
        <f t="shared" ref="H311:AP311" si="716">SUMIF($230:$230,H$295,246:246)</f>
        <v>0</v>
      </c>
      <c r="I311" s="44">
        <f t="shared" si="716"/>
        <v>0</v>
      </c>
      <c r="J311" s="44">
        <f t="shared" si="716"/>
        <v>0</v>
      </c>
      <c r="K311" s="44">
        <f t="shared" si="716"/>
        <v>0</v>
      </c>
      <c r="L311" s="44">
        <f t="shared" si="716"/>
        <v>0</v>
      </c>
      <c r="M311" s="44">
        <f t="shared" si="716"/>
        <v>0</v>
      </c>
      <c r="N311" s="44">
        <f t="shared" si="716"/>
        <v>0</v>
      </c>
      <c r="O311" s="44">
        <f t="shared" si="716"/>
        <v>0</v>
      </c>
      <c r="P311" s="44">
        <f t="shared" si="716"/>
        <v>0</v>
      </c>
      <c r="Q311" s="44">
        <f t="shared" si="716"/>
        <v>0</v>
      </c>
      <c r="R311" s="44">
        <f t="shared" si="716"/>
        <v>0</v>
      </c>
      <c r="S311" s="44">
        <f t="shared" si="716"/>
        <v>0</v>
      </c>
      <c r="T311" s="44">
        <f t="shared" si="716"/>
        <v>0</v>
      </c>
      <c r="U311" s="44">
        <f t="shared" si="716"/>
        <v>193927.1872867948</v>
      </c>
      <c r="V311" s="44">
        <f t="shared" si="716"/>
        <v>184230.82792245504</v>
      </c>
      <c r="W311" s="44">
        <f t="shared" si="716"/>
        <v>174534.46855811522</v>
      </c>
      <c r="X311" s="44">
        <f t="shared" si="716"/>
        <v>164838.10919377542</v>
      </c>
      <c r="Y311" s="44">
        <f t="shared" si="716"/>
        <v>155141.7498294356</v>
      </c>
      <c r="Z311" s="44">
        <f t="shared" si="716"/>
        <v>145445.39046509581</v>
      </c>
      <c r="AA311" s="44">
        <f t="shared" si="716"/>
        <v>135749.03110075602</v>
      </c>
      <c r="AB311" s="44">
        <f t="shared" si="716"/>
        <v>126052.67173641622</v>
      </c>
      <c r="AC311" s="44">
        <f t="shared" si="716"/>
        <v>116356.31237207644</v>
      </c>
      <c r="AD311" s="44">
        <f t="shared" si="716"/>
        <v>106659.95300773662</v>
      </c>
      <c r="AE311" s="44">
        <f t="shared" si="716"/>
        <v>96963.593643396831</v>
      </c>
      <c r="AF311" s="44">
        <f t="shared" si="716"/>
        <v>87267.234279057069</v>
      </c>
      <c r="AG311" s="44">
        <f t="shared" si="716"/>
        <v>77570.874914717308</v>
      </c>
      <c r="AH311" s="44">
        <f t="shared" si="716"/>
        <v>67874.515550377546</v>
      </c>
      <c r="AI311" s="44">
        <f t="shared" si="716"/>
        <v>58178.156186037799</v>
      </c>
      <c r="AJ311" s="44">
        <f t="shared" si="716"/>
        <v>48481.796821698044</v>
      </c>
      <c r="AK311" s="44">
        <f t="shared" si="716"/>
        <v>38785.437457358283</v>
      </c>
      <c r="AL311" s="44">
        <f t="shared" si="716"/>
        <v>29089.078093018521</v>
      </c>
      <c r="AM311" s="44">
        <f t="shared" si="716"/>
        <v>19392.718728678767</v>
      </c>
      <c r="AN311" s="44">
        <f t="shared" si="716"/>
        <v>9696.3593643390086</v>
      </c>
      <c r="AO311" s="44">
        <f t="shared" si="716"/>
        <v>1212.0449205421887</v>
      </c>
      <c r="AP311" s="44">
        <f t="shared" si="716"/>
        <v>0</v>
      </c>
    </row>
    <row r="312" spans="2:42">
      <c r="B312" s="139" t="s">
        <v>489</v>
      </c>
      <c r="C312" s="151" t="str">
        <f t="shared" si="703"/>
        <v>Канализационная насосная станция</v>
      </c>
      <c r="D312" s="45"/>
      <c r="E312" s="44"/>
      <c r="F312" s="44"/>
      <c r="G312" s="45"/>
      <c r="H312" s="44">
        <f t="shared" ref="H312:AP312" si="717">SUMIF($230:$230,H$295,247:247)</f>
        <v>0</v>
      </c>
      <c r="I312" s="44">
        <f t="shared" si="717"/>
        <v>0</v>
      </c>
      <c r="J312" s="44">
        <f t="shared" si="717"/>
        <v>0</v>
      </c>
      <c r="K312" s="44">
        <f t="shared" si="717"/>
        <v>0</v>
      </c>
      <c r="L312" s="44">
        <f t="shared" si="717"/>
        <v>0</v>
      </c>
      <c r="M312" s="44">
        <f t="shared" si="717"/>
        <v>0</v>
      </c>
      <c r="N312" s="44">
        <f t="shared" si="717"/>
        <v>0</v>
      </c>
      <c r="O312" s="44">
        <f t="shared" si="717"/>
        <v>0</v>
      </c>
      <c r="P312" s="44">
        <f t="shared" si="717"/>
        <v>0</v>
      </c>
      <c r="Q312" s="44">
        <f t="shared" si="717"/>
        <v>0</v>
      </c>
      <c r="R312" s="44">
        <f t="shared" si="717"/>
        <v>0</v>
      </c>
      <c r="S312" s="44">
        <f t="shared" si="717"/>
        <v>0</v>
      </c>
      <c r="T312" s="44">
        <f t="shared" si="717"/>
        <v>0</v>
      </c>
      <c r="U312" s="44">
        <f t="shared" si="717"/>
        <v>73692.331168981997</v>
      </c>
      <c r="V312" s="44">
        <f t="shared" si="717"/>
        <v>70007.714610532872</v>
      </c>
      <c r="W312" s="44">
        <f t="shared" si="717"/>
        <v>66323.098052083747</v>
      </c>
      <c r="X312" s="44">
        <f t="shared" si="717"/>
        <v>62638.481493634616</v>
      </c>
      <c r="Y312" s="44">
        <f t="shared" si="717"/>
        <v>58953.864935185498</v>
      </c>
      <c r="Z312" s="44">
        <f t="shared" si="717"/>
        <v>55269.248376736366</v>
      </c>
      <c r="AA312" s="44">
        <f t="shared" si="717"/>
        <v>51584.631818287235</v>
      </c>
      <c r="AB312" s="44">
        <f t="shared" si="717"/>
        <v>47900.01525983811</v>
      </c>
      <c r="AC312" s="44">
        <f t="shared" si="717"/>
        <v>44215.398701389</v>
      </c>
      <c r="AD312" s="44">
        <f t="shared" si="717"/>
        <v>40530.78214293989</v>
      </c>
      <c r="AE312" s="44">
        <f t="shared" si="717"/>
        <v>36846.165584490787</v>
      </c>
      <c r="AF312" s="44">
        <f t="shared" si="717"/>
        <v>33161.549026041685</v>
      </c>
      <c r="AG312" s="44">
        <f t="shared" si="717"/>
        <v>29476.932467592578</v>
      </c>
      <c r="AH312" s="44">
        <f t="shared" si="717"/>
        <v>25792.315909143472</v>
      </c>
      <c r="AI312" s="44">
        <f t="shared" si="717"/>
        <v>22107.699350694365</v>
      </c>
      <c r="AJ312" s="44">
        <f t="shared" si="717"/>
        <v>18423.082792245259</v>
      </c>
      <c r="AK312" s="44">
        <f t="shared" si="717"/>
        <v>14738.466233796154</v>
      </c>
      <c r="AL312" s="44">
        <f t="shared" si="717"/>
        <v>11053.849675347046</v>
      </c>
      <c r="AM312" s="44">
        <f t="shared" si="717"/>
        <v>7369.2331168979399</v>
      </c>
      <c r="AN312" s="44">
        <f t="shared" si="717"/>
        <v>3684.6165584488326</v>
      </c>
      <c r="AO312" s="44">
        <f t="shared" si="717"/>
        <v>460.57706980603507</v>
      </c>
      <c r="AP312" s="44">
        <f t="shared" si="717"/>
        <v>0</v>
      </c>
    </row>
    <row r="313" spans="2:42">
      <c r="B313" s="459">
        <f>$B$19</f>
        <v>15</v>
      </c>
      <c r="C313" s="151" t="str">
        <f t="shared" si="703"/>
        <v>Стоимость проектных работ - 4% от СМР (мебель и технологическое оборудование не учитываются)</v>
      </c>
      <c r="D313" s="45"/>
      <c r="E313" s="44"/>
      <c r="F313" s="44"/>
      <c r="G313" s="45"/>
      <c r="H313" s="44">
        <f t="shared" ref="H313:AP313" si="718">SUMIF($230:$230,H$295,248:248)</f>
        <v>0</v>
      </c>
      <c r="I313" s="44">
        <f t="shared" si="718"/>
        <v>0</v>
      </c>
      <c r="J313" s="44">
        <f t="shared" si="718"/>
        <v>0</v>
      </c>
      <c r="K313" s="44">
        <f t="shared" si="718"/>
        <v>0</v>
      </c>
      <c r="L313" s="44">
        <f t="shared" si="718"/>
        <v>0</v>
      </c>
      <c r="M313" s="44">
        <f t="shared" si="718"/>
        <v>0</v>
      </c>
      <c r="N313" s="44">
        <f t="shared" si="718"/>
        <v>0</v>
      </c>
      <c r="O313" s="44">
        <f t="shared" si="718"/>
        <v>0</v>
      </c>
      <c r="P313" s="44">
        <f t="shared" si="718"/>
        <v>0</v>
      </c>
      <c r="Q313" s="44">
        <f t="shared" si="718"/>
        <v>0</v>
      </c>
      <c r="R313" s="44">
        <f t="shared" si="718"/>
        <v>0</v>
      </c>
      <c r="S313" s="44">
        <f t="shared" si="718"/>
        <v>0</v>
      </c>
      <c r="T313" s="44">
        <f t="shared" si="718"/>
        <v>0</v>
      </c>
      <c r="U313" s="44">
        <f t="shared" si="718"/>
        <v>3496666.8718348197</v>
      </c>
      <c r="V313" s="44">
        <f t="shared" si="718"/>
        <v>3321833.5282430789</v>
      </c>
      <c r="W313" s="44">
        <f t="shared" si="718"/>
        <v>3147000.1846513385</v>
      </c>
      <c r="X313" s="44">
        <f t="shared" si="718"/>
        <v>2972166.8410595977</v>
      </c>
      <c r="Y313" s="44">
        <f t="shared" si="718"/>
        <v>2797333.4974678573</v>
      </c>
      <c r="Z313" s="44">
        <f t="shared" si="718"/>
        <v>2622500.153876117</v>
      </c>
      <c r="AA313" s="44">
        <f t="shared" si="718"/>
        <v>2447666.8102843766</v>
      </c>
      <c r="AB313" s="44">
        <f t="shared" si="718"/>
        <v>2272833.4666926353</v>
      </c>
      <c r="AC313" s="44">
        <f t="shared" si="718"/>
        <v>2098000.123100895</v>
      </c>
      <c r="AD313" s="44">
        <f t="shared" si="718"/>
        <v>1923166.7795091544</v>
      </c>
      <c r="AE313" s="44">
        <f t="shared" si="718"/>
        <v>1748333.4359174138</v>
      </c>
      <c r="AF313" s="44">
        <f t="shared" si="718"/>
        <v>1573500.0923256734</v>
      </c>
      <c r="AG313" s="44">
        <f t="shared" si="718"/>
        <v>1398666.7487339326</v>
      </c>
      <c r="AH313" s="44">
        <f t="shared" si="718"/>
        <v>1223833.405142192</v>
      </c>
      <c r="AI313" s="44">
        <f t="shared" si="718"/>
        <v>1049000.0615504514</v>
      </c>
      <c r="AJ313" s="44">
        <f t="shared" si="718"/>
        <v>874166.71795871085</v>
      </c>
      <c r="AK313" s="44">
        <f t="shared" si="718"/>
        <v>699333.37436697015</v>
      </c>
      <c r="AL313" s="44">
        <f t="shared" si="718"/>
        <v>524500.03077522933</v>
      </c>
      <c r="AM313" s="44">
        <f t="shared" si="718"/>
        <v>349666.68718348833</v>
      </c>
      <c r="AN313" s="44">
        <f t="shared" si="718"/>
        <v>174833.34359174743</v>
      </c>
      <c r="AO313" s="44">
        <f t="shared" si="718"/>
        <v>21854.167948974176</v>
      </c>
      <c r="AP313" s="44">
        <f t="shared" si="718"/>
        <v>1.6416888684034346E-9</v>
      </c>
    </row>
    <row r="314" spans="2:42" s="1414" customFormat="1">
      <c r="B314" s="1319"/>
      <c r="C314" s="465" t="s">
        <v>749</v>
      </c>
      <c r="D314" s="465"/>
      <c r="E314" s="465"/>
      <c r="F314" s="465"/>
      <c r="G314" s="465"/>
      <c r="H314" s="473">
        <f>SUM(H305:H313)</f>
        <v>0</v>
      </c>
      <c r="I314" s="473">
        <f t="shared" ref="I314:V314" si="719">SUM(I305:I313)</f>
        <v>0</v>
      </c>
      <c r="J314" s="473">
        <f t="shared" si="719"/>
        <v>0</v>
      </c>
      <c r="K314" s="473">
        <f t="shared" si="719"/>
        <v>0</v>
      </c>
      <c r="L314" s="473">
        <f t="shared" si="719"/>
        <v>0</v>
      </c>
      <c r="M314" s="473">
        <f t="shared" si="719"/>
        <v>0</v>
      </c>
      <c r="N314" s="473">
        <f t="shared" si="719"/>
        <v>0</v>
      </c>
      <c r="O314" s="473">
        <f t="shared" si="719"/>
        <v>0</v>
      </c>
      <c r="P314" s="473">
        <f t="shared" si="719"/>
        <v>0</v>
      </c>
      <c r="Q314" s="473">
        <f t="shared" si="719"/>
        <v>0</v>
      </c>
      <c r="R314" s="473">
        <f t="shared" si="719"/>
        <v>0</v>
      </c>
      <c r="S314" s="473">
        <f t="shared" si="719"/>
        <v>0</v>
      </c>
      <c r="T314" s="473">
        <f t="shared" si="719"/>
        <v>0</v>
      </c>
      <c r="U314" s="473">
        <f t="shared" si="719"/>
        <v>13461858.337010458</v>
      </c>
      <c r="V314" s="473">
        <f t="shared" si="719"/>
        <v>12788765.420159936</v>
      </c>
      <c r="W314" s="473">
        <f t="shared" ref="W314:AP314" si="720">SUM(W305:W313)</f>
        <v>12115672.503309414</v>
      </c>
      <c r="X314" s="473">
        <f t="shared" si="720"/>
        <v>11442579.58645889</v>
      </c>
      <c r="Y314" s="473">
        <f t="shared" si="720"/>
        <v>10769486.669608366</v>
      </c>
      <c r="Z314" s="473">
        <f t="shared" si="720"/>
        <v>10096393.752757844</v>
      </c>
      <c r="AA314" s="473">
        <f t="shared" si="720"/>
        <v>9423300.8359073196</v>
      </c>
      <c r="AB314" s="473">
        <f t="shared" si="720"/>
        <v>8750207.9190567955</v>
      </c>
      <c r="AC314" s="473">
        <f t="shared" si="720"/>
        <v>8077115.0022062752</v>
      </c>
      <c r="AD314" s="473">
        <f t="shared" si="720"/>
        <v>7404022.0853557503</v>
      </c>
      <c r="AE314" s="473">
        <f t="shared" si="720"/>
        <v>6730929.1685052281</v>
      </c>
      <c r="AF314" s="473">
        <f t="shared" si="720"/>
        <v>6057836.251654705</v>
      </c>
      <c r="AG314" s="473">
        <f t="shared" si="720"/>
        <v>5384743.3348041829</v>
      </c>
      <c r="AH314" s="473">
        <f t="shared" si="720"/>
        <v>4711650.4179536598</v>
      </c>
      <c r="AI314" s="473">
        <f t="shared" si="720"/>
        <v>4038557.5011031362</v>
      </c>
      <c r="AJ314" s="473">
        <f t="shared" si="720"/>
        <v>3365464.5842526145</v>
      </c>
      <c r="AK314" s="473">
        <f t="shared" si="720"/>
        <v>2692371.6674020919</v>
      </c>
      <c r="AL314" s="473">
        <f t="shared" si="720"/>
        <v>2019278.7505515693</v>
      </c>
      <c r="AM314" s="473">
        <f t="shared" si="720"/>
        <v>1346185.8337010464</v>
      </c>
      <c r="AN314" s="473">
        <f t="shared" si="720"/>
        <v>673092.91685052367</v>
      </c>
      <c r="AO314" s="473">
        <f t="shared" si="720"/>
        <v>84136.614606326795</v>
      </c>
      <c r="AP314" s="473">
        <f t="shared" si="720"/>
        <v>4.4062762754037972E-9</v>
      </c>
    </row>
    <row r="315" spans="2:42">
      <c r="B315" s="40"/>
    </row>
    <row r="316" spans="2:42">
      <c r="B316" s="40"/>
    </row>
    <row r="317" spans="2:42" s="1414" customFormat="1" ht="15.75">
      <c r="C317" s="1544"/>
      <c r="D317" s="1444"/>
      <c r="H317" s="463">
        <f t="shared" ref="H317:AP317" si="721">H295</f>
        <v>2022</v>
      </c>
      <c r="I317" s="463">
        <f t="shared" si="721"/>
        <v>2023</v>
      </c>
      <c r="J317" s="463">
        <f t="shared" si="721"/>
        <v>2024</v>
      </c>
      <c r="K317" s="463">
        <f t="shared" si="721"/>
        <v>2025</v>
      </c>
      <c r="L317" s="463">
        <f t="shared" si="721"/>
        <v>2026</v>
      </c>
      <c r="M317" s="463">
        <f t="shared" si="721"/>
        <v>2027</v>
      </c>
      <c r="N317" s="463">
        <f t="shared" si="721"/>
        <v>2028</v>
      </c>
      <c r="O317" s="463">
        <f t="shared" si="721"/>
        <v>2029</v>
      </c>
      <c r="P317" s="463">
        <f t="shared" si="721"/>
        <v>2030</v>
      </c>
      <c r="Q317" s="463">
        <f t="shared" si="721"/>
        <v>2031</v>
      </c>
      <c r="R317" s="463">
        <f t="shared" si="721"/>
        <v>2032</v>
      </c>
      <c r="S317" s="463">
        <f t="shared" si="721"/>
        <v>2033</v>
      </c>
      <c r="T317" s="463">
        <f t="shared" si="721"/>
        <v>2034</v>
      </c>
      <c r="U317" s="463">
        <f t="shared" si="721"/>
        <v>2035</v>
      </c>
      <c r="V317" s="463">
        <f t="shared" si="721"/>
        <v>2036</v>
      </c>
      <c r="W317" s="463">
        <f t="shared" si="721"/>
        <v>2037</v>
      </c>
      <c r="X317" s="463">
        <f t="shared" si="721"/>
        <v>2038</v>
      </c>
      <c r="Y317" s="463">
        <f t="shared" si="721"/>
        <v>2039</v>
      </c>
      <c r="Z317" s="463">
        <f t="shared" si="721"/>
        <v>2040</v>
      </c>
      <c r="AA317" s="463">
        <f t="shared" si="721"/>
        <v>2041</v>
      </c>
      <c r="AB317" s="463">
        <f t="shared" si="721"/>
        <v>2042</v>
      </c>
      <c r="AC317" s="463">
        <f t="shared" si="721"/>
        <v>2043</v>
      </c>
      <c r="AD317" s="463">
        <f t="shared" si="721"/>
        <v>2044</v>
      </c>
      <c r="AE317" s="463">
        <f t="shared" si="721"/>
        <v>2045</v>
      </c>
      <c r="AF317" s="463">
        <f t="shared" si="721"/>
        <v>2046</v>
      </c>
      <c r="AG317" s="463">
        <f t="shared" si="721"/>
        <v>2047</v>
      </c>
      <c r="AH317" s="463">
        <f t="shared" si="721"/>
        <v>2048</v>
      </c>
      <c r="AI317" s="463">
        <f t="shared" si="721"/>
        <v>2049</v>
      </c>
      <c r="AJ317" s="463">
        <f t="shared" si="721"/>
        <v>2050</v>
      </c>
      <c r="AK317" s="463">
        <f t="shared" si="721"/>
        <v>2051</v>
      </c>
      <c r="AL317" s="463">
        <f t="shared" si="721"/>
        <v>2052</v>
      </c>
      <c r="AM317" s="463">
        <f t="shared" si="721"/>
        <v>2053</v>
      </c>
      <c r="AN317" s="463">
        <f t="shared" si="721"/>
        <v>2054</v>
      </c>
      <c r="AO317" s="463">
        <f t="shared" si="721"/>
        <v>2055</v>
      </c>
      <c r="AP317" s="463">
        <f t="shared" si="721"/>
        <v>2056</v>
      </c>
    </row>
    <row r="318" spans="2:42" ht="15.75">
      <c r="B318" s="40"/>
      <c r="C318" s="22" t="s">
        <v>491</v>
      </c>
      <c r="E318" s="40"/>
      <c r="F318" s="40"/>
      <c r="G318" s="40"/>
      <c r="H318" s="464">
        <f t="shared" ref="H318:AP318" si="722">H296</f>
        <v>44593</v>
      </c>
      <c r="I318" s="464">
        <f t="shared" si="722"/>
        <v>44927</v>
      </c>
      <c r="J318" s="464">
        <f t="shared" si="722"/>
        <v>45292</v>
      </c>
      <c r="K318" s="464">
        <f t="shared" si="722"/>
        <v>45658</v>
      </c>
      <c r="L318" s="464">
        <f t="shared" si="722"/>
        <v>46023</v>
      </c>
      <c r="M318" s="464">
        <f t="shared" si="722"/>
        <v>46388</v>
      </c>
      <c r="N318" s="464">
        <f t="shared" si="722"/>
        <v>46753</v>
      </c>
      <c r="O318" s="464">
        <f t="shared" si="722"/>
        <v>47119</v>
      </c>
      <c r="P318" s="464">
        <f t="shared" si="722"/>
        <v>47484</v>
      </c>
      <c r="Q318" s="464">
        <f t="shared" si="722"/>
        <v>47849</v>
      </c>
      <c r="R318" s="464">
        <f t="shared" si="722"/>
        <v>48214</v>
      </c>
      <c r="S318" s="464">
        <f t="shared" si="722"/>
        <v>48580</v>
      </c>
      <c r="T318" s="464">
        <f t="shared" si="722"/>
        <v>48945</v>
      </c>
      <c r="U318" s="464">
        <f t="shared" si="722"/>
        <v>49310</v>
      </c>
      <c r="V318" s="464">
        <f t="shared" si="722"/>
        <v>49675</v>
      </c>
      <c r="W318" s="464">
        <f t="shared" si="722"/>
        <v>50041</v>
      </c>
      <c r="X318" s="464">
        <f t="shared" si="722"/>
        <v>50406</v>
      </c>
      <c r="Y318" s="464">
        <f t="shared" si="722"/>
        <v>50771</v>
      </c>
      <c r="Z318" s="464">
        <f t="shared" si="722"/>
        <v>51136</v>
      </c>
      <c r="AA318" s="464">
        <f t="shared" si="722"/>
        <v>51502</v>
      </c>
      <c r="AB318" s="464">
        <f t="shared" si="722"/>
        <v>51867</v>
      </c>
      <c r="AC318" s="464">
        <f t="shared" si="722"/>
        <v>52232</v>
      </c>
      <c r="AD318" s="464">
        <f t="shared" si="722"/>
        <v>52597</v>
      </c>
      <c r="AE318" s="464">
        <f t="shared" si="722"/>
        <v>52963</v>
      </c>
      <c r="AF318" s="464">
        <f t="shared" si="722"/>
        <v>53328</v>
      </c>
      <c r="AG318" s="464">
        <f t="shared" si="722"/>
        <v>53693</v>
      </c>
      <c r="AH318" s="464">
        <f t="shared" si="722"/>
        <v>54058</v>
      </c>
      <c r="AI318" s="464">
        <f t="shared" si="722"/>
        <v>54424</v>
      </c>
      <c r="AJ318" s="464">
        <f t="shared" si="722"/>
        <v>54789</v>
      </c>
      <c r="AK318" s="464">
        <f t="shared" si="722"/>
        <v>55154</v>
      </c>
      <c r="AL318" s="464">
        <f t="shared" si="722"/>
        <v>55519</v>
      </c>
      <c r="AM318" s="464">
        <f t="shared" si="722"/>
        <v>55885</v>
      </c>
      <c r="AN318" s="464">
        <f t="shared" si="722"/>
        <v>56250</v>
      </c>
      <c r="AO318" s="464">
        <f t="shared" si="722"/>
        <v>56615</v>
      </c>
      <c r="AP318" s="464">
        <f t="shared" si="722"/>
        <v>56980</v>
      </c>
    </row>
    <row r="319" spans="2:42" ht="15.75">
      <c r="C319" s="22" t="s">
        <v>492</v>
      </c>
      <c r="E319" s="42"/>
      <c r="F319" s="42"/>
      <c r="G319" s="42"/>
      <c r="H319" s="464">
        <f t="shared" ref="H319:AP319" si="723">H297</f>
        <v>44926</v>
      </c>
      <c r="I319" s="464">
        <f t="shared" si="723"/>
        <v>45291</v>
      </c>
      <c r="J319" s="464">
        <f t="shared" si="723"/>
        <v>45657</v>
      </c>
      <c r="K319" s="464">
        <f t="shared" si="723"/>
        <v>46022</v>
      </c>
      <c r="L319" s="464">
        <f t="shared" si="723"/>
        <v>46387</v>
      </c>
      <c r="M319" s="464">
        <f t="shared" si="723"/>
        <v>46752</v>
      </c>
      <c r="N319" s="464">
        <f t="shared" si="723"/>
        <v>47118</v>
      </c>
      <c r="O319" s="464">
        <f t="shared" si="723"/>
        <v>47483</v>
      </c>
      <c r="P319" s="464">
        <f t="shared" si="723"/>
        <v>47848</v>
      </c>
      <c r="Q319" s="464">
        <f t="shared" si="723"/>
        <v>48213</v>
      </c>
      <c r="R319" s="464">
        <f t="shared" si="723"/>
        <v>48579</v>
      </c>
      <c r="S319" s="464">
        <f t="shared" si="723"/>
        <v>48944</v>
      </c>
      <c r="T319" s="464">
        <f t="shared" si="723"/>
        <v>49309</v>
      </c>
      <c r="U319" s="464">
        <f t="shared" si="723"/>
        <v>49674</v>
      </c>
      <c r="V319" s="464">
        <f t="shared" si="723"/>
        <v>50040</v>
      </c>
      <c r="W319" s="464">
        <f t="shared" si="723"/>
        <v>50405</v>
      </c>
      <c r="X319" s="464">
        <f t="shared" si="723"/>
        <v>50770</v>
      </c>
      <c r="Y319" s="464">
        <f t="shared" si="723"/>
        <v>51135</v>
      </c>
      <c r="Z319" s="464">
        <f t="shared" si="723"/>
        <v>51501</v>
      </c>
      <c r="AA319" s="464">
        <f t="shared" si="723"/>
        <v>51866</v>
      </c>
      <c r="AB319" s="464">
        <f t="shared" si="723"/>
        <v>52231</v>
      </c>
      <c r="AC319" s="464">
        <f t="shared" si="723"/>
        <v>52596</v>
      </c>
      <c r="AD319" s="464">
        <f t="shared" si="723"/>
        <v>52962</v>
      </c>
      <c r="AE319" s="464">
        <f t="shared" si="723"/>
        <v>53327</v>
      </c>
      <c r="AF319" s="464">
        <f t="shared" si="723"/>
        <v>53692</v>
      </c>
      <c r="AG319" s="464">
        <f t="shared" si="723"/>
        <v>54057</v>
      </c>
      <c r="AH319" s="464">
        <f t="shared" si="723"/>
        <v>54423</v>
      </c>
      <c r="AI319" s="464">
        <f t="shared" si="723"/>
        <v>54788</v>
      </c>
      <c r="AJ319" s="464">
        <f t="shared" si="723"/>
        <v>55153</v>
      </c>
      <c r="AK319" s="464">
        <f t="shared" si="723"/>
        <v>55518</v>
      </c>
      <c r="AL319" s="464">
        <f t="shared" si="723"/>
        <v>55884</v>
      </c>
      <c r="AM319" s="464">
        <f t="shared" si="723"/>
        <v>56249</v>
      </c>
      <c r="AN319" s="464">
        <f t="shared" si="723"/>
        <v>56614</v>
      </c>
      <c r="AO319" s="464">
        <f t="shared" si="723"/>
        <v>56979</v>
      </c>
      <c r="AP319" s="464">
        <f t="shared" si="723"/>
        <v>57345</v>
      </c>
    </row>
    <row r="320" spans="2:42" s="1414" customFormat="1">
      <c r="B320" s="1319"/>
      <c r="C320" s="465" t="s">
        <v>748</v>
      </c>
      <c r="D320" s="465"/>
      <c r="E320" s="465"/>
      <c r="F320" s="465"/>
      <c r="G320" s="465"/>
      <c r="H320" s="473">
        <f t="shared" ref="H320:AP320" si="724">SUM(H321:H326)</f>
        <v>0</v>
      </c>
      <c r="I320" s="473">
        <f t="shared" si="724"/>
        <v>0</v>
      </c>
      <c r="J320" s="473">
        <f t="shared" si="724"/>
        <v>0</v>
      </c>
      <c r="K320" s="473">
        <f t="shared" si="724"/>
        <v>4216484.6882814895</v>
      </c>
      <c r="L320" s="473">
        <f t="shared" si="724"/>
        <v>14838326.618974056</v>
      </c>
      <c r="M320" s="473">
        <f t="shared" si="724"/>
        <v>14330487.354454646</v>
      </c>
      <c r="N320" s="473">
        <f t="shared" si="724"/>
        <v>13822648.089935238</v>
      </c>
      <c r="O320" s="473">
        <f t="shared" si="724"/>
        <v>13314808.825415829</v>
      </c>
      <c r="P320" s="473">
        <f t="shared" si="724"/>
        <v>12806969.560896421</v>
      </c>
      <c r="Q320" s="473">
        <f t="shared" si="724"/>
        <v>12299130.296377011</v>
      </c>
      <c r="R320" s="473">
        <f t="shared" si="724"/>
        <v>11791291.031857602</v>
      </c>
      <c r="S320" s="473">
        <f t="shared" si="724"/>
        <v>11283451.767338194</v>
      </c>
      <c r="T320" s="473">
        <f t="shared" si="724"/>
        <v>10775612.502818784</v>
      </c>
      <c r="U320" s="473">
        <f t="shared" si="724"/>
        <v>10267773.238299374</v>
      </c>
      <c r="V320" s="473">
        <f t="shared" si="724"/>
        <v>9759933.9737799652</v>
      </c>
      <c r="W320" s="473">
        <f t="shared" si="724"/>
        <v>9252094.709260555</v>
      </c>
      <c r="X320" s="473">
        <f t="shared" si="724"/>
        <v>8744255.4447411448</v>
      </c>
      <c r="Y320" s="473">
        <f t="shared" si="724"/>
        <v>8236416.1802217364</v>
      </c>
      <c r="Z320" s="473">
        <f t="shared" si="724"/>
        <v>7728576.9157023253</v>
      </c>
      <c r="AA320" s="473">
        <f t="shared" si="724"/>
        <v>7220737.651182916</v>
      </c>
      <c r="AB320" s="473">
        <f t="shared" si="724"/>
        <v>6712898.3866635077</v>
      </c>
      <c r="AC320" s="473">
        <f t="shared" si="724"/>
        <v>6205059.1221440965</v>
      </c>
      <c r="AD320" s="473">
        <f t="shared" si="724"/>
        <v>5697219.8576246873</v>
      </c>
      <c r="AE320" s="473">
        <f t="shared" si="724"/>
        <v>5189380.593105277</v>
      </c>
      <c r="AF320" s="473">
        <f t="shared" si="724"/>
        <v>4681541.3285858687</v>
      </c>
      <c r="AG320" s="473">
        <f t="shared" si="724"/>
        <v>4173702.0640664599</v>
      </c>
      <c r="AH320" s="473">
        <f t="shared" si="724"/>
        <v>3665862.7995470501</v>
      </c>
      <c r="AI320" s="473">
        <f t="shared" si="724"/>
        <v>3158023.5350276404</v>
      </c>
      <c r="AJ320" s="473">
        <f t="shared" si="724"/>
        <v>2650184.2705082316</v>
      </c>
      <c r="AK320" s="473">
        <f t="shared" si="724"/>
        <v>2142345.0059888223</v>
      </c>
      <c r="AL320" s="473">
        <f t="shared" si="724"/>
        <v>1634505.741469413</v>
      </c>
      <c r="AM320" s="473">
        <f t="shared" si="724"/>
        <v>1126666.4769500035</v>
      </c>
      <c r="AN320" s="473">
        <f t="shared" si="724"/>
        <v>618827.21243059391</v>
      </c>
      <c r="AO320" s="473">
        <f t="shared" si="724"/>
        <v>182453.79008544955</v>
      </c>
      <c r="AP320" s="473">
        <f t="shared" si="724"/>
        <v>0</v>
      </c>
    </row>
    <row r="321" spans="2:42">
      <c r="C321" s="1060" t="str">
        <f t="shared" ref="C321:C335" si="725">C299</f>
        <v>Гостиница 5*</v>
      </c>
      <c r="D321" s="1061"/>
      <c r="E321" s="1062"/>
      <c r="F321" s="1062"/>
      <c r="G321" s="1061"/>
      <c r="H321" s="1062">
        <f>Вводные!$D$37*H277</f>
        <v>0</v>
      </c>
      <c r="I321" s="1062">
        <f>Вводные!$D$37*I277</f>
        <v>0</v>
      </c>
      <c r="J321" s="1062">
        <f>Вводные!$D$37*J277</f>
        <v>0</v>
      </c>
      <c r="K321" s="1062">
        <f>Вводные!$D$37*K277</f>
        <v>0</v>
      </c>
      <c r="L321" s="1062">
        <f>Вводные!$D$37*L277</f>
        <v>5251813.8325197808</v>
      </c>
      <c r="M321" s="1062">
        <f>Вводные!$D$37*M277</f>
        <v>5073786.2449767366</v>
      </c>
      <c r="N321" s="1062">
        <f>Вводные!$D$37*N277</f>
        <v>4895758.6574336933</v>
      </c>
      <c r="O321" s="1062">
        <f>Вводные!$D$37*O277</f>
        <v>4717731.0698906491</v>
      </c>
      <c r="P321" s="1062">
        <f>Вводные!$D$37*P277</f>
        <v>4539703.4823476048</v>
      </c>
      <c r="Q321" s="1062">
        <f>Вводные!$D$37*Q277</f>
        <v>4361675.8948045606</v>
      </c>
      <c r="R321" s="1062">
        <f>Вводные!$D$37*R277</f>
        <v>4183648.3072615163</v>
      </c>
      <c r="S321" s="1062">
        <f>Вводные!$D$37*S277</f>
        <v>4005620.7197184726</v>
      </c>
      <c r="T321" s="1062">
        <f>Вводные!$D$37*T277</f>
        <v>3827593.1321754283</v>
      </c>
      <c r="U321" s="1062">
        <f>Вводные!$D$37*U277</f>
        <v>3649565.5446323841</v>
      </c>
      <c r="V321" s="1062">
        <f>Вводные!$D$37*V277</f>
        <v>3471537.9570893403</v>
      </c>
      <c r="W321" s="1062">
        <f>Вводные!$D$37*W277</f>
        <v>3293510.3695462961</v>
      </c>
      <c r="X321" s="1062">
        <f>Вводные!$D$37*X277</f>
        <v>3115482.7820032518</v>
      </c>
      <c r="Y321" s="1062">
        <f>Вводные!$D$37*Y277</f>
        <v>2937455.1944602081</v>
      </c>
      <c r="Z321" s="1062">
        <f>Вводные!$D$37*Z277</f>
        <v>2759427.6069171638</v>
      </c>
      <c r="AA321" s="1062">
        <f>Вводные!$D$37*AA277</f>
        <v>2581400.0193741205</v>
      </c>
      <c r="AB321" s="1062">
        <f>Вводные!$D$37*AB277</f>
        <v>2403372.4318310777</v>
      </c>
      <c r="AC321" s="1062">
        <f>Вводные!$D$37*AC277</f>
        <v>2225344.8442880348</v>
      </c>
      <c r="AD321" s="1062">
        <f>Вводные!$D$37*AD277</f>
        <v>2047317.256744992</v>
      </c>
      <c r="AE321" s="1062">
        <f>Вводные!$D$37*AE277</f>
        <v>1869289.6692019489</v>
      </c>
      <c r="AF321" s="1062">
        <f>Вводные!$D$37*AF277</f>
        <v>1691262.0816589061</v>
      </c>
      <c r="AG321" s="1062">
        <f>Вводные!$D$37*AG277</f>
        <v>1513234.4941158632</v>
      </c>
      <c r="AH321" s="1062">
        <f>Вводные!$D$37*AH277</f>
        <v>1335206.9065728202</v>
      </c>
      <c r="AI321" s="1062">
        <f>Вводные!$D$37*AI277</f>
        <v>1157179.3190297766</v>
      </c>
      <c r="AJ321" s="1062">
        <f>Вводные!$D$37*AJ277</f>
        <v>979151.73148673307</v>
      </c>
      <c r="AK321" s="1062">
        <f>Вводные!$D$37*AK277</f>
        <v>801124.14394368965</v>
      </c>
      <c r="AL321" s="1062">
        <f>Вводные!$D$37*AL277</f>
        <v>623096.55640064611</v>
      </c>
      <c r="AM321" s="1062">
        <f>Вводные!$D$37*AM277</f>
        <v>445068.96885760262</v>
      </c>
      <c r="AN321" s="1062">
        <f>Вводные!$D$37*AN277</f>
        <v>267041.38131455914</v>
      </c>
      <c r="AO321" s="1062">
        <f>Вводные!$D$37*AO277</f>
        <v>89013.793771515673</v>
      </c>
      <c r="AP321" s="1062">
        <f>Вводные!$D$37*AP277</f>
        <v>0</v>
      </c>
    </row>
    <row r="322" spans="2:42">
      <c r="C322" s="1060" t="str">
        <f t="shared" si="725"/>
        <v>Гостиница 4*</v>
      </c>
      <c r="D322" s="1061"/>
      <c r="E322" s="1062"/>
      <c r="F322" s="1062"/>
      <c r="G322" s="1061"/>
      <c r="H322" s="1062">
        <f>Вводные!$D$37*H278</f>
        <v>0</v>
      </c>
      <c r="I322" s="1062">
        <f>Вводные!$D$37*I278</f>
        <v>0</v>
      </c>
      <c r="J322" s="1062">
        <f>Вводные!$D$37*J278</f>
        <v>0</v>
      </c>
      <c r="K322" s="1062">
        <f>Вводные!$D$37*K278</f>
        <v>0</v>
      </c>
      <c r="L322" s="1062">
        <f>Вводные!$D$37*L278</f>
        <v>4973301.5695659518</v>
      </c>
      <c r="M322" s="1062">
        <f>Вводные!$D$37*M278</f>
        <v>4804715.0756823616</v>
      </c>
      <c r="N322" s="1062">
        <f>Вводные!$D$37*N278</f>
        <v>4636128.5817987705</v>
      </c>
      <c r="O322" s="1062">
        <f>Вводные!$D$37*O278</f>
        <v>4467542.0879151803</v>
      </c>
      <c r="P322" s="1062">
        <f>Вводные!$D$37*P278</f>
        <v>4298955.5940315891</v>
      </c>
      <c r="Q322" s="1062">
        <f>Вводные!$D$37*Q278</f>
        <v>4130369.1001479984</v>
      </c>
      <c r="R322" s="1062">
        <f>Вводные!$D$37*R278</f>
        <v>3961782.6062644077</v>
      </c>
      <c r="S322" s="1062">
        <f>Вводные!$D$37*S278</f>
        <v>3793196.1123808171</v>
      </c>
      <c r="T322" s="1062">
        <f>Вводные!$D$37*T278</f>
        <v>3624609.6184972264</v>
      </c>
      <c r="U322" s="1062">
        <f>Вводные!$D$37*U278</f>
        <v>3456023.1246136357</v>
      </c>
      <c r="V322" s="1062">
        <f>Вводные!$D$37*V278</f>
        <v>3287436.630730045</v>
      </c>
      <c r="W322" s="1062">
        <f>Вводные!$D$37*W278</f>
        <v>3118850.1368464543</v>
      </c>
      <c r="X322" s="1062">
        <f>Вводные!$D$37*X278</f>
        <v>2950263.6429628637</v>
      </c>
      <c r="Y322" s="1062">
        <f>Вводные!$D$37*Y278</f>
        <v>2781677.149079273</v>
      </c>
      <c r="Z322" s="1062">
        <f>Вводные!$D$37*Z278</f>
        <v>2613090.6551956814</v>
      </c>
      <c r="AA322" s="1062">
        <f>Вводные!$D$37*AA278</f>
        <v>2444504.1613120898</v>
      </c>
      <c r="AB322" s="1062">
        <f>Вводные!$D$37*AB278</f>
        <v>2275917.6674284977</v>
      </c>
      <c r="AC322" s="1062">
        <f>Вводные!$D$37*AC278</f>
        <v>2107331.1735449056</v>
      </c>
      <c r="AD322" s="1062">
        <f>Вводные!$D$37*AD278</f>
        <v>1938744.679661314</v>
      </c>
      <c r="AE322" s="1062">
        <f>Вводные!$D$37*AE278</f>
        <v>1770158.1857777219</v>
      </c>
      <c r="AF322" s="1062">
        <f>Вводные!$D$37*AF278</f>
        <v>1601571.6918941301</v>
      </c>
      <c r="AG322" s="1062">
        <f>Вводные!$D$37*AG278</f>
        <v>1432985.1980105382</v>
      </c>
      <c r="AH322" s="1062">
        <f>Вводные!$D$37*AH278</f>
        <v>1264398.7041269466</v>
      </c>
      <c r="AI322" s="1062">
        <f>Вводные!$D$37*AI278</f>
        <v>1095812.2102433552</v>
      </c>
      <c r="AJ322" s="1062">
        <f>Вводные!$D$37*AJ278</f>
        <v>927225.7163597641</v>
      </c>
      <c r="AK322" s="1062">
        <f>Вводные!$D$37*AK278</f>
        <v>758639.22247617273</v>
      </c>
      <c r="AL322" s="1062">
        <f>Вводные!$D$37*AL278</f>
        <v>590052.72859258135</v>
      </c>
      <c r="AM322" s="1062">
        <f>Вводные!$D$37*AM278</f>
        <v>421466.23470898974</v>
      </c>
      <c r="AN322" s="1062">
        <f>Вводные!$D$37*AN278</f>
        <v>252879.74082539813</v>
      </c>
      <c r="AO322" s="1062">
        <f>Вводные!$D$37*AO278</f>
        <v>84293.24694180653</v>
      </c>
      <c r="AP322" s="1062">
        <f>Вводные!$D$37*AP278</f>
        <v>0</v>
      </c>
    </row>
    <row r="323" spans="2:42">
      <c r="C323" s="1060" t="str">
        <f t="shared" si="725"/>
        <v>Гостиница 3*</v>
      </c>
      <c r="D323" s="1061"/>
      <c r="E323" s="1062"/>
      <c r="F323" s="1062"/>
      <c r="G323" s="1061"/>
      <c r="H323" s="1062">
        <f>Вводные!$D$37*H279</f>
        <v>0</v>
      </c>
      <c r="I323" s="1062">
        <f>Вводные!$D$37*I279</f>
        <v>0</v>
      </c>
      <c r="J323" s="1062">
        <f>Вводные!$D$37*J279</f>
        <v>0</v>
      </c>
      <c r="K323" s="1062">
        <f>Вводные!$D$37*K279</f>
        <v>1966074.2823080011</v>
      </c>
      <c r="L323" s="1062">
        <f>Вводные!$D$37*L279</f>
        <v>1899427.6964670522</v>
      </c>
      <c r="M323" s="1062">
        <f>Вводные!$D$37*M279</f>
        <v>1832781.1106261034</v>
      </c>
      <c r="N323" s="1062">
        <f>Вводные!$D$37*N279</f>
        <v>1766134.5247851545</v>
      </c>
      <c r="O323" s="1062">
        <f>Вводные!$D$37*O279</f>
        <v>1699487.9389442056</v>
      </c>
      <c r="P323" s="1062">
        <f>Вводные!$D$37*P279</f>
        <v>1632841.3531032568</v>
      </c>
      <c r="Q323" s="1062">
        <f>Вводные!$D$37*Q279</f>
        <v>1566194.7672623079</v>
      </c>
      <c r="R323" s="1062">
        <f>Вводные!$D$37*R279</f>
        <v>1499548.1814213593</v>
      </c>
      <c r="S323" s="1062">
        <f>Вводные!$D$37*S279</f>
        <v>1432901.5955804104</v>
      </c>
      <c r="T323" s="1062">
        <f>Вводные!$D$37*T279</f>
        <v>1366255.0097394616</v>
      </c>
      <c r="U323" s="1062">
        <f>Вводные!$D$37*U279</f>
        <v>1299608.4238985123</v>
      </c>
      <c r="V323" s="1062">
        <f>Вводные!$D$37*V279</f>
        <v>1232961.8380575629</v>
      </c>
      <c r="W323" s="1062">
        <f>Вводные!$D$37*W279</f>
        <v>1166315.2522166134</v>
      </c>
      <c r="X323" s="1062">
        <f>Вводные!$D$37*X279</f>
        <v>1099668.6663756641</v>
      </c>
      <c r="Y323" s="1062">
        <f>Вводные!$D$37*Y279</f>
        <v>1033022.0805347146</v>
      </c>
      <c r="Z323" s="1062">
        <f>Вводные!$D$37*Z279</f>
        <v>966375.49469376518</v>
      </c>
      <c r="AA323" s="1062">
        <f>Вводные!$D$37*AA279</f>
        <v>899728.90885281574</v>
      </c>
      <c r="AB323" s="1062">
        <f>Вводные!$D$37*AB279</f>
        <v>833082.32301186642</v>
      </c>
      <c r="AC323" s="1062">
        <f>Вводные!$D$37*AC279</f>
        <v>766435.73717091698</v>
      </c>
      <c r="AD323" s="1062">
        <f>Вводные!$D$37*AD279</f>
        <v>699789.15132996754</v>
      </c>
      <c r="AE323" s="1062">
        <f>Вводные!$D$37*AE279</f>
        <v>633142.56548901834</v>
      </c>
      <c r="AF323" s="1062">
        <f>Вводные!$D$37*AF279</f>
        <v>566495.97964806925</v>
      </c>
      <c r="AG323" s="1062">
        <f>Вводные!$D$37*AG279</f>
        <v>499849.3938071201</v>
      </c>
      <c r="AH323" s="1062">
        <f>Вводные!$D$37*AH279</f>
        <v>433202.80796617101</v>
      </c>
      <c r="AI323" s="1062">
        <f>Вводные!$D$37*AI279</f>
        <v>366556.22212522186</v>
      </c>
      <c r="AJ323" s="1062">
        <f>Вводные!$D$37*AJ279</f>
        <v>299909.63628427277</v>
      </c>
      <c r="AK323" s="1062">
        <f>Вводные!$D$37*AK279</f>
        <v>233263.05044332362</v>
      </c>
      <c r="AL323" s="1062">
        <f>Вводные!$D$37*AL279</f>
        <v>166616.4646023745</v>
      </c>
      <c r="AM323" s="1062">
        <f>Вводные!$D$37*AM279</f>
        <v>99969.878761425294</v>
      </c>
      <c r="AN323" s="1062">
        <f>Вводные!$D$37*AN279</f>
        <v>33323.292920476109</v>
      </c>
      <c r="AO323" s="1062">
        <f>Вводные!$D$37*AO279</f>
        <v>1.5227124094963074E-9</v>
      </c>
      <c r="AP323" s="1062">
        <f>Вводные!$D$37*AP279</f>
        <v>0</v>
      </c>
    </row>
    <row r="324" spans="2:42">
      <c r="C324" s="1060" t="str">
        <f t="shared" si="725"/>
        <v>Гостиница 2*</v>
      </c>
      <c r="D324" s="1061"/>
      <c r="E324" s="1062"/>
      <c r="F324" s="1062"/>
      <c r="G324" s="1061"/>
      <c r="H324" s="1062">
        <f>Вводные!$D$37*H280</f>
        <v>0</v>
      </c>
      <c r="I324" s="1062">
        <f>Вводные!$D$37*I280</f>
        <v>0</v>
      </c>
      <c r="J324" s="1062">
        <f>Вводные!$D$37*J280</f>
        <v>0</v>
      </c>
      <c r="K324" s="1062">
        <f>Вводные!$D$37*K280</f>
        <v>0</v>
      </c>
      <c r="L324" s="1320">
        <f>Вводные!$D$37*L280</f>
        <v>0</v>
      </c>
      <c r="M324" s="1062">
        <f>Вводные!$D$37*M280</f>
        <v>0</v>
      </c>
      <c r="N324" s="1062">
        <f>Вводные!$D$37*N280</f>
        <v>0</v>
      </c>
      <c r="O324" s="1062">
        <f>Вводные!$D$37*O280</f>
        <v>0</v>
      </c>
      <c r="P324" s="1062">
        <f>Вводные!$D$37*P280</f>
        <v>0</v>
      </c>
      <c r="Q324" s="1062">
        <f>Вводные!$D$37*Q280</f>
        <v>0</v>
      </c>
      <c r="R324" s="1062">
        <f>Вводные!$D$37*R280</f>
        <v>0</v>
      </c>
      <c r="S324" s="1062">
        <f>Вводные!$D$37*S280</f>
        <v>0</v>
      </c>
      <c r="T324" s="1062">
        <f>Вводные!$D$37*T280</f>
        <v>0</v>
      </c>
      <c r="U324" s="1062">
        <f>Вводные!$D$37*U280</f>
        <v>0</v>
      </c>
      <c r="V324" s="1062">
        <f>Вводные!$D$37*V280</f>
        <v>0</v>
      </c>
      <c r="W324" s="1062">
        <f>Вводные!$D$37*W280</f>
        <v>0</v>
      </c>
      <c r="X324" s="1062">
        <f>Вводные!$D$37*X280</f>
        <v>0</v>
      </c>
      <c r="Y324" s="1062">
        <f>Вводные!$D$37*Y280</f>
        <v>0</v>
      </c>
      <c r="Z324" s="1062">
        <f>Вводные!$D$37*Z280</f>
        <v>0</v>
      </c>
      <c r="AA324" s="1062">
        <f>Вводные!$D$37*AA280</f>
        <v>0</v>
      </c>
      <c r="AB324" s="1062">
        <f>Вводные!$D$37*AB280</f>
        <v>0</v>
      </c>
      <c r="AC324" s="1062">
        <f>Вводные!$D$37*AC280</f>
        <v>0</v>
      </c>
      <c r="AD324" s="1062">
        <f>Вводные!$D$37*AD280</f>
        <v>0</v>
      </c>
      <c r="AE324" s="1062">
        <f>Вводные!$D$37*AE280</f>
        <v>0</v>
      </c>
      <c r="AF324" s="1062">
        <f>Вводные!$D$37*AF280</f>
        <v>0</v>
      </c>
      <c r="AG324" s="1062">
        <f>Вводные!$D$37*AG280</f>
        <v>0</v>
      </c>
      <c r="AH324" s="1062">
        <f>Вводные!$D$37*AH280</f>
        <v>0</v>
      </c>
      <c r="AI324" s="1062">
        <f>Вводные!$D$37*AI280</f>
        <v>0</v>
      </c>
      <c r="AJ324" s="1062">
        <f>Вводные!$D$37*AJ280</f>
        <v>0</v>
      </c>
      <c r="AK324" s="1062">
        <f>Вводные!$D$37*AK280</f>
        <v>0</v>
      </c>
      <c r="AL324" s="1062">
        <f>Вводные!$D$37*AL280</f>
        <v>0</v>
      </c>
      <c r="AM324" s="1062">
        <f>Вводные!$D$37*AM280</f>
        <v>0</v>
      </c>
      <c r="AN324" s="1062">
        <f>Вводные!$D$37*AN280</f>
        <v>0</v>
      </c>
      <c r="AO324" s="1062">
        <f>Вводные!$D$37*AO280</f>
        <v>0</v>
      </c>
      <c r="AP324" s="1062">
        <f>Вводные!$D$37*AP280</f>
        <v>0</v>
      </c>
    </row>
    <row r="325" spans="2:42">
      <c r="C325" s="1060" t="str">
        <f t="shared" si="725"/>
        <v>МФЦ, в том числе хостел Jo&amp;JOE</v>
      </c>
      <c r="D325" s="1061"/>
      <c r="E325" s="1062"/>
      <c r="F325" s="1062"/>
      <c r="G325" s="1061"/>
      <c r="H325" s="1062">
        <f>Вводные!$D$37*H281</f>
        <v>0</v>
      </c>
      <c r="I325" s="1062">
        <f>Вводные!$D$37*I281</f>
        <v>0</v>
      </c>
      <c r="J325" s="1062">
        <f>Вводные!$D$37*J281</f>
        <v>0</v>
      </c>
      <c r="K325" s="1062">
        <f>Вводные!$D$37*K281</f>
        <v>2250410.4059734885</v>
      </c>
      <c r="L325" s="1062">
        <f>Вводные!$D$37*L281</f>
        <v>2174125.3074659123</v>
      </c>
      <c r="M325" s="1062">
        <f>Вводные!$D$37*M281</f>
        <v>2097840.2089583366</v>
      </c>
      <c r="N325" s="1062">
        <f>Вводные!$D$37*N281</f>
        <v>2021555.1104507605</v>
      </c>
      <c r="O325" s="1062">
        <f>Вводные!$D$37*O281</f>
        <v>1945270.0119431845</v>
      </c>
      <c r="P325" s="1062">
        <f>Вводные!$D$37*P281</f>
        <v>1868984.9134356084</v>
      </c>
      <c r="Q325" s="1062">
        <f>Вводные!$D$37*Q281</f>
        <v>1792699.8149280325</v>
      </c>
      <c r="R325" s="1062">
        <f>Вводные!$D$37*R281</f>
        <v>1716414.7164204565</v>
      </c>
      <c r="S325" s="1062">
        <f>Вводные!$D$37*S281</f>
        <v>1640129.6179128806</v>
      </c>
      <c r="T325" s="1062">
        <f>Вводные!$D$37*T281</f>
        <v>1563844.5194053045</v>
      </c>
      <c r="U325" s="1062">
        <f>Вводные!$D$37*U281</f>
        <v>1487559.4208977285</v>
      </c>
      <c r="V325" s="1062">
        <f>Вводные!$D$37*V281</f>
        <v>1411274.3223901526</v>
      </c>
      <c r="W325" s="1062">
        <f>Вводные!$D$37*W281</f>
        <v>1334989.2238825765</v>
      </c>
      <c r="X325" s="1062">
        <f>Вводные!$D$37*X281</f>
        <v>1258704.1253750005</v>
      </c>
      <c r="Y325" s="1062">
        <f>Вводные!$D$37*Y281</f>
        <v>1182419.0268674246</v>
      </c>
      <c r="Z325" s="1062">
        <f>Вводные!$D$37*Z281</f>
        <v>1106133.9283598487</v>
      </c>
      <c r="AA325" s="1062">
        <f>Вводные!$D$37*AA281</f>
        <v>1029848.8298522726</v>
      </c>
      <c r="AB325" s="1062">
        <f>Вводные!$D$37*AB281</f>
        <v>953563.7313446966</v>
      </c>
      <c r="AC325" s="1062">
        <f>Вводные!$D$37*AC281</f>
        <v>877278.63283712056</v>
      </c>
      <c r="AD325" s="1062">
        <f>Вводные!$D$37*AD281</f>
        <v>800993.53432954464</v>
      </c>
      <c r="AE325" s="1062">
        <f>Вводные!$D$37*AE281</f>
        <v>724708.4358219686</v>
      </c>
      <c r="AF325" s="1062">
        <f>Вводные!$D$37*AF281</f>
        <v>648423.33731439267</v>
      </c>
      <c r="AG325" s="1062">
        <f>Вводные!$D$37*AG281</f>
        <v>572138.23880681663</v>
      </c>
      <c r="AH325" s="1062">
        <f>Вводные!$D$37*AH281</f>
        <v>495853.14029924065</v>
      </c>
      <c r="AI325" s="1062">
        <f>Вводные!$D$37*AI281</f>
        <v>419568.04179166467</v>
      </c>
      <c r="AJ325" s="1062">
        <f>Вводные!$D$37*AJ281</f>
        <v>343282.94328408869</v>
      </c>
      <c r="AK325" s="1062">
        <f>Вводные!$D$37*AK281</f>
        <v>266997.84477651282</v>
      </c>
      <c r="AL325" s="1062">
        <f>Вводные!$D$37*AL281</f>
        <v>190712.74626893699</v>
      </c>
      <c r="AM325" s="1062">
        <f>Вводные!$D$37*AM281</f>
        <v>114427.64776136115</v>
      </c>
      <c r="AN325" s="1062">
        <f>Вводные!$D$37*AN281</f>
        <v>38142.549253785284</v>
      </c>
      <c r="AO325" s="1062">
        <f>Вводные!$D$37*AO281</f>
        <v>0</v>
      </c>
      <c r="AP325" s="1062">
        <f>Вводные!$D$37*AP281</f>
        <v>0</v>
      </c>
    </row>
    <row r="326" spans="2:42">
      <c r="C326" s="1060" t="str">
        <f t="shared" si="725"/>
        <v>Шале</v>
      </c>
      <c r="D326" s="1061"/>
      <c r="E326" s="1062"/>
      <c r="F326" s="1062"/>
      <c r="G326" s="1061"/>
      <c r="H326" s="1062">
        <f>Вводные!$D$37*H282</f>
        <v>0</v>
      </c>
      <c r="I326" s="1062">
        <f>Вводные!$D$37*I282</f>
        <v>0</v>
      </c>
      <c r="J326" s="1062">
        <f>Вводные!$D$37*J282</f>
        <v>0</v>
      </c>
      <c r="K326" s="1062">
        <f>Вводные!$D$37*K282</f>
        <v>0</v>
      </c>
      <c r="L326" s="1062">
        <f>Вводные!$D$37*L282</f>
        <v>539658.21295535739</v>
      </c>
      <c r="M326" s="1062">
        <f>Вводные!$D$37*M282</f>
        <v>521364.7142111081</v>
      </c>
      <c r="N326" s="1062">
        <f>Вводные!$D$37*N282</f>
        <v>503071.21546685876</v>
      </c>
      <c r="O326" s="1062">
        <f>Вводные!$D$37*O282</f>
        <v>484777.71672260942</v>
      </c>
      <c r="P326" s="1062">
        <f>Вводные!$D$37*P282</f>
        <v>466484.21797836007</v>
      </c>
      <c r="Q326" s="1062">
        <f>Вводные!$D$37*Q282</f>
        <v>448190.71923411073</v>
      </c>
      <c r="R326" s="1062">
        <f>Вводные!$D$37*R282</f>
        <v>429897.22048986139</v>
      </c>
      <c r="S326" s="1062">
        <f>Вводные!$D$37*S282</f>
        <v>411603.72174561204</v>
      </c>
      <c r="T326" s="1062">
        <f>Вводные!$D$37*T282</f>
        <v>393310.2230013627</v>
      </c>
      <c r="U326" s="1062">
        <f>Вводные!$D$37*U282</f>
        <v>375016.72425711335</v>
      </c>
      <c r="V326" s="1062">
        <f>Вводные!$D$37*V282</f>
        <v>356723.22551286401</v>
      </c>
      <c r="W326" s="1062">
        <f>Вводные!$D$37*W282</f>
        <v>338429.72676861467</v>
      </c>
      <c r="X326" s="1062">
        <f>Вводные!$D$37*X282</f>
        <v>320136.22802436532</v>
      </c>
      <c r="Y326" s="1062">
        <f>Вводные!$D$37*Y282</f>
        <v>301842.72928011598</v>
      </c>
      <c r="Z326" s="1062">
        <f>Вводные!$D$37*Z282</f>
        <v>283549.23053586663</v>
      </c>
      <c r="AA326" s="1062">
        <f>Вводные!$D$37*AA282</f>
        <v>265255.73179161729</v>
      </c>
      <c r="AB326" s="1062">
        <f>Вводные!$D$37*AB282</f>
        <v>246962.23304736795</v>
      </c>
      <c r="AC326" s="1062">
        <f>Вводные!$D$37*AC282</f>
        <v>228668.7343031186</v>
      </c>
      <c r="AD326" s="1062">
        <f>Вводные!$D$37*AD282</f>
        <v>210375.23555886926</v>
      </c>
      <c r="AE326" s="1062">
        <f>Вводные!$D$37*AE282</f>
        <v>192081.73681461992</v>
      </c>
      <c r="AF326" s="1062">
        <f>Вводные!$D$37*AF282</f>
        <v>173788.23807037057</v>
      </c>
      <c r="AG326" s="1062">
        <f>Вводные!$D$37*AG282</f>
        <v>155494.73932612117</v>
      </c>
      <c r="AH326" s="1062">
        <f>Вводные!$D$37*AH282</f>
        <v>137201.24058187174</v>
      </c>
      <c r="AI326" s="1062">
        <f>Вводные!$D$37*AI282</f>
        <v>118907.74183762232</v>
      </c>
      <c r="AJ326" s="1062">
        <f>Вводные!$D$37*AJ282</f>
        <v>100614.2430933729</v>
      </c>
      <c r="AK326" s="1062">
        <f>Вводные!$D$37*AK282</f>
        <v>82320.744349123488</v>
      </c>
      <c r="AL326" s="1062">
        <f>Вводные!$D$37*AL282</f>
        <v>64027.245604874064</v>
      </c>
      <c r="AM326" s="1062">
        <f>Вводные!$D$37*AM282</f>
        <v>45733.746860624648</v>
      </c>
      <c r="AN326" s="1062">
        <f>Вводные!$D$37*AN282</f>
        <v>27440.248116375245</v>
      </c>
      <c r="AO326" s="1062">
        <f>Вводные!$D$37*AO282</f>
        <v>9146.7493721258452</v>
      </c>
      <c r="AP326" s="1062">
        <f>Вводные!$D$37*AP282</f>
        <v>0</v>
      </c>
    </row>
    <row r="327" spans="2:42">
      <c r="C327" s="151" t="str">
        <f t="shared" si="725"/>
        <v>Туристские резиденции</v>
      </c>
      <c r="D327" s="45"/>
      <c r="E327" s="44"/>
      <c r="F327" s="44"/>
      <c r="G327" s="45"/>
      <c r="H327" s="44">
        <f>Вводные!$D$37*H283</f>
        <v>0</v>
      </c>
      <c r="I327" s="44">
        <f>Вводные!$D$37*I283</f>
        <v>0</v>
      </c>
      <c r="J327" s="44">
        <f>Вводные!$D$37*J283</f>
        <v>0</v>
      </c>
      <c r="K327" s="44">
        <f>Вводные!$D$37*K283</f>
        <v>0</v>
      </c>
      <c r="L327" s="44">
        <f>Вводные!$D$37*L283</f>
        <v>0</v>
      </c>
      <c r="M327" s="44">
        <f>Вводные!$D$37*M283</f>
        <v>0</v>
      </c>
      <c r="N327" s="44">
        <f>Вводные!$D$37*N283</f>
        <v>0</v>
      </c>
      <c r="O327" s="44">
        <f>Вводные!$D$37*O283</f>
        <v>0</v>
      </c>
      <c r="P327" s="44">
        <f>Вводные!$D$37*P283</f>
        <v>0</v>
      </c>
      <c r="Q327" s="44">
        <f>Вводные!$D$37*Q283</f>
        <v>0</v>
      </c>
      <c r="R327" s="44">
        <f>Вводные!$D$37*R283</f>
        <v>0</v>
      </c>
      <c r="S327" s="44">
        <f>Вводные!$D$37*S283</f>
        <v>0</v>
      </c>
      <c r="T327" s="44">
        <f>Вводные!$D$37*T283</f>
        <v>0</v>
      </c>
      <c r="U327" s="44">
        <f>Вводные!$D$37*U283</f>
        <v>0</v>
      </c>
      <c r="V327" s="44">
        <f>Вводные!$D$37*V283</f>
        <v>0</v>
      </c>
      <c r="W327" s="44">
        <f>Вводные!$D$37*W283</f>
        <v>0</v>
      </c>
      <c r="X327" s="44">
        <f>Вводные!$D$37*X283</f>
        <v>0</v>
      </c>
      <c r="Y327" s="44">
        <f>Вводные!$D$37*Y283</f>
        <v>0</v>
      </c>
      <c r="Z327" s="44">
        <f>Вводные!$D$37*Z283</f>
        <v>0</v>
      </c>
      <c r="AA327" s="44">
        <f>Вводные!$D$37*AA283</f>
        <v>0</v>
      </c>
      <c r="AB327" s="44">
        <f>Вводные!$D$37*AB283</f>
        <v>0</v>
      </c>
      <c r="AC327" s="44">
        <f>Вводные!$D$37*AC283</f>
        <v>0</v>
      </c>
      <c r="AD327" s="44">
        <f>Вводные!$D$37*AD283</f>
        <v>0</v>
      </c>
      <c r="AE327" s="44">
        <f>Вводные!$D$37*AE283</f>
        <v>0</v>
      </c>
      <c r="AF327" s="44">
        <f>Вводные!$D$37*AF283</f>
        <v>0</v>
      </c>
      <c r="AG327" s="44">
        <f>Вводные!$D$37*AG283</f>
        <v>0</v>
      </c>
      <c r="AH327" s="44">
        <f>Вводные!$D$37*AH283</f>
        <v>0</v>
      </c>
      <c r="AI327" s="44">
        <f>Вводные!$D$37*AI283</f>
        <v>0</v>
      </c>
      <c r="AJ327" s="44">
        <f>Вводные!$D$37*AJ283</f>
        <v>0</v>
      </c>
      <c r="AK327" s="44">
        <f>Вводные!$D$37*AK283</f>
        <v>0</v>
      </c>
      <c r="AL327" s="44">
        <f>Вводные!$D$37*AL283</f>
        <v>0</v>
      </c>
      <c r="AM327" s="44">
        <f>Вводные!$D$37*AM283</f>
        <v>0</v>
      </c>
      <c r="AN327" s="44">
        <f>Вводные!$D$37*AN283</f>
        <v>0</v>
      </c>
      <c r="AO327" s="44">
        <f>Вводные!$D$37*AO283</f>
        <v>0</v>
      </c>
      <c r="AP327" s="44">
        <f>Вводные!$D$37*AP283</f>
        <v>0</v>
      </c>
    </row>
    <row r="328" spans="2:42">
      <c r="C328" s="151" t="str">
        <f t="shared" si="725"/>
        <v>Ресторан в зоне катания</v>
      </c>
      <c r="D328" s="45"/>
      <c r="E328" s="44"/>
      <c r="F328" s="44"/>
      <c r="G328" s="45"/>
      <c r="H328" s="44">
        <f>Вводные!$D$37*H284</f>
        <v>0</v>
      </c>
      <c r="I328" s="44">
        <f>Вводные!$D$37*I284</f>
        <v>0</v>
      </c>
      <c r="J328" s="44">
        <f>Вводные!$D$37*J284</f>
        <v>0</v>
      </c>
      <c r="K328" s="44">
        <f>Вводные!$D$37*K284</f>
        <v>446467.62560359383</v>
      </c>
      <c r="L328" s="44">
        <f>Вводные!$D$37*L284</f>
        <v>431333.12982042128</v>
      </c>
      <c r="M328" s="44">
        <f>Вводные!$D$37*M284</f>
        <v>416198.63403724873</v>
      </c>
      <c r="N328" s="44">
        <f>Вводные!$D$37*N284</f>
        <v>401064.13825407618</v>
      </c>
      <c r="O328" s="44">
        <f>Вводные!$D$37*O284</f>
        <v>385929.64247090364</v>
      </c>
      <c r="P328" s="44">
        <f>Вводные!$D$37*P284</f>
        <v>370795.14668773109</v>
      </c>
      <c r="Q328" s="44">
        <f>Вводные!$D$37*Q284</f>
        <v>355660.65090455854</v>
      </c>
      <c r="R328" s="44">
        <f>Вводные!$D$37*R284</f>
        <v>340526.15512138599</v>
      </c>
      <c r="S328" s="44">
        <f>Вводные!$D$37*S284</f>
        <v>325391.65933821333</v>
      </c>
      <c r="T328" s="44">
        <f>Вводные!$D$37*T284</f>
        <v>310257.16355504061</v>
      </c>
      <c r="U328" s="44">
        <f>Вводные!$D$37*U284</f>
        <v>295122.66777186794</v>
      </c>
      <c r="V328" s="44">
        <f>Вводные!$D$37*V284</f>
        <v>279988.17198869522</v>
      </c>
      <c r="W328" s="44">
        <f>Вводные!$D$37*W284</f>
        <v>264853.67620552256</v>
      </c>
      <c r="X328" s="44">
        <f>Вводные!$D$37*X284</f>
        <v>249719.18042234983</v>
      </c>
      <c r="Y328" s="44">
        <f>Вводные!$D$37*Y284</f>
        <v>234584.68463917714</v>
      </c>
      <c r="Z328" s="44">
        <f>Вводные!$D$37*Z284</f>
        <v>219450.18885600445</v>
      </c>
      <c r="AA328" s="44">
        <f>Вводные!$D$37*AA284</f>
        <v>204315.69307283175</v>
      </c>
      <c r="AB328" s="44">
        <f>Вводные!$D$37*AB284</f>
        <v>189181.19728965906</v>
      </c>
      <c r="AC328" s="44">
        <f>Вводные!$D$37*AC284</f>
        <v>174046.70150648637</v>
      </c>
      <c r="AD328" s="44">
        <f>Вводные!$D$37*AD284</f>
        <v>158912.20572331364</v>
      </c>
      <c r="AE328" s="44">
        <f>Вводные!$D$37*AE284</f>
        <v>143777.70994014095</v>
      </c>
      <c r="AF328" s="44">
        <f>Вводные!$D$37*AF284</f>
        <v>128643.21415696826</v>
      </c>
      <c r="AG328" s="44">
        <f>Вводные!$D$37*AG284</f>
        <v>113508.71837379556</v>
      </c>
      <c r="AH328" s="44">
        <f>Вводные!$D$37*AH284</f>
        <v>98374.22259062287</v>
      </c>
      <c r="AI328" s="44">
        <f>Вводные!$D$37*AI284</f>
        <v>83239.726807450177</v>
      </c>
      <c r="AJ328" s="44">
        <f>Вводные!$D$37*AJ284</f>
        <v>68105.231024277513</v>
      </c>
      <c r="AK328" s="44">
        <f>Вводные!$D$37*AK284</f>
        <v>52970.735241104856</v>
      </c>
      <c r="AL328" s="44">
        <f>Вводные!$D$37*AL284</f>
        <v>37836.239457932199</v>
      </c>
      <c r="AM328" s="44">
        <f>Вводные!$D$37*AM284</f>
        <v>22701.743674759538</v>
      </c>
      <c r="AN328" s="44">
        <f>Вводные!$D$37*AN284</f>
        <v>7567.2478915868705</v>
      </c>
      <c r="AO328" s="44">
        <f>Вводные!$D$37*AO284</f>
        <v>5.3551048040390021E-10</v>
      </c>
      <c r="AP328" s="44">
        <f>Вводные!$D$37*AP284</f>
        <v>0</v>
      </c>
    </row>
    <row r="329" spans="2:42">
      <c r="C329" s="151" t="str">
        <f t="shared" si="725"/>
        <v>SPA-комплекс</v>
      </c>
      <c r="D329" s="45"/>
      <c r="E329" s="44"/>
      <c r="F329" s="44"/>
      <c r="G329" s="45"/>
      <c r="H329" s="44">
        <f>Вводные!$D$37*H285</f>
        <v>0</v>
      </c>
      <c r="I329" s="44">
        <f>Вводные!$D$37*I285</f>
        <v>0</v>
      </c>
      <c r="J329" s="44">
        <f>Вводные!$D$37*J285</f>
        <v>0</v>
      </c>
      <c r="K329" s="44">
        <f>Вводные!$D$37*K285</f>
        <v>771989.97495915275</v>
      </c>
      <c r="L329" s="44">
        <f>Вводные!$D$37*L285</f>
        <v>745820.82326562214</v>
      </c>
      <c r="M329" s="44">
        <f>Вводные!$D$37*M285</f>
        <v>719651.67157209141</v>
      </c>
      <c r="N329" s="44">
        <f>Вводные!$D$37*N285</f>
        <v>693482.51987856079</v>
      </c>
      <c r="O329" s="44">
        <f>Вводные!$D$37*O285</f>
        <v>667313.36818503006</v>
      </c>
      <c r="P329" s="44">
        <f>Вводные!$D$37*P285</f>
        <v>641144.21649149945</v>
      </c>
      <c r="Q329" s="44">
        <f>Вводные!$D$37*Q285</f>
        <v>614975.06479796872</v>
      </c>
      <c r="R329" s="44">
        <f>Вводные!$D$37*R285</f>
        <v>588805.91310443811</v>
      </c>
      <c r="S329" s="44">
        <f>Вводные!$D$37*S285</f>
        <v>562636.76141090738</v>
      </c>
      <c r="T329" s="44">
        <f>Вводные!$D$37*T285</f>
        <v>536467.60971737665</v>
      </c>
      <c r="U329" s="44">
        <f>Вводные!$D$37*U285</f>
        <v>510298.45802384603</v>
      </c>
      <c r="V329" s="44">
        <f>Вводные!$D$37*V285</f>
        <v>484129.3063303153</v>
      </c>
      <c r="W329" s="44">
        <f>Вводные!$D$37*W285</f>
        <v>457960.15463678463</v>
      </c>
      <c r="X329" s="44">
        <f>Вводные!$D$37*X285</f>
        <v>431791.00294325396</v>
      </c>
      <c r="Y329" s="44">
        <f>Вводные!$D$37*Y285</f>
        <v>405621.85124972329</v>
      </c>
      <c r="Z329" s="44">
        <f>Вводные!$D$37*Z285</f>
        <v>379452.69955619262</v>
      </c>
      <c r="AA329" s="44">
        <f>Вводные!$D$37*AA285</f>
        <v>353283.54786266194</v>
      </c>
      <c r="AB329" s="44">
        <f>Вводные!$D$37*AB285</f>
        <v>327114.39616913127</v>
      </c>
      <c r="AC329" s="44">
        <f>Вводные!$D$37*AC285</f>
        <v>300945.2444756006</v>
      </c>
      <c r="AD329" s="44">
        <f>Вводные!$D$37*AD285</f>
        <v>274776.09278206987</v>
      </c>
      <c r="AE329" s="44">
        <f>Вводные!$D$37*AE285</f>
        <v>248606.94108853923</v>
      </c>
      <c r="AF329" s="44">
        <f>Вводные!$D$37*AF285</f>
        <v>222437.78939500853</v>
      </c>
      <c r="AG329" s="44">
        <f>Вводные!$D$37*AG285</f>
        <v>196268.63770147786</v>
      </c>
      <c r="AH329" s="44">
        <f>Вводные!$D$37*AH285</f>
        <v>170099.48600794718</v>
      </c>
      <c r="AI329" s="44">
        <f>Вводные!$D$37*AI285</f>
        <v>143930.33431441657</v>
      </c>
      <c r="AJ329" s="44">
        <f>Вводные!$D$37*AJ285</f>
        <v>117761.18262088597</v>
      </c>
      <c r="AK329" s="44">
        <f>Вводные!$D$37*AK285</f>
        <v>91592.030927355372</v>
      </c>
      <c r="AL329" s="44">
        <f>Вводные!$D$37*AL285</f>
        <v>65422.879233824759</v>
      </c>
      <c r="AM329" s="44">
        <f>Вводные!$D$37*AM285</f>
        <v>39253.72754029416</v>
      </c>
      <c r="AN329" s="44">
        <f>Вводные!$D$37*AN285</f>
        <v>13084.575846763551</v>
      </c>
      <c r="AO329" s="44">
        <f>Вводные!$D$37*AO285</f>
        <v>0</v>
      </c>
      <c r="AP329" s="44">
        <f>Вводные!$D$37*AP285</f>
        <v>0</v>
      </c>
    </row>
    <row r="330" spans="2:42">
      <c r="C330" s="151" t="str">
        <f t="shared" si="725"/>
        <v>Решения по генплану. Включают в себя благоустройство, инженерные сети, планировку участка. Не включают в себя создание инженерных сооружений (ТП, ВЗУ, КНС)</v>
      </c>
      <c r="D330" s="45"/>
      <c r="E330" s="44"/>
      <c r="F330" s="44"/>
      <c r="G330" s="45"/>
      <c r="H330" s="44">
        <f>Вводные!$D$37*H286</f>
        <v>0</v>
      </c>
      <c r="I330" s="44">
        <f>Вводные!$D$37*I286</f>
        <v>0</v>
      </c>
      <c r="J330" s="44">
        <f>Вводные!$D$37*J286</f>
        <v>0</v>
      </c>
      <c r="K330" s="44">
        <f>Вводные!$D$37*K286</f>
        <v>47402.893199246239</v>
      </c>
      <c r="L330" s="44">
        <f>Вводные!$D$37*L286</f>
        <v>45796.015463678588</v>
      </c>
      <c r="M330" s="44">
        <f>Вводные!$D$37*M286</f>
        <v>44189.137728110938</v>
      </c>
      <c r="N330" s="44">
        <f>Вводные!$D$37*N286</f>
        <v>42582.259992543281</v>
      </c>
      <c r="O330" s="44">
        <f>Вводные!$D$37*O286</f>
        <v>40975.382256975616</v>
      </c>
      <c r="P330" s="44">
        <f>Вводные!$D$37*P286</f>
        <v>39368.504521407944</v>
      </c>
      <c r="Q330" s="44">
        <f>Вводные!$D$37*Q286</f>
        <v>37761.626785840279</v>
      </c>
      <c r="R330" s="44">
        <f>Вводные!$D$37*R286</f>
        <v>36154.749050272607</v>
      </c>
      <c r="S330" s="44">
        <f>Вводные!$D$37*S286</f>
        <v>34547.871314704935</v>
      </c>
      <c r="T330" s="44">
        <f>Вводные!$D$37*T286</f>
        <v>32940.993579137263</v>
      </c>
      <c r="U330" s="44">
        <f>Вводные!$D$37*U286</f>
        <v>31334.115843569594</v>
      </c>
      <c r="V330" s="44">
        <f>Вводные!$D$37*V286</f>
        <v>29727.238108001926</v>
      </c>
      <c r="W330" s="44">
        <f>Вводные!$D$37*W286</f>
        <v>28120.360372434254</v>
      </c>
      <c r="X330" s="44">
        <f>Вводные!$D$37*X286</f>
        <v>26513.482636866585</v>
      </c>
      <c r="Y330" s="44">
        <f>Вводные!$D$37*Y286</f>
        <v>24906.604901298913</v>
      </c>
      <c r="Z330" s="44">
        <f>Вводные!$D$37*Z286</f>
        <v>23299.727165731245</v>
      </c>
      <c r="AA330" s="44">
        <f>Вводные!$D$37*AA286</f>
        <v>21692.849430163573</v>
      </c>
      <c r="AB330" s="44">
        <f>Вводные!$D$37*AB286</f>
        <v>20085.971694595904</v>
      </c>
      <c r="AC330" s="44">
        <f>Вводные!$D$37*AC286</f>
        <v>18479.093959028232</v>
      </c>
      <c r="AD330" s="44">
        <f>Вводные!$D$37*AD286</f>
        <v>16872.21622346056</v>
      </c>
      <c r="AE330" s="44">
        <f>Вводные!$D$37*AE286</f>
        <v>15265.338487892892</v>
      </c>
      <c r="AF330" s="44">
        <f>Вводные!$D$37*AF286</f>
        <v>13658.460752325222</v>
      </c>
      <c r="AG330" s="44">
        <f>Вводные!$D$37*AG286</f>
        <v>12051.583016757551</v>
      </c>
      <c r="AH330" s="44">
        <f>Вводные!$D$37*AH286</f>
        <v>10444.705281189881</v>
      </c>
      <c r="AI330" s="44">
        <f>Вводные!$D$37*AI286</f>
        <v>8837.8275456222109</v>
      </c>
      <c r="AJ330" s="44">
        <f>Вводные!$D$37*AJ286</f>
        <v>7230.9498100545397</v>
      </c>
      <c r="AK330" s="44">
        <f>Вводные!$D$37*AK286</f>
        <v>5624.0720744868695</v>
      </c>
      <c r="AL330" s="44">
        <f>Вводные!$D$37*AL286</f>
        <v>4017.1943389192015</v>
      </c>
      <c r="AM330" s="44">
        <f>Вводные!$D$37*AM286</f>
        <v>2410.3166033515331</v>
      </c>
      <c r="AN330" s="44">
        <f>Вводные!$D$37*AN286</f>
        <v>803.438867783864</v>
      </c>
      <c r="AO330" s="44">
        <f>Вводные!$D$37*AO286</f>
        <v>2.9540387913584713E-11</v>
      </c>
      <c r="AP330" s="44">
        <f>Вводные!$D$37*AP286</f>
        <v>0</v>
      </c>
    </row>
    <row r="331" spans="2:42">
      <c r="C331" s="151" t="str">
        <f t="shared" si="725"/>
        <v>Наземный паркинг</v>
      </c>
      <c r="D331" s="45"/>
      <c r="E331" s="44"/>
      <c r="F331" s="44"/>
      <c r="G331" s="45"/>
      <c r="H331" s="44">
        <f>Вводные!$D$37*H287</f>
        <v>0</v>
      </c>
      <c r="I331" s="44">
        <f>Вводные!$D$37*I287</f>
        <v>0</v>
      </c>
      <c r="J331" s="44">
        <f>Вводные!$D$37*J287</f>
        <v>0</v>
      </c>
      <c r="K331" s="44">
        <f>Вводные!$D$37*K287</f>
        <v>34536.393616593676</v>
      </c>
      <c r="L331" s="44">
        <f>Вводные!$D$37*L287</f>
        <v>33365.668409251528</v>
      </c>
      <c r="M331" s="44">
        <f>Вводные!$D$37*M287</f>
        <v>32194.943201909373</v>
      </c>
      <c r="N331" s="44">
        <f>Вводные!$D$37*N287</f>
        <v>31024.217994567221</v>
      </c>
      <c r="O331" s="44">
        <f>Вводные!$D$37*O287</f>
        <v>29853.49278722507</v>
      </c>
      <c r="P331" s="44">
        <f>Вводные!$D$37*P287</f>
        <v>28682.767579882919</v>
      </c>
      <c r="Q331" s="44">
        <f>Вводные!$D$37*Q287</f>
        <v>27512.042372540767</v>
      </c>
      <c r="R331" s="44">
        <f>Вводные!$D$37*R287</f>
        <v>26341.317165198616</v>
      </c>
      <c r="S331" s="44">
        <f>Вводные!$D$37*S287</f>
        <v>25170.591957856464</v>
      </c>
      <c r="T331" s="44">
        <f>Вводные!$D$37*T287</f>
        <v>23999.866750514313</v>
      </c>
      <c r="U331" s="44">
        <f>Вводные!$D$37*U287</f>
        <v>22829.141543172162</v>
      </c>
      <c r="V331" s="44">
        <f>Вводные!$D$37*V287</f>
        <v>21658.41633583001</v>
      </c>
      <c r="W331" s="44">
        <f>Вводные!$D$37*W287</f>
        <v>20487.691128487852</v>
      </c>
      <c r="X331" s="44">
        <f>Вводные!$D$37*X287</f>
        <v>19316.965921145693</v>
      </c>
      <c r="Y331" s="44">
        <f>Вводные!$D$37*Y287</f>
        <v>18146.240713803531</v>
      </c>
      <c r="Z331" s="44">
        <f>Вводные!$D$37*Z287</f>
        <v>16975.515506461372</v>
      </c>
      <c r="AA331" s="44">
        <f>Вводные!$D$37*AA287</f>
        <v>15804.79029911921</v>
      </c>
      <c r="AB331" s="44">
        <f>Вводные!$D$37*AB287</f>
        <v>14634.065091777049</v>
      </c>
      <c r="AC331" s="44">
        <f>Вводные!$D$37*AC287</f>
        <v>13463.339884434887</v>
      </c>
      <c r="AD331" s="44">
        <f>Вводные!$D$37*AD287</f>
        <v>12292.614677092726</v>
      </c>
      <c r="AE331" s="44">
        <f>Вводные!$D$37*AE287</f>
        <v>11121.889469750566</v>
      </c>
      <c r="AF331" s="44">
        <f>Вводные!$D$37*AF287</f>
        <v>9951.164262408407</v>
      </c>
      <c r="AG331" s="44">
        <f>Вводные!$D$37*AG287</f>
        <v>8780.4390550662501</v>
      </c>
      <c r="AH331" s="44">
        <f>Вводные!$D$37*AH287</f>
        <v>7609.7138477240951</v>
      </c>
      <c r="AI331" s="44">
        <f>Вводные!$D$37*AI287</f>
        <v>6438.9886403819382</v>
      </c>
      <c r="AJ331" s="44">
        <f>Вводные!$D$37*AJ287</f>
        <v>5268.2634330397823</v>
      </c>
      <c r="AK331" s="44">
        <f>Вводные!$D$37*AK287</f>
        <v>4097.5382256976236</v>
      </c>
      <c r="AL331" s="44">
        <f>Вводные!$D$37*AL287</f>
        <v>2926.8130183554649</v>
      </c>
      <c r="AM331" s="44">
        <f>Вводные!$D$37*AM287</f>
        <v>1756.0878110133065</v>
      </c>
      <c r="AN331" s="44">
        <f>Вводные!$D$37*AN287</f>
        <v>585.36260367114801</v>
      </c>
      <c r="AO331" s="44">
        <f>Вводные!$D$37*AO287</f>
        <v>6.8757799454033383E-11</v>
      </c>
      <c r="AP331" s="44">
        <f>Вводные!$D$37*AP287</f>
        <v>0</v>
      </c>
    </row>
    <row r="332" spans="2:42">
      <c r="C332" s="151" t="str">
        <f t="shared" si="725"/>
        <v>Организация набережных</v>
      </c>
      <c r="D332" s="45"/>
      <c r="E332" s="44"/>
      <c r="F332" s="44"/>
      <c r="G332" s="45"/>
      <c r="H332" s="44">
        <f>Вводные!$D$37*H288</f>
        <v>0</v>
      </c>
      <c r="I332" s="44">
        <f>Вводные!$D$37*I288</f>
        <v>0</v>
      </c>
      <c r="J332" s="44">
        <f>Вводные!$D$37*J288</f>
        <v>0</v>
      </c>
      <c r="K332" s="44">
        <f>Вводные!$D$37*K288</f>
        <v>325048.41050911695</v>
      </c>
      <c r="L332" s="44">
        <f>Вводные!$D$37*L288</f>
        <v>314029.82032236725</v>
      </c>
      <c r="M332" s="44">
        <f>Вводные!$D$37*M288</f>
        <v>303011.23013561754</v>
      </c>
      <c r="N332" s="44">
        <f>Вводные!$D$37*N288</f>
        <v>291992.63994886784</v>
      </c>
      <c r="O332" s="44">
        <f>Вводные!$D$37*O288</f>
        <v>280974.04976211814</v>
      </c>
      <c r="P332" s="44">
        <f>Вводные!$D$37*P288</f>
        <v>269955.45957536844</v>
      </c>
      <c r="Q332" s="44">
        <f>Вводные!$D$37*Q288</f>
        <v>258936.86938861877</v>
      </c>
      <c r="R332" s="44">
        <f>Вводные!$D$37*R288</f>
        <v>247918.27920186907</v>
      </c>
      <c r="S332" s="44">
        <f>Вводные!$D$37*S288</f>
        <v>236899.68901511937</v>
      </c>
      <c r="T332" s="44">
        <f>Вводные!$D$37*T288</f>
        <v>225881.09882836969</v>
      </c>
      <c r="U332" s="44">
        <f>Вводные!$D$37*U288</f>
        <v>214862.50864161999</v>
      </c>
      <c r="V332" s="44">
        <f>Вводные!$D$37*V288</f>
        <v>203843.91845487029</v>
      </c>
      <c r="W332" s="44">
        <f>Вводные!$D$37*W288</f>
        <v>192825.32826812059</v>
      </c>
      <c r="X332" s="44">
        <f>Вводные!$D$37*X288</f>
        <v>181806.73808137089</v>
      </c>
      <c r="Y332" s="44">
        <f>Вводные!$D$37*Y288</f>
        <v>170788.14789462119</v>
      </c>
      <c r="Z332" s="44">
        <f>Вводные!$D$37*Z288</f>
        <v>159769.55770787151</v>
      </c>
      <c r="AA332" s="44">
        <f>Вводные!$D$37*AA288</f>
        <v>148750.96752112181</v>
      </c>
      <c r="AB332" s="44">
        <f>Вводные!$D$37*AB288</f>
        <v>137732.37733437211</v>
      </c>
      <c r="AC332" s="44">
        <f>Вводные!$D$37*AC288</f>
        <v>126713.78714762241</v>
      </c>
      <c r="AD332" s="44">
        <f>Вводные!$D$37*AD288</f>
        <v>115695.19696087271</v>
      </c>
      <c r="AE332" s="44">
        <f>Вводные!$D$37*AE288</f>
        <v>104676.60677412302</v>
      </c>
      <c r="AF332" s="44">
        <f>Вводные!$D$37*AF288</f>
        <v>93658.01658737332</v>
      </c>
      <c r="AG332" s="44">
        <f>Вводные!$D$37*AG288</f>
        <v>82639.426400623619</v>
      </c>
      <c r="AH332" s="44">
        <f>Вводные!$D$37*AH288</f>
        <v>71620.836213873874</v>
      </c>
      <c r="AI332" s="44">
        <f>Вводные!$D$37*AI288</f>
        <v>60602.246027124143</v>
      </c>
      <c r="AJ332" s="44">
        <f>Вводные!$D$37*AJ288</f>
        <v>49583.655840374413</v>
      </c>
      <c r="AK332" s="44">
        <f>Вводные!$D$37*AK288</f>
        <v>38565.065653624675</v>
      </c>
      <c r="AL332" s="44">
        <f>Вводные!$D$37*AL288</f>
        <v>27546.475466874941</v>
      </c>
      <c r="AM332" s="44">
        <f>Вводные!$D$37*AM288</f>
        <v>16527.885280125211</v>
      </c>
      <c r="AN332" s="44">
        <f>Вводные!$D$37*AN288</f>
        <v>5509.2950933754864</v>
      </c>
      <c r="AO332" s="44">
        <f>Вводные!$D$37*AO288</f>
        <v>6.2282197177410132E-10</v>
      </c>
      <c r="AP332" s="44">
        <f>Вводные!$D$37*AP288</f>
        <v>0</v>
      </c>
    </row>
    <row r="333" spans="2:42">
      <c r="C333" s="151" t="str">
        <f t="shared" si="725"/>
        <v>Трансформаторная подстанция</v>
      </c>
      <c r="D333" s="45"/>
      <c r="E333" s="44"/>
      <c r="F333" s="44"/>
      <c r="G333" s="45"/>
      <c r="H333" s="44">
        <f>Вводные!$D$37*H289</f>
        <v>0</v>
      </c>
      <c r="I333" s="44">
        <f>Вводные!$D$37*I289</f>
        <v>0</v>
      </c>
      <c r="J333" s="44">
        <f>Вводные!$D$37*J289</f>
        <v>0</v>
      </c>
      <c r="K333" s="44">
        <f>Вводные!$D$37*K289</f>
        <v>32504.841050911695</v>
      </c>
      <c r="L333" s="44">
        <f>Вводные!$D$37*L289</f>
        <v>31402.98203223672</v>
      </c>
      <c r="M333" s="44">
        <f>Вводные!$D$37*M289</f>
        <v>30301.123013561741</v>
      </c>
      <c r="N333" s="44">
        <f>Вводные!$D$37*N289</f>
        <v>29199.263994886765</v>
      </c>
      <c r="O333" s="44">
        <f>Вводные!$D$37*O289</f>
        <v>28097.404976211787</v>
      </c>
      <c r="P333" s="44">
        <f>Вводные!$D$37*P289</f>
        <v>26995.545957536811</v>
      </c>
      <c r="Q333" s="44">
        <f>Вводные!$D$37*Q289</f>
        <v>25893.686938861832</v>
      </c>
      <c r="R333" s="44">
        <f>Вводные!$D$37*R289</f>
        <v>24791.827920186857</v>
      </c>
      <c r="S333" s="44">
        <f>Вводные!$D$37*S289</f>
        <v>23689.968901511878</v>
      </c>
      <c r="T333" s="44">
        <f>Вводные!$D$37*T289</f>
        <v>22588.109882836899</v>
      </c>
      <c r="U333" s="44">
        <f>Вводные!$D$37*U289</f>
        <v>21486.250864161924</v>
      </c>
      <c r="V333" s="44">
        <f>Вводные!$D$37*V289</f>
        <v>20384.391845486945</v>
      </c>
      <c r="W333" s="44">
        <f>Вводные!$D$37*W289</f>
        <v>19282.53282681197</v>
      </c>
      <c r="X333" s="44">
        <f>Вводные!$D$37*X289</f>
        <v>18180.673808136991</v>
      </c>
      <c r="Y333" s="44">
        <f>Вводные!$D$37*Y289</f>
        <v>17078.814789462016</v>
      </c>
      <c r="Z333" s="44">
        <f>Вводные!$D$37*Z289</f>
        <v>15976.955770787039</v>
      </c>
      <c r="AA333" s="44">
        <f>Вводные!$D$37*AA289</f>
        <v>14875.096752112062</v>
      </c>
      <c r="AB333" s="44">
        <f>Вводные!$D$37*AB289</f>
        <v>13773.237733437083</v>
      </c>
      <c r="AC333" s="44">
        <f>Вводные!$D$37*AC289</f>
        <v>12671.378714762106</v>
      </c>
      <c r="AD333" s="44">
        <f>Вводные!$D$37*AD289</f>
        <v>11569.519696087129</v>
      </c>
      <c r="AE333" s="44">
        <f>Вводные!$D$37*AE289</f>
        <v>10467.660677412154</v>
      </c>
      <c r="AF333" s="44">
        <f>Вводные!$D$37*AF289</f>
        <v>9365.8016587371803</v>
      </c>
      <c r="AG333" s="44">
        <f>Вводные!$D$37*AG289</f>
        <v>8263.9426400622087</v>
      </c>
      <c r="AH333" s="44">
        <f>Вводные!$D$37*AH289</f>
        <v>7162.0836213872362</v>
      </c>
      <c r="AI333" s="44">
        <f>Вводные!$D$37*AI289</f>
        <v>6060.2246027122637</v>
      </c>
      <c r="AJ333" s="44">
        <f>Вводные!$D$37*AJ289</f>
        <v>4958.3655840372912</v>
      </c>
      <c r="AK333" s="44">
        <f>Вводные!$D$37*AK289</f>
        <v>3856.5065653623187</v>
      </c>
      <c r="AL333" s="44">
        <f>Вводные!$D$37*AL289</f>
        <v>2754.6475466873462</v>
      </c>
      <c r="AM333" s="44">
        <f>Вводные!$D$37*AM289</f>
        <v>1652.7885280123737</v>
      </c>
      <c r="AN333" s="44">
        <f>Вводные!$D$37*AN289</f>
        <v>550.92950933740121</v>
      </c>
      <c r="AO333" s="44">
        <f>Вводные!$D$37*AO289</f>
        <v>0</v>
      </c>
      <c r="AP333" s="44">
        <f>Вводные!$D$37*AP289</f>
        <v>0</v>
      </c>
    </row>
    <row r="334" spans="2:42">
      <c r="B334" s="139" t="s">
        <v>489</v>
      </c>
      <c r="C334" s="151" t="str">
        <f t="shared" si="725"/>
        <v>Канализационная насосная станция</v>
      </c>
      <c r="D334" s="45"/>
      <c r="E334" s="44"/>
      <c r="F334" s="44"/>
      <c r="G334" s="45"/>
      <c r="H334" s="44">
        <f>Вводные!$D$37*H290</f>
        <v>0</v>
      </c>
      <c r="I334" s="44">
        <f>Вводные!$D$37*I290</f>
        <v>0</v>
      </c>
      <c r="J334" s="44">
        <f>Вводные!$D$37*J290</f>
        <v>0</v>
      </c>
      <c r="K334" s="44">
        <f>Вводные!$D$37*K290</f>
        <v>12351.839599346444</v>
      </c>
      <c r="L334" s="44">
        <f>Вводные!$D$37*L290</f>
        <v>11933.133172249953</v>
      </c>
      <c r="M334" s="44">
        <f>Вводные!$D$37*M290</f>
        <v>11514.426745153462</v>
      </c>
      <c r="N334" s="44">
        <f>Вводные!$D$37*N290</f>
        <v>11095.720318056969</v>
      </c>
      <c r="O334" s="44">
        <f>Вводные!$D$37*O290</f>
        <v>10677.013890960478</v>
      </c>
      <c r="P334" s="44">
        <f>Вводные!$D$37*P290</f>
        <v>10258.307463863986</v>
      </c>
      <c r="Q334" s="44">
        <f>Вводные!$D$37*Q290</f>
        <v>9839.6010367674935</v>
      </c>
      <c r="R334" s="44">
        <f>Вводные!$D$37*R290</f>
        <v>9420.8946096710024</v>
      </c>
      <c r="S334" s="44">
        <f>Вводные!$D$37*S290</f>
        <v>9002.1881825745113</v>
      </c>
      <c r="T334" s="44">
        <f>Вводные!$D$37*T290</f>
        <v>8583.4817554780184</v>
      </c>
      <c r="U334" s="44">
        <f>Вводные!$D$37*U290</f>
        <v>8164.7753283815273</v>
      </c>
      <c r="V334" s="44">
        <f>Вводные!$D$37*V290</f>
        <v>7746.0689012850353</v>
      </c>
      <c r="W334" s="44">
        <f>Вводные!$D$37*W290</f>
        <v>7327.3624741885442</v>
      </c>
      <c r="X334" s="44">
        <f>Вводные!$D$37*X290</f>
        <v>6908.6560470920522</v>
      </c>
      <c r="Y334" s="44">
        <f>Вводные!$D$37*Y290</f>
        <v>6489.9496199955611</v>
      </c>
      <c r="Z334" s="44">
        <f>Вводные!$D$37*Z290</f>
        <v>6071.2431928990691</v>
      </c>
      <c r="AA334" s="44">
        <f>Вводные!$D$37*AA290</f>
        <v>5652.5367658025771</v>
      </c>
      <c r="AB334" s="44">
        <f>Вводные!$D$37*AB290</f>
        <v>5233.830338706086</v>
      </c>
      <c r="AC334" s="44">
        <f>Вводные!$D$37*AC290</f>
        <v>4815.1239116095967</v>
      </c>
      <c r="AD334" s="44">
        <f>Вводные!$D$37*AD290</f>
        <v>4396.4174845131074</v>
      </c>
      <c r="AE334" s="44">
        <f>Вводные!$D$37*AE290</f>
        <v>3977.7110574166181</v>
      </c>
      <c r="AF334" s="44">
        <f>Вводные!$D$37*AF290</f>
        <v>3559.0046303201289</v>
      </c>
      <c r="AG334" s="44">
        <f>Вводные!$D$37*AG290</f>
        <v>3140.2982032236396</v>
      </c>
      <c r="AH334" s="44">
        <f>Вводные!$D$37*AH290</f>
        <v>2721.5917761271498</v>
      </c>
      <c r="AI334" s="44">
        <f>Вводные!$D$37*AI290</f>
        <v>2302.8853490306606</v>
      </c>
      <c r="AJ334" s="44">
        <f>Вводные!$D$37*AJ290</f>
        <v>1884.1789219341713</v>
      </c>
      <c r="AK334" s="44">
        <f>Вводные!$D$37*AK290</f>
        <v>1465.472494837682</v>
      </c>
      <c r="AL334" s="44">
        <f>Вводные!$D$37*AL290</f>
        <v>1046.7660677411925</v>
      </c>
      <c r="AM334" s="44">
        <f>Вводные!$D$37*AM290</f>
        <v>628.05964064470311</v>
      </c>
      <c r="AN334" s="44">
        <f>Вводные!$D$37*AN290</f>
        <v>209.35321354821346</v>
      </c>
      <c r="AO334" s="44">
        <f>Вводные!$D$37*AO290</f>
        <v>0</v>
      </c>
      <c r="AP334" s="44">
        <f>Вводные!$D$37*AP290</f>
        <v>0</v>
      </c>
    </row>
    <row r="335" spans="2:42">
      <c r="B335" s="459">
        <f>$B$19</f>
        <v>15</v>
      </c>
      <c r="C335" s="151" t="str">
        <f t="shared" si="725"/>
        <v>Стоимость проектных работ - 4% от СМР (мебель и технологическое оборудование не учитываются)</v>
      </c>
      <c r="D335" s="45"/>
      <c r="E335" s="44"/>
      <c r="F335" s="44"/>
      <c r="G335" s="45"/>
      <c r="H335" s="44">
        <f>Вводные!$D$37*H291</f>
        <v>0</v>
      </c>
      <c r="I335" s="44">
        <f>Вводные!$D$37*I291</f>
        <v>0</v>
      </c>
      <c r="J335" s="44">
        <f>Вводные!$D$37*J291</f>
        <v>0</v>
      </c>
      <c r="K335" s="44">
        <f>Вводные!$D$37*K291</f>
        <v>586089.04954049503</v>
      </c>
      <c r="L335" s="44">
        <f>Вводные!$D$37*L291</f>
        <v>566221.62413234264</v>
      </c>
      <c r="M335" s="44">
        <f>Вводные!$D$37*M291</f>
        <v>546354.19872419036</v>
      </c>
      <c r="N335" s="44">
        <f>Вводные!$D$37*N291</f>
        <v>526486.77331603796</v>
      </c>
      <c r="O335" s="44">
        <f>Вводные!$D$37*O291</f>
        <v>506619.34790788562</v>
      </c>
      <c r="P335" s="44">
        <f>Вводные!$D$37*P291</f>
        <v>486751.92249973328</v>
      </c>
      <c r="Q335" s="44">
        <f>Вводные!$D$37*Q291</f>
        <v>466884.49709158094</v>
      </c>
      <c r="R335" s="44">
        <f>Вводные!$D$37*R291</f>
        <v>447017.0716834286</v>
      </c>
      <c r="S335" s="44">
        <f>Вводные!$D$37*S291</f>
        <v>427149.64627527626</v>
      </c>
      <c r="T335" s="44">
        <f>Вводные!$D$37*T291</f>
        <v>407282.22086712392</v>
      </c>
      <c r="U335" s="44">
        <f>Вводные!$D$37*U291</f>
        <v>387414.79545897158</v>
      </c>
      <c r="V335" s="44">
        <f>Вводные!$D$37*V291</f>
        <v>367547.37005081924</v>
      </c>
      <c r="W335" s="44">
        <f>Вводные!$D$37*W291</f>
        <v>347679.9446426669</v>
      </c>
      <c r="X335" s="44">
        <f>Вводные!$D$37*X291</f>
        <v>327812.51923451456</v>
      </c>
      <c r="Y335" s="44">
        <f>Вводные!$D$37*Y291</f>
        <v>307945.09382636222</v>
      </c>
      <c r="Z335" s="44">
        <f>Вводные!$D$37*Z291</f>
        <v>288077.66841820988</v>
      </c>
      <c r="AA335" s="44">
        <f>Вводные!$D$37*AA291</f>
        <v>268210.24301005749</v>
      </c>
      <c r="AB335" s="44">
        <f>Вводные!$D$37*AB291</f>
        <v>248342.81760190518</v>
      </c>
      <c r="AC335" s="44">
        <f>Вводные!$D$37*AC291</f>
        <v>228475.39219375284</v>
      </c>
      <c r="AD335" s="44">
        <f>Вводные!$D$37*AD291</f>
        <v>208607.9667856005</v>
      </c>
      <c r="AE335" s="44">
        <f>Вводные!$D$37*AE291</f>
        <v>188740.54137744816</v>
      </c>
      <c r="AF335" s="44">
        <f>Вводные!$D$37*AF291</f>
        <v>168873.11596929582</v>
      </c>
      <c r="AG335" s="44">
        <f>Вводные!$D$37*AG291</f>
        <v>149005.69056114345</v>
      </c>
      <c r="AH335" s="44">
        <f>Вводные!$D$37*AH291</f>
        <v>129138.26515299112</v>
      </c>
      <c r="AI335" s="44">
        <f>Вводные!$D$37*AI291</f>
        <v>109270.83974483877</v>
      </c>
      <c r="AJ335" s="44">
        <f>Вводные!$D$37*AJ291</f>
        <v>89403.41433668643</v>
      </c>
      <c r="AK335" s="44">
        <f>Вводные!$D$37*AK291</f>
        <v>69535.988928534061</v>
      </c>
      <c r="AL335" s="44">
        <f>Вводные!$D$37*AL291</f>
        <v>49668.563520381686</v>
      </c>
      <c r="AM335" s="44">
        <f>Вводные!$D$37*AM291</f>
        <v>29801.138112229306</v>
      </c>
      <c r="AN335" s="44">
        <f>Вводные!$D$37*AN291</f>
        <v>9933.7127040769319</v>
      </c>
      <c r="AO335" s="44">
        <f>Вводные!$D$37*AO291</f>
        <v>7.4622221291065218E-10</v>
      </c>
      <c r="AP335" s="44">
        <f>Вводные!$D$37*AP291</f>
        <v>0</v>
      </c>
    </row>
    <row r="336" spans="2:42">
      <c r="C336" s="465" t="s">
        <v>749</v>
      </c>
      <c r="D336" s="465"/>
      <c r="E336" s="465"/>
      <c r="F336" s="465"/>
      <c r="G336" s="465"/>
      <c r="H336" s="473">
        <f t="shared" ref="H336:AP336" si="726">SUM(H327:H335)</f>
        <v>0</v>
      </c>
      <c r="I336" s="473">
        <f t="shared" si="726"/>
        <v>0</v>
      </c>
      <c r="J336" s="473">
        <f t="shared" si="726"/>
        <v>0</v>
      </c>
      <c r="K336" s="473">
        <f t="shared" si="726"/>
        <v>2256391.0280784564</v>
      </c>
      <c r="L336" s="473">
        <f t="shared" si="726"/>
        <v>2179903.19661817</v>
      </c>
      <c r="M336" s="473">
        <f t="shared" si="726"/>
        <v>2103415.3651578836</v>
      </c>
      <c r="N336" s="473">
        <f t="shared" si="726"/>
        <v>2026927.5336975968</v>
      </c>
      <c r="O336" s="473">
        <f t="shared" si="726"/>
        <v>1950439.7022373106</v>
      </c>
      <c r="P336" s="473">
        <f t="shared" si="726"/>
        <v>1873951.870777024</v>
      </c>
      <c r="Q336" s="473">
        <f t="shared" si="726"/>
        <v>1797464.0393167373</v>
      </c>
      <c r="R336" s="473">
        <f t="shared" si="726"/>
        <v>1720976.2078564507</v>
      </c>
      <c r="S336" s="473">
        <f t="shared" si="726"/>
        <v>1644488.3763961641</v>
      </c>
      <c r="T336" s="473">
        <f t="shared" si="726"/>
        <v>1568000.5449358774</v>
      </c>
      <c r="U336" s="473">
        <f t="shared" si="726"/>
        <v>1491512.7134755906</v>
      </c>
      <c r="V336" s="473">
        <f t="shared" si="726"/>
        <v>1415024.8820153039</v>
      </c>
      <c r="W336" s="473">
        <f t="shared" si="726"/>
        <v>1338537.0505550173</v>
      </c>
      <c r="X336" s="473">
        <f t="shared" si="726"/>
        <v>1262049.2190947307</v>
      </c>
      <c r="Y336" s="473">
        <f t="shared" si="726"/>
        <v>1185561.3876344438</v>
      </c>
      <c r="Z336" s="473">
        <f t="shared" si="726"/>
        <v>1109073.5561741572</v>
      </c>
      <c r="AA336" s="473">
        <f t="shared" si="726"/>
        <v>1032585.7247138704</v>
      </c>
      <c r="AB336" s="473">
        <f t="shared" si="726"/>
        <v>956097.89325358369</v>
      </c>
      <c r="AC336" s="473">
        <f t="shared" si="726"/>
        <v>879610.06179329706</v>
      </c>
      <c r="AD336" s="473">
        <f t="shared" si="726"/>
        <v>803122.23033301032</v>
      </c>
      <c r="AE336" s="473">
        <f t="shared" si="726"/>
        <v>726634.39887272357</v>
      </c>
      <c r="AF336" s="473">
        <f t="shared" si="726"/>
        <v>650146.56741243682</v>
      </c>
      <c r="AG336" s="473">
        <f t="shared" si="726"/>
        <v>573658.73595215008</v>
      </c>
      <c r="AH336" s="473">
        <f t="shared" si="726"/>
        <v>497170.90449186345</v>
      </c>
      <c r="AI336" s="473">
        <f t="shared" si="726"/>
        <v>420683.0730315767</v>
      </c>
      <c r="AJ336" s="473">
        <f t="shared" si="726"/>
        <v>344195.24157129007</v>
      </c>
      <c r="AK336" s="473">
        <f t="shared" si="726"/>
        <v>267707.41011100344</v>
      </c>
      <c r="AL336" s="473">
        <f t="shared" si="726"/>
        <v>191219.57865071681</v>
      </c>
      <c r="AM336" s="473">
        <f t="shared" si="726"/>
        <v>114731.74719043012</v>
      </c>
      <c r="AN336" s="473">
        <f t="shared" si="726"/>
        <v>38243.915730143468</v>
      </c>
      <c r="AO336" s="473">
        <f t="shared" si="726"/>
        <v>2.0028528524562719E-9</v>
      </c>
      <c r="AP336" s="473">
        <f t="shared" si="726"/>
        <v>0</v>
      </c>
    </row>
    <row r="337" spans="2:2">
      <c r="B337" s="40"/>
    </row>
  </sheetData>
  <conditionalFormatting sqref="H25">
    <cfRule type="cellIs" dxfId="910" priority="292" operator="lessThan">
      <formula>0</formula>
    </cfRule>
  </conditionalFormatting>
  <conditionalFormatting sqref="H194:EN194">
    <cfRule type="cellIs" dxfId="909" priority="288" operator="lessThan">
      <formula>0</formula>
    </cfRule>
  </conditionalFormatting>
  <conditionalFormatting sqref="J14:J18 J4:J9">
    <cfRule type="expression" dxfId="908" priority="293">
      <formula>$A$1=1</formula>
    </cfRule>
  </conditionalFormatting>
  <conditionalFormatting sqref="C242 C264 C285 C329 C307 C204 C223 C206:C210 C225:C229 C244:C247 C266:C269 C287:C290 C309:C312 C331:C334 C196:C201 C215:C220 C234:C239 C299:C304">
    <cfRule type="cellIs" dxfId="907" priority="263" operator="equal">
      <formula>0</formula>
    </cfRule>
  </conditionalFormatting>
  <conditionalFormatting sqref="H193:EN193">
    <cfRule type="cellIs" dxfId="906" priority="287" operator="lessThan">
      <formula>0</formula>
    </cfRule>
  </conditionalFormatting>
  <conditionalFormatting sqref="H212:EN213">
    <cfRule type="cellIs" dxfId="905" priority="284" operator="lessThan">
      <formula>0</formula>
    </cfRule>
  </conditionalFormatting>
  <conditionalFormatting sqref="I213:EN213">
    <cfRule type="cellIs" dxfId="904" priority="285" operator="lessThan">
      <formula>0</formula>
    </cfRule>
  </conditionalFormatting>
  <conditionalFormatting sqref="C171:C175 C177">
    <cfRule type="cellIs" dxfId="903" priority="278" operator="equal">
      <formula>0</formula>
    </cfRule>
  </conditionalFormatting>
  <conditionalFormatting sqref="C249">
    <cfRule type="cellIs" dxfId="902" priority="286" operator="equal">
      <formula>0</formula>
    </cfRule>
  </conditionalFormatting>
  <conditionalFormatting sqref="C160:C164 C166">
    <cfRule type="cellIs" dxfId="901" priority="277" operator="equal">
      <formula>0</formula>
    </cfRule>
  </conditionalFormatting>
  <conditionalFormatting sqref="C149:C153 C155">
    <cfRule type="cellIs" dxfId="900" priority="276" operator="equal">
      <formula>0</formula>
    </cfRule>
  </conditionalFormatting>
  <conditionalFormatting sqref="C138:C142 C144">
    <cfRule type="cellIs" dxfId="899" priority="275" operator="equal">
      <formula>0</formula>
    </cfRule>
  </conditionalFormatting>
  <conditionalFormatting sqref="C116:C120 C122">
    <cfRule type="cellIs" dxfId="898" priority="274" operator="equal">
      <formula>0</formula>
    </cfRule>
  </conditionalFormatting>
  <conditionalFormatting sqref="C83:C87 C89">
    <cfRule type="cellIs" dxfId="897" priority="273" operator="equal">
      <formula>0</formula>
    </cfRule>
  </conditionalFormatting>
  <conditionalFormatting sqref="C72:C76 C78">
    <cfRule type="cellIs" dxfId="896" priority="272" operator="equal">
      <formula>0</formula>
    </cfRule>
  </conditionalFormatting>
  <conditionalFormatting sqref="C61:C65 C67">
    <cfRule type="cellIs" dxfId="895" priority="271" operator="equal">
      <formula>0</formula>
    </cfRule>
  </conditionalFormatting>
  <conditionalFormatting sqref="C50:C54 C56">
    <cfRule type="cellIs" dxfId="894" priority="270" operator="equal">
      <formula>0</formula>
    </cfRule>
  </conditionalFormatting>
  <conditionalFormatting sqref="C39:C43 C45">
    <cfRule type="cellIs" dxfId="893" priority="269" operator="equal">
      <formula>0</formula>
    </cfRule>
  </conditionalFormatting>
  <conditionalFormatting sqref="C28:C32 C34">
    <cfRule type="cellIs" dxfId="892" priority="268" operator="equal">
      <formula>0</formula>
    </cfRule>
  </conditionalFormatting>
  <conditionalFormatting sqref="F20">
    <cfRule type="cellIs" dxfId="891" priority="264" operator="equal">
      <formula>FALSE</formula>
    </cfRule>
    <cfRule type="cellIs" dxfId="890" priority="266" operator="equal">
      <formula>0</formula>
    </cfRule>
  </conditionalFormatting>
  <conditionalFormatting sqref="F20">
    <cfRule type="cellIs" dxfId="889" priority="265" operator="equal">
      <formula>0</formula>
    </cfRule>
  </conditionalFormatting>
  <conditionalFormatting sqref="I36:EN36">
    <cfRule type="cellIs" dxfId="888" priority="259" operator="lessThan">
      <formula>0</formula>
    </cfRule>
  </conditionalFormatting>
  <conditionalFormatting sqref="H47:EN48">
    <cfRule type="cellIs" dxfId="887" priority="258" operator="lessThan">
      <formula>0</formula>
    </cfRule>
  </conditionalFormatting>
  <conditionalFormatting sqref="H58:EN59">
    <cfRule type="cellIs" dxfId="886" priority="256" operator="lessThan">
      <formula>0</formula>
    </cfRule>
  </conditionalFormatting>
  <conditionalFormatting sqref="I58:EN58">
    <cfRule type="cellIs" dxfId="885" priority="255" operator="lessThan">
      <formula>0</formula>
    </cfRule>
  </conditionalFormatting>
  <conditionalFormatting sqref="I69:EN69">
    <cfRule type="cellIs" dxfId="884" priority="253" operator="lessThan">
      <formula>0</formula>
    </cfRule>
  </conditionalFormatting>
  <conditionalFormatting sqref="H80:EN81">
    <cfRule type="cellIs" dxfId="883" priority="252" operator="lessThan">
      <formula>0</formula>
    </cfRule>
  </conditionalFormatting>
  <conditionalFormatting sqref="H113:EN114">
    <cfRule type="cellIs" dxfId="882" priority="250" operator="lessThan">
      <formula>0</formula>
    </cfRule>
  </conditionalFormatting>
  <conditionalFormatting sqref="I113:EN113">
    <cfRule type="cellIs" dxfId="881" priority="249" operator="lessThan">
      <formula>0</formula>
    </cfRule>
  </conditionalFormatting>
  <conditionalFormatting sqref="H135:EN136">
    <cfRule type="cellIs" dxfId="880" priority="248" operator="lessThan">
      <formula>0</formula>
    </cfRule>
  </conditionalFormatting>
  <conditionalFormatting sqref="H146:EN147">
    <cfRule type="cellIs" dxfId="879" priority="246" operator="lessThan">
      <formula>0</formula>
    </cfRule>
  </conditionalFormatting>
  <conditionalFormatting sqref="I146:EN146">
    <cfRule type="cellIs" dxfId="878" priority="245" operator="lessThan">
      <formula>0</formula>
    </cfRule>
  </conditionalFormatting>
  <conditionalFormatting sqref="I157:EN157">
    <cfRule type="cellIs" dxfId="877" priority="243" operator="lessThan">
      <formula>0</formula>
    </cfRule>
  </conditionalFormatting>
  <conditionalFormatting sqref="H168:EN169">
    <cfRule type="cellIs" dxfId="876" priority="242" operator="lessThan">
      <formula>0</formula>
    </cfRule>
  </conditionalFormatting>
  <conditionalFormatting sqref="H36:EN37">
    <cfRule type="cellIs" dxfId="875" priority="260" operator="lessThan">
      <formula>0</formula>
    </cfRule>
  </conditionalFormatting>
  <conditionalFormatting sqref="I47:EN47">
    <cfRule type="cellIs" dxfId="874" priority="257" operator="lessThan">
      <formula>0</formula>
    </cfRule>
  </conditionalFormatting>
  <conditionalFormatting sqref="J12">
    <cfRule type="expression" dxfId="873" priority="262">
      <formula>$A$1=1</formula>
    </cfRule>
  </conditionalFormatting>
  <conditionalFormatting sqref="H69:EN70">
    <cfRule type="cellIs" dxfId="872" priority="254" operator="lessThan">
      <formula>0</formula>
    </cfRule>
  </conditionalFormatting>
  <conditionalFormatting sqref="I80:EN80">
    <cfRule type="cellIs" dxfId="871" priority="251" operator="lessThan">
      <formula>0</formula>
    </cfRule>
  </conditionalFormatting>
  <conditionalFormatting sqref="I135:EN135">
    <cfRule type="cellIs" dxfId="870" priority="247" operator="lessThan">
      <formula>0</formula>
    </cfRule>
  </conditionalFormatting>
  <conditionalFormatting sqref="H157:EN158">
    <cfRule type="cellIs" dxfId="869" priority="244" operator="lessThan">
      <formula>0</formula>
    </cfRule>
  </conditionalFormatting>
  <conditionalFormatting sqref="I168:EN168">
    <cfRule type="cellIs" dxfId="868" priority="241" operator="lessThan">
      <formula>0</formula>
    </cfRule>
  </conditionalFormatting>
  <conditionalFormatting sqref="C191">
    <cfRule type="cellIs" dxfId="867" priority="212" operator="equal">
      <formula>0</formula>
    </cfRule>
  </conditionalFormatting>
  <conditionalFormatting sqref="D191">
    <cfRule type="cellIs" dxfId="866" priority="211" operator="equal">
      <formula>FALSE</formula>
    </cfRule>
  </conditionalFormatting>
  <conditionalFormatting sqref="AT253:EN253 AQ253:AS254 H253:AO254">
    <cfRule type="cellIs" dxfId="865" priority="197" operator="lessThan">
      <formula>0</formula>
    </cfRule>
  </conditionalFormatting>
  <conditionalFormatting sqref="AT254:EN254">
    <cfRule type="cellIs" dxfId="864" priority="198" operator="lessThan">
      <formula>0</formula>
    </cfRule>
  </conditionalFormatting>
  <conditionalFormatting sqref="H274:AO275 AT274:EN274 AQ274:AS275">
    <cfRule type="cellIs" dxfId="863" priority="190" operator="lessThan">
      <formula>0</formula>
    </cfRule>
  </conditionalFormatting>
  <conditionalFormatting sqref="AT275:EN275">
    <cfRule type="cellIs" dxfId="862" priority="191" operator="lessThan">
      <formula>0</formula>
    </cfRule>
  </conditionalFormatting>
  <conditionalFormatting sqref="H296:AO297 AT296:EN296 AQ296:AS297">
    <cfRule type="cellIs" dxfId="861" priority="181" operator="lessThan">
      <formula>0</formula>
    </cfRule>
  </conditionalFormatting>
  <conditionalFormatting sqref="AT297:EN297">
    <cfRule type="cellIs" dxfId="860" priority="182" operator="lessThan">
      <formula>0</formula>
    </cfRule>
  </conditionalFormatting>
  <conditionalFormatting sqref="H318:AO319 AT318:EN318 AQ318:AS319">
    <cfRule type="cellIs" dxfId="859" priority="172" operator="lessThan">
      <formula>0</formula>
    </cfRule>
  </conditionalFormatting>
  <conditionalFormatting sqref="AT319:EN319">
    <cfRule type="cellIs" dxfId="858" priority="173" operator="lessThan">
      <formula>0</formula>
    </cfRule>
  </conditionalFormatting>
  <conditionalFormatting sqref="J10">
    <cfRule type="expression" dxfId="857" priority="162">
      <formula>$A$1=1</formula>
    </cfRule>
  </conditionalFormatting>
  <conditionalFormatting sqref="J11">
    <cfRule type="expression" dxfId="856" priority="161">
      <formula>$A$1=1</formula>
    </cfRule>
  </conditionalFormatting>
  <conditionalFormatting sqref="C94:C98 C100">
    <cfRule type="cellIs" dxfId="855" priority="160" operator="equal">
      <formula>0</formula>
    </cfRule>
  </conditionalFormatting>
  <conditionalFormatting sqref="H91:EN92">
    <cfRule type="cellIs" dxfId="854" priority="159" operator="lessThan">
      <formula>0</formula>
    </cfRule>
  </conditionalFormatting>
  <conditionalFormatting sqref="I91:EN91">
    <cfRule type="cellIs" dxfId="853" priority="158" operator="lessThan">
      <formula>0</formula>
    </cfRule>
  </conditionalFormatting>
  <conditionalFormatting sqref="C105:C109 C111">
    <cfRule type="cellIs" dxfId="852" priority="157" operator="equal">
      <formula>0</formula>
    </cfRule>
  </conditionalFormatting>
  <conditionalFormatting sqref="H102:EN103">
    <cfRule type="cellIs" dxfId="851" priority="156" operator="lessThan">
      <formula>0</formula>
    </cfRule>
  </conditionalFormatting>
  <conditionalFormatting sqref="I102:EN102">
    <cfRule type="cellIs" dxfId="850" priority="155" operator="lessThan">
      <formula>0</formula>
    </cfRule>
  </conditionalFormatting>
  <conditionalFormatting sqref="C202">
    <cfRule type="cellIs" dxfId="849" priority="154" operator="equal">
      <formula>0</formula>
    </cfRule>
  </conditionalFormatting>
  <conditionalFormatting sqref="C203">
    <cfRule type="cellIs" dxfId="848" priority="153" operator="equal">
      <formula>0</formula>
    </cfRule>
  </conditionalFormatting>
  <conditionalFormatting sqref="C221">
    <cfRule type="cellIs" dxfId="847" priority="152" operator="equal">
      <formula>0</formula>
    </cfRule>
  </conditionalFormatting>
  <conditionalFormatting sqref="C222">
    <cfRule type="cellIs" dxfId="846" priority="151" operator="equal">
      <formula>0</formula>
    </cfRule>
  </conditionalFormatting>
  <conditionalFormatting sqref="C240">
    <cfRule type="cellIs" dxfId="845" priority="150" operator="equal">
      <formula>0</formula>
    </cfRule>
  </conditionalFormatting>
  <conditionalFormatting sqref="C241">
    <cfRule type="cellIs" dxfId="844" priority="149" operator="equal">
      <formula>0</formula>
    </cfRule>
  </conditionalFormatting>
  <conditionalFormatting sqref="C262">
    <cfRule type="cellIs" dxfId="843" priority="148" operator="equal">
      <formula>0</formula>
    </cfRule>
  </conditionalFormatting>
  <conditionalFormatting sqref="C263">
    <cfRule type="cellIs" dxfId="842" priority="147" operator="equal">
      <formula>0</formula>
    </cfRule>
  </conditionalFormatting>
  <conditionalFormatting sqref="C283">
    <cfRule type="cellIs" dxfId="841" priority="146" operator="equal">
      <formula>0</formula>
    </cfRule>
  </conditionalFormatting>
  <conditionalFormatting sqref="C284">
    <cfRule type="cellIs" dxfId="840" priority="145" operator="equal">
      <formula>0</formula>
    </cfRule>
  </conditionalFormatting>
  <conditionalFormatting sqref="C327">
    <cfRule type="cellIs" dxfId="839" priority="144" operator="equal">
      <formula>0</formula>
    </cfRule>
  </conditionalFormatting>
  <conditionalFormatting sqref="C328">
    <cfRule type="cellIs" dxfId="838" priority="143" operator="equal">
      <formula>0</formula>
    </cfRule>
  </conditionalFormatting>
  <conditionalFormatting sqref="E254">
    <cfRule type="cellIs" dxfId="837" priority="112" operator="equal">
      <formula>FALSE</formula>
    </cfRule>
    <cfRule type="cellIs" dxfId="836" priority="114" operator="equal">
      <formula>0</formula>
    </cfRule>
  </conditionalFormatting>
  <conditionalFormatting sqref="E254">
    <cfRule type="cellIs" dxfId="835" priority="113" operator="equal">
      <formula>0</formula>
    </cfRule>
  </conditionalFormatting>
  <conditionalFormatting sqref="E297">
    <cfRule type="cellIs" dxfId="834" priority="109" operator="equal">
      <formula>FALSE</formula>
    </cfRule>
    <cfRule type="cellIs" dxfId="833" priority="111" operator="equal">
      <formula>0</formula>
    </cfRule>
  </conditionalFormatting>
  <conditionalFormatting sqref="E297">
    <cfRule type="cellIs" dxfId="832" priority="110" operator="equal">
      <formula>0</formula>
    </cfRule>
  </conditionalFormatting>
  <conditionalFormatting sqref="C305">
    <cfRule type="cellIs" dxfId="831" priority="100" operator="equal">
      <formula>0</formula>
    </cfRule>
  </conditionalFormatting>
  <conditionalFormatting sqref="C306">
    <cfRule type="cellIs" dxfId="830" priority="99" operator="equal">
      <formula>0</formula>
    </cfRule>
  </conditionalFormatting>
  <conditionalFormatting sqref="AP253:AP254">
    <cfRule type="cellIs" dxfId="829" priority="94" operator="lessThan">
      <formula>0</formula>
    </cfRule>
  </conditionalFormatting>
  <conditionalFormatting sqref="AP274:AP275">
    <cfRule type="cellIs" dxfId="828" priority="93" operator="lessThan">
      <formula>0</formula>
    </cfRule>
  </conditionalFormatting>
  <conditionalFormatting sqref="AP296:AP297">
    <cfRule type="cellIs" dxfId="827" priority="90" operator="lessThan">
      <formula>0</formula>
    </cfRule>
  </conditionalFormatting>
  <conditionalFormatting sqref="AP318:AP319">
    <cfRule type="cellIs" dxfId="826" priority="88" operator="lessThan">
      <formula>0</formula>
    </cfRule>
  </conditionalFormatting>
  <conditionalFormatting sqref="C182:C186 C188">
    <cfRule type="cellIs" dxfId="825" priority="83" operator="equal">
      <formula>0</formula>
    </cfRule>
  </conditionalFormatting>
  <conditionalFormatting sqref="H179:EN180">
    <cfRule type="cellIs" dxfId="824" priority="82" operator="lessThan">
      <formula>0</formula>
    </cfRule>
  </conditionalFormatting>
  <conditionalFormatting sqref="I179:EN179">
    <cfRule type="cellIs" dxfId="823" priority="81" operator="lessThan">
      <formula>0</formula>
    </cfRule>
  </conditionalFormatting>
  <conditionalFormatting sqref="C248">
    <cfRule type="cellIs" dxfId="822" priority="80" operator="equal">
      <formula>0</formula>
    </cfRule>
  </conditionalFormatting>
  <conditionalFormatting sqref="C270">
    <cfRule type="cellIs" dxfId="821" priority="79" operator="equal">
      <formula>0</formula>
    </cfRule>
  </conditionalFormatting>
  <conditionalFormatting sqref="C291">
    <cfRule type="cellIs" dxfId="820" priority="78" operator="equal">
      <formula>0</formula>
    </cfRule>
  </conditionalFormatting>
  <conditionalFormatting sqref="C313">
    <cfRule type="cellIs" dxfId="819" priority="77" operator="equal">
      <formula>0</formula>
    </cfRule>
  </conditionalFormatting>
  <conditionalFormatting sqref="C335">
    <cfRule type="cellIs" dxfId="818" priority="76" operator="equal">
      <formula>0</formula>
    </cfRule>
  </conditionalFormatting>
  <conditionalFormatting sqref="J13">
    <cfRule type="expression" dxfId="817" priority="62">
      <formula>$A$1=1</formula>
    </cfRule>
  </conditionalFormatting>
  <conditionalFormatting sqref="C127:C131 C133">
    <cfRule type="cellIs" dxfId="816" priority="61" operator="equal">
      <formula>0</formula>
    </cfRule>
  </conditionalFormatting>
  <conditionalFormatting sqref="H124:EN125">
    <cfRule type="cellIs" dxfId="815" priority="60" operator="lessThan">
      <formula>0</formula>
    </cfRule>
  </conditionalFormatting>
  <conditionalFormatting sqref="I124:EN124">
    <cfRule type="cellIs" dxfId="814" priority="59" operator="lessThan">
      <formula>0</formula>
    </cfRule>
  </conditionalFormatting>
  <conditionalFormatting sqref="C205">
    <cfRule type="cellIs" dxfId="813" priority="58" operator="equal">
      <formula>0</formula>
    </cfRule>
  </conditionalFormatting>
  <conditionalFormatting sqref="C224">
    <cfRule type="cellIs" dxfId="812" priority="57" operator="equal">
      <formula>0</formula>
    </cfRule>
  </conditionalFormatting>
  <conditionalFormatting sqref="C243">
    <cfRule type="cellIs" dxfId="811" priority="56" operator="equal">
      <formula>0</formula>
    </cfRule>
  </conditionalFormatting>
  <conditionalFormatting sqref="C265">
    <cfRule type="cellIs" dxfId="810" priority="55" operator="equal">
      <formula>0</formula>
    </cfRule>
  </conditionalFormatting>
  <conditionalFormatting sqref="C286">
    <cfRule type="cellIs" dxfId="809" priority="54" operator="equal">
      <formula>0</formula>
    </cfRule>
  </conditionalFormatting>
  <conditionalFormatting sqref="C308">
    <cfRule type="cellIs" dxfId="808" priority="53" operator="equal">
      <formula>0</formula>
    </cfRule>
  </conditionalFormatting>
  <conditionalFormatting sqref="C330">
    <cfRule type="cellIs" dxfId="807" priority="52" operator="equal">
      <formula>0</formula>
    </cfRule>
  </conditionalFormatting>
  <conditionalFormatting sqref="H26">
    <cfRule type="cellIs" dxfId="806" priority="40" operator="lessThan">
      <formula>0</formula>
    </cfRule>
  </conditionalFormatting>
  <conditionalFormatting sqref="I26:EN26">
    <cfRule type="cellIs" dxfId="805" priority="39" operator="lessThan">
      <formula>0</formula>
    </cfRule>
  </conditionalFormatting>
  <conditionalFormatting sqref="I25:EN25">
    <cfRule type="cellIs" dxfId="804" priority="38" operator="lessThan">
      <formula>0</formula>
    </cfRule>
  </conditionalFormatting>
  <conditionalFormatting sqref="C33">
    <cfRule type="cellIs" dxfId="803" priority="37" operator="equal">
      <formula>0</formula>
    </cfRule>
  </conditionalFormatting>
  <conditionalFormatting sqref="H33:EN33">
    <cfRule type="expression" dxfId="802" priority="36">
      <formula>$A$1=1</formula>
    </cfRule>
  </conditionalFormatting>
  <conditionalFormatting sqref="E33">
    <cfRule type="expression" dxfId="801" priority="35">
      <formula>$A$1=1</formula>
    </cfRule>
  </conditionalFormatting>
  <conditionalFormatting sqref="C44">
    <cfRule type="cellIs" dxfId="800" priority="34" operator="equal">
      <formula>0</formula>
    </cfRule>
  </conditionalFormatting>
  <conditionalFormatting sqref="H44:EN44">
    <cfRule type="expression" dxfId="799" priority="33">
      <formula>$A$1=1</formula>
    </cfRule>
  </conditionalFormatting>
  <conditionalFormatting sqref="H55:EN55">
    <cfRule type="expression" dxfId="798" priority="30">
      <formula>$A$1=1</formula>
    </cfRule>
  </conditionalFormatting>
  <conditionalFormatting sqref="C55">
    <cfRule type="cellIs" dxfId="797" priority="31" operator="equal">
      <formula>0</formula>
    </cfRule>
  </conditionalFormatting>
  <conditionalFormatting sqref="H66:EN66">
    <cfRule type="expression" dxfId="796" priority="28">
      <formula>$A$1=1</formula>
    </cfRule>
  </conditionalFormatting>
  <conditionalFormatting sqref="H77:EN77">
    <cfRule type="expression" dxfId="795" priority="26">
      <formula>$A$1=1</formula>
    </cfRule>
  </conditionalFormatting>
  <conditionalFormatting sqref="C66">
    <cfRule type="cellIs" dxfId="794" priority="29" operator="equal">
      <formula>0</formula>
    </cfRule>
  </conditionalFormatting>
  <conditionalFormatting sqref="H88:EN88">
    <cfRule type="expression" dxfId="793" priority="24">
      <formula>$A$1=1</formula>
    </cfRule>
  </conditionalFormatting>
  <conditionalFormatting sqref="C77">
    <cfRule type="cellIs" dxfId="792" priority="27" operator="equal">
      <formula>0</formula>
    </cfRule>
  </conditionalFormatting>
  <conditionalFormatting sqref="C88">
    <cfRule type="cellIs" dxfId="791" priority="25" operator="equal">
      <formula>0</formula>
    </cfRule>
  </conditionalFormatting>
  <conditionalFormatting sqref="H99:EN99">
    <cfRule type="expression" dxfId="790" priority="22">
      <formula>$A$1=1</formula>
    </cfRule>
  </conditionalFormatting>
  <conditionalFormatting sqref="C99">
    <cfRule type="cellIs" dxfId="789" priority="23" operator="equal">
      <formula>0</formula>
    </cfRule>
  </conditionalFormatting>
  <conditionalFormatting sqref="H110:EN110">
    <cfRule type="expression" dxfId="788" priority="20">
      <formula>$A$1=1</formula>
    </cfRule>
  </conditionalFormatting>
  <conditionalFormatting sqref="C110">
    <cfRule type="cellIs" dxfId="787" priority="21" operator="equal">
      <formula>0</formula>
    </cfRule>
  </conditionalFormatting>
  <conditionalFormatting sqref="H121:EN121">
    <cfRule type="expression" dxfId="786" priority="18">
      <formula>$A$1=1</formula>
    </cfRule>
  </conditionalFormatting>
  <conditionalFormatting sqref="C121">
    <cfRule type="cellIs" dxfId="785" priority="19" operator="equal">
      <formula>0</formula>
    </cfRule>
  </conditionalFormatting>
  <conditionalFormatting sqref="H132:EN132">
    <cfRule type="expression" dxfId="784" priority="16">
      <formula>$A$1=1</formula>
    </cfRule>
  </conditionalFormatting>
  <conditionalFormatting sqref="C132">
    <cfRule type="cellIs" dxfId="783" priority="17" operator="equal">
      <formula>0</formula>
    </cfRule>
  </conditionalFormatting>
  <conditionalFormatting sqref="H143:EN143">
    <cfRule type="expression" dxfId="782" priority="14">
      <formula>$A$1=1</formula>
    </cfRule>
  </conditionalFormatting>
  <conditionalFormatting sqref="C143">
    <cfRule type="cellIs" dxfId="781" priority="15" operator="equal">
      <formula>0</formula>
    </cfRule>
  </conditionalFormatting>
  <conditionalFormatting sqref="H154:EN154">
    <cfRule type="expression" dxfId="780" priority="12">
      <formula>$A$1=1</formula>
    </cfRule>
  </conditionalFormatting>
  <conditionalFormatting sqref="C154">
    <cfRule type="cellIs" dxfId="779" priority="13" operator="equal">
      <formula>0</formula>
    </cfRule>
  </conditionalFormatting>
  <conditionalFormatting sqref="H165:EN165">
    <cfRule type="expression" dxfId="778" priority="10">
      <formula>$A$1=1</formula>
    </cfRule>
  </conditionalFormatting>
  <conditionalFormatting sqref="C165">
    <cfRule type="cellIs" dxfId="777" priority="11" operator="equal">
      <formula>0</formula>
    </cfRule>
  </conditionalFormatting>
  <conditionalFormatting sqref="H176:EN176">
    <cfRule type="expression" dxfId="776" priority="8">
      <formula>$A$1=1</formula>
    </cfRule>
  </conditionalFormatting>
  <conditionalFormatting sqref="C176">
    <cfRule type="cellIs" dxfId="775" priority="9" operator="equal">
      <formula>0</formula>
    </cfRule>
  </conditionalFormatting>
  <conditionalFormatting sqref="H187:EN187">
    <cfRule type="expression" dxfId="774" priority="6">
      <formula>$A$1=1</formula>
    </cfRule>
  </conditionalFormatting>
  <conditionalFormatting sqref="C187">
    <cfRule type="cellIs" dxfId="773" priority="7" operator="equal">
      <formula>0</formula>
    </cfRule>
  </conditionalFormatting>
  <conditionalFormatting sqref="H231:EN232">
    <cfRule type="cellIs" dxfId="772" priority="4" operator="lessThan">
      <formula>0</formula>
    </cfRule>
  </conditionalFormatting>
  <conditionalFormatting sqref="I232:EN232">
    <cfRule type="cellIs" dxfId="771" priority="5" operator="lessThan">
      <formula>0</formula>
    </cfRule>
  </conditionalFormatting>
  <conditionalFormatting sqref="C321:C326">
    <cfRule type="cellIs" dxfId="770" priority="3" operator="equal">
      <formula>0</formula>
    </cfRule>
  </conditionalFormatting>
  <conditionalFormatting sqref="C277:C282">
    <cfRule type="cellIs" dxfId="769" priority="2" operator="equal">
      <formula>0</formula>
    </cfRule>
  </conditionalFormatting>
  <conditionalFormatting sqref="C256:C261">
    <cfRule type="cellIs" dxfId="768" priority="1" operator="equal">
      <formula>0</formula>
    </cfRule>
  </conditionalFormatting>
  <pageMargins left="0.7" right="0.7" top="0.75" bottom="0.75" header="0.3" footer="0.3"/>
  <pageSetup paperSize="8" scale="1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P63"/>
  <sheetViews>
    <sheetView showGridLines="0" zoomScale="85" zoomScaleNormal="85" workbookViewId="0">
      <selection activeCell="B3" sqref="B3:P40"/>
    </sheetView>
  </sheetViews>
  <sheetFormatPr defaultColWidth="8.7109375" defaultRowHeight="12.75" outlineLevelRow="1" outlineLevelCol="1"/>
  <cols>
    <col min="1" max="1" width="8.7109375" style="20"/>
    <col min="2" max="2" width="22.5703125" style="20" customWidth="1"/>
    <col min="3" max="3" width="19.140625" style="1163" customWidth="1"/>
    <col min="4" max="4" width="17" style="20" customWidth="1"/>
    <col min="5" max="5" width="15.140625" style="20" hidden="1" customWidth="1" outlineLevel="1"/>
    <col min="6" max="6" width="0" style="20" hidden="1" customWidth="1" outlineLevel="1"/>
    <col min="7" max="7" width="15.7109375" style="20" hidden="1" customWidth="1" outlineLevel="1"/>
    <col min="8" max="11" width="0" style="20" hidden="1" customWidth="1" outlineLevel="1"/>
    <col min="12" max="12" width="9.5703125" style="20" customWidth="1" collapsed="1"/>
    <col min="13" max="16" width="9.5703125" style="20" customWidth="1"/>
    <col min="17" max="16384" width="8.7109375" style="20"/>
  </cols>
  <sheetData>
    <row r="2" spans="2:16">
      <c r="C2" s="1836"/>
      <c r="D2" s="1229"/>
      <c r="E2" s="1229"/>
      <c r="F2" s="1229"/>
      <c r="G2" s="1229"/>
      <c r="H2" s="1229"/>
      <c r="I2" s="1229"/>
      <c r="J2" s="1229"/>
      <c r="K2" s="1229"/>
      <c r="L2" s="5"/>
      <c r="M2" s="1229"/>
      <c r="N2" s="1229"/>
      <c r="O2" s="1229"/>
      <c r="P2" s="1229"/>
    </row>
    <row r="3" spans="2:16" ht="38.25">
      <c r="B3" s="1827" t="str">
        <f>'Прогноз расходов'!C4</f>
        <v>Расходы на персонал</v>
      </c>
      <c r="C3" s="1827" t="str">
        <f>'Прогноз расходов'!D5</f>
        <v>Единица измерения</v>
      </c>
      <c r="D3" s="1827" t="str">
        <f>'Прогноз расходов'!E5</f>
        <v>Показатель в стаб. год в ценах 2021</v>
      </c>
      <c r="E3" s="1827" t="str">
        <f>'Прогноз расходов'!F5</f>
        <v>Год ввода в эксплуатацию</v>
      </c>
      <c r="F3" s="1827" t="str">
        <f>'Прогноз расходов'!G5</f>
        <v>Стаб. год</v>
      </c>
      <c r="G3" s="1827" t="str">
        <f>'Прогноз расходов'!H5</f>
        <v>Накопленная инфляция на стаб. год</v>
      </c>
      <c r="H3" s="1977" t="str">
        <f>'Прогноз расходов'!I5</f>
        <v>Темп выхода на стаб. пок-ль (обратный счет)</v>
      </c>
      <c r="I3" s="1977">
        <f>'Прогноз расходов'!J5</f>
        <v>0</v>
      </c>
      <c r="J3" s="1977">
        <f>'Прогноз расходов'!K5</f>
        <v>0</v>
      </c>
      <c r="K3" s="1977">
        <f>'Прогноз расходов'!L5</f>
        <v>0</v>
      </c>
      <c r="L3" s="1827" t="str">
        <f>'Прогноз расходов'!M5</f>
        <v>Год 1</v>
      </c>
      <c r="M3" s="1827" t="str">
        <f>'Прогноз расходов'!N5</f>
        <v>Год 2</v>
      </c>
      <c r="N3" s="1827" t="str">
        <f>'Прогноз расходов'!O5</f>
        <v>Год 3</v>
      </c>
      <c r="O3" s="1827" t="str">
        <f>'Прогноз расходов'!P5</f>
        <v>Год 4</v>
      </c>
      <c r="P3" s="1827" t="str">
        <f>'Прогноз расходов'!Q5</f>
        <v>Стаб. год</v>
      </c>
    </row>
    <row r="4" spans="2:16">
      <c r="B4" s="1834" t="str">
        <f>'Прогноз расходов'!C6</f>
        <v>Гостиница 5*</v>
      </c>
      <c r="C4" s="525" t="str">
        <f>'Прогноз расходов'!D6</f>
        <v>руб./проданный номер</v>
      </c>
      <c r="D4" s="1036">
        <f>'Прогноз расходов'!E6</f>
        <v>1200</v>
      </c>
      <c r="E4" s="790">
        <f>'Прогноз расходов'!F6</f>
        <v>2026</v>
      </c>
      <c r="F4" s="526">
        <f>'Прогноз расходов'!G6</f>
        <v>2030</v>
      </c>
      <c r="G4" s="791">
        <f>'Прогноз расходов'!H6</f>
        <v>1.4233118124214852</v>
      </c>
      <c r="H4" s="182">
        <f>'Прогноз расходов'!I6</f>
        <v>0.09</v>
      </c>
      <c r="I4" s="182">
        <f>'Прогноз расходов'!J6</f>
        <v>0.06</v>
      </c>
      <c r="J4" s="182">
        <f>'Прогноз расходов'!K6</f>
        <v>0.04</v>
      </c>
      <c r="K4" s="182">
        <f>'Прогноз расходов'!L6</f>
        <v>0.02</v>
      </c>
      <c r="L4" s="208">
        <f>'Прогноз расходов'!M6</f>
        <v>1861.6918506473028</v>
      </c>
      <c r="M4" s="201">
        <f>'Прогноз расходов'!N6</f>
        <v>1810.4526254001294</v>
      </c>
      <c r="N4" s="201">
        <f>'Прогноз расходов'!O6</f>
        <v>1776.2931419020138</v>
      </c>
      <c r="O4" s="201">
        <f>'Прогноз расходов'!P6</f>
        <v>1742.1336584038979</v>
      </c>
      <c r="P4" s="201">
        <f>'Прогноз расходов'!Q6</f>
        <v>1707.9741749057823</v>
      </c>
    </row>
    <row r="5" spans="2:16">
      <c r="B5" s="1834" t="str">
        <f>'Прогноз расходов'!C7</f>
        <v>Гостиница 4*</v>
      </c>
      <c r="C5" s="525" t="str">
        <f>'Прогноз расходов'!D7</f>
        <v>руб./проданный номер</v>
      </c>
      <c r="D5" s="1036">
        <f>'Прогноз расходов'!E7</f>
        <v>600</v>
      </c>
      <c r="E5" s="526">
        <f>'Прогноз расходов'!F7</f>
        <v>2026</v>
      </c>
      <c r="F5" s="526">
        <f>'Прогноз расходов'!G7</f>
        <v>2030</v>
      </c>
      <c r="G5" s="791">
        <f>'Прогноз расходов'!H7</f>
        <v>1.4233118124214852</v>
      </c>
      <c r="H5" s="182">
        <f>'Прогноз расходов'!I7</f>
        <v>0.09</v>
      </c>
      <c r="I5" s="182">
        <f>'Прогноз расходов'!J7</f>
        <v>0.06</v>
      </c>
      <c r="J5" s="182">
        <f>'Прогноз расходов'!K7</f>
        <v>0.04</v>
      </c>
      <c r="K5" s="182">
        <f>'Прогноз расходов'!L7</f>
        <v>0.02</v>
      </c>
      <c r="L5" s="208">
        <f>'Прогноз расходов'!M7</f>
        <v>930.84592532365139</v>
      </c>
      <c r="M5" s="201">
        <f>'Прогноз расходов'!N7</f>
        <v>905.22631270006468</v>
      </c>
      <c r="N5" s="201">
        <f>'Прогноз расходов'!O7</f>
        <v>888.14657095100688</v>
      </c>
      <c r="O5" s="201">
        <f>'Прогноз расходов'!P7</f>
        <v>871.06682920194896</v>
      </c>
      <c r="P5" s="201">
        <f>'Прогноз расходов'!Q7</f>
        <v>853.98708745289116</v>
      </c>
    </row>
    <row r="6" spans="2:16">
      <c r="B6" s="1834" t="str">
        <f>'Прогноз расходов'!C8</f>
        <v>Гостиница 3*</v>
      </c>
      <c r="C6" s="525" t="str">
        <f>'Прогноз расходов'!D8</f>
        <v>руб./проданный номер</v>
      </c>
      <c r="D6" s="1036">
        <f>'Прогноз расходов'!E8</f>
        <v>400</v>
      </c>
      <c r="E6" s="526">
        <f>'Прогноз расходов'!F8</f>
        <v>2025</v>
      </c>
      <c r="F6" s="526">
        <f>'Прогноз расходов'!G8</f>
        <v>2029</v>
      </c>
      <c r="G6" s="791">
        <f>'Прогноз расходов'!H8</f>
        <v>1.3685690504052741</v>
      </c>
      <c r="H6" s="182">
        <f>'Прогноз расходов'!I8</f>
        <v>0.09</v>
      </c>
      <c r="I6" s="182">
        <f>'Прогноз расходов'!J8</f>
        <v>0.06</v>
      </c>
      <c r="J6" s="182">
        <f>'Прогноз расходов'!K8</f>
        <v>0.04</v>
      </c>
      <c r="K6" s="182">
        <f>'Прогноз расходов'!L8</f>
        <v>0.02</v>
      </c>
      <c r="L6" s="208">
        <f>'Прогноз расходов'!M8</f>
        <v>596.69610597669953</v>
      </c>
      <c r="M6" s="201">
        <f>'Прогноз расходов'!N8</f>
        <v>580.27327737183623</v>
      </c>
      <c r="N6" s="201">
        <f>'Прогноз расходов'!O8</f>
        <v>569.32472496859407</v>
      </c>
      <c r="O6" s="201">
        <f>'Прогноз расходов'!P8</f>
        <v>558.37617256535179</v>
      </c>
      <c r="P6" s="201">
        <f>'Прогноз расходов'!Q8</f>
        <v>547.42762016210963</v>
      </c>
    </row>
    <row r="7" spans="2:16" hidden="1" outlineLevel="1">
      <c r="B7" s="1834" t="str">
        <f>'Прогноз расходов'!C9</f>
        <v>Гостиница 2*</v>
      </c>
      <c r="C7" s="525" t="str">
        <f>'Прогноз расходов'!D9</f>
        <v>руб./проданный номер</v>
      </c>
      <c r="D7" s="1036">
        <f>'Прогноз расходов'!E9</f>
        <v>400</v>
      </c>
      <c r="E7" s="526">
        <f>'Прогноз расходов'!F9</f>
        <v>1900</v>
      </c>
      <c r="F7" s="526">
        <f>'Прогноз расходов'!G9</f>
        <v>1904</v>
      </c>
      <c r="G7" s="791">
        <f>'Прогноз расходов'!H9</f>
        <v>0</v>
      </c>
      <c r="H7" s="182">
        <f>'Прогноз расходов'!I9</f>
        <v>0.09</v>
      </c>
      <c r="I7" s="182">
        <f>'Прогноз расходов'!J9</f>
        <v>0.06</v>
      </c>
      <c r="J7" s="182">
        <f>'Прогноз расходов'!K9</f>
        <v>0.04</v>
      </c>
      <c r="K7" s="182">
        <f>'Прогноз расходов'!L9</f>
        <v>0.02</v>
      </c>
      <c r="L7" s="208">
        <f>'Прогноз расходов'!M9</f>
        <v>0</v>
      </c>
      <c r="M7" s="201">
        <f>'Прогноз расходов'!N9</f>
        <v>0</v>
      </c>
      <c r="N7" s="201">
        <f>'Прогноз расходов'!O9</f>
        <v>0</v>
      </c>
      <c r="O7" s="201">
        <f>'Прогноз расходов'!P9</f>
        <v>0</v>
      </c>
      <c r="P7" s="201">
        <f>'Прогноз расходов'!Q9</f>
        <v>0</v>
      </c>
    </row>
    <row r="8" spans="2:16" collapsed="1">
      <c r="B8" s="1834" t="str">
        <f>'Прогноз расходов'!C10</f>
        <v>Хостел в составе МФЦ</v>
      </c>
      <c r="C8" s="525" t="str">
        <f>'Прогноз расходов'!D10</f>
        <v>руб./проданный номер</v>
      </c>
      <c r="D8" s="1036">
        <f>'Прогноз расходов'!E10</f>
        <v>400</v>
      </c>
      <c r="E8" s="526">
        <f>'Прогноз расходов'!F10</f>
        <v>2025</v>
      </c>
      <c r="F8" s="526">
        <f>'Прогноз расходов'!G10</f>
        <v>2029</v>
      </c>
      <c r="G8" s="791">
        <f>'Прогноз расходов'!H10</f>
        <v>1.3685690504052741</v>
      </c>
      <c r="H8" s="182">
        <f>'Прогноз расходов'!I10</f>
        <v>0.09</v>
      </c>
      <c r="I8" s="182">
        <f>'Прогноз расходов'!J10</f>
        <v>0.06</v>
      </c>
      <c r="J8" s="182">
        <f>'Прогноз расходов'!K10</f>
        <v>0.04</v>
      </c>
      <c r="K8" s="182">
        <f>'Прогноз расходов'!L10</f>
        <v>0.02</v>
      </c>
      <c r="L8" s="201">
        <f>'Прогноз расходов'!M10</f>
        <v>596.69610597669953</v>
      </c>
      <c r="M8" s="201">
        <f>'Прогноз расходов'!N10</f>
        <v>580.27327737183623</v>
      </c>
      <c r="N8" s="201">
        <f>'Прогноз расходов'!O10</f>
        <v>569.32472496859407</v>
      </c>
      <c r="O8" s="201">
        <f>'Прогноз расходов'!P10</f>
        <v>558.37617256535179</v>
      </c>
      <c r="P8" s="208">
        <f>'Прогноз расходов'!Q10</f>
        <v>547.42762016210963</v>
      </c>
    </row>
    <row r="9" spans="2:16">
      <c r="B9" s="1834" t="str">
        <f>'Прогноз расходов'!C11</f>
        <v>Шале</v>
      </c>
      <c r="C9" s="525" t="str">
        <f>'Прогноз расходов'!D11</f>
        <v>руб./проданный номер</v>
      </c>
      <c r="D9" s="1036">
        <f>'Прогноз расходов'!E11</f>
        <v>9000</v>
      </c>
      <c r="E9" s="790">
        <f>'Прогноз расходов'!F11</f>
        <v>2026</v>
      </c>
      <c r="F9" s="526">
        <f>'Прогноз расходов'!G11</f>
        <v>2030</v>
      </c>
      <c r="G9" s="791">
        <f>'Прогноз расходов'!H11</f>
        <v>1.4233118124214852</v>
      </c>
      <c r="H9" s="182">
        <f>'Прогноз расходов'!I11</f>
        <v>0.09</v>
      </c>
      <c r="I9" s="182">
        <f>'Прогноз расходов'!J11</f>
        <v>0.06</v>
      </c>
      <c r="J9" s="182">
        <f>'Прогноз расходов'!K11</f>
        <v>0.04</v>
      </c>
      <c r="K9" s="182">
        <f>'Прогноз расходов'!L11</f>
        <v>0.02</v>
      </c>
      <c r="L9" s="208">
        <f>'Прогноз расходов'!M11</f>
        <v>13962.688879854772</v>
      </c>
      <c r="M9" s="201">
        <f>'Прогноз расходов'!N11</f>
        <v>13578.394690500969</v>
      </c>
      <c r="N9" s="201">
        <f>'Прогноз расходов'!O11</f>
        <v>13322.198564265102</v>
      </c>
      <c r="O9" s="201">
        <f>'Прогноз расходов'!P11</f>
        <v>13066.002438029234</v>
      </c>
      <c r="P9" s="201">
        <f>'Прогноз расходов'!Q11</f>
        <v>12809.806311793367</v>
      </c>
    </row>
    <row r="10" spans="2:16">
      <c r="B10" s="1834" t="str">
        <f>'Прогноз расходов'!C12</f>
        <v>Туристские резиденции</v>
      </c>
      <c r="C10" s="525" t="str">
        <f>'Прогноз расходов'!D12</f>
        <v>руб./проданный номер</v>
      </c>
      <c r="D10" s="208">
        <f>'Прогноз расходов'!E12</f>
        <v>400</v>
      </c>
      <c r="E10" s="790">
        <f>'Прогноз расходов'!F12</f>
        <v>2025</v>
      </c>
      <c r="F10" s="526">
        <f>'Прогноз расходов'!G12</f>
        <v>2029</v>
      </c>
      <c r="G10" s="791">
        <f>'Прогноз расходов'!H12</f>
        <v>1.3685690504052741</v>
      </c>
      <c r="H10" s="182">
        <f>'Прогноз расходов'!I12</f>
        <v>0.09</v>
      </c>
      <c r="I10" s="182">
        <f>'Прогноз расходов'!J12</f>
        <v>0.06</v>
      </c>
      <c r="J10" s="182">
        <f>'Прогноз расходов'!K12</f>
        <v>0.04</v>
      </c>
      <c r="K10" s="182">
        <f>'Прогноз расходов'!L12</f>
        <v>0.02</v>
      </c>
      <c r="L10" s="208">
        <f>'Прогноз расходов'!M12</f>
        <v>596.69610597669953</v>
      </c>
      <c r="M10" s="201">
        <f>'Прогноз расходов'!N12</f>
        <v>580.27327737183623</v>
      </c>
      <c r="N10" s="201">
        <f>'Прогноз расходов'!O12</f>
        <v>569.32472496859407</v>
      </c>
      <c r="O10" s="201">
        <f>'Прогноз расходов'!P12</f>
        <v>558.37617256535179</v>
      </c>
      <c r="P10" s="201">
        <f>'Прогноз расходов'!Q12</f>
        <v>547.42762016210963</v>
      </c>
    </row>
    <row r="11" spans="2:16" hidden="1" outlineLevel="1">
      <c r="B11" s="5"/>
      <c r="C11" s="183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 hidden="1" outlineLevel="1" collapsed="1">
      <c r="C12" s="1836"/>
      <c r="D12" s="1229"/>
      <c r="E12" s="1229"/>
      <c r="F12" s="1229"/>
      <c r="G12" s="1229"/>
      <c r="H12" s="1229"/>
      <c r="I12" s="1229"/>
      <c r="J12" s="1229"/>
      <c r="K12" s="1229"/>
      <c r="L12" s="1229"/>
      <c r="M12" s="1229"/>
      <c r="N12" s="1229"/>
      <c r="O12" s="1229"/>
      <c r="P12" s="1229"/>
    </row>
    <row r="13" spans="2:16" ht="24.95" customHeight="1" collapsed="1">
      <c r="B13" s="1827" t="str">
        <f>'Прогноз расходов'!C14</f>
        <v>Агентские платежи</v>
      </c>
      <c r="C13" s="1827" t="str">
        <f>'Прогноз расходов'!D15</f>
        <v>Единица измерения</v>
      </c>
      <c r="D13" s="1827"/>
      <c r="E13" s="1827"/>
      <c r="F13" s="1827"/>
      <c r="G13" s="1827"/>
      <c r="H13" s="1977"/>
      <c r="I13" s="1977"/>
      <c r="J13" s="1977"/>
      <c r="K13" s="1977"/>
      <c r="L13" s="1827" t="str">
        <f>'Прогноз расходов'!M15</f>
        <v>Год 1</v>
      </c>
      <c r="M13" s="1827" t="str">
        <f>'Прогноз расходов'!N15</f>
        <v>Год 2</v>
      </c>
      <c r="N13" s="1827" t="str">
        <f>'Прогноз расходов'!O15</f>
        <v>Год 3</v>
      </c>
      <c r="O13" s="1827" t="str">
        <f>'Прогноз расходов'!P15</f>
        <v>Год 4</v>
      </c>
      <c r="P13" s="1827" t="str">
        <f>'Прогноз расходов'!Q15</f>
        <v>Стаб. год</v>
      </c>
    </row>
    <row r="14" spans="2:16">
      <c r="B14" s="1222" t="str">
        <f>'Прогноз расходов'!C16</f>
        <v>Гостиница 5*</v>
      </c>
      <c r="C14" s="525" t="str">
        <f>'Прогноз расходов'!D16</f>
        <v>% от выручки департамента</v>
      </c>
      <c r="D14" s="526"/>
      <c r="E14" s="526">
        <f>'Прогноз расходов'!F16</f>
        <v>0</v>
      </c>
      <c r="F14" s="526">
        <f>'Прогноз расходов'!G16</f>
        <v>0</v>
      </c>
      <c r="G14" s="526">
        <f>'Прогноз расходов'!H16</f>
        <v>0</v>
      </c>
      <c r="H14" s="526">
        <f>'Прогноз расходов'!I16</f>
        <v>0</v>
      </c>
      <c r="I14" s="526">
        <f>'Прогноз расходов'!J16</f>
        <v>0</v>
      </c>
      <c r="J14" s="526">
        <f>'Прогноз расходов'!K16</f>
        <v>0</v>
      </c>
      <c r="K14" s="526">
        <f>'Прогноз расходов'!L16</f>
        <v>0</v>
      </c>
      <c r="L14" s="182">
        <f>'Прогноз расходов'!M16</f>
        <v>0.11000000000000001</v>
      </c>
      <c r="M14" s="182">
        <f>'Прогноз расходов'!N16</f>
        <v>0.10500000000000001</v>
      </c>
      <c r="N14" s="182">
        <f>'Прогноз расходов'!O16</f>
        <v>0.1</v>
      </c>
      <c r="O14" s="182">
        <f>'Прогноз расходов'!P16</f>
        <v>9.5000000000000001E-2</v>
      </c>
      <c r="P14" s="182">
        <f>'Прогноз расходов'!Q16</f>
        <v>0.09</v>
      </c>
    </row>
    <row r="15" spans="2:16">
      <c r="B15" s="1222" t="str">
        <f>'Прогноз расходов'!C17</f>
        <v>Гостиница 4*</v>
      </c>
      <c r="C15" s="525" t="str">
        <f>'Прогноз расходов'!D17</f>
        <v>% от выручки департамента</v>
      </c>
      <c r="D15" s="526"/>
      <c r="E15" s="526">
        <f>'Прогноз расходов'!F17</f>
        <v>0</v>
      </c>
      <c r="F15" s="526">
        <f>'Прогноз расходов'!G17</f>
        <v>0</v>
      </c>
      <c r="G15" s="526">
        <f>'Прогноз расходов'!H17</f>
        <v>0</v>
      </c>
      <c r="H15" s="526">
        <f>'Прогноз расходов'!I17</f>
        <v>0</v>
      </c>
      <c r="I15" s="526">
        <f>'Прогноз расходов'!J17</f>
        <v>0</v>
      </c>
      <c r="J15" s="526">
        <f>'Прогноз расходов'!K17</f>
        <v>0</v>
      </c>
      <c r="K15" s="526">
        <f>'Прогноз расходов'!L17</f>
        <v>0</v>
      </c>
      <c r="L15" s="182">
        <f>'Прогноз расходов'!M17</f>
        <v>0.11000000000000001</v>
      </c>
      <c r="M15" s="182">
        <f>'Прогноз расходов'!N17</f>
        <v>0.10500000000000001</v>
      </c>
      <c r="N15" s="182">
        <f>'Прогноз расходов'!O17</f>
        <v>0.1</v>
      </c>
      <c r="O15" s="182">
        <f>'Прогноз расходов'!P17</f>
        <v>9.5000000000000001E-2</v>
      </c>
      <c r="P15" s="182">
        <f>'Прогноз расходов'!Q17</f>
        <v>0.09</v>
      </c>
    </row>
    <row r="16" spans="2:16">
      <c r="B16" s="1222" t="str">
        <f>'Прогноз расходов'!C18</f>
        <v>Гостиница 3*</v>
      </c>
      <c r="C16" s="525" t="str">
        <f>'Прогноз расходов'!D18</f>
        <v>% от выручки департамента</v>
      </c>
      <c r="D16" s="526"/>
      <c r="E16" s="526">
        <f>'Прогноз расходов'!F18</f>
        <v>0</v>
      </c>
      <c r="F16" s="526">
        <f>'Прогноз расходов'!G18</f>
        <v>0</v>
      </c>
      <c r="G16" s="526">
        <f>'Прогноз расходов'!H18</f>
        <v>0</v>
      </c>
      <c r="H16" s="526">
        <f>'Прогноз расходов'!I18</f>
        <v>0</v>
      </c>
      <c r="I16" s="526">
        <f>'Прогноз расходов'!J18</f>
        <v>0</v>
      </c>
      <c r="J16" s="526">
        <f>'Прогноз расходов'!K18</f>
        <v>0</v>
      </c>
      <c r="K16" s="526">
        <f>'Прогноз расходов'!L18</f>
        <v>0</v>
      </c>
      <c r="L16" s="182">
        <f>'Прогноз расходов'!M18</f>
        <v>0.13500000000000001</v>
      </c>
      <c r="M16" s="182">
        <f>'Прогноз расходов'!N18</f>
        <v>0.13</v>
      </c>
      <c r="N16" s="182">
        <f>'Прогноз расходов'!O18</f>
        <v>0.125</v>
      </c>
      <c r="O16" s="182">
        <f>'Прогноз расходов'!P18</f>
        <v>0.12000000000000001</v>
      </c>
      <c r="P16" s="182">
        <f>'Прогноз расходов'!Q18</f>
        <v>0.115</v>
      </c>
    </row>
    <row r="17" spans="2:16" hidden="1" outlineLevel="1">
      <c r="B17" s="1222" t="str">
        <f>'Прогноз расходов'!C19</f>
        <v>Гостиница 2*</v>
      </c>
      <c r="C17" s="525" t="str">
        <f>'Прогноз расходов'!D19</f>
        <v>% от выручки департамента</v>
      </c>
      <c r="D17" s="526"/>
      <c r="E17" s="526">
        <f>'Прогноз расходов'!F19</f>
        <v>0</v>
      </c>
      <c r="F17" s="526">
        <f>'Прогноз расходов'!G19</f>
        <v>0</v>
      </c>
      <c r="G17" s="526">
        <f>'Прогноз расходов'!H19</f>
        <v>0</v>
      </c>
      <c r="H17" s="526">
        <f>'Прогноз расходов'!I19</f>
        <v>0</v>
      </c>
      <c r="I17" s="526">
        <f>'Прогноз расходов'!J19</f>
        <v>0</v>
      </c>
      <c r="J17" s="526">
        <f>'Прогноз расходов'!K19</f>
        <v>0</v>
      </c>
      <c r="K17" s="526">
        <f>'Прогноз расходов'!L19</f>
        <v>0</v>
      </c>
      <c r="L17" s="182">
        <f>'Прогноз расходов'!M19</f>
        <v>7.0000000000000007E-2</v>
      </c>
      <c r="M17" s="182">
        <f>'Прогноз расходов'!N19</f>
        <v>6.5000000000000002E-2</v>
      </c>
      <c r="N17" s="182">
        <f>'Прогноз расходов'!O19</f>
        <v>0.06</v>
      </c>
      <c r="O17" s="182">
        <f>'Прогноз расходов'!P19</f>
        <v>5.5E-2</v>
      </c>
      <c r="P17" s="182">
        <f>'Прогноз расходов'!Q19</f>
        <v>0.05</v>
      </c>
    </row>
    <row r="18" spans="2:16" collapsed="1">
      <c r="B18" s="1222" t="str">
        <f>'Прогноз расходов'!C20</f>
        <v>Хостел в составе МФЦ</v>
      </c>
      <c r="C18" s="525" t="str">
        <f>'Прогноз расходов'!D20</f>
        <v>% от выручки департамента</v>
      </c>
      <c r="D18" s="526"/>
      <c r="E18" s="526">
        <f>'Прогноз расходов'!F20</f>
        <v>0</v>
      </c>
      <c r="F18" s="526">
        <f>'Прогноз расходов'!G20</f>
        <v>0</v>
      </c>
      <c r="G18" s="526">
        <f>'Прогноз расходов'!H20</f>
        <v>0</v>
      </c>
      <c r="H18" s="526">
        <f>'Прогноз расходов'!I20</f>
        <v>0</v>
      </c>
      <c r="I18" s="526">
        <f>'Прогноз расходов'!J20</f>
        <v>0</v>
      </c>
      <c r="J18" s="526">
        <f>'Прогноз расходов'!K20</f>
        <v>0</v>
      </c>
      <c r="K18" s="526">
        <f>'Прогноз расходов'!L20</f>
        <v>0</v>
      </c>
      <c r="L18" s="182">
        <f>'Прогноз расходов'!M20</f>
        <v>3.5000000000000003E-2</v>
      </c>
      <c r="M18" s="182">
        <f>'Прогноз расходов'!N20</f>
        <v>3.0000000000000002E-2</v>
      </c>
      <c r="N18" s="182">
        <f>'Прогноз расходов'!O20</f>
        <v>2.5000000000000001E-2</v>
      </c>
      <c r="O18" s="182">
        <f>'Прогноз расходов'!P20</f>
        <v>0.02</v>
      </c>
      <c r="P18" s="182">
        <f>'Прогноз расходов'!Q20</f>
        <v>1.4999999999999999E-2</v>
      </c>
    </row>
    <row r="19" spans="2:16">
      <c r="B19" s="1222" t="str">
        <f>'Прогноз расходов'!C21</f>
        <v>Шале</v>
      </c>
      <c r="C19" s="525" t="str">
        <f>'Прогноз расходов'!D21</f>
        <v>% от выручки департамента</v>
      </c>
      <c r="D19" s="526"/>
      <c r="E19" s="526">
        <f>'Прогноз расходов'!F21</f>
        <v>0</v>
      </c>
      <c r="F19" s="526">
        <f>'Прогноз расходов'!G21</f>
        <v>0</v>
      </c>
      <c r="G19" s="526">
        <f>'Прогноз расходов'!H21</f>
        <v>0</v>
      </c>
      <c r="H19" s="526">
        <f>'Прогноз расходов'!I21</f>
        <v>0</v>
      </c>
      <c r="I19" s="526">
        <f>'Прогноз расходов'!J21</f>
        <v>0</v>
      </c>
      <c r="J19" s="526">
        <f>'Прогноз расходов'!K21</f>
        <v>0</v>
      </c>
      <c r="K19" s="526">
        <f>'Прогноз расходов'!L21</f>
        <v>0</v>
      </c>
      <c r="L19" s="182">
        <f>'Прогноз расходов'!M21</f>
        <v>0.11000000000000001</v>
      </c>
      <c r="M19" s="182">
        <f>'Прогноз расходов'!N21</f>
        <v>0.10500000000000001</v>
      </c>
      <c r="N19" s="182">
        <f>'Прогноз расходов'!O21</f>
        <v>0.1</v>
      </c>
      <c r="O19" s="182">
        <f>'Прогноз расходов'!P21</f>
        <v>9.5000000000000001E-2</v>
      </c>
      <c r="P19" s="182">
        <f>'Прогноз расходов'!Q21</f>
        <v>0.09</v>
      </c>
    </row>
    <row r="20" spans="2:16">
      <c r="B20" s="1222" t="str">
        <f>'Прогноз расходов'!C22</f>
        <v>Туристские резиденции</v>
      </c>
      <c r="C20" s="525" t="str">
        <f>'Прогноз расходов'!D22</f>
        <v>% от выручки департамента</v>
      </c>
      <c r="D20" s="526"/>
      <c r="E20" s="526">
        <f>'Прогноз расходов'!F22</f>
        <v>0</v>
      </c>
      <c r="F20" s="526">
        <f>'Прогноз расходов'!G22</f>
        <v>0</v>
      </c>
      <c r="G20" s="526">
        <f>'Прогноз расходов'!H22</f>
        <v>0</v>
      </c>
      <c r="H20" s="526">
        <f>'Прогноз расходов'!I22</f>
        <v>0</v>
      </c>
      <c r="I20" s="526">
        <f>'Прогноз расходов'!J22</f>
        <v>0</v>
      </c>
      <c r="J20" s="526">
        <f>'Прогноз расходов'!K22</f>
        <v>0</v>
      </c>
      <c r="K20" s="526">
        <f>'Прогноз расходов'!L22</f>
        <v>0</v>
      </c>
      <c r="L20" s="182">
        <f>'Прогноз расходов'!M22</f>
        <v>3.5000000000000003E-2</v>
      </c>
      <c r="M20" s="182">
        <f>'Прогноз расходов'!N22</f>
        <v>3.0000000000000002E-2</v>
      </c>
      <c r="N20" s="182">
        <f>'Прогноз расходов'!O22</f>
        <v>2.5000000000000001E-2</v>
      </c>
      <c r="O20" s="182">
        <f>'Прогноз расходов'!P22</f>
        <v>0.02</v>
      </c>
      <c r="P20" s="182">
        <f>'Прогноз расходов'!Q22</f>
        <v>1.4999999999999999E-2</v>
      </c>
    </row>
    <row r="21" spans="2:16" hidden="1" outlineLevel="1">
      <c r="B21" s="1835"/>
      <c r="C21" s="786"/>
      <c r="D21" s="787"/>
      <c r="E21" s="787"/>
      <c r="F21" s="787"/>
      <c r="G21" s="787"/>
      <c r="H21" s="787"/>
      <c r="I21" s="787"/>
      <c r="J21" s="787"/>
      <c r="K21" s="787"/>
      <c r="L21" s="787"/>
      <c r="M21" s="787"/>
      <c r="N21" s="787"/>
      <c r="O21" s="787"/>
      <c r="P21" s="787"/>
    </row>
    <row r="22" spans="2:16" hidden="1" outlineLevel="1" collapsed="1">
      <c r="C22" s="1836"/>
      <c r="D22" s="1229"/>
      <c r="E22" s="1229"/>
      <c r="F22" s="1229"/>
      <c r="G22" s="1229"/>
      <c r="H22" s="1229"/>
      <c r="I22" s="1229"/>
      <c r="J22" s="1229"/>
      <c r="K22" s="1229"/>
      <c r="L22" s="1229"/>
      <c r="M22" s="1229"/>
      <c r="N22" s="1229"/>
      <c r="O22" s="1229"/>
      <c r="P22" s="1229"/>
    </row>
    <row r="23" spans="2:16" ht="38.25" collapsed="1">
      <c r="B23" s="1827" t="str">
        <f>'Прогноз расходов'!C24</f>
        <v>Прямые операционные расходы</v>
      </c>
      <c r="C23" s="1827" t="str">
        <f>'Прогноз расходов'!D25</f>
        <v>Единица измерения</v>
      </c>
      <c r="D23" s="1827" t="str">
        <f>'Прогноз расходов'!E25</f>
        <v>Показатель в стаб. год в ценах 2021</v>
      </c>
      <c r="E23" s="1827" t="str">
        <f>'Прогноз расходов'!F25</f>
        <v>Год ввода в эксплуатацию</v>
      </c>
      <c r="F23" s="1827" t="str">
        <f>'Прогноз расходов'!G25</f>
        <v>Стаб. год</v>
      </c>
      <c r="G23" s="1827" t="str">
        <f>'Прогноз расходов'!H25</f>
        <v>Накопленная инфляция на стаб. год</v>
      </c>
      <c r="H23" s="1977" t="str">
        <f>'Прогноз расходов'!I25</f>
        <v>Темп выхода на стаб. пок-ль (обратный счет)</v>
      </c>
      <c r="I23" s="1977">
        <f>'Прогноз расходов'!J25</f>
        <v>0</v>
      </c>
      <c r="J23" s="1977">
        <f>'Прогноз расходов'!K25</f>
        <v>0</v>
      </c>
      <c r="K23" s="1977">
        <f>'Прогноз расходов'!L25</f>
        <v>0</v>
      </c>
      <c r="L23" s="1827" t="str">
        <f>'Прогноз расходов'!M25</f>
        <v>1й год</v>
      </c>
      <c r="M23" s="1827" t="str">
        <f>'Прогноз расходов'!N25</f>
        <v>2й год</v>
      </c>
      <c r="N23" s="1827" t="str">
        <f>'Прогноз расходов'!O25</f>
        <v>3й год</v>
      </c>
      <c r="O23" s="1827" t="str">
        <f>'Прогноз расходов'!P25</f>
        <v>4 год</v>
      </c>
      <c r="P23" s="1827" t="str">
        <f>'Прогноз расходов'!Q25</f>
        <v>Стаб. год</v>
      </c>
    </row>
    <row r="24" spans="2:16">
      <c r="B24" s="1222" t="str">
        <f>'Прогноз расходов'!C26</f>
        <v>Гостиница 5*</v>
      </c>
      <c r="C24" s="525" t="str">
        <f>'Прогноз расходов'!D26</f>
        <v>руб./проданный номер</v>
      </c>
      <c r="D24" s="1036">
        <f>'Прогноз расходов'!E26</f>
        <v>900</v>
      </c>
      <c r="E24" s="790">
        <f>'Прогноз расходов'!F26</f>
        <v>2026</v>
      </c>
      <c r="F24" s="526">
        <f>'Прогноз расходов'!G26</f>
        <v>2030</v>
      </c>
      <c r="G24" s="527">
        <f>'Прогноз расходов'!H26</f>
        <v>1.4233118124214852</v>
      </c>
      <c r="H24" s="182">
        <f>'Прогноз расходов'!I26</f>
        <v>0.06</v>
      </c>
      <c r="I24" s="182">
        <f>'Прогноз расходов'!J26</f>
        <v>0.04</v>
      </c>
      <c r="J24" s="182">
        <f>'Прогноз расходов'!K26</f>
        <v>0.02</v>
      </c>
      <c r="K24" s="182">
        <f>'Прогноз расходов'!L26</f>
        <v>0.02</v>
      </c>
      <c r="L24" s="208">
        <f>'Прогноз расходов'!M26</f>
        <v>1357.8394690500968</v>
      </c>
      <c r="M24" s="201">
        <f>'Прогноз расходов'!N26</f>
        <v>1332.21985642651</v>
      </c>
      <c r="N24" s="201">
        <f>'Прогноз расходов'!O26</f>
        <v>1306.6002438029234</v>
      </c>
      <c r="O24" s="201">
        <f>'Прогноз расходов'!P26</f>
        <v>1306.6002438029234</v>
      </c>
      <c r="P24" s="201">
        <f>'Прогноз расходов'!Q26</f>
        <v>1280.9806311793366</v>
      </c>
    </row>
    <row r="25" spans="2:16">
      <c r="B25" s="1222" t="str">
        <f>'Прогноз расходов'!C27</f>
        <v>Гостиница 4*</v>
      </c>
      <c r="C25" s="525" t="str">
        <f>'Прогноз расходов'!D27</f>
        <v>руб./проданный номер</v>
      </c>
      <c r="D25" s="1036">
        <f>'Прогноз расходов'!E27</f>
        <v>650</v>
      </c>
      <c r="E25" s="526">
        <f>'Прогноз расходов'!F27</f>
        <v>2026</v>
      </c>
      <c r="F25" s="526">
        <f>'Прогноз расходов'!G27</f>
        <v>2030</v>
      </c>
      <c r="G25" s="527">
        <f>'Прогноз расходов'!H27</f>
        <v>1.4233118124214852</v>
      </c>
      <c r="H25" s="182">
        <f>'Прогноз расходов'!I27</f>
        <v>0.06</v>
      </c>
      <c r="I25" s="182">
        <f>'Прогноз расходов'!J27</f>
        <v>0.04</v>
      </c>
      <c r="J25" s="182">
        <f>'Прогноз расходов'!K27</f>
        <v>0.02</v>
      </c>
      <c r="K25" s="182">
        <f>'Прогноз расходов'!L27</f>
        <v>0.02</v>
      </c>
      <c r="L25" s="208">
        <f>'Прогноз расходов'!M27</f>
        <v>980.66183875840329</v>
      </c>
      <c r="M25" s="201">
        <f>'Прогноз расходов'!N27</f>
        <v>962.15878519692399</v>
      </c>
      <c r="N25" s="201">
        <f>'Прогноз расходов'!O27</f>
        <v>943.65573163544468</v>
      </c>
      <c r="O25" s="201">
        <f>'Прогноз расходов'!P27</f>
        <v>943.65573163544468</v>
      </c>
      <c r="P25" s="201">
        <f>'Прогноз расходов'!Q27</f>
        <v>925.15267807396538</v>
      </c>
    </row>
    <row r="26" spans="2:16">
      <c r="B26" s="1222" t="str">
        <f>'Прогноз расходов'!C28</f>
        <v>Гостиница 3*</v>
      </c>
      <c r="C26" s="525" t="str">
        <f>'Прогноз расходов'!D28</f>
        <v>руб./проданный номер</v>
      </c>
      <c r="D26" s="1036">
        <f>'Прогноз расходов'!E28</f>
        <v>300</v>
      </c>
      <c r="E26" s="526">
        <f>'Прогноз расходов'!F28</f>
        <v>2025</v>
      </c>
      <c r="F26" s="526">
        <f>'Прогноз расходов'!G28</f>
        <v>2029</v>
      </c>
      <c r="G26" s="527">
        <f>'Прогноз расходов'!H28</f>
        <v>1.3685690504052741</v>
      </c>
      <c r="H26" s="182">
        <f>'Прогноз расходов'!I28</f>
        <v>0.06</v>
      </c>
      <c r="I26" s="182">
        <f>'Прогноз расходов'!J28</f>
        <v>0.04</v>
      </c>
      <c r="J26" s="182">
        <f>'Прогноз расходов'!K28</f>
        <v>0.02</v>
      </c>
      <c r="K26" s="182">
        <f>'Прогноз расходов'!L28</f>
        <v>0.02</v>
      </c>
      <c r="L26" s="208">
        <f>'Прогноз расходов'!M28</f>
        <v>435.20495802887717</v>
      </c>
      <c r="M26" s="201">
        <f>'Прогноз расходов'!N28</f>
        <v>426.99354372644552</v>
      </c>
      <c r="N26" s="201">
        <f>'Прогноз расходов'!O28</f>
        <v>418.78212942401387</v>
      </c>
      <c r="O26" s="201">
        <f>'Прогноз расходов'!P28</f>
        <v>418.78212942401387</v>
      </c>
      <c r="P26" s="201">
        <f>'Прогноз расходов'!Q28</f>
        <v>410.57071512158223</v>
      </c>
    </row>
    <row r="27" spans="2:16" hidden="1" outlineLevel="1">
      <c r="B27" s="1222" t="str">
        <f>'Прогноз расходов'!C29</f>
        <v>Гостиница 2*</v>
      </c>
      <c r="C27" s="525" t="str">
        <f>'Прогноз расходов'!D29</f>
        <v>руб./проданный номер</v>
      </c>
      <c r="D27" s="1036">
        <f>'Прогноз расходов'!E29</f>
        <v>400</v>
      </c>
      <c r="E27" s="526">
        <f>'Прогноз расходов'!F29</f>
        <v>1900</v>
      </c>
      <c r="F27" s="526">
        <f>'Прогноз расходов'!G29</f>
        <v>1904</v>
      </c>
      <c r="G27" s="527">
        <f>'Прогноз расходов'!H29</f>
        <v>0</v>
      </c>
      <c r="H27" s="182">
        <f>'Прогноз расходов'!I29</f>
        <v>0.06</v>
      </c>
      <c r="I27" s="182">
        <f>'Прогноз расходов'!J29</f>
        <v>0.04</v>
      </c>
      <c r="J27" s="182">
        <f>'Прогноз расходов'!K29</f>
        <v>0.02</v>
      </c>
      <c r="K27" s="182">
        <f>'Прогноз расходов'!L29</f>
        <v>0.02</v>
      </c>
      <c r="L27" s="208">
        <f>'Прогноз расходов'!M29</f>
        <v>0</v>
      </c>
      <c r="M27" s="201">
        <f>'Прогноз расходов'!N29</f>
        <v>0</v>
      </c>
      <c r="N27" s="201">
        <f>'Прогноз расходов'!O29</f>
        <v>0</v>
      </c>
      <c r="O27" s="201">
        <f>'Прогноз расходов'!P29</f>
        <v>0</v>
      </c>
      <c r="P27" s="201">
        <f>'Прогноз расходов'!Q29</f>
        <v>0</v>
      </c>
    </row>
    <row r="28" spans="2:16" collapsed="1">
      <c r="B28" s="1222" t="str">
        <f>'Прогноз расходов'!C30</f>
        <v>Хостел в составе МФЦ</v>
      </c>
      <c r="C28" s="525" t="str">
        <f>'Прогноз расходов'!D30</f>
        <v>руб./проданный номер</v>
      </c>
      <c r="D28" s="1036">
        <f>'Прогноз расходов'!E30</f>
        <v>350</v>
      </c>
      <c r="E28" s="526">
        <f>'Прогноз расходов'!F30</f>
        <v>2025</v>
      </c>
      <c r="F28" s="526">
        <f>'Прогноз расходов'!G30</f>
        <v>2029</v>
      </c>
      <c r="G28" s="527">
        <f>'Прогноз расходов'!H30</f>
        <v>1.3685690504052741</v>
      </c>
      <c r="H28" s="182">
        <f>'Прогноз расходов'!I30</f>
        <v>0.06</v>
      </c>
      <c r="I28" s="182">
        <f>'Прогноз расходов'!J30</f>
        <v>0.04</v>
      </c>
      <c r="J28" s="182">
        <f>'Прогноз расходов'!K30</f>
        <v>0.02</v>
      </c>
      <c r="K28" s="182">
        <f>'Прогноз расходов'!L30</f>
        <v>0.02</v>
      </c>
      <c r="L28" s="208">
        <f>'Прогноз расходов'!M30</f>
        <v>507.7391177003567</v>
      </c>
      <c r="M28" s="201">
        <f>'Прогноз расходов'!N30</f>
        <v>498.1591343475198</v>
      </c>
      <c r="N28" s="201">
        <f>'Прогноз расходов'!O30</f>
        <v>488.57915099468283</v>
      </c>
      <c r="O28" s="201">
        <f>'Прогноз расходов'!P30</f>
        <v>488.57915099468283</v>
      </c>
      <c r="P28" s="208">
        <f>'Прогноз расходов'!Q30</f>
        <v>478.99916764184593</v>
      </c>
    </row>
    <row r="29" spans="2:16">
      <c r="B29" s="1222" t="str">
        <f>'Прогноз расходов'!C31</f>
        <v>Шале</v>
      </c>
      <c r="C29" s="525" t="str">
        <f>'Прогноз расходов'!D31</f>
        <v>руб./проданный номер</v>
      </c>
      <c r="D29" s="1036">
        <f>'Прогноз расходов'!E31</f>
        <v>5000</v>
      </c>
      <c r="E29" s="526">
        <f>'Прогноз расходов'!F31</f>
        <v>2026</v>
      </c>
      <c r="F29" s="526">
        <f>'Прогноз расходов'!G31</f>
        <v>2030</v>
      </c>
      <c r="G29" s="527">
        <f>'Прогноз расходов'!H31</f>
        <v>1.4233118124214852</v>
      </c>
      <c r="H29" s="182">
        <f>'Прогноз расходов'!I31</f>
        <v>0.06</v>
      </c>
      <c r="I29" s="182">
        <f>'Прогноз расходов'!J31</f>
        <v>0.04</v>
      </c>
      <c r="J29" s="182">
        <f>'Прогноз расходов'!K31</f>
        <v>0.02</v>
      </c>
      <c r="K29" s="182">
        <f>'Прогноз расходов'!L31</f>
        <v>0.02</v>
      </c>
      <c r="L29" s="208">
        <f>'Прогноз расходов'!M31</f>
        <v>7543.5526058338719</v>
      </c>
      <c r="M29" s="201">
        <f>'Прогноз расходов'!N31</f>
        <v>7401.221424591723</v>
      </c>
      <c r="N29" s="201">
        <f>'Прогноз расходов'!O31</f>
        <v>7258.890243349575</v>
      </c>
      <c r="O29" s="201">
        <f>'Прогноз расходов'!P31</f>
        <v>7258.890243349575</v>
      </c>
      <c r="P29" s="201">
        <f>'Прогноз расходов'!Q31</f>
        <v>7116.5590621074261</v>
      </c>
    </row>
    <row r="30" spans="2:16">
      <c r="B30" s="1222" t="str">
        <f>'Прогноз расходов'!C32</f>
        <v>Туристские резиденции</v>
      </c>
      <c r="C30" s="525" t="str">
        <f>'Прогноз расходов'!D32</f>
        <v>руб./проданный номер</v>
      </c>
      <c r="D30" s="208">
        <f>'Прогноз расходов'!E32</f>
        <v>350</v>
      </c>
      <c r="E30" s="526">
        <f>'Прогноз расходов'!F32</f>
        <v>2025</v>
      </c>
      <c r="F30" s="526">
        <f>'Прогноз расходов'!G32</f>
        <v>2029</v>
      </c>
      <c r="G30" s="527">
        <f>'Прогноз расходов'!H32</f>
        <v>1.3685690504052741</v>
      </c>
      <c r="H30" s="182">
        <f>'Прогноз расходов'!I32</f>
        <v>0.06</v>
      </c>
      <c r="I30" s="182">
        <f>'Прогноз расходов'!J32</f>
        <v>0.04</v>
      </c>
      <c r="J30" s="182">
        <f>'Прогноз расходов'!K32</f>
        <v>0.02</v>
      </c>
      <c r="K30" s="182">
        <f>'Прогноз расходов'!L32</f>
        <v>0.02</v>
      </c>
      <c r="L30" s="208">
        <f>'Прогноз расходов'!M32</f>
        <v>507.7391177003567</v>
      </c>
      <c r="M30" s="201">
        <f>'Прогноз расходов'!N32</f>
        <v>498.1591343475198</v>
      </c>
      <c r="N30" s="201">
        <f>'Прогноз расходов'!O32</f>
        <v>488.57915099468283</v>
      </c>
      <c r="O30" s="201">
        <f>'Прогноз расходов'!P32</f>
        <v>488.57915099468283</v>
      </c>
      <c r="P30" s="201">
        <f>'Прогноз расходов'!Q32</f>
        <v>478.99916764184593</v>
      </c>
    </row>
    <row r="31" spans="2:16" hidden="1" outlineLevel="1">
      <c r="B31" s="1835"/>
      <c r="C31" s="786"/>
      <c r="D31" s="5"/>
      <c r="E31" s="5"/>
      <c r="F31" s="5"/>
      <c r="G31" s="5"/>
      <c r="H31" s="5"/>
      <c r="I31" s="5"/>
      <c r="J31" s="5"/>
      <c r="K31" s="5"/>
      <c r="L31" s="5"/>
      <c r="M31" s="788"/>
      <c r="N31" s="788"/>
      <c r="O31" s="788"/>
      <c r="P31" s="788"/>
    </row>
    <row r="32" spans="2:16" hidden="1" outlineLevel="1">
      <c r="B32" s="5"/>
      <c r="C32" s="1837"/>
      <c r="D32" s="5"/>
      <c r="E32" s="5"/>
      <c r="F32" s="5"/>
      <c r="G32" s="1833" t="str">
        <f>'Прогноз расходов'!H34</f>
        <v>Расходы руб./проданный номер</v>
      </c>
      <c r="H32" s="5"/>
      <c r="I32" s="5"/>
      <c r="J32" s="5"/>
      <c r="K32" s="5"/>
      <c r="L32" s="1833" t="str">
        <f>'Прогноз расходов'!M34</f>
        <v>Доля расходов в выручке</v>
      </c>
      <c r="M32" s="5"/>
      <c r="N32" s="5"/>
      <c r="O32" s="5"/>
      <c r="P32" s="5"/>
    </row>
    <row r="33" spans="2:16" ht="25.5" collapsed="1">
      <c r="B33" s="1827" t="str">
        <f>'Прогноз расходов'!C35</f>
        <v>ИТОГО ПО ДЕПАРТАМЕНТУ</v>
      </c>
      <c r="C33" s="1827" t="str">
        <f>C23</f>
        <v>Единица измерения</v>
      </c>
      <c r="D33" s="1827"/>
      <c r="E33" s="1827" t="str">
        <f>'Прогноз расходов'!F35</f>
        <v>Стаб. год в ценах 2021</v>
      </c>
      <c r="F33" s="1827">
        <f>'Прогноз расходов'!G35</f>
        <v>0</v>
      </c>
      <c r="G33" s="1827" t="str">
        <f>'Прогноз расходов'!H35</f>
        <v>1й год</v>
      </c>
      <c r="H33" s="1827" t="str">
        <f>'Прогноз расходов'!I35</f>
        <v>2й год</v>
      </c>
      <c r="I33" s="1827" t="str">
        <f>'Прогноз расходов'!J35</f>
        <v>3й год</v>
      </c>
      <c r="J33" s="1827" t="str">
        <f>'Прогноз расходов'!K35</f>
        <v>4 год</v>
      </c>
      <c r="K33" s="530" t="str">
        <f>'Прогноз расходов'!L35</f>
        <v>Стаб. год</v>
      </c>
      <c r="L33" s="1827" t="str">
        <f>'Прогноз расходов'!M35</f>
        <v>1й год</v>
      </c>
      <c r="M33" s="1827" t="str">
        <f>'Прогноз расходов'!N35</f>
        <v>2й год</v>
      </c>
      <c r="N33" s="1827" t="str">
        <f>'Прогноз расходов'!O35</f>
        <v>3й год</v>
      </c>
      <c r="O33" s="1827" t="str">
        <f>'Прогноз расходов'!P35</f>
        <v>4 год</v>
      </c>
      <c r="P33" s="1827" t="str">
        <f>'Прогноз расходов'!Q35</f>
        <v>Стаб. год</v>
      </c>
    </row>
    <row r="34" spans="2:16">
      <c r="B34" s="1222" t="str">
        <f>'Прогноз расходов'!C36</f>
        <v>Гостиница 5*</v>
      </c>
      <c r="C34" s="525" t="str">
        <f>'Прогноз расходов'!D36</f>
        <v>% от выручки департамента</v>
      </c>
      <c r="D34" s="1036"/>
      <c r="E34" s="201">
        <f>'Прогноз расходов'!F36</f>
        <v>3147.1153846153843</v>
      </c>
      <c r="F34" s="526">
        <f>'Прогноз расходов'!G36</f>
        <v>0</v>
      </c>
      <c r="G34" s="803">
        <f>'Прогноз расходов'!H36</f>
        <v>4543.0508015533997</v>
      </c>
      <c r="H34" s="804">
        <f>'Прогноз расходов'!I36</f>
        <v>4611.14211870088</v>
      </c>
      <c r="I34" s="804">
        <f>'Прогноз расходов'!J36</f>
        <v>4613.929398085098</v>
      </c>
      <c r="J34" s="804">
        <f>'Прогноз расходов'!K36</f>
        <v>4561.3974824384195</v>
      </c>
      <c r="K34" s="805">
        <f>'Прогноз расходов'!L36</f>
        <v>4479.3265019764622</v>
      </c>
      <c r="L34" s="182">
        <f>'Прогноз расходов'!M36</f>
        <v>0.37758083278841048</v>
      </c>
      <c r="M34" s="182">
        <f>'Прогноз расходов'!N36</f>
        <v>0.32971054375641595</v>
      </c>
      <c r="N34" s="182">
        <f>'Прогноз расходов'!O36</f>
        <v>0.30135995239669433</v>
      </c>
      <c r="O34" s="182">
        <f>'Прогноз расходов'!P36</f>
        <v>0.28647001652892568</v>
      </c>
      <c r="P34" s="182">
        <f>'Прогноз расходов'!Q36</f>
        <v>0.27049586776859513</v>
      </c>
    </row>
    <row r="35" spans="2:16">
      <c r="B35" s="1222" t="str">
        <f>'Прогноз расходов'!C37</f>
        <v>Гостиница 4*</v>
      </c>
      <c r="C35" s="525" t="str">
        <f>'Прогноз расходов'!D37</f>
        <v>% от выручки департамента</v>
      </c>
      <c r="D35" s="1036"/>
      <c r="E35" s="201">
        <f>'Прогноз расходов'!F37</f>
        <v>1864.4230769230767</v>
      </c>
      <c r="F35" s="526">
        <f>'Прогноз расходов'!G37</f>
        <v>0</v>
      </c>
      <c r="G35" s="803">
        <f>'Прогноз расходов'!H37</f>
        <v>2688.1183691380552</v>
      </c>
      <c r="H35" s="804">
        <f>'Прогноз расходов'!I37</f>
        <v>2729.0490996992289</v>
      </c>
      <c r="I35" s="804">
        <f>'Прогноз расходов'!J37</f>
        <v>2730.1788057186118</v>
      </c>
      <c r="J35" s="804">
        <f>'Прогноз расходов'!K37</f>
        <v>2702.3185459319679</v>
      </c>
      <c r="K35" s="805">
        <f>'Прогноз расходов'!L37</f>
        <v>2653.6553887358264</v>
      </c>
      <c r="L35" s="182">
        <f>'Прогноз расходов'!M37</f>
        <v>0.3807481106749297</v>
      </c>
      <c r="M35" s="182">
        <f>'Прогноз расходов'!N37</f>
        <v>0.33255440040326179</v>
      </c>
      <c r="N35" s="182">
        <f>'Прогноз расходов'!O37</f>
        <v>0.303901403943662</v>
      </c>
      <c r="O35" s="182">
        <f>'Прогноз расходов'!P37</f>
        <v>0.28923098591549301</v>
      </c>
      <c r="P35" s="182">
        <f>'Прогноз расходов'!Q37</f>
        <v>0.27309859154929583</v>
      </c>
    </row>
    <row r="36" spans="2:16">
      <c r="B36" s="1222" t="str">
        <f>'Прогноз расходов'!C38</f>
        <v>Гостиница 3*</v>
      </c>
      <c r="C36" s="525" t="str">
        <f>'Прогноз расходов'!D38</f>
        <v>% от выручки департамента</v>
      </c>
      <c r="D36" s="1036"/>
      <c r="E36" s="201">
        <f>'Прогноз расходов'!F38</f>
        <v>1330.2884615384614</v>
      </c>
      <c r="F36" s="526">
        <f>'Прогноз расходов'!G38</f>
        <v>0</v>
      </c>
      <c r="G36" s="803">
        <f>'Прогноз расходов'!H38</f>
        <v>1767.6464848055771</v>
      </c>
      <c r="H36" s="803">
        <f>'Прогноз расходов'!I38</f>
        <v>1830.7887544102816</v>
      </c>
      <c r="I36" s="803">
        <f>'Прогноз расходов'!J38</f>
        <v>1854.9720473526081</v>
      </c>
      <c r="J36" s="803">
        <f>'Прогноз расходов'!K38</f>
        <v>1842.6365106406297</v>
      </c>
      <c r="K36" s="805">
        <f>'Прогноз расходов'!L38</f>
        <v>1820.5916165727851</v>
      </c>
      <c r="L36" s="182">
        <f>'Прогноз расходов'!M38</f>
        <v>0.32434082320115593</v>
      </c>
      <c r="M36" s="182">
        <f>'Прогноз расходов'!N38</f>
        <v>0.28900570640073875</v>
      </c>
      <c r="N36" s="182">
        <f>'Прогноз расходов'!O38</f>
        <v>0.26748277333333342</v>
      </c>
      <c r="O36" s="182">
        <f>'Прогноз расходов'!P38</f>
        <v>0.25548463157894741</v>
      </c>
      <c r="P36" s="182">
        <f>'Прогноз расходов'!Q38</f>
        <v>0.24271929824561408</v>
      </c>
    </row>
    <row r="37" spans="2:16" hidden="1" outlineLevel="1">
      <c r="B37" s="1222" t="str">
        <f>'Прогноз расходов'!C39</f>
        <v>Гостиница 2*</v>
      </c>
      <c r="C37" s="525" t="str">
        <f>'Прогноз расходов'!D39</f>
        <v>% от выручки департамента</v>
      </c>
      <c r="D37" s="1036"/>
      <c r="E37" s="201" t="str">
        <f>'Прогноз расходов'!F39</f>
        <v/>
      </c>
      <c r="F37" s="526">
        <f>'Прогноз расходов'!G39</f>
        <v>0</v>
      </c>
      <c r="G37" s="803" t="str">
        <f>'Прогноз расходов'!H39</f>
        <v/>
      </c>
      <c r="H37" s="803" t="str">
        <f>'Прогноз расходов'!I39</f>
        <v/>
      </c>
      <c r="I37" s="803" t="str">
        <f>'Прогноз расходов'!J39</f>
        <v/>
      </c>
      <c r="J37" s="803" t="str">
        <f>'Прогноз расходов'!K39</f>
        <v/>
      </c>
      <c r="K37" s="805" t="str">
        <f>'Прогноз расходов'!L39</f>
        <v/>
      </c>
      <c r="L37" s="182" t="str">
        <f>'Прогноз расходов'!M39</f>
        <v/>
      </c>
      <c r="M37" s="182" t="str">
        <f>'Прогноз расходов'!N39</f>
        <v/>
      </c>
      <c r="N37" s="182" t="str">
        <f>'Прогноз расходов'!O39</f>
        <v/>
      </c>
      <c r="O37" s="182" t="str">
        <f>'Прогноз расходов'!P39</f>
        <v/>
      </c>
      <c r="P37" s="182" t="str">
        <f>'Прогноз расходов'!Q39</f>
        <v/>
      </c>
    </row>
    <row r="38" spans="2:16" collapsed="1">
      <c r="B38" s="1222" t="str">
        <f>'Прогноз расходов'!C40</f>
        <v>Хостел в составе МФЦ</v>
      </c>
      <c r="C38" s="525" t="str">
        <f>'Прогноз расходов'!D40</f>
        <v>% от выручки департамента</v>
      </c>
      <c r="D38" s="1036"/>
      <c r="E38" s="201">
        <f>'Прогноз расходов'!F40</f>
        <v>823.99038461538453</v>
      </c>
      <c r="F38" s="526">
        <f>'Прогноз расходов'!G40</f>
        <v>0</v>
      </c>
      <c r="G38" s="803">
        <f>'Прогноз расходов'!H40</f>
        <v>1261.5224812770562</v>
      </c>
      <c r="H38" s="803">
        <f>'Прогноз расходов'!I40</f>
        <v>1228.4667720393561</v>
      </c>
      <c r="I38" s="803">
        <f>'Прогноз расходов'!J40</f>
        <v>1196.6023068368768</v>
      </c>
      <c r="J38" s="803">
        <f>'Прогноз расходов'!K40</f>
        <v>1169.5647364522972</v>
      </c>
      <c r="K38" s="805">
        <f>'Прогноз расходов'!L40</f>
        <v>1127.6877382161533</v>
      </c>
      <c r="L38" s="182">
        <f>'Прогноз расходов'!M40</f>
        <v>0.28107491033503773</v>
      </c>
      <c r="M38" s="182">
        <f>'Прогноз расходов'!N40</f>
        <v>0.24563708661520475</v>
      </c>
      <c r="N38" s="182">
        <f>'Прогноз расходов'!O40</f>
        <v>0.21568418245614038</v>
      </c>
      <c r="O38" s="182">
        <f>'Прогноз расходов'!P40</f>
        <v>0.1907789473684211</v>
      </c>
      <c r="P38" s="182">
        <f>'Прогноз расходов'!Q40</f>
        <v>0.167046783625731</v>
      </c>
    </row>
    <row r="39" spans="2:16">
      <c r="B39" s="1222" t="str">
        <f>'Прогноз расходов'!C41</f>
        <v>Шале</v>
      </c>
      <c r="C39" s="525" t="str">
        <f>'Прогноз расходов'!D41</f>
        <v>% от выручки департамента</v>
      </c>
      <c r="D39" s="1036"/>
      <c r="E39" s="201">
        <f>'Прогноз расходов'!F41</f>
        <v>22385.576923076918</v>
      </c>
      <c r="F39" s="526">
        <f>'Прогноз расходов'!G41</f>
        <v>0</v>
      </c>
      <c r="G39" s="803">
        <f>'Прогноз расходов'!H41</f>
        <v>32105.335518072643</v>
      </c>
      <c r="H39" s="803">
        <f>'Прогноз расходов'!I41</f>
        <v>32739.509322788057</v>
      </c>
      <c r="I39" s="803">
        <f>'Прогноз расходов'!J41</f>
        <v>32842.030096840921</v>
      </c>
      <c r="J39" s="803">
        <f>'Прогноз расходов'!K41</f>
        <v>32438.702675134333</v>
      </c>
      <c r="K39" s="805">
        <f>'Прогноз расходов'!L41</f>
        <v>31861.656062485185</v>
      </c>
      <c r="L39" s="182">
        <f>'Прогноз расходов'!M41</f>
        <v>0.33319705403100841</v>
      </c>
      <c r="M39" s="182">
        <f>'Прогноз расходов'!N41</f>
        <v>0.29231970207376035</v>
      </c>
      <c r="N39" s="182">
        <f>'Прогноз расходов'!O41</f>
        <v>0.26785896222910222</v>
      </c>
      <c r="O39" s="182">
        <f>'Прогноз расходов'!P41</f>
        <v>0.25439368421052633</v>
      </c>
      <c r="P39" s="182">
        <f>'Прогноз расходов'!Q41</f>
        <v>0.24025799793601652</v>
      </c>
    </row>
    <row r="40" spans="2:16">
      <c r="B40" s="1222" t="str">
        <f>'Прогноз расходов'!C42</f>
        <v>Туристские резиденции</v>
      </c>
      <c r="C40" s="525" t="str">
        <f>'Прогноз расходов'!D42</f>
        <v>% от выручки департамента</v>
      </c>
      <c r="D40" s="1036"/>
      <c r="E40" s="201">
        <f>'Прогноз расходов'!F42</f>
        <v>832.21153846153845</v>
      </c>
      <c r="F40" s="526">
        <f>'Прогноз расходов'!G42</f>
        <v>0</v>
      </c>
      <c r="G40" s="803">
        <f>'Прогноз расходов'!H42</f>
        <v>1283.9635180770563</v>
      </c>
      <c r="H40" s="803">
        <f>'Прогноз расходов'!I42</f>
        <v>1248.4713534153561</v>
      </c>
      <c r="I40" s="803">
        <f>'Прогноз расходов'!J42</f>
        <v>1213.9396106960769</v>
      </c>
      <c r="J40" s="803">
        <f>'Прогноз расходов'!K42</f>
        <v>1191.2016916685786</v>
      </c>
      <c r="K40" s="805">
        <f>'Прогноз расходов'!L42</f>
        <v>1138.93895492862</v>
      </c>
      <c r="L40" s="182">
        <f>'Прогноз расходов'!M42</f>
        <v>0.25031554654315796</v>
      </c>
      <c r="M40" s="182">
        <f>'Прогноз расходов'!N42</f>
        <v>0.22026801760165129</v>
      </c>
      <c r="N40" s="182">
        <f>'Прогноз расходов'!O42</f>
        <v>0.19449705107212484</v>
      </c>
      <c r="O40" s="182">
        <f>'Прогноз расходов'!P42</f>
        <v>0.16516210526315794</v>
      </c>
      <c r="P40" s="182">
        <f>'Прогноз расходов'!Q42</f>
        <v>0.15184210526315794</v>
      </c>
    </row>
    <row r="44" spans="2:16">
      <c r="B44" s="15" t="s">
        <v>253</v>
      </c>
      <c r="C44" s="15"/>
      <c r="D44" s="15" t="s">
        <v>194</v>
      </c>
    </row>
    <row r="45" spans="2:16" ht="25.5">
      <c r="B45" s="822" t="s">
        <v>1386</v>
      </c>
      <c r="C45" s="307"/>
      <c r="D45" s="308">
        <f>Объекты!E31</f>
        <v>11947.618878048779</v>
      </c>
      <c r="L45" s="1884"/>
    </row>
    <row r="46" spans="2:16">
      <c r="B46" s="822" t="str">
        <f>Объекты!C37</f>
        <v>Гостиница 4* - Mercure</v>
      </c>
      <c r="C46" s="307"/>
      <c r="D46" s="308">
        <f>Объекты!E6</f>
        <v>12475</v>
      </c>
      <c r="L46" s="1884"/>
    </row>
    <row r="47" spans="2:16" ht="25.5">
      <c r="B47" s="822" t="s">
        <v>1393</v>
      </c>
      <c r="C47" s="307"/>
      <c r="D47" s="308">
        <f>Объекты!E7</f>
        <v>6929</v>
      </c>
      <c r="L47" s="1884"/>
    </row>
    <row r="48" spans="2:16" hidden="1" outlineLevel="1">
      <c r="B48" s="822" t="str">
        <f>Объекты!C8</f>
        <v>Гостиница 2*</v>
      </c>
      <c r="C48" s="307"/>
      <c r="D48" s="308">
        <f>Объекты!E8</f>
        <v>0</v>
      </c>
      <c r="L48" s="1884"/>
    </row>
    <row r="49" spans="2:14" collapsed="1">
      <c r="B49" s="822" t="s">
        <v>407</v>
      </c>
      <c r="C49" s="307"/>
      <c r="D49" s="308">
        <f>Объекты!E10</f>
        <v>2340</v>
      </c>
      <c r="L49" s="1884"/>
    </row>
    <row r="50" spans="2:14">
      <c r="B50" s="1879" t="s">
        <v>1387</v>
      </c>
      <c r="C50" s="307"/>
      <c r="D50" s="1773">
        <f>Объекты!E54</f>
        <v>10800</v>
      </c>
      <c r="L50" s="1884"/>
    </row>
    <row r="51" spans="2:14">
      <c r="B51" s="1881" t="s">
        <v>368</v>
      </c>
      <c r="C51" s="525"/>
      <c r="D51" s="1880">
        <f>Объекты!E9</f>
        <v>2500</v>
      </c>
    </row>
    <row r="52" spans="2:14">
      <c r="B52" s="1881" t="s">
        <v>290</v>
      </c>
      <c r="C52" s="525"/>
      <c r="D52" s="1880">
        <f>Объекты!E55</f>
        <v>150</v>
      </c>
    </row>
    <row r="53" spans="2:14">
      <c r="B53" s="1881" t="s">
        <v>291</v>
      </c>
      <c r="C53" s="525"/>
      <c r="D53" s="1880">
        <f>Объекты!E58</f>
        <v>4000</v>
      </c>
    </row>
    <row r="54" spans="2:14">
      <c r="B54" s="1881" t="s">
        <v>377</v>
      </c>
      <c r="C54" s="525"/>
      <c r="D54" s="1880">
        <f>Объекты!E57</f>
        <v>1800</v>
      </c>
    </row>
    <row r="55" spans="2:14">
      <c r="B55" s="1881" t="s">
        <v>1388</v>
      </c>
      <c r="C55" s="525"/>
      <c r="D55" s="1880">
        <f>Объекты!F70</f>
        <v>1200</v>
      </c>
    </row>
    <row r="56" spans="2:14">
      <c r="B56" s="1879" t="str">
        <f>Объекты!C50</f>
        <v>Туристские резиденции</v>
      </c>
      <c r="C56" s="307"/>
      <c r="D56" s="1773">
        <f>Объекты!E13</f>
        <v>21950</v>
      </c>
      <c r="L56" s="1884"/>
      <c r="N56" s="1884"/>
    </row>
    <row r="57" spans="2:14">
      <c r="B57" s="1881" t="str">
        <f>B56</f>
        <v>Туристские резиденции</v>
      </c>
      <c r="C57" s="525"/>
      <c r="D57" s="1880">
        <f>SUM(Бюджет_Синара!B174:B178)</f>
        <v>16452</v>
      </c>
    </row>
    <row r="58" spans="2:14">
      <c r="B58" s="1881" t="str">
        <f>Объекты!C51</f>
        <v>Ресторан тур.резиденций</v>
      </c>
      <c r="C58" s="525"/>
      <c r="D58" s="1880">
        <f>SUM(Бюджет_Синара!B180:B184)</f>
        <v>700</v>
      </c>
    </row>
    <row r="59" spans="2:14">
      <c r="B59" s="1881" t="str">
        <f>Объекты!C52</f>
        <v>Торговая зона тур.резиденций</v>
      </c>
      <c r="C59" s="525"/>
      <c r="D59" s="1880">
        <f>Объекты!E52</f>
        <v>3400</v>
      </c>
    </row>
    <row r="60" spans="2:14">
      <c r="B60" s="1881" t="str">
        <f>Объекты!C53</f>
        <v>Лыжная школа</v>
      </c>
      <c r="C60" s="525"/>
      <c r="D60" s="1880">
        <f>Объекты!E53</f>
        <v>200</v>
      </c>
    </row>
    <row r="61" spans="2:14">
      <c r="B61" s="1879" t="str">
        <f>Объекты!C60</f>
        <v>Ресторан в зоне катания</v>
      </c>
      <c r="C61" s="307"/>
      <c r="D61" s="1773">
        <f>Объекты!E60</f>
        <v>900</v>
      </c>
      <c r="L61" s="1884"/>
    </row>
    <row r="62" spans="2:14">
      <c r="B62" s="1879" t="str">
        <f>Объекты!C47</f>
        <v>SPA-комплекс (отдельно стоящий)</v>
      </c>
      <c r="C62" s="307"/>
      <c r="D62" s="1773">
        <f>Объекты!E47</f>
        <v>1900</v>
      </c>
      <c r="L62" s="1884"/>
    </row>
    <row r="63" spans="2:14">
      <c r="B63" s="1882" t="s">
        <v>0</v>
      </c>
      <c r="C63" s="15"/>
      <c r="D63" s="1883">
        <f>D45+D49+D46+D47+D48+D50+D56+D61+D62</f>
        <v>69241.618878048786</v>
      </c>
    </row>
  </sheetData>
  <mergeCells count="3">
    <mergeCell ref="H3:K3"/>
    <mergeCell ref="H13:K13"/>
    <mergeCell ref="H23:K23"/>
  </mergeCells>
  <conditionalFormatting sqref="P16">
    <cfRule type="expression" dxfId="767" priority="40">
      <formula>$A$1=1</formula>
    </cfRule>
  </conditionalFormatting>
  <conditionalFormatting sqref="P16">
    <cfRule type="cellIs" dxfId="766" priority="39" operator="equal">
      <formula>0</formula>
    </cfRule>
  </conditionalFormatting>
  <conditionalFormatting sqref="P18">
    <cfRule type="expression" dxfId="765" priority="36">
      <formula>$A$1=1</formula>
    </cfRule>
  </conditionalFormatting>
  <conditionalFormatting sqref="P18">
    <cfRule type="cellIs" dxfId="764" priority="35" operator="equal">
      <formula>0</formula>
    </cfRule>
  </conditionalFormatting>
  <conditionalFormatting sqref="P17">
    <cfRule type="expression" dxfId="763" priority="38">
      <formula>$A$1=1</formula>
    </cfRule>
  </conditionalFormatting>
  <conditionalFormatting sqref="P17">
    <cfRule type="cellIs" dxfId="762" priority="37" operator="equal">
      <formula>0</formula>
    </cfRule>
  </conditionalFormatting>
  <conditionalFormatting sqref="H24:K29">
    <cfRule type="expression" dxfId="761" priority="34">
      <formula>$A$1=1</formula>
    </cfRule>
  </conditionalFormatting>
  <conditionalFormatting sqref="H24:K29">
    <cfRule type="cellIs" dxfId="760" priority="33" operator="equal">
      <formula>0</formula>
    </cfRule>
  </conditionalFormatting>
  <conditionalFormatting sqref="H10:K10">
    <cfRule type="expression" dxfId="759" priority="30">
      <formula>$A$1=1</formula>
    </cfRule>
  </conditionalFormatting>
  <conditionalFormatting sqref="H10:K10">
    <cfRule type="cellIs" dxfId="758" priority="29" operator="equal">
      <formula>0</formula>
    </cfRule>
  </conditionalFormatting>
  <conditionalFormatting sqref="H30:K30">
    <cfRule type="expression" dxfId="757" priority="28">
      <formula>$A$1=1</formula>
    </cfRule>
  </conditionalFormatting>
  <conditionalFormatting sqref="H30:K30">
    <cfRule type="cellIs" dxfId="756" priority="27" operator="equal">
      <formula>0</formula>
    </cfRule>
  </conditionalFormatting>
  <conditionalFormatting sqref="D34:D39">
    <cfRule type="expression" dxfId="755" priority="24">
      <formula>$A$1=1</formula>
    </cfRule>
  </conditionalFormatting>
  <conditionalFormatting sqref="D34:D39">
    <cfRule type="cellIs" dxfId="754" priority="23" operator="equal">
      <formula>0</formula>
    </cfRule>
  </conditionalFormatting>
  <conditionalFormatting sqref="D40">
    <cfRule type="expression" dxfId="753" priority="22">
      <formula>$A$1=1</formula>
    </cfRule>
  </conditionalFormatting>
  <conditionalFormatting sqref="D40">
    <cfRule type="cellIs" dxfId="752" priority="21" operator="equal">
      <formula>0</formula>
    </cfRule>
  </conditionalFormatting>
  <conditionalFormatting sqref="P34:P35">
    <cfRule type="expression" dxfId="751" priority="18">
      <formula>$A$1=1</formula>
    </cfRule>
  </conditionalFormatting>
  <conditionalFormatting sqref="P34:P35">
    <cfRule type="cellIs" dxfId="750" priority="17" operator="equal">
      <formula>0</formula>
    </cfRule>
  </conditionalFormatting>
  <conditionalFormatting sqref="P36">
    <cfRule type="expression" dxfId="749" priority="16">
      <formula>$A$1=1</formula>
    </cfRule>
  </conditionalFormatting>
  <conditionalFormatting sqref="P36">
    <cfRule type="cellIs" dxfId="748" priority="15" operator="equal">
      <formula>0</formula>
    </cfRule>
  </conditionalFormatting>
  <conditionalFormatting sqref="P38">
    <cfRule type="cellIs" dxfId="747" priority="11" operator="equal">
      <formula>0</formula>
    </cfRule>
  </conditionalFormatting>
  <conditionalFormatting sqref="P37">
    <cfRule type="expression" dxfId="746" priority="14">
      <formula>$A$1=1</formula>
    </cfRule>
  </conditionalFormatting>
  <conditionalFormatting sqref="P37">
    <cfRule type="cellIs" dxfId="745" priority="13" operator="equal">
      <formula>0</formula>
    </cfRule>
  </conditionalFormatting>
  <conditionalFormatting sqref="P38">
    <cfRule type="expression" dxfId="744" priority="12">
      <formula>$A$1=1</formula>
    </cfRule>
  </conditionalFormatting>
  <conditionalFormatting sqref="H4:K5 P14:P15 D24:D29 D4:D9">
    <cfRule type="expression" dxfId="743" priority="50">
      <formula>$A$1=1</formula>
    </cfRule>
  </conditionalFormatting>
  <conditionalFormatting sqref="H4:K5 P14:P15 D24:D29 D4:D9">
    <cfRule type="cellIs" dxfId="742" priority="49" operator="equal">
      <formula>0</formula>
    </cfRule>
  </conditionalFormatting>
  <conditionalFormatting sqref="H7:K7">
    <cfRule type="expression" dxfId="741" priority="46">
      <formula>$A$1=1</formula>
    </cfRule>
  </conditionalFormatting>
  <conditionalFormatting sqref="H7:K7">
    <cfRule type="cellIs" dxfId="740" priority="45" operator="equal">
      <formula>0</formula>
    </cfRule>
  </conditionalFormatting>
  <conditionalFormatting sqref="H6:K6">
    <cfRule type="expression" dxfId="739" priority="48">
      <formula>$A$1=1</formula>
    </cfRule>
  </conditionalFormatting>
  <conditionalFormatting sqref="H6:K6">
    <cfRule type="cellIs" dxfId="738" priority="47" operator="equal">
      <formula>0</formula>
    </cfRule>
  </conditionalFormatting>
  <conditionalFormatting sqref="H8:K8">
    <cfRule type="expression" dxfId="737" priority="44">
      <formula>$A$1=1</formula>
    </cfRule>
  </conditionalFormatting>
  <conditionalFormatting sqref="H8:K8">
    <cfRule type="cellIs" dxfId="736" priority="43" operator="equal">
      <formula>0</formula>
    </cfRule>
  </conditionalFormatting>
  <conditionalFormatting sqref="H9:K9">
    <cfRule type="expression" dxfId="735" priority="42">
      <formula>$A$1=1</formula>
    </cfRule>
  </conditionalFormatting>
  <conditionalFormatting sqref="H9:K9">
    <cfRule type="cellIs" dxfId="734" priority="41" operator="equal">
      <formula>0</formula>
    </cfRule>
  </conditionalFormatting>
  <conditionalFormatting sqref="B44">
    <cfRule type="cellIs" dxfId="733" priority="10" operator="equal">
      <formula>0</formula>
    </cfRule>
  </conditionalFormatting>
  <conditionalFormatting sqref="C44">
    <cfRule type="cellIs" dxfId="732" priority="9" operator="equal">
      <formula>0</formula>
    </cfRule>
  </conditionalFormatting>
  <conditionalFormatting sqref="D44">
    <cfRule type="cellIs" dxfId="731" priority="8" operator="equal">
      <formula>0</formula>
    </cfRule>
  </conditionalFormatting>
  <conditionalFormatting sqref="D51:D55">
    <cfRule type="expression" dxfId="730" priority="7">
      <formula>$A$1=1</formula>
    </cfRule>
  </conditionalFormatting>
  <conditionalFormatting sqref="D51:D55">
    <cfRule type="cellIs" dxfId="729" priority="6" operator="equal">
      <formula>0</formula>
    </cfRule>
  </conditionalFormatting>
  <conditionalFormatting sqref="D57:D60">
    <cfRule type="expression" dxfId="728" priority="5">
      <formula>$A$1=1</formula>
    </cfRule>
  </conditionalFormatting>
  <conditionalFormatting sqref="D57:D60">
    <cfRule type="cellIs" dxfId="727" priority="4" operator="equal">
      <formula>0</formula>
    </cfRule>
  </conditionalFormatting>
  <conditionalFormatting sqref="B63">
    <cfRule type="cellIs" dxfId="726" priority="3" operator="equal">
      <formula>0</formula>
    </cfRule>
  </conditionalFormatting>
  <conditionalFormatting sqref="C63">
    <cfRule type="cellIs" dxfId="725" priority="2" operator="equal">
      <formula>0</formula>
    </cfRule>
  </conditionalFormatting>
  <conditionalFormatting sqref="D63">
    <cfRule type="cellIs" dxfId="72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P148"/>
  <sheetViews>
    <sheetView showGridLines="0" topLeftCell="A9" zoomScale="85" zoomScaleNormal="85" workbookViewId="0">
      <selection activeCell="D11" sqref="D11"/>
    </sheetView>
  </sheetViews>
  <sheetFormatPr defaultColWidth="8.7109375" defaultRowHeight="12.75" outlineLevelRow="1"/>
  <cols>
    <col min="1" max="1" width="9.5703125" style="140" customWidth="1"/>
    <col min="2" max="2" width="3.140625" style="140" customWidth="1"/>
    <col min="3" max="3" width="37.42578125" style="140" customWidth="1"/>
    <col min="4" max="4" width="12" style="140" customWidth="1"/>
    <col min="5" max="5" width="12.5703125" style="140" customWidth="1"/>
    <col min="6" max="6" width="12.85546875" style="140" customWidth="1"/>
    <col min="7" max="7" width="9.42578125" style="140" customWidth="1"/>
    <col min="8" max="8" width="10" style="140" customWidth="1"/>
    <col min="9" max="9" width="12.140625" style="140" customWidth="1"/>
    <col min="10" max="10" width="12.5703125" style="140" customWidth="1"/>
    <col min="11" max="12" width="12.140625" style="140" customWidth="1"/>
    <col min="13" max="13" width="13.85546875" style="140" customWidth="1"/>
    <col min="14" max="14" width="14" style="140" customWidth="1"/>
    <col min="15" max="15" width="12.7109375" style="140" customWidth="1"/>
    <col min="16" max="16" width="38" style="140" customWidth="1"/>
    <col min="17" max="20" width="6" style="140" customWidth="1"/>
    <col min="21" max="21" width="12.5703125" style="140" customWidth="1"/>
    <col min="22" max="22" width="8" style="140" customWidth="1"/>
    <col min="23" max="28" width="12.5703125" style="140" customWidth="1"/>
    <col min="29" max="16384" width="8.7109375" style="140"/>
  </cols>
  <sheetData>
    <row r="1" spans="1:16" ht="15" thickBot="1">
      <c r="A1" s="415">
        <v>1</v>
      </c>
    </row>
    <row r="2" spans="1:16">
      <c r="A2" s="413"/>
    </row>
    <row r="3" spans="1:16" ht="15.75">
      <c r="C3" s="22" t="s">
        <v>217</v>
      </c>
    </row>
    <row r="4" spans="1:16" ht="15" customHeight="1">
      <c r="C4" s="1981" t="s">
        <v>218</v>
      </c>
      <c r="D4" s="1981" t="s">
        <v>219</v>
      </c>
      <c r="E4" s="1984" t="str">
        <f>J17</f>
        <v xml:space="preserve">MICE </v>
      </c>
      <c r="F4" s="1984" t="str">
        <f>K17</f>
        <v>Отдых и развлечения</v>
      </c>
      <c r="G4" s="1984" t="s">
        <v>493</v>
      </c>
      <c r="H4" s="1981" t="s">
        <v>13</v>
      </c>
      <c r="I4" s="1981" t="s">
        <v>220</v>
      </c>
      <c r="J4" s="1981"/>
      <c r="K4" s="1981" t="str">
        <f>I4</f>
        <v xml:space="preserve">Максимум людей </v>
      </c>
      <c r="L4" s="1981" t="s">
        <v>246</v>
      </c>
      <c r="M4" s="1981" t="s">
        <v>494</v>
      </c>
      <c r="N4" s="1981"/>
      <c r="O4" s="1981" t="s">
        <v>1094</v>
      </c>
    </row>
    <row r="5" spans="1:16" ht="30" customHeight="1">
      <c r="C5" s="1982"/>
      <c r="D5" s="1982"/>
      <c r="E5" s="1982"/>
      <c r="F5" s="1982"/>
      <c r="G5" s="1982"/>
      <c r="H5" s="1982"/>
      <c r="I5" s="1985" t="str">
        <f>E4</f>
        <v xml:space="preserve">MICE </v>
      </c>
      <c r="J5" s="1985" t="str">
        <f>F4</f>
        <v>Отдых и развлечения</v>
      </c>
      <c r="K5" s="1982"/>
      <c r="L5" s="1982"/>
      <c r="M5" s="1982"/>
      <c r="N5" s="1982"/>
      <c r="O5" s="1982"/>
    </row>
    <row r="6" spans="1:16" ht="25.5">
      <c r="C6" s="1983"/>
      <c r="D6" s="1983"/>
      <c r="E6" s="1983"/>
      <c r="F6" s="1983"/>
      <c r="G6" s="1983"/>
      <c r="H6" s="1983"/>
      <c r="I6" s="1983"/>
      <c r="J6" s="1983"/>
      <c r="K6" s="1983"/>
      <c r="L6" s="1983"/>
      <c r="M6" s="150" t="str">
        <f>M18</f>
        <v xml:space="preserve">MICE </v>
      </c>
      <c r="N6" s="150" t="str">
        <f>N18</f>
        <v>Отдых и развлечения</v>
      </c>
      <c r="O6" s="1983"/>
    </row>
    <row r="7" spans="1:16">
      <c r="A7" s="140">
        <v>1</v>
      </c>
      <c r="C7" s="439" t="str">
        <f>Объекты!C5</f>
        <v>Гостиница 5*</v>
      </c>
      <c r="D7" s="451" t="s">
        <v>626</v>
      </c>
      <c r="E7" s="174">
        <f>D31</f>
        <v>1.2999999999999998</v>
      </c>
      <c r="F7" s="152">
        <f>E31</f>
        <v>2.54</v>
      </c>
      <c r="G7" s="174">
        <f>E32</f>
        <v>2.1679999999999997</v>
      </c>
      <c r="H7" s="778">
        <f>Объекты!F5</f>
        <v>125</v>
      </c>
      <c r="I7" s="153">
        <f t="shared" ref="I7:I13" si="0">IFERROR(H7*E7,"-")</f>
        <v>162.49999999999997</v>
      </c>
      <c r="J7" s="153">
        <f>H7*F7</f>
        <v>317.5</v>
      </c>
      <c r="K7" s="153">
        <f>MAX(I7:J7)</f>
        <v>317.5</v>
      </c>
      <c r="L7" s="430">
        <f>Объекты!K5</f>
        <v>46204</v>
      </c>
      <c r="M7" s="152">
        <f>M17</f>
        <v>1.5</v>
      </c>
      <c r="N7" s="152">
        <f>N17</f>
        <v>4</v>
      </c>
      <c r="O7" s="152">
        <f>O17</f>
        <v>3.25</v>
      </c>
    </row>
    <row r="8" spans="1:16">
      <c r="A8" s="140">
        <f t="shared" ref="A8:A13" si="1">A7+1</f>
        <v>2</v>
      </c>
      <c r="C8" s="439" t="str">
        <f>Объекты!C6</f>
        <v>Гостиница 4*</v>
      </c>
      <c r="D8" s="451" t="s">
        <v>627</v>
      </c>
      <c r="E8" s="152">
        <f>D50</f>
        <v>1.2999999999999998</v>
      </c>
      <c r="F8" s="152">
        <f>E50</f>
        <v>2.59</v>
      </c>
      <c r="G8" s="174">
        <f>E51</f>
        <v>2.2029999999999998</v>
      </c>
      <c r="H8" s="778">
        <f>Объекты!F6</f>
        <v>160</v>
      </c>
      <c r="I8" s="153">
        <f t="shared" si="0"/>
        <v>207.99999999999997</v>
      </c>
      <c r="J8" s="153">
        <f t="shared" ref="J8:J13" si="2">H8*F8</f>
        <v>414.4</v>
      </c>
      <c r="K8" s="153">
        <f t="shared" ref="K8:K13" si="3">MAX(I8:J8)</f>
        <v>414.4</v>
      </c>
      <c r="L8" s="430">
        <f>Объекты!K6</f>
        <v>46204</v>
      </c>
      <c r="M8" s="152">
        <f>M36</f>
        <v>1.5</v>
      </c>
      <c r="N8" s="152">
        <f>N36</f>
        <v>4</v>
      </c>
      <c r="O8" s="152">
        <f>O36</f>
        <v>3.25</v>
      </c>
    </row>
    <row r="9" spans="1:16">
      <c r="A9" s="140">
        <f t="shared" si="1"/>
        <v>3</v>
      </c>
      <c r="C9" s="439" t="str">
        <f>Объекты!C7</f>
        <v>Гостиница 3*</v>
      </c>
      <c r="D9" s="769" t="s">
        <v>628</v>
      </c>
      <c r="E9" s="174">
        <f>D69</f>
        <v>1.2999999999999998</v>
      </c>
      <c r="F9" s="174">
        <f>E69</f>
        <v>2.9599999999999995</v>
      </c>
      <c r="G9" s="174">
        <f>E70</f>
        <v>2.4619999999999997</v>
      </c>
      <c r="H9" s="778">
        <f>Объекты!F7</f>
        <v>160</v>
      </c>
      <c r="I9" s="153">
        <f t="shared" si="0"/>
        <v>207.99999999999997</v>
      </c>
      <c r="J9" s="153">
        <f t="shared" si="2"/>
        <v>473.59999999999991</v>
      </c>
      <c r="K9" s="153">
        <f t="shared" si="3"/>
        <v>473.59999999999991</v>
      </c>
      <c r="L9" s="430">
        <f>Объекты!K7</f>
        <v>45839</v>
      </c>
      <c r="M9" s="152">
        <f>M55</f>
        <v>1.5</v>
      </c>
      <c r="N9" s="152">
        <f>N55</f>
        <v>4</v>
      </c>
      <c r="O9" s="152">
        <f>O55</f>
        <v>3.25</v>
      </c>
    </row>
    <row r="10" spans="1:16">
      <c r="A10" s="140">
        <f t="shared" si="1"/>
        <v>4</v>
      </c>
      <c r="C10" s="779" t="str">
        <f>Объекты!C8</f>
        <v>Гостиница 2*</v>
      </c>
      <c r="D10" s="451" t="s">
        <v>629</v>
      </c>
      <c r="E10" s="174">
        <f>D88</f>
        <v>1.2999999999999998</v>
      </c>
      <c r="F10" s="174">
        <f>E88</f>
        <v>2.9599999999999995</v>
      </c>
      <c r="G10" s="174">
        <f>E89</f>
        <v>2.6279999999999997</v>
      </c>
      <c r="H10" s="778">
        <f>Объекты!F8</f>
        <v>0</v>
      </c>
      <c r="I10" s="153">
        <f t="shared" si="0"/>
        <v>0</v>
      </c>
      <c r="J10" s="153">
        <f t="shared" si="2"/>
        <v>0</v>
      </c>
      <c r="K10" s="153">
        <f t="shared" si="3"/>
        <v>0</v>
      </c>
      <c r="L10" s="430">
        <f>Объекты!K8</f>
        <v>0</v>
      </c>
      <c r="M10" s="174">
        <f>M74</f>
        <v>1.5</v>
      </c>
      <c r="N10" s="152">
        <f>N74</f>
        <v>4</v>
      </c>
      <c r="O10" s="152">
        <f>O74</f>
        <v>3.5</v>
      </c>
    </row>
    <row r="11" spans="1:16">
      <c r="A11" s="140">
        <f t="shared" si="1"/>
        <v>5</v>
      </c>
      <c r="C11" s="439" t="str">
        <f>Объекты!C9</f>
        <v>Хостел в составе МФЦ</v>
      </c>
      <c r="D11" s="451" t="s">
        <v>628</v>
      </c>
      <c r="E11" s="174" t="s">
        <v>1366</v>
      </c>
      <c r="F11" s="152">
        <f>E107</f>
        <v>4.25</v>
      </c>
      <c r="G11" s="174">
        <f>E108</f>
        <v>4.25</v>
      </c>
      <c r="H11" s="778">
        <f>Объекты!F9</f>
        <v>101</v>
      </c>
      <c r="I11" s="153" t="str">
        <f>IFERROR(H11*E11,"-")</f>
        <v>-</v>
      </c>
      <c r="J11" s="153">
        <f t="shared" si="2"/>
        <v>429.25</v>
      </c>
      <c r="K11" s="153">
        <f t="shared" si="3"/>
        <v>429.25</v>
      </c>
      <c r="L11" s="430">
        <f>Объекты!K9</f>
        <v>45839</v>
      </c>
      <c r="M11" s="152">
        <f>M93</f>
        <v>0</v>
      </c>
      <c r="N11" s="152">
        <f>N93</f>
        <v>4</v>
      </c>
      <c r="O11" s="152">
        <f>O93</f>
        <v>4</v>
      </c>
      <c r="P11" s="474"/>
    </row>
    <row r="12" spans="1:16">
      <c r="A12" s="140">
        <f t="shared" si="1"/>
        <v>6</v>
      </c>
      <c r="C12" s="439" t="str">
        <f>Объекты!C10</f>
        <v>Шале</v>
      </c>
      <c r="D12" s="451" t="s">
        <v>626</v>
      </c>
      <c r="E12" s="174" t="s">
        <v>1366</v>
      </c>
      <c r="F12" s="152">
        <f>E126</f>
        <v>4.8</v>
      </c>
      <c r="G12" s="174">
        <f>E127</f>
        <v>4.8</v>
      </c>
      <c r="H12" s="778">
        <f>Объекты!F10</f>
        <v>13</v>
      </c>
      <c r="I12" s="153" t="str">
        <f t="shared" si="0"/>
        <v>-</v>
      </c>
      <c r="J12" s="153">
        <f t="shared" si="2"/>
        <v>62.4</v>
      </c>
      <c r="K12" s="153">
        <f t="shared" si="3"/>
        <v>62.4</v>
      </c>
      <c r="L12" s="430">
        <f>Объекты!K10</f>
        <v>46204</v>
      </c>
      <c r="M12" s="174">
        <f>M112</f>
        <v>0</v>
      </c>
      <c r="N12" s="174">
        <f>N112</f>
        <v>3</v>
      </c>
      <c r="O12" s="174">
        <f>O112</f>
        <v>3</v>
      </c>
      <c r="P12" s="474"/>
    </row>
    <row r="13" spans="1:16">
      <c r="A13" s="140">
        <f t="shared" si="1"/>
        <v>7</v>
      </c>
      <c r="C13" s="779" t="str">
        <f>Объекты!C13</f>
        <v>Туристские резиденции</v>
      </c>
      <c r="D13" s="451" t="s">
        <v>628</v>
      </c>
      <c r="E13" s="174" t="s">
        <v>1366</v>
      </c>
      <c r="F13" s="152">
        <f>F9</f>
        <v>2.9599999999999995</v>
      </c>
      <c r="G13" s="174">
        <f>G9</f>
        <v>2.4619999999999997</v>
      </c>
      <c r="H13" s="778">
        <f>Объекты!F13</f>
        <v>385</v>
      </c>
      <c r="I13" s="153" t="str">
        <f t="shared" si="0"/>
        <v>-</v>
      </c>
      <c r="J13" s="153">
        <f t="shared" si="2"/>
        <v>1139.5999999999999</v>
      </c>
      <c r="K13" s="153">
        <f t="shared" si="3"/>
        <v>1139.5999999999999</v>
      </c>
      <c r="L13" s="430">
        <f>Объекты!K13</f>
        <v>45839</v>
      </c>
      <c r="M13" s="152">
        <f>M132</f>
        <v>0</v>
      </c>
      <c r="N13" s="152">
        <f>N132</f>
        <v>3</v>
      </c>
      <c r="O13" s="174">
        <f>O132</f>
        <v>3</v>
      </c>
      <c r="P13" s="474"/>
    </row>
    <row r="14" spans="1:16">
      <c r="A14" s="419" t="b">
        <f>SUM(A7:A13)=SUM(A16:A20946)</f>
        <v>1</v>
      </c>
      <c r="G14" s="1097">
        <f>SUMPRODUCT(G7:G13,H7:H13)/SUM(H7:H13)</f>
        <v>2.6026694915254236</v>
      </c>
      <c r="H14" s="419" t="b">
        <f>SUM(H7:H13)=Объекты!F14</f>
        <v>1</v>
      </c>
      <c r="J14" s="1860"/>
      <c r="K14" s="1861">
        <f>SUM(K7:K13)</f>
        <v>2836.75</v>
      </c>
    </row>
    <row r="16" spans="1:16" ht="15.75">
      <c r="A16" s="475">
        <f>A7</f>
        <v>1</v>
      </c>
      <c r="C16" s="22" t="str">
        <f>C7</f>
        <v>Гостиница 5*</v>
      </c>
    </row>
    <row r="17" spans="3:15" ht="26.1" customHeight="1">
      <c r="C17" s="1978"/>
      <c r="D17" s="1978" t="s">
        <v>221</v>
      </c>
      <c r="E17" s="1978" t="s">
        <v>222</v>
      </c>
      <c r="F17" s="1980" t="str">
        <f>E17</f>
        <v>Отдых и развлечения</v>
      </c>
      <c r="G17" s="1980"/>
      <c r="H17" s="1980"/>
      <c r="I17" s="416"/>
      <c r="J17" s="283" t="str">
        <f>D17</f>
        <v xml:space="preserve">MICE </v>
      </c>
      <c r="K17" s="1980" t="str">
        <f>E17</f>
        <v>Отдых и развлечения</v>
      </c>
      <c r="L17" s="1980"/>
      <c r="M17" s="137">
        <v>1.5</v>
      </c>
      <c r="N17" s="137">
        <v>4</v>
      </c>
      <c r="O17" s="1558">
        <f>M17*D19+N17*E19</f>
        <v>3.25</v>
      </c>
    </row>
    <row r="18" spans="3:15" ht="38.25" outlineLevel="1">
      <c r="C18" s="1979"/>
      <c r="D18" s="1979"/>
      <c r="E18" s="1979"/>
      <c r="F18" s="283" t="s">
        <v>223</v>
      </c>
      <c r="G18" s="283" t="s">
        <v>224</v>
      </c>
      <c r="H18" s="283" t="s">
        <v>225</v>
      </c>
      <c r="I18" s="416"/>
      <c r="J18" s="283" t="s">
        <v>226</v>
      </c>
      <c r="K18" s="283" t="str">
        <f>J18</f>
        <v>Взрослые</v>
      </c>
      <c r="L18" s="283" t="s">
        <v>227</v>
      </c>
      <c r="M18" s="283" t="str">
        <f>D17</f>
        <v xml:space="preserve">MICE </v>
      </c>
      <c r="N18" s="283" t="str">
        <f>E17</f>
        <v>Отдых и развлечения</v>
      </c>
    </row>
    <row r="19" spans="3:15" ht="15" outlineLevel="1">
      <c r="C19" s="155" t="s">
        <v>228</v>
      </c>
      <c r="D19" s="172">
        <v>0.3</v>
      </c>
      <c r="E19" s="157">
        <f>100%-D19</f>
        <v>0.7</v>
      </c>
      <c r="F19" s="154"/>
      <c r="G19" s="154"/>
      <c r="H19" s="154"/>
      <c r="I19" s="416"/>
      <c r="J19" s="283"/>
      <c r="K19" s="283"/>
      <c r="L19" s="283"/>
      <c r="M19" s="283"/>
      <c r="N19" s="283"/>
    </row>
    <row r="20" spans="3:15" ht="15" outlineLevel="1">
      <c r="C20" s="158" t="s">
        <v>230</v>
      </c>
      <c r="D20" s="159">
        <v>0.7</v>
      </c>
      <c r="E20" s="159">
        <v>0.15</v>
      </c>
      <c r="F20" s="161">
        <v>1</v>
      </c>
      <c r="G20" s="162">
        <v>1</v>
      </c>
      <c r="H20" s="161">
        <f>IF(E20&lt;&gt;"",F20-G20,0)</f>
        <v>0</v>
      </c>
      <c r="I20" s="416"/>
      <c r="J20" s="163">
        <f>D20*D19</f>
        <v>0.21</v>
      </c>
      <c r="K20" s="163">
        <f>E20*E19*(G20/F20)</f>
        <v>0.105</v>
      </c>
      <c r="L20" s="163">
        <f>E20*E19*(H20/F20)</f>
        <v>0</v>
      </c>
    </row>
    <row r="21" spans="3:15" ht="15" outlineLevel="1">
      <c r="C21" s="158" t="s">
        <v>231</v>
      </c>
      <c r="D21" s="159">
        <v>0.3</v>
      </c>
      <c r="E21" s="159">
        <v>0.2</v>
      </c>
      <c r="F21" s="161">
        <v>2</v>
      </c>
      <c r="G21" s="162">
        <v>2</v>
      </c>
      <c r="H21" s="161">
        <f t="shared" ref="H21:H29" si="4">IF(E21&lt;&gt;"",F21-G21,0)</f>
        <v>0</v>
      </c>
      <c r="I21" s="416"/>
      <c r="J21" s="163">
        <f>D21*D19</f>
        <v>0.09</v>
      </c>
      <c r="K21" s="163">
        <f>E21*E19*(G21/F21)</f>
        <v>0.13999999999999999</v>
      </c>
      <c r="L21" s="163">
        <f>E21*E19*(H21/F21)</f>
        <v>0</v>
      </c>
    </row>
    <row r="22" spans="3:15" ht="15" outlineLevel="1">
      <c r="C22" s="158" t="s">
        <v>231</v>
      </c>
      <c r="D22" s="159"/>
      <c r="E22" s="159">
        <v>0.1</v>
      </c>
      <c r="F22" s="161">
        <v>2</v>
      </c>
      <c r="G22" s="162">
        <v>1</v>
      </c>
      <c r="H22" s="161">
        <f t="shared" si="4"/>
        <v>1</v>
      </c>
      <c r="I22" s="416"/>
      <c r="J22" s="163">
        <f>D22*D19</f>
        <v>0</v>
      </c>
      <c r="K22" s="163">
        <f>E22*E19*(G22/F22)</f>
        <v>3.4999999999999996E-2</v>
      </c>
      <c r="L22" s="163">
        <f>E22*E19*(H22/F22)</f>
        <v>3.4999999999999996E-2</v>
      </c>
    </row>
    <row r="23" spans="3:15" ht="15" outlineLevel="1">
      <c r="C23" s="158" t="s">
        <v>232</v>
      </c>
      <c r="D23" s="159"/>
      <c r="E23" s="159">
        <v>0.33</v>
      </c>
      <c r="F23" s="161">
        <v>3</v>
      </c>
      <c r="G23" s="162">
        <v>2</v>
      </c>
      <c r="H23" s="161">
        <f t="shared" si="4"/>
        <v>1</v>
      </c>
      <c r="I23" s="416"/>
      <c r="J23" s="163">
        <f>D23*D19</f>
        <v>0</v>
      </c>
      <c r="K23" s="163">
        <f>E23*E19*(G23/F23)</f>
        <v>0.15399999999999997</v>
      </c>
      <c r="L23" s="163">
        <f>E23*E19*(H23/F23)</f>
        <v>7.6999999999999985E-2</v>
      </c>
    </row>
    <row r="24" spans="3:15" ht="15" outlineLevel="1">
      <c r="C24" s="158" t="s">
        <v>232</v>
      </c>
      <c r="D24" s="159"/>
      <c r="E24" s="159">
        <v>0.1</v>
      </c>
      <c r="F24" s="161">
        <v>3</v>
      </c>
      <c r="G24" s="162">
        <v>1</v>
      </c>
      <c r="H24" s="161">
        <f t="shared" si="4"/>
        <v>2</v>
      </c>
      <c r="I24" s="416"/>
      <c r="J24" s="163">
        <f>D24*D19</f>
        <v>0</v>
      </c>
      <c r="K24" s="163">
        <f>E24*E19*(G24/F24)</f>
        <v>2.3333333333333331E-2</v>
      </c>
      <c r="L24" s="163">
        <f>E24*E19*(H24/F24)</f>
        <v>4.6666666666666662E-2</v>
      </c>
    </row>
    <row r="25" spans="3:15" ht="15" outlineLevel="1">
      <c r="C25" s="158" t="s">
        <v>233</v>
      </c>
      <c r="D25" s="159"/>
      <c r="E25" s="159">
        <v>0.1</v>
      </c>
      <c r="F25" s="161">
        <v>4</v>
      </c>
      <c r="G25" s="162">
        <v>2</v>
      </c>
      <c r="H25" s="161">
        <f t="shared" si="4"/>
        <v>2</v>
      </c>
      <c r="I25" s="416"/>
      <c r="J25" s="163">
        <f>D25*D19</f>
        <v>0</v>
      </c>
      <c r="K25" s="163">
        <f>E25*E19*(G25/F25)</f>
        <v>3.4999999999999996E-2</v>
      </c>
      <c r="L25" s="163">
        <f>E25*E19*(H25/F25)</f>
        <v>3.4999999999999996E-2</v>
      </c>
    </row>
    <row r="26" spans="3:15" ht="15" outlineLevel="1">
      <c r="C26" s="158" t="s">
        <v>234</v>
      </c>
      <c r="D26" s="159"/>
      <c r="E26" s="159">
        <v>0.02</v>
      </c>
      <c r="F26" s="161">
        <v>5</v>
      </c>
      <c r="G26" s="162">
        <v>2</v>
      </c>
      <c r="H26" s="161">
        <f t="shared" si="4"/>
        <v>3</v>
      </c>
      <c r="I26" s="416"/>
      <c r="J26" s="163">
        <f>D26*D19</f>
        <v>0</v>
      </c>
      <c r="K26" s="163">
        <f>E26*E19*(G26/F26)</f>
        <v>5.5999999999999999E-3</v>
      </c>
      <c r="L26" s="163">
        <f>E26*E19*(H26/F26)</f>
        <v>8.3999999999999995E-3</v>
      </c>
    </row>
    <row r="27" spans="3:15" ht="15" outlineLevel="1">
      <c r="C27" s="158" t="s">
        <v>235</v>
      </c>
      <c r="D27" s="159"/>
      <c r="E27" s="159"/>
      <c r="F27" s="161">
        <v>6</v>
      </c>
      <c r="G27" s="162"/>
      <c r="H27" s="161">
        <f t="shared" si="4"/>
        <v>0</v>
      </c>
      <c r="I27" s="416"/>
      <c r="J27" s="163">
        <f>D27*D19</f>
        <v>0</v>
      </c>
      <c r="K27" s="163">
        <f>E27*E19*(G27/F27)</f>
        <v>0</v>
      </c>
      <c r="L27" s="163">
        <f>E27*E19*(H27/F27)</f>
        <v>0</v>
      </c>
    </row>
    <row r="28" spans="3:15" ht="15" outlineLevel="1">
      <c r="C28" s="158" t="s">
        <v>236</v>
      </c>
      <c r="D28" s="159"/>
      <c r="E28" s="159"/>
      <c r="F28" s="161">
        <v>7</v>
      </c>
      <c r="G28" s="162"/>
      <c r="H28" s="161">
        <f t="shared" si="4"/>
        <v>0</v>
      </c>
      <c r="I28" s="416"/>
      <c r="J28" s="163">
        <f>D28*D19</f>
        <v>0</v>
      </c>
      <c r="K28" s="163">
        <f>E28*E19*(G28/F28)</f>
        <v>0</v>
      </c>
      <c r="L28" s="163">
        <f>E28*E19*(H28/F28)</f>
        <v>0</v>
      </c>
    </row>
    <row r="29" spans="3:15" ht="15" outlineLevel="1">
      <c r="C29" s="158" t="s">
        <v>237</v>
      </c>
      <c r="D29" s="164"/>
      <c r="E29" s="164"/>
      <c r="F29" s="161">
        <v>8</v>
      </c>
      <c r="G29" s="162"/>
      <c r="H29" s="161">
        <f t="shared" si="4"/>
        <v>0</v>
      </c>
      <c r="I29" s="416"/>
      <c r="J29" s="163">
        <f>D29*D19</f>
        <v>0</v>
      </c>
      <c r="K29" s="163">
        <f>E29*E19*(G29/F29)</f>
        <v>0</v>
      </c>
      <c r="L29" s="163">
        <f>E29*E19*(H29/F29)</f>
        <v>0</v>
      </c>
    </row>
    <row r="30" spans="3:15" ht="15" outlineLevel="1">
      <c r="C30" s="165" t="s">
        <v>0</v>
      </c>
      <c r="D30" s="166">
        <f>SUM(D20:D29)</f>
        <v>1</v>
      </c>
      <c r="E30" s="166">
        <f>SUM(E20:E29)</f>
        <v>1</v>
      </c>
      <c r="F30" s="161"/>
      <c r="G30" s="161"/>
      <c r="H30" s="161"/>
      <c r="I30" s="416"/>
      <c r="J30" s="167">
        <f>SUM(J20:J29)</f>
        <v>0.3</v>
      </c>
      <c r="K30" s="167">
        <f>SUM(K20:K29)</f>
        <v>0.49793333333333323</v>
      </c>
      <c r="L30" s="167">
        <f>SUM(L20:L29)</f>
        <v>0.20206666666666664</v>
      </c>
      <c r="M30" s="166">
        <f>SUM(J30:L30)</f>
        <v>0.99999999999999978</v>
      </c>
    </row>
    <row r="31" spans="3:15" ht="15">
      <c r="C31" s="155" t="s">
        <v>41</v>
      </c>
      <c r="D31" s="777">
        <f>SUMPRODUCT(D20:D29,F20:F29)</f>
        <v>1.2999999999999998</v>
      </c>
      <c r="E31" s="168">
        <f>SUMPRODUCT(E20:E29,F20:F29)</f>
        <v>2.54</v>
      </c>
      <c r="F31" s="161"/>
      <c r="G31" s="161"/>
      <c r="H31" s="161"/>
      <c r="I31" s="416"/>
      <c r="J31" s="155" t="s">
        <v>238</v>
      </c>
      <c r="K31" s="155"/>
      <c r="L31" s="167">
        <f>J30</f>
        <v>0.3</v>
      </c>
    </row>
    <row r="32" spans="3:15">
      <c r="C32" s="169" t="s">
        <v>239</v>
      </c>
      <c r="D32" s="168"/>
      <c r="E32" s="170">
        <f>E31*E19+D31*D19</f>
        <v>2.1679999999999997</v>
      </c>
      <c r="F32" s="161"/>
      <c r="G32" s="161"/>
      <c r="H32" s="161"/>
      <c r="I32" s="171"/>
      <c r="J32" s="155" t="s">
        <v>240</v>
      </c>
      <c r="L32" s="167">
        <f>K30</f>
        <v>0.49793333333333323</v>
      </c>
    </row>
    <row r="33" spans="1:15">
      <c r="J33" s="155" t="s">
        <v>227</v>
      </c>
      <c r="K33" s="155"/>
      <c r="L33" s="167">
        <f>L30</f>
        <v>0.20206666666666664</v>
      </c>
    </row>
    <row r="35" spans="1:15" ht="15.75">
      <c r="A35" s="475">
        <f>A8</f>
        <v>2</v>
      </c>
      <c r="C35" s="41" t="str">
        <f>C8</f>
        <v>Гостиница 4*</v>
      </c>
    </row>
    <row r="36" spans="1:15" ht="24.95" customHeight="1">
      <c r="C36" s="1978"/>
      <c r="D36" s="1978" t="s">
        <v>221</v>
      </c>
      <c r="E36" s="1978" t="s">
        <v>222</v>
      </c>
      <c r="F36" s="1980" t="str">
        <f>E36</f>
        <v>Отдых и развлечения</v>
      </c>
      <c r="G36" s="1980"/>
      <c r="H36" s="1980"/>
      <c r="I36" s="416"/>
      <c r="J36" s="283" t="str">
        <f>D36</f>
        <v xml:space="preserve">MICE </v>
      </c>
      <c r="K36" s="1980" t="str">
        <f>E36</f>
        <v>Отдых и развлечения</v>
      </c>
      <c r="L36" s="1980"/>
      <c r="M36" s="137">
        <v>1.5</v>
      </c>
      <c r="N36" s="137">
        <v>4</v>
      </c>
      <c r="O36" s="781">
        <f>M36*D38+N36*E38</f>
        <v>3.25</v>
      </c>
    </row>
    <row r="37" spans="1:15" ht="38.25" outlineLevel="1">
      <c r="C37" s="1979"/>
      <c r="D37" s="1979"/>
      <c r="E37" s="1979"/>
      <c r="F37" s="283" t="s">
        <v>223</v>
      </c>
      <c r="G37" s="283" t="s">
        <v>224</v>
      </c>
      <c r="H37" s="283" t="s">
        <v>225</v>
      </c>
      <c r="I37" s="416"/>
      <c r="J37" s="283" t="s">
        <v>226</v>
      </c>
      <c r="K37" s="283" t="str">
        <f>J37</f>
        <v>Взрослые</v>
      </c>
      <c r="L37" s="283" t="s">
        <v>227</v>
      </c>
      <c r="M37" s="283" t="str">
        <f>D36</f>
        <v xml:space="preserve">MICE </v>
      </c>
      <c r="N37" s="283" t="str">
        <f>E36</f>
        <v>Отдых и развлечения</v>
      </c>
    </row>
    <row r="38" spans="1:15" ht="15" outlineLevel="1">
      <c r="C38" s="155" t="s">
        <v>228</v>
      </c>
      <c r="D38" s="172">
        <v>0.3</v>
      </c>
      <c r="E38" s="157">
        <f>100%-D38</f>
        <v>0.7</v>
      </c>
      <c r="F38" s="154"/>
      <c r="G38" s="154"/>
      <c r="H38" s="154"/>
      <c r="I38" s="416"/>
      <c r="J38" s="283"/>
      <c r="K38" s="283"/>
      <c r="L38" s="283"/>
      <c r="M38" s="283"/>
      <c r="N38" s="283"/>
    </row>
    <row r="39" spans="1:15" ht="15" outlineLevel="1">
      <c r="C39" s="158" t="s">
        <v>230</v>
      </c>
      <c r="D39" s="159">
        <v>0.7</v>
      </c>
      <c r="E39" s="159">
        <v>0.1</v>
      </c>
      <c r="F39" s="161">
        <v>1</v>
      </c>
      <c r="G39" s="162">
        <v>1</v>
      </c>
      <c r="H39" s="161">
        <f>IF(E39&lt;&gt;"",F39-G39,0)</f>
        <v>0</v>
      </c>
      <c r="I39" s="416"/>
      <c r="J39" s="163">
        <f>D39*D38</f>
        <v>0.21</v>
      </c>
      <c r="K39" s="163">
        <f>E39*E38*(G39/F39)</f>
        <v>6.9999999999999993E-2</v>
      </c>
      <c r="L39" s="163">
        <f>E39*E38*(H39/F39)</f>
        <v>0</v>
      </c>
    </row>
    <row r="40" spans="1:15" ht="15" outlineLevel="1">
      <c r="C40" s="158" t="s">
        <v>231</v>
      </c>
      <c r="D40" s="159">
        <v>0.3</v>
      </c>
      <c r="E40" s="159">
        <v>0.25</v>
      </c>
      <c r="F40" s="161">
        <v>2</v>
      </c>
      <c r="G40" s="162">
        <v>2</v>
      </c>
      <c r="H40" s="161">
        <f t="shared" ref="H40:H48" si="5">IF(E40&lt;&gt;"",F40-G40,0)</f>
        <v>0</v>
      </c>
      <c r="I40" s="416"/>
      <c r="J40" s="163">
        <f>D40*D38</f>
        <v>0.09</v>
      </c>
      <c r="K40" s="163">
        <f>E40*E38*(G40/F40)</f>
        <v>0.17499999999999999</v>
      </c>
      <c r="L40" s="163">
        <f>E40*E38*(H40/F40)</f>
        <v>0</v>
      </c>
    </row>
    <row r="41" spans="1:15" ht="15" outlineLevel="1">
      <c r="C41" s="158" t="s">
        <v>231</v>
      </c>
      <c r="D41" s="159"/>
      <c r="E41" s="159">
        <v>0.12</v>
      </c>
      <c r="F41" s="161">
        <v>2</v>
      </c>
      <c r="G41" s="162">
        <v>1</v>
      </c>
      <c r="H41" s="161">
        <f t="shared" si="5"/>
        <v>1</v>
      </c>
      <c r="I41" s="416"/>
      <c r="J41" s="163">
        <f>D41*D38</f>
        <v>0</v>
      </c>
      <c r="K41" s="163">
        <f>E41*E38*(G41/F41)</f>
        <v>4.1999999999999996E-2</v>
      </c>
      <c r="L41" s="163">
        <f>E41*E38*(H41/F41)</f>
        <v>4.1999999999999996E-2</v>
      </c>
    </row>
    <row r="42" spans="1:15" ht="15" outlineLevel="1">
      <c r="C42" s="158" t="s">
        <v>232</v>
      </c>
      <c r="D42" s="159"/>
      <c r="E42" s="159">
        <v>0.3</v>
      </c>
      <c r="F42" s="161">
        <v>3</v>
      </c>
      <c r="G42" s="162">
        <v>2</v>
      </c>
      <c r="H42" s="161">
        <f t="shared" si="5"/>
        <v>1</v>
      </c>
      <c r="I42" s="416"/>
      <c r="J42" s="163">
        <f>D42*D38</f>
        <v>0</v>
      </c>
      <c r="K42" s="163">
        <f>E42*E38*(G42/F42)</f>
        <v>0.13999999999999999</v>
      </c>
      <c r="L42" s="163">
        <f>E42*E38*(H42/F42)</f>
        <v>6.9999999999999993E-2</v>
      </c>
    </row>
    <row r="43" spans="1:15" ht="15" outlineLevel="1">
      <c r="C43" s="158" t="s">
        <v>232</v>
      </c>
      <c r="D43" s="159"/>
      <c r="E43" s="159">
        <v>0.1</v>
      </c>
      <c r="F43" s="161">
        <v>3</v>
      </c>
      <c r="G43" s="162">
        <v>1</v>
      </c>
      <c r="H43" s="161">
        <f t="shared" si="5"/>
        <v>2</v>
      </c>
      <c r="I43" s="416"/>
      <c r="J43" s="163">
        <f>D43*D38</f>
        <v>0</v>
      </c>
      <c r="K43" s="163">
        <f>E43*E38*(G43/F43)</f>
        <v>2.3333333333333331E-2</v>
      </c>
      <c r="L43" s="163">
        <f>E43*E38*(H43/F43)</f>
        <v>4.6666666666666662E-2</v>
      </c>
    </row>
    <row r="44" spans="1:15" ht="15" outlineLevel="1">
      <c r="C44" s="158" t="s">
        <v>233</v>
      </c>
      <c r="D44" s="159"/>
      <c r="E44" s="159">
        <v>0.1</v>
      </c>
      <c r="F44" s="161">
        <v>4</v>
      </c>
      <c r="G44" s="162">
        <v>2</v>
      </c>
      <c r="H44" s="161">
        <f t="shared" si="5"/>
        <v>2</v>
      </c>
      <c r="I44" s="416"/>
      <c r="J44" s="163">
        <f>D44*D38</f>
        <v>0</v>
      </c>
      <c r="K44" s="163">
        <f>E44*E38*(G44/F44)</f>
        <v>3.4999999999999996E-2</v>
      </c>
      <c r="L44" s="163">
        <f>E44*E38*(H44/F44)</f>
        <v>3.4999999999999996E-2</v>
      </c>
    </row>
    <row r="45" spans="1:15" ht="15" outlineLevel="1">
      <c r="C45" s="158" t="s">
        <v>234</v>
      </c>
      <c r="D45" s="159"/>
      <c r="E45" s="159">
        <v>0.03</v>
      </c>
      <c r="F45" s="161">
        <v>5</v>
      </c>
      <c r="G45" s="162">
        <v>2</v>
      </c>
      <c r="H45" s="161">
        <f t="shared" si="5"/>
        <v>3</v>
      </c>
      <c r="I45" s="416"/>
      <c r="J45" s="163">
        <f>D45*D38</f>
        <v>0</v>
      </c>
      <c r="K45" s="163">
        <f>E45*E38*(G45/F45)</f>
        <v>8.3999999999999995E-3</v>
      </c>
      <c r="L45" s="163">
        <f>E45*E38*(H45/F45)</f>
        <v>1.2599999999999998E-2</v>
      </c>
    </row>
    <row r="46" spans="1:15" ht="15" outlineLevel="1">
      <c r="C46" s="158" t="s">
        <v>235</v>
      </c>
      <c r="D46" s="159"/>
      <c r="E46" s="159"/>
      <c r="F46" s="161">
        <v>6</v>
      </c>
      <c r="G46" s="162"/>
      <c r="H46" s="161">
        <f t="shared" si="5"/>
        <v>0</v>
      </c>
      <c r="I46" s="416"/>
      <c r="J46" s="163">
        <f>D46*D38</f>
        <v>0</v>
      </c>
      <c r="K46" s="163">
        <f>E46*E38*(G46/F46)</f>
        <v>0</v>
      </c>
      <c r="L46" s="163">
        <f>E46*E38*(H46/F46)</f>
        <v>0</v>
      </c>
    </row>
    <row r="47" spans="1:15" ht="15" outlineLevel="1">
      <c r="C47" s="158" t="s">
        <v>236</v>
      </c>
      <c r="D47" s="159"/>
      <c r="E47" s="159"/>
      <c r="F47" s="161">
        <v>7</v>
      </c>
      <c r="G47" s="162"/>
      <c r="H47" s="161">
        <f t="shared" si="5"/>
        <v>0</v>
      </c>
      <c r="I47" s="416"/>
      <c r="J47" s="163">
        <f>D47*D38</f>
        <v>0</v>
      </c>
      <c r="K47" s="163">
        <f>E47*E38*(G47/F47)</f>
        <v>0</v>
      </c>
      <c r="L47" s="163">
        <f>E47*E38*(H47/F47)</f>
        <v>0</v>
      </c>
    </row>
    <row r="48" spans="1:15" ht="15" outlineLevel="1">
      <c r="C48" s="158" t="s">
        <v>237</v>
      </c>
      <c r="D48" s="164"/>
      <c r="E48" s="164"/>
      <c r="F48" s="161">
        <v>8</v>
      </c>
      <c r="G48" s="162"/>
      <c r="H48" s="161">
        <f t="shared" si="5"/>
        <v>0</v>
      </c>
      <c r="I48" s="416"/>
      <c r="J48" s="163">
        <f>D48*D38</f>
        <v>0</v>
      </c>
      <c r="K48" s="163">
        <f>E48*E38*(G48/F48)</f>
        <v>0</v>
      </c>
      <c r="L48" s="163">
        <f>E48*E38*(H48/F48)</f>
        <v>0</v>
      </c>
    </row>
    <row r="49" spans="1:15" ht="15" outlineLevel="1">
      <c r="C49" s="165" t="s">
        <v>0</v>
      </c>
      <c r="D49" s="166">
        <f>SUM(D39:D48)</f>
        <v>1</v>
      </c>
      <c r="E49" s="166">
        <f>SUM(E39:E48)</f>
        <v>1</v>
      </c>
      <c r="F49" s="161"/>
      <c r="G49" s="161"/>
      <c r="H49" s="161"/>
      <c r="I49" s="416"/>
      <c r="J49" s="167">
        <f>SUM(J39:J48)</f>
        <v>0.3</v>
      </c>
      <c r="K49" s="167">
        <f>SUM(K39:K48)</f>
        <v>0.49373333333333325</v>
      </c>
      <c r="L49" s="167">
        <f>SUM(L39:L48)</f>
        <v>0.20626666666666665</v>
      </c>
      <c r="M49" s="166">
        <f>SUM(J49:L49)</f>
        <v>0.99999999999999978</v>
      </c>
    </row>
    <row r="50" spans="1:15" ht="15">
      <c r="C50" s="155" t="s">
        <v>41</v>
      </c>
      <c r="D50" s="168">
        <f>SUMPRODUCT(D39:D48,F39:F48)</f>
        <v>1.2999999999999998</v>
      </c>
      <c r="E50" s="168">
        <f>SUMPRODUCT(E39:E48,F39:F48)</f>
        <v>2.59</v>
      </c>
      <c r="F50" s="161"/>
      <c r="G50" s="161"/>
      <c r="H50" s="161"/>
      <c r="I50" s="416"/>
      <c r="J50" s="155" t="s">
        <v>238</v>
      </c>
      <c r="K50" s="155"/>
      <c r="L50" s="167">
        <f>J49</f>
        <v>0.3</v>
      </c>
    </row>
    <row r="51" spans="1:15">
      <c r="C51" s="169" t="s">
        <v>239</v>
      </c>
      <c r="D51" s="168"/>
      <c r="E51" s="170">
        <f>E50*E38+D50*D38</f>
        <v>2.2029999999999998</v>
      </c>
      <c r="F51" s="161"/>
      <c r="G51" s="161"/>
      <c r="H51" s="161"/>
      <c r="I51" s="171"/>
      <c r="J51" s="155" t="s">
        <v>240</v>
      </c>
      <c r="L51" s="167">
        <f>K49</f>
        <v>0.49373333333333325</v>
      </c>
    </row>
    <row r="52" spans="1:15">
      <c r="J52" s="155" t="s">
        <v>227</v>
      </c>
      <c r="K52" s="155"/>
      <c r="L52" s="167">
        <f>L49</f>
        <v>0.20626666666666665</v>
      </c>
    </row>
    <row r="54" spans="1:15" ht="15.75">
      <c r="A54" s="475">
        <f>A9</f>
        <v>3</v>
      </c>
      <c r="C54" s="41" t="str">
        <f>C9</f>
        <v>Гостиница 3*</v>
      </c>
    </row>
    <row r="55" spans="1:15" ht="29.45" customHeight="1">
      <c r="C55" s="1978"/>
      <c r="D55" s="1978" t="s">
        <v>221</v>
      </c>
      <c r="E55" s="1978" t="s">
        <v>222</v>
      </c>
      <c r="F55" s="1980" t="str">
        <f>E55</f>
        <v>Отдых и развлечения</v>
      </c>
      <c r="G55" s="1980"/>
      <c r="H55" s="1980"/>
      <c r="I55" s="416"/>
      <c r="J55" s="283" t="str">
        <f>D55</f>
        <v xml:space="preserve">MICE </v>
      </c>
      <c r="K55" s="1980" t="str">
        <f>E55</f>
        <v>Отдых и развлечения</v>
      </c>
      <c r="L55" s="1980"/>
      <c r="M55" s="137">
        <v>1.5</v>
      </c>
      <c r="N55" s="137">
        <v>4</v>
      </c>
      <c r="O55" s="781">
        <f>M55*D57+N55*E57</f>
        <v>3.25</v>
      </c>
    </row>
    <row r="56" spans="1:15" ht="38.25" outlineLevel="1">
      <c r="C56" s="1979"/>
      <c r="D56" s="1979"/>
      <c r="E56" s="1979"/>
      <c r="F56" s="283" t="s">
        <v>223</v>
      </c>
      <c r="G56" s="283" t="s">
        <v>224</v>
      </c>
      <c r="H56" s="283" t="s">
        <v>225</v>
      </c>
      <c r="I56" s="416"/>
      <c r="J56" s="283" t="s">
        <v>226</v>
      </c>
      <c r="K56" s="283" t="str">
        <f>J56</f>
        <v>Взрослые</v>
      </c>
      <c r="L56" s="283" t="s">
        <v>227</v>
      </c>
      <c r="M56" s="283" t="str">
        <f>D55</f>
        <v xml:space="preserve">MICE </v>
      </c>
      <c r="N56" s="283" t="str">
        <f>E55</f>
        <v>Отдых и развлечения</v>
      </c>
    </row>
    <row r="57" spans="1:15" ht="15" outlineLevel="1">
      <c r="C57" s="155" t="s">
        <v>228</v>
      </c>
      <c r="D57" s="172">
        <v>0.3</v>
      </c>
      <c r="E57" s="157">
        <f>100%-D57</f>
        <v>0.7</v>
      </c>
      <c r="F57" s="154"/>
      <c r="G57" s="154"/>
      <c r="H57" s="154"/>
      <c r="I57" s="416"/>
      <c r="J57" s="283"/>
      <c r="K57" s="283"/>
      <c r="L57" s="283"/>
      <c r="M57" s="283"/>
      <c r="N57" s="283"/>
    </row>
    <row r="58" spans="1:15" ht="15" outlineLevel="1">
      <c r="C58" s="158" t="s">
        <v>230</v>
      </c>
      <c r="D58" s="159">
        <v>0.7</v>
      </c>
      <c r="E58" s="159">
        <v>0.05</v>
      </c>
      <c r="F58" s="161">
        <v>1</v>
      </c>
      <c r="G58" s="162">
        <v>1</v>
      </c>
      <c r="H58" s="161">
        <f>IF(E58&lt;&gt;"",F58-G58,0)</f>
        <v>0</v>
      </c>
      <c r="I58" s="416"/>
      <c r="J58" s="163">
        <f>D58*D57</f>
        <v>0.21</v>
      </c>
      <c r="K58" s="163">
        <f>E58*E57*(G58/F58)</f>
        <v>3.4999999999999996E-2</v>
      </c>
      <c r="L58" s="163">
        <f>E58*E57*(H58/F58)</f>
        <v>0</v>
      </c>
    </row>
    <row r="59" spans="1:15" ht="15" outlineLevel="1">
      <c r="C59" s="158" t="s">
        <v>231</v>
      </c>
      <c r="D59" s="159">
        <v>0.3</v>
      </c>
      <c r="E59" s="159">
        <v>0.09</v>
      </c>
      <c r="F59" s="161">
        <v>2</v>
      </c>
      <c r="G59" s="162">
        <v>2</v>
      </c>
      <c r="H59" s="161">
        <f t="shared" ref="H59:H67" si="6">IF(E59&lt;&gt;"",F59-G59,0)</f>
        <v>0</v>
      </c>
      <c r="I59" s="416"/>
      <c r="J59" s="163">
        <f>D59*D57</f>
        <v>0.09</v>
      </c>
      <c r="K59" s="163">
        <f>E59*E57*(G59/F59)</f>
        <v>6.3E-2</v>
      </c>
      <c r="L59" s="163">
        <f>E59*E57*(H59/F59)</f>
        <v>0</v>
      </c>
    </row>
    <row r="60" spans="1:15" ht="15" outlineLevel="1">
      <c r="C60" s="158" t="s">
        <v>231</v>
      </c>
      <c r="D60" s="159"/>
      <c r="E60" s="159">
        <v>0.09</v>
      </c>
      <c r="F60" s="161">
        <v>2</v>
      </c>
      <c r="G60" s="162">
        <v>1</v>
      </c>
      <c r="H60" s="161">
        <f t="shared" si="6"/>
        <v>1</v>
      </c>
      <c r="I60" s="416"/>
      <c r="J60" s="163">
        <f>D60*D57</f>
        <v>0</v>
      </c>
      <c r="K60" s="163">
        <f>E60*E57*(G60/F60)</f>
        <v>3.15E-2</v>
      </c>
      <c r="L60" s="163">
        <f>E60*E57*(H60/F60)</f>
        <v>3.15E-2</v>
      </c>
    </row>
    <row r="61" spans="1:15" ht="15" outlineLevel="1">
      <c r="C61" s="158" t="s">
        <v>232</v>
      </c>
      <c r="D61" s="159"/>
      <c r="E61" s="159">
        <v>0.3</v>
      </c>
      <c r="F61" s="161">
        <v>3</v>
      </c>
      <c r="G61" s="162">
        <v>2</v>
      </c>
      <c r="H61" s="161">
        <f t="shared" si="6"/>
        <v>1</v>
      </c>
      <c r="I61" s="416"/>
      <c r="J61" s="163">
        <f>D61*D57</f>
        <v>0</v>
      </c>
      <c r="K61" s="163">
        <f>E61*E57*(G61/F61)</f>
        <v>0.13999999999999999</v>
      </c>
      <c r="L61" s="163">
        <f>E61*E57*(H61/F61)</f>
        <v>6.9999999999999993E-2</v>
      </c>
    </row>
    <row r="62" spans="1:15" ht="15" outlineLevel="1">
      <c r="C62" s="158" t="s">
        <v>232</v>
      </c>
      <c r="D62" s="159"/>
      <c r="E62" s="159">
        <v>0.25</v>
      </c>
      <c r="F62" s="161">
        <v>3</v>
      </c>
      <c r="G62" s="162">
        <v>1</v>
      </c>
      <c r="H62" s="161">
        <f t="shared" si="6"/>
        <v>2</v>
      </c>
      <c r="I62" s="416"/>
      <c r="J62" s="163">
        <f>D62*D57</f>
        <v>0</v>
      </c>
      <c r="K62" s="163">
        <f>E62*E57*(G62/F62)</f>
        <v>5.8333333333333327E-2</v>
      </c>
      <c r="L62" s="163">
        <f>E62*E57*(H62/F62)</f>
        <v>0.11666666666666665</v>
      </c>
    </row>
    <row r="63" spans="1:15" ht="15" outlineLevel="1">
      <c r="C63" s="158" t="s">
        <v>233</v>
      </c>
      <c r="D63" s="159"/>
      <c r="E63" s="159">
        <v>0.2</v>
      </c>
      <c r="F63" s="161">
        <v>4</v>
      </c>
      <c r="G63" s="162">
        <v>2</v>
      </c>
      <c r="H63" s="161">
        <f t="shared" si="6"/>
        <v>2</v>
      </c>
      <c r="I63" s="416"/>
      <c r="J63" s="163">
        <f>D63*D57</f>
        <v>0</v>
      </c>
      <c r="K63" s="163">
        <f>E63*E57*(G63/F63)</f>
        <v>6.9999999999999993E-2</v>
      </c>
      <c r="L63" s="163">
        <f>E63*E57*(H63/F63)</f>
        <v>6.9999999999999993E-2</v>
      </c>
    </row>
    <row r="64" spans="1:15" ht="15" outlineLevel="1">
      <c r="C64" s="158" t="s">
        <v>234</v>
      </c>
      <c r="D64" s="159"/>
      <c r="E64" s="159">
        <v>0.02</v>
      </c>
      <c r="F64" s="161">
        <v>5</v>
      </c>
      <c r="G64" s="162">
        <v>2</v>
      </c>
      <c r="H64" s="161">
        <f t="shared" si="6"/>
        <v>3</v>
      </c>
      <c r="I64" s="416"/>
      <c r="J64" s="163">
        <f>D64*D57</f>
        <v>0</v>
      </c>
      <c r="K64" s="163">
        <f>E64*E57*(G64/F64)</f>
        <v>5.5999999999999999E-3</v>
      </c>
      <c r="L64" s="163">
        <f>E64*E57*(H64/F64)</f>
        <v>8.3999999999999995E-3</v>
      </c>
    </row>
    <row r="65" spans="1:15" ht="15" outlineLevel="1">
      <c r="C65" s="158" t="s">
        <v>235</v>
      </c>
      <c r="D65" s="159"/>
      <c r="E65" s="159"/>
      <c r="F65" s="161">
        <v>6</v>
      </c>
      <c r="G65" s="162"/>
      <c r="H65" s="161">
        <f t="shared" si="6"/>
        <v>0</v>
      </c>
      <c r="I65" s="416"/>
      <c r="J65" s="163">
        <f>D65*D57</f>
        <v>0</v>
      </c>
      <c r="K65" s="163">
        <f>E65*E57*(G65/F65)</f>
        <v>0</v>
      </c>
      <c r="L65" s="163">
        <f>E65*E57*(H65/F65)</f>
        <v>0</v>
      </c>
    </row>
    <row r="66" spans="1:15" ht="15" outlineLevel="1">
      <c r="C66" s="158" t="s">
        <v>236</v>
      </c>
      <c r="D66" s="159"/>
      <c r="E66" s="159"/>
      <c r="F66" s="161">
        <v>7</v>
      </c>
      <c r="G66" s="162"/>
      <c r="H66" s="161">
        <f t="shared" si="6"/>
        <v>0</v>
      </c>
      <c r="I66" s="416"/>
      <c r="J66" s="163">
        <f>D66*D57</f>
        <v>0</v>
      </c>
      <c r="K66" s="163">
        <f>E66*E57*(G66/F66)</f>
        <v>0</v>
      </c>
      <c r="L66" s="163">
        <f>E66*E57*(H66/F66)</f>
        <v>0</v>
      </c>
    </row>
    <row r="67" spans="1:15" ht="15" outlineLevel="1">
      <c r="C67" s="158" t="s">
        <v>237</v>
      </c>
      <c r="D67" s="164"/>
      <c r="E67" s="164"/>
      <c r="F67" s="161">
        <v>8</v>
      </c>
      <c r="G67" s="162"/>
      <c r="H67" s="161">
        <f t="shared" si="6"/>
        <v>0</v>
      </c>
      <c r="I67" s="416"/>
      <c r="J67" s="163">
        <f>D67*D57</f>
        <v>0</v>
      </c>
      <c r="K67" s="163">
        <f>E67*E57*(G67/F67)</f>
        <v>0</v>
      </c>
      <c r="L67" s="163">
        <f>E67*E57*(H67/F67)</f>
        <v>0</v>
      </c>
    </row>
    <row r="68" spans="1:15" ht="15" outlineLevel="1">
      <c r="C68" s="165" t="s">
        <v>0</v>
      </c>
      <c r="D68" s="166">
        <f>SUM(D58:D67)</f>
        <v>1</v>
      </c>
      <c r="E68" s="166">
        <f>SUM(E58:E67)</f>
        <v>1</v>
      </c>
      <c r="F68" s="161"/>
      <c r="G68" s="162"/>
      <c r="H68" s="161"/>
      <c r="I68" s="416"/>
      <c r="J68" s="167">
        <f>SUM(J58:J67)</f>
        <v>0.3</v>
      </c>
      <c r="K68" s="167">
        <f>SUM(K58:K67)</f>
        <v>0.40343333333333331</v>
      </c>
      <c r="L68" s="167">
        <f>SUM(L58:L67)</f>
        <v>0.29656666666666665</v>
      </c>
      <c r="M68" s="166">
        <f>SUM(J68:L68)</f>
        <v>1</v>
      </c>
    </row>
    <row r="69" spans="1:15" ht="15">
      <c r="C69" s="155" t="s">
        <v>41</v>
      </c>
      <c r="D69" s="168">
        <f>SUMPRODUCT(D58:D67,F58:F67)</f>
        <v>1.2999999999999998</v>
      </c>
      <c r="E69" s="777">
        <f>SUMPRODUCT(E58:E67,F58:F67)</f>
        <v>2.9599999999999995</v>
      </c>
      <c r="F69" s="161"/>
      <c r="G69" s="161"/>
      <c r="H69" s="161"/>
      <c r="I69" s="416"/>
      <c r="J69" s="155" t="s">
        <v>238</v>
      </c>
      <c r="K69" s="155"/>
      <c r="L69" s="167">
        <f>J68</f>
        <v>0.3</v>
      </c>
    </row>
    <row r="70" spans="1:15">
      <c r="C70" s="169" t="s">
        <v>239</v>
      </c>
      <c r="D70" s="168"/>
      <c r="E70" s="170">
        <f>E69*E57+D69*D57</f>
        <v>2.4619999999999997</v>
      </c>
      <c r="F70" s="161"/>
      <c r="G70" s="161"/>
      <c r="H70" s="161"/>
      <c r="I70" s="171"/>
      <c r="J70" s="155" t="s">
        <v>240</v>
      </c>
      <c r="L70" s="167">
        <f>K68</f>
        <v>0.40343333333333331</v>
      </c>
    </row>
    <row r="71" spans="1:15">
      <c r="J71" s="155" t="s">
        <v>227</v>
      </c>
      <c r="K71" s="155"/>
      <c r="L71" s="167">
        <f>L68</f>
        <v>0.29656666666666665</v>
      </c>
    </row>
    <row r="73" spans="1:15" ht="15.75">
      <c r="A73" s="475">
        <f>A10</f>
        <v>4</v>
      </c>
      <c r="C73" s="780" t="str">
        <f>C10</f>
        <v>Гостиница 2*</v>
      </c>
    </row>
    <row r="74" spans="1:15" ht="29.1" customHeight="1">
      <c r="C74" s="1978"/>
      <c r="D74" s="1978" t="s">
        <v>221</v>
      </c>
      <c r="E74" s="1978" t="s">
        <v>222</v>
      </c>
      <c r="F74" s="1980" t="str">
        <f>E74</f>
        <v>Отдых и развлечения</v>
      </c>
      <c r="G74" s="1980"/>
      <c r="H74" s="1980"/>
      <c r="I74" s="416"/>
      <c r="J74" s="283" t="str">
        <f>D74</f>
        <v xml:space="preserve">MICE </v>
      </c>
      <c r="K74" s="1980" t="str">
        <f>E74</f>
        <v>Отдых и развлечения</v>
      </c>
      <c r="L74" s="1980"/>
      <c r="M74" s="136">
        <v>1.5</v>
      </c>
      <c r="N74" s="137">
        <v>4</v>
      </c>
      <c r="O74" s="781">
        <f>M74*D76+N74*E76</f>
        <v>3.5</v>
      </c>
    </row>
    <row r="75" spans="1:15" ht="38.25" outlineLevel="1">
      <c r="C75" s="1979"/>
      <c r="D75" s="1979"/>
      <c r="E75" s="1979"/>
      <c r="F75" s="283" t="s">
        <v>223</v>
      </c>
      <c r="G75" s="283" t="s">
        <v>224</v>
      </c>
      <c r="H75" s="283" t="s">
        <v>225</v>
      </c>
      <c r="I75" s="416"/>
      <c r="J75" s="283" t="s">
        <v>226</v>
      </c>
      <c r="K75" s="283" t="str">
        <f>J75</f>
        <v>Взрослые</v>
      </c>
      <c r="L75" s="283" t="s">
        <v>227</v>
      </c>
      <c r="M75" s="283" t="str">
        <f>D74</f>
        <v xml:space="preserve">MICE </v>
      </c>
      <c r="N75" s="283" t="str">
        <f>E74</f>
        <v>Отдых и развлечения</v>
      </c>
    </row>
    <row r="76" spans="1:15" ht="15" outlineLevel="1">
      <c r="C76" s="155" t="s">
        <v>228</v>
      </c>
      <c r="D76" s="172">
        <v>0.2</v>
      </c>
      <c r="E76" s="157">
        <f>100%-D76</f>
        <v>0.8</v>
      </c>
      <c r="F76" s="154"/>
      <c r="G76" s="154"/>
      <c r="H76" s="154"/>
      <c r="I76" s="416"/>
      <c r="J76" s="283"/>
      <c r="K76" s="283"/>
      <c r="L76" s="283"/>
      <c r="M76" s="283"/>
      <c r="N76" s="283"/>
    </row>
    <row r="77" spans="1:15" ht="15" outlineLevel="1">
      <c r="C77" s="158" t="s">
        <v>230</v>
      </c>
      <c r="D77" s="159">
        <v>0.7</v>
      </c>
      <c r="E77" s="159">
        <v>0.05</v>
      </c>
      <c r="F77" s="161">
        <v>1</v>
      </c>
      <c r="G77" s="162">
        <v>1</v>
      </c>
      <c r="H77" s="161">
        <f>IF(E77&lt;&gt;"",F77-G77,0)</f>
        <v>0</v>
      </c>
      <c r="I77" s="416"/>
      <c r="J77" s="163">
        <f>D77*D76</f>
        <v>0.13999999999999999</v>
      </c>
      <c r="K77" s="163">
        <f>E77*E76*(G77/F77)</f>
        <v>4.0000000000000008E-2</v>
      </c>
      <c r="L77" s="163">
        <f>E77*E76*(H77/F77)</f>
        <v>0</v>
      </c>
    </row>
    <row r="78" spans="1:15" ht="15" outlineLevel="1">
      <c r="C78" s="158" t="s">
        <v>231</v>
      </c>
      <c r="D78" s="159">
        <v>0.3</v>
      </c>
      <c r="E78" s="159">
        <v>0.09</v>
      </c>
      <c r="F78" s="161">
        <v>2</v>
      </c>
      <c r="G78" s="162">
        <v>2</v>
      </c>
      <c r="H78" s="161">
        <f t="shared" ref="H78:H86" si="7">IF(E78&lt;&gt;"",F78-G78,0)</f>
        <v>0</v>
      </c>
      <c r="I78" s="416"/>
      <c r="J78" s="163">
        <f>D78*D76</f>
        <v>0.06</v>
      </c>
      <c r="K78" s="163">
        <f>E78*E76*(G78/F78)</f>
        <v>7.1999999999999995E-2</v>
      </c>
      <c r="L78" s="163">
        <f>E78*E76*(H78/F78)</f>
        <v>0</v>
      </c>
    </row>
    <row r="79" spans="1:15" ht="15" outlineLevel="1">
      <c r="C79" s="158" t="s">
        <v>231</v>
      </c>
      <c r="D79" s="159"/>
      <c r="E79" s="159">
        <v>0.09</v>
      </c>
      <c r="F79" s="161">
        <v>2</v>
      </c>
      <c r="G79" s="162">
        <v>1</v>
      </c>
      <c r="H79" s="161">
        <f t="shared" si="7"/>
        <v>1</v>
      </c>
      <c r="I79" s="416"/>
      <c r="J79" s="163">
        <f>D79*D76</f>
        <v>0</v>
      </c>
      <c r="K79" s="163">
        <f>E79*E76*(G79/F79)</f>
        <v>3.5999999999999997E-2</v>
      </c>
      <c r="L79" s="163">
        <f>E79*E76*(H79/F79)</f>
        <v>3.5999999999999997E-2</v>
      </c>
    </row>
    <row r="80" spans="1:15" ht="15" outlineLevel="1">
      <c r="C80" s="158" t="s">
        <v>232</v>
      </c>
      <c r="D80" s="159"/>
      <c r="E80" s="159">
        <v>0.3</v>
      </c>
      <c r="F80" s="161">
        <v>3</v>
      </c>
      <c r="G80" s="162">
        <v>2</v>
      </c>
      <c r="H80" s="161">
        <f t="shared" si="7"/>
        <v>1</v>
      </c>
      <c r="I80" s="416"/>
      <c r="J80" s="163">
        <f>D80*D76</f>
        <v>0</v>
      </c>
      <c r="K80" s="163">
        <f>E80*E76*(G80/F80)</f>
        <v>0.15999999999999998</v>
      </c>
      <c r="L80" s="163">
        <f>E80*E76*(H80/F80)</f>
        <v>7.9999999999999988E-2</v>
      </c>
    </row>
    <row r="81" spans="1:15" ht="15" outlineLevel="1">
      <c r="C81" s="158" t="s">
        <v>232</v>
      </c>
      <c r="D81" s="159"/>
      <c r="E81" s="159">
        <v>0.25</v>
      </c>
      <c r="F81" s="161">
        <v>3</v>
      </c>
      <c r="G81" s="162">
        <v>1</v>
      </c>
      <c r="H81" s="161">
        <f t="shared" si="7"/>
        <v>2</v>
      </c>
      <c r="I81" s="416"/>
      <c r="J81" s="163">
        <f>D81*D76</f>
        <v>0</v>
      </c>
      <c r="K81" s="163">
        <f>E81*E76*(G81/F81)</f>
        <v>6.6666666666666666E-2</v>
      </c>
      <c r="L81" s="163">
        <f>E81*E76*(H81/F81)</f>
        <v>0.13333333333333333</v>
      </c>
    </row>
    <row r="82" spans="1:15" ht="15" outlineLevel="1">
      <c r="C82" s="158" t="s">
        <v>233</v>
      </c>
      <c r="D82" s="159"/>
      <c r="E82" s="159">
        <v>0.2</v>
      </c>
      <c r="F82" s="161">
        <v>4</v>
      </c>
      <c r="G82" s="162">
        <v>2</v>
      </c>
      <c r="H82" s="161">
        <f t="shared" si="7"/>
        <v>2</v>
      </c>
      <c r="I82" s="416"/>
      <c r="J82" s="163">
        <f>D82*D76</f>
        <v>0</v>
      </c>
      <c r="K82" s="163">
        <f>E82*E76*(G82/F82)</f>
        <v>8.0000000000000016E-2</v>
      </c>
      <c r="L82" s="163">
        <f>E82*E76*(H82/F82)</f>
        <v>8.0000000000000016E-2</v>
      </c>
    </row>
    <row r="83" spans="1:15" ht="15" outlineLevel="1">
      <c r="C83" s="158" t="s">
        <v>234</v>
      </c>
      <c r="D83" s="159"/>
      <c r="E83" s="159">
        <v>0.02</v>
      </c>
      <c r="F83" s="161">
        <v>5</v>
      </c>
      <c r="G83" s="162">
        <v>2</v>
      </c>
      <c r="H83" s="161">
        <f t="shared" si="7"/>
        <v>3</v>
      </c>
      <c r="I83" s="416"/>
      <c r="J83" s="163">
        <f>D83*D76</f>
        <v>0</v>
      </c>
      <c r="K83" s="163">
        <f>E83*E76*(G83/F83)</f>
        <v>6.4000000000000003E-3</v>
      </c>
      <c r="L83" s="163">
        <f>E83*E76*(H83/F83)</f>
        <v>9.5999999999999992E-3</v>
      </c>
    </row>
    <row r="84" spans="1:15" ht="15" outlineLevel="1">
      <c r="C84" s="158" t="s">
        <v>235</v>
      </c>
      <c r="D84" s="159"/>
      <c r="E84" s="159"/>
      <c r="F84" s="161">
        <v>6</v>
      </c>
      <c r="G84" s="162"/>
      <c r="H84" s="161">
        <f t="shared" si="7"/>
        <v>0</v>
      </c>
      <c r="I84" s="416"/>
      <c r="J84" s="163">
        <f>D84*D76</f>
        <v>0</v>
      </c>
      <c r="K84" s="163">
        <f>E84*E76*(G84/F84)</f>
        <v>0</v>
      </c>
      <c r="L84" s="163">
        <f>E84*E76*(H84/F84)</f>
        <v>0</v>
      </c>
    </row>
    <row r="85" spans="1:15" ht="15" outlineLevel="1">
      <c r="C85" s="158" t="s">
        <v>236</v>
      </c>
      <c r="D85" s="159"/>
      <c r="E85" s="159"/>
      <c r="F85" s="161">
        <v>7</v>
      </c>
      <c r="G85" s="162"/>
      <c r="H85" s="161">
        <f t="shared" si="7"/>
        <v>0</v>
      </c>
      <c r="I85" s="416"/>
      <c r="J85" s="163">
        <f>D85*D76</f>
        <v>0</v>
      </c>
      <c r="K85" s="163">
        <f>E85*E76*(G85/F85)</f>
        <v>0</v>
      </c>
      <c r="L85" s="163">
        <f>E85*E76*(H85/F85)</f>
        <v>0</v>
      </c>
    </row>
    <row r="86" spans="1:15" ht="15" outlineLevel="1">
      <c r="C86" s="158" t="s">
        <v>237</v>
      </c>
      <c r="D86" s="164"/>
      <c r="E86" s="164"/>
      <c r="F86" s="161">
        <v>8</v>
      </c>
      <c r="G86" s="162"/>
      <c r="H86" s="161">
        <f t="shared" si="7"/>
        <v>0</v>
      </c>
      <c r="I86" s="416"/>
      <c r="J86" s="163">
        <f>D86*D76</f>
        <v>0</v>
      </c>
      <c r="K86" s="163">
        <f>E86*E76*(G86/F86)</f>
        <v>0</v>
      </c>
      <c r="L86" s="163">
        <f>E86*E76*(H86/F86)</f>
        <v>0</v>
      </c>
    </row>
    <row r="87" spans="1:15" ht="15" outlineLevel="1">
      <c r="C87" s="165" t="s">
        <v>0</v>
      </c>
      <c r="D87" s="166">
        <f>SUM(D77:D86)</f>
        <v>1</v>
      </c>
      <c r="E87" s="166">
        <f>SUM(E77:E86)</f>
        <v>1</v>
      </c>
      <c r="F87" s="161"/>
      <c r="G87" s="162"/>
      <c r="H87" s="161"/>
      <c r="I87" s="416"/>
      <c r="J87" s="167">
        <f>SUM(J77:J86)</f>
        <v>0.19999999999999998</v>
      </c>
      <c r="K87" s="167">
        <f>SUM(K77:K86)</f>
        <v>0.46106666666666662</v>
      </c>
      <c r="L87" s="167">
        <f>SUM(L77:L86)</f>
        <v>0.33893333333333336</v>
      </c>
      <c r="M87" s="166">
        <f>SUM(J87:L87)</f>
        <v>1</v>
      </c>
    </row>
    <row r="88" spans="1:15" ht="15">
      <c r="C88" s="155" t="s">
        <v>41</v>
      </c>
      <c r="D88" s="777">
        <f>SUMPRODUCT(D77:D86,F77:F86)</f>
        <v>1.2999999999999998</v>
      </c>
      <c r="E88" s="777">
        <f>SUMPRODUCT(E77:E86,F77:F86)</f>
        <v>2.9599999999999995</v>
      </c>
      <c r="F88" s="161"/>
      <c r="G88" s="161"/>
      <c r="H88" s="161"/>
      <c r="I88" s="416"/>
      <c r="J88" s="155" t="s">
        <v>238</v>
      </c>
      <c r="K88" s="155"/>
      <c r="L88" s="167">
        <f>J87</f>
        <v>0.19999999999999998</v>
      </c>
    </row>
    <row r="89" spans="1:15">
      <c r="C89" s="169" t="s">
        <v>239</v>
      </c>
      <c r="D89" s="168"/>
      <c r="E89" s="173">
        <f>E88*E76+D88*D76</f>
        <v>2.6279999999999997</v>
      </c>
      <c r="F89" s="161"/>
      <c r="G89" s="161"/>
      <c r="H89" s="161"/>
      <c r="I89" s="171"/>
      <c r="J89" s="155" t="s">
        <v>240</v>
      </c>
      <c r="L89" s="167">
        <f>K87</f>
        <v>0.46106666666666662</v>
      </c>
    </row>
    <row r="90" spans="1:15">
      <c r="J90" s="155" t="s">
        <v>227</v>
      </c>
      <c r="K90" s="155"/>
      <c r="L90" s="167">
        <f>L87</f>
        <v>0.33893333333333336</v>
      </c>
    </row>
    <row r="92" spans="1:15" ht="15.75">
      <c r="A92" s="475">
        <f>A11</f>
        <v>5</v>
      </c>
      <c r="C92" s="780" t="str">
        <f>C11</f>
        <v>Хостел в составе МФЦ</v>
      </c>
    </row>
    <row r="93" spans="1:15" ht="24.6" customHeight="1">
      <c r="C93" s="1978"/>
      <c r="D93" s="1978" t="s">
        <v>221</v>
      </c>
      <c r="E93" s="1978" t="s">
        <v>222</v>
      </c>
      <c r="F93" s="1980" t="str">
        <f>E93</f>
        <v>Отдых и развлечения</v>
      </c>
      <c r="G93" s="1980"/>
      <c r="H93" s="1980"/>
      <c r="I93" s="416"/>
      <c r="J93" s="283" t="str">
        <f>D93</f>
        <v xml:space="preserve">MICE </v>
      </c>
      <c r="K93" s="1980" t="str">
        <f>E93</f>
        <v>Отдых и развлечения</v>
      </c>
      <c r="L93" s="1980"/>
      <c r="M93" s="136"/>
      <c r="N93" s="136">
        <v>4</v>
      </c>
      <c r="O93" s="781">
        <f>M93*D95+N93*E95</f>
        <v>4</v>
      </c>
    </row>
    <row r="94" spans="1:15" ht="38.25" outlineLevel="1">
      <c r="C94" s="1979"/>
      <c r="D94" s="1979"/>
      <c r="E94" s="1979"/>
      <c r="F94" s="283" t="s">
        <v>223</v>
      </c>
      <c r="G94" s="283" t="s">
        <v>224</v>
      </c>
      <c r="H94" s="283" t="s">
        <v>225</v>
      </c>
      <c r="I94" s="416"/>
      <c r="J94" s="283" t="s">
        <v>226</v>
      </c>
      <c r="K94" s="283" t="str">
        <f>J94</f>
        <v>Взрослые</v>
      </c>
      <c r="L94" s="283" t="s">
        <v>227</v>
      </c>
      <c r="M94" s="283" t="str">
        <f>D93</f>
        <v xml:space="preserve">MICE </v>
      </c>
      <c r="N94" s="283" t="str">
        <f>E93</f>
        <v>Отдых и развлечения</v>
      </c>
    </row>
    <row r="95" spans="1:15" ht="15" outlineLevel="1">
      <c r="C95" s="155" t="s">
        <v>228</v>
      </c>
      <c r="D95" s="156"/>
      <c r="E95" s="157">
        <f>100%-D95</f>
        <v>1</v>
      </c>
      <c r="F95" s="154"/>
      <c r="G95" s="154"/>
      <c r="H95" s="154"/>
      <c r="I95" s="416"/>
      <c r="J95" s="283"/>
      <c r="K95" s="283"/>
      <c r="L95" s="283"/>
      <c r="M95" s="283"/>
      <c r="N95" s="283"/>
    </row>
    <row r="96" spans="1:15" ht="15" outlineLevel="1">
      <c r="C96" s="158" t="s">
        <v>230</v>
      </c>
      <c r="D96" s="159"/>
      <c r="E96" s="159">
        <v>0.03</v>
      </c>
      <c r="F96" s="161">
        <v>1</v>
      </c>
      <c r="G96" s="162">
        <v>1</v>
      </c>
      <c r="H96" s="161">
        <f>IF(E96&lt;&gt;"",F96-G96,0)</f>
        <v>0</v>
      </c>
      <c r="I96" s="416"/>
      <c r="J96" s="163">
        <f>D96*D95</f>
        <v>0</v>
      </c>
      <c r="K96" s="163">
        <f>E96*E95*(G96/F96)</f>
        <v>0.03</v>
      </c>
      <c r="L96" s="163">
        <f>E96*E95*(H96/F96)</f>
        <v>0</v>
      </c>
    </row>
    <row r="97" spans="1:15" ht="15" outlineLevel="1">
      <c r="C97" s="158" t="s">
        <v>231</v>
      </c>
      <c r="D97" s="159"/>
      <c r="E97" s="159">
        <v>0.05</v>
      </c>
      <c r="F97" s="161">
        <v>2</v>
      </c>
      <c r="G97" s="162">
        <v>1</v>
      </c>
      <c r="H97" s="161">
        <f t="shared" ref="H97:H105" si="8">IF(E97&lt;&gt;"",F97-G97,0)</f>
        <v>1</v>
      </c>
      <c r="I97" s="416"/>
      <c r="J97" s="163">
        <f>D97*D95</f>
        <v>0</v>
      </c>
      <c r="K97" s="163">
        <f>E97*E95*(G97/F97)</f>
        <v>2.5000000000000001E-2</v>
      </c>
      <c r="L97" s="163">
        <f>E97*E95*(H97/F97)</f>
        <v>2.5000000000000001E-2</v>
      </c>
    </row>
    <row r="98" spans="1:15" ht="15" outlineLevel="1">
      <c r="C98" s="158" t="s">
        <v>231</v>
      </c>
      <c r="D98" s="159"/>
      <c r="E98" s="159">
        <v>0.05</v>
      </c>
      <c r="F98" s="161">
        <v>2</v>
      </c>
      <c r="G98" s="162">
        <v>1</v>
      </c>
      <c r="H98" s="161">
        <f t="shared" si="8"/>
        <v>1</v>
      </c>
      <c r="I98" s="416"/>
      <c r="J98" s="163">
        <f>D98*D95</f>
        <v>0</v>
      </c>
      <c r="K98" s="163">
        <f>E98*E95*(G98/F98)</f>
        <v>2.5000000000000001E-2</v>
      </c>
      <c r="L98" s="163">
        <f>E98*E95*(H98/F98)</f>
        <v>2.5000000000000001E-2</v>
      </c>
    </row>
    <row r="99" spans="1:15" ht="15" outlineLevel="1">
      <c r="C99" s="158" t="s">
        <v>232</v>
      </c>
      <c r="D99" s="159"/>
      <c r="E99" s="159">
        <v>0.1</v>
      </c>
      <c r="F99" s="161">
        <v>3</v>
      </c>
      <c r="G99" s="162">
        <v>3</v>
      </c>
      <c r="H99" s="161">
        <f t="shared" si="8"/>
        <v>0</v>
      </c>
      <c r="I99" s="416"/>
      <c r="J99" s="163">
        <f>D99*D95</f>
        <v>0</v>
      </c>
      <c r="K99" s="163">
        <f>E99*E95*(G99/F99)</f>
        <v>0.1</v>
      </c>
      <c r="L99" s="163">
        <f>E99*E95*(H99/F99)</f>
        <v>0</v>
      </c>
    </row>
    <row r="100" spans="1:15" ht="15" outlineLevel="1">
      <c r="C100" s="158" t="s">
        <v>232</v>
      </c>
      <c r="D100" s="159"/>
      <c r="E100" s="159">
        <v>0.1</v>
      </c>
      <c r="F100" s="161">
        <v>3</v>
      </c>
      <c r="G100" s="162">
        <v>3</v>
      </c>
      <c r="H100" s="161">
        <f t="shared" si="8"/>
        <v>0</v>
      </c>
      <c r="I100" s="416"/>
      <c r="J100" s="163">
        <f>D100*D95</f>
        <v>0</v>
      </c>
      <c r="K100" s="163">
        <f>E100*E95*(G100/F100)</f>
        <v>0.1</v>
      </c>
      <c r="L100" s="163">
        <f>E100*E95*(H100/F100)</f>
        <v>0</v>
      </c>
    </row>
    <row r="101" spans="1:15" ht="15" outlineLevel="1">
      <c r="C101" s="158" t="s">
        <v>233</v>
      </c>
      <c r="D101" s="159"/>
      <c r="E101" s="159">
        <v>0.2</v>
      </c>
      <c r="F101" s="161">
        <v>4</v>
      </c>
      <c r="G101" s="162">
        <v>4</v>
      </c>
      <c r="H101" s="161">
        <f t="shared" si="8"/>
        <v>0</v>
      </c>
      <c r="I101" s="416"/>
      <c r="J101" s="163">
        <f>D101*D95</f>
        <v>0</v>
      </c>
      <c r="K101" s="163">
        <f>E101*E95*(G101/F101)</f>
        <v>0.2</v>
      </c>
      <c r="L101" s="163">
        <f>E101*E95*(H101/F101)</f>
        <v>0</v>
      </c>
    </row>
    <row r="102" spans="1:15" ht="15" outlineLevel="1">
      <c r="C102" s="158" t="s">
        <v>234</v>
      </c>
      <c r="D102" s="159"/>
      <c r="E102" s="159">
        <v>0.2</v>
      </c>
      <c r="F102" s="161">
        <v>5</v>
      </c>
      <c r="G102" s="162">
        <v>5</v>
      </c>
      <c r="H102" s="161">
        <f t="shared" si="8"/>
        <v>0</v>
      </c>
      <c r="I102" s="416"/>
      <c r="J102" s="163">
        <f>D102*D95</f>
        <v>0</v>
      </c>
      <c r="K102" s="163">
        <f>E102*E95*(G102/F102)</f>
        <v>0.2</v>
      </c>
      <c r="L102" s="163">
        <f>E102*E95*(H102/F102)</f>
        <v>0</v>
      </c>
    </row>
    <row r="103" spans="1:15" ht="15" outlineLevel="1">
      <c r="C103" s="158" t="s">
        <v>235</v>
      </c>
      <c r="D103" s="159"/>
      <c r="E103" s="159">
        <v>0.12</v>
      </c>
      <c r="F103" s="161">
        <v>6</v>
      </c>
      <c r="G103" s="162">
        <v>6</v>
      </c>
      <c r="H103" s="161">
        <f t="shared" si="8"/>
        <v>0</v>
      </c>
      <c r="I103" s="416"/>
      <c r="J103" s="163">
        <f>D103*D95</f>
        <v>0</v>
      </c>
      <c r="K103" s="163">
        <f>E103*E95*(G103/F103)</f>
        <v>0.12</v>
      </c>
      <c r="L103" s="163">
        <f>E103*E95*(H103/F103)</f>
        <v>0</v>
      </c>
    </row>
    <row r="104" spans="1:15" ht="15" outlineLevel="1">
      <c r="C104" s="158" t="s">
        <v>235</v>
      </c>
      <c r="D104" s="159"/>
      <c r="E104" s="159">
        <v>0.15</v>
      </c>
      <c r="F104" s="161">
        <v>6</v>
      </c>
      <c r="G104" s="162">
        <v>6</v>
      </c>
      <c r="H104" s="161">
        <f t="shared" si="8"/>
        <v>0</v>
      </c>
      <c r="I104" s="416"/>
      <c r="J104" s="163">
        <f>D104*D95</f>
        <v>0</v>
      </c>
      <c r="K104" s="163">
        <f>E104*E95*(G104/F104)</f>
        <v>0.15</v>
      </c>
      <c r="L104" s="163">
        <f>E104*E95*(H104/F104)</f>
        <v>0</v>
      </c>
    </row>
    <row r="105" spans="1:15" ht="15" outlineLevel="1">
      <c r="C105" s="158" t="s">
        <v>236</v>
      </c>
      <c r="D105" s="164"/>
      <c r="E105" s="164"/>
      <c r="F105" s="161">
        <v>8</v>
      </c>
      <c r="G105" s="162"/>
      <c r="H105" s="161">
        <f t="shared" si="8"/>
        <v>0</v>
      </c>
      <c r="I105" s="416"/>
      <c r="J105" s="163">
        <f>D105*D95</f>
        <v>0</v>
      </c>
      <c r="K105" s="163">
        <f>E105*E95*(G105/F105)</f>
        <v>0</v>
      </c>
      <c r="L105" s="163">
        <f>E105*E95*(H105/F105)</f>
        <v>0</v>
      </c>
    </row>
    <row r="106" spans="1:15" ht="15" outlineLevel="1">
      <c r="C106" s="165" t="s">
        <v>0</v>
      </c>
      <c r="D106" s="166">
        <f>SUM(D96:D105)</f>
        <v>0</v>
      </c>
      <c r="E106" s="166">
        <f>SUM(E96:E105)</f>
        <v>1</v>
      </c>
      <c r="F106" s="161"/>
      <c r="G106" s="162"/>
      <c r="H106" s="161"/>
      <c r="I106" s="416"/>
      <c r="J106" s="167">
        <f>SUM(J96:J105)</f>
        <v>0</v>
      </c>
      <c r="K106" s="167">
        <f>SUM(K96:K105)</f>
        <v>0.95000000000000007</v>
      </c>
      <c r="L106" s="167">
        <f>SUM(L96:L105)</f>
        <v>0.05</v>
      </c>
      <c r="M106" s="166">
        <f>SUM(J106:L106)</f>
        <v>1</v>
      </c>
    </row>
    <row r="107" spans="1:15" ht="15">
      <c r="C107" s="155" t="s">
        <v>41</v>
      </c>
      <c r="D107" s="168">
        <f>SUMPRODUCT(D96:D105,F96:F105)</f>
        <v>0</v>
      </c>
      <c r="E107" s="168">
        <f>SUMPRODUCT(E96:E105,F96:F105)</f>
        <v>4.25</v>
      </c>
      <c r="F107" s="161"/>
      <c r="G107" s="161"/>
      <c r="H107" s="161"/>
      <c r="I107" s="416"/>
      <c r="J107" s="155" t="s">
        <v>238</v>
      </c>
      <c r="K107" s="155"/>
      <c r="L107" s="167">
        <f>J106</f>
        <v>0</v>
      </c>
    </row>
    <row r="108" spans="1:15">
      <c r="C108" s="169" t="s">
        <v>239</v>
      </c>
      <c r="D108" s="168"/>
      <c r="E108" s="170">
        <f>E107*E95+D107*D95</f>
        <v>4.25</v>
      </c>
      <c r="F108" s="161"/>
      <c r="G108" s="161"/>
      <c r="H108" s="161"/>
      <c r="I108" s="171"/>
      <c r="J108" s="155" t="s">
        <v>240</v>
      </c>
      <c r="L108" s="167">
        <f>K106</f>
        <v>0.95000000000000007</v>
      </c>
    </row>
    <row r="109" spans="1:15">
      <c r="J109" s="155" t="s">
        <v>227</v>
      </c>
      <c r="K109" s="155"/>
      <c r="L109" s="167">
        <f>L106</f>
        <v>0.05</v>
      </c>
    </row>
    <row r="110" spans="1:15" ht="13.5" customHeight="1"/>
    <row r="111" spans="1:15" ht="15.75">
      <c r="A111" s="475">
        <f>A12</f>
        <v>6</v>
      </c>
      <c r="C111" s="780" t="str">
        <f>C12</f>
        <v>Шале</v>
      </c>
    </row>
    <row r="112" spans="1:15" ht="24.6" customHeight="1">
      <c r="C112" s="1978"/>
      <c r="D112" s="1978" t="s">
        <v>221</v>
      </c>
      <c r="E112" s="1978" t="s">
        <v>222</v>
      </c>
      <c r="F112" s="1980" t="str">
        <f>E112</f>
        <v>Отдых и развлечения</v>
      </c>
      <c r="G112" s="1980"/>
      <c r="H112" s="1980"/>
      <c r="I112" s="416"/>
      <c r="J112" s="283" t="str">
        <f>D112</f>
        <v xml:space="preserve">MICE </v>
      </c>
      <c r="K112" s="1980" t="str">
        <f>E112</f>
        <v>Отдых и развлечения</v>
      </c>
      <c r="L112" s="1980"/>
      <c r="M112" s="136"/>
      <c r="N112" s="136">
        <v>3</v>
      </c>
      <c r="O112" s="781">
        <f>M112*D114+N112*E114</f>
        <v>3</v>
      </c>
    </row>
    <row r="113" spans="3:14" ht="38.25" outlineLevel="1">
      <c r="C113" s="1979"/>
      <c r="D113" s="1979"/>
      <c r="E113" s="1979"/>
      <c r="F113" s="283" t="s">
        <v>223</v>
      </c>
      <c r="G113" s="283" t="s">
        <v>224</v>
      </c>
      <c r="H113" s="283" t="s">
        <v>225</v>
      </c>
      <c r="I113" s="416"/>
      <c r="J113" s="283" t="s">
        <v>226</v>
      </c>
      <c r="K113" s="283" t="str">
        <f>J113</f>
        <v>Взрослые</v>
      </c>
      <c r="L113" s="283" t="s">
        <v>227</v>
      </c>
      <c r="M113" s="283" t="str">
        <f>D112</f>
        <v xml:space="preserve">MICE </v>
      </c>
      <c r="N113" s="283" t="str">
        <f>E112</f>
        <v>Отдых и развлечения</v>
      </c>
    </row>
    <row r="114" spans="3:14" ht="15" outlineLevel="1">
      <c r="C114" s="155" t="s">
        <v>228</v>
      </c>
      <c r="D114" s="156"/>
      <c r="E114" s="157">
        <f>100%-D114</f>
        <v>1</v>
      </c>
      <c r="F114" s="154"/>
      <c r="G114" s="154"/>
      <c r="H114" s="154"/>
      <c r="I114" s="416"/>
      <c r="J114" s="283"/>
      <c r="K114" s="283"/>
      <c r="L114" s="283"/>
      <c r="M114" s="283"/>
      <c r="N114" s="283"/>
    </row>
    <row r="115" spans="3:14" ht="15" outlineLevel="1">
      <c r="C115" s="158" t="s">
        <v>230</v>
      </c>
      <c r="D115" s="159"/>
      <c r="E115" s="159"/>
      <c r="F115" s="161">
        <v>1</v>
      </c>
      <c r="G115" s="162">
        <v>1</v>
      </c>
      <c r="H115" s="161">
        <f>IF(E115&lt;&gt;"",F115-G115,0)</f>
        <v>0</v>
      </c>
      <c r="I115" s="416"/>
      <c r="J115" s="163">
        <f>D115*D114</f>
        <v>0</v>
      </c>
      <c r="K115" s="163">
        <f>E115*E114*(G115/F115)</f>
        <v>0</v>
      </c>
      <c r="L115" s="163">
        <f>E115*E114*(H115/F115)</f>
        <v>0</v>
      </c>
    </row>
    <row r="116" spans="3:14" ht="15" outlineLevel="1">
      <c r="C116" s="158" t="s">
        <v>231</v>
      </c>
      <c r="D116" s="159"/>
      <c r="E116" s="159"/>
      <c r="F116" s="161">
        <v>2</v>
      </c>
      <c r="G116" s="162">
        <v>2</v>
      </c>
      <c r="H116" s="161">
        <f t="shared" ref="H116:H124" si="9">IF(E116&lt;&gt;"",F116-G116,0)</f>
        <v>0</v>
      </c>
      <c r="I116" s="416"/>
      <c r="J116" s="163">
        <f>D116*D114</f>
        <v>0</v>
      </c>
      <c r="K116" s="163">
        <f>E116*E114*(G116/F116)</f>
        <v>0</v>
      </c>
      <c r="L116" s="163">
        <f>E116*E114*(H116/F116)</f>
        <v>0</v>
      </c>
    </row>
    <row r="117" spans="3:14" ht="15" outlineLevel="1">
      <c r="C117" s="158" t="s">
        <v>231</v>
      </c>
      <c r="D117" s="159"/>
      <c r="E117" s="159"/>
      <c r="F117" s="161">
        <v>2</v>
      </c>
      <c r="G117" s="162">
        <v>1</v>
      </c>
      <c r="H117" s="161">
        <f t="shared" si="9"/>
        <v>0</v>
      </c>
      <c r="I117" s="416"/>
      <c r="J117" s="163">
        <f>D117*D114</f>
        <v>0</v>
      </c>
      <c r="K117" s="163">
        <f>E117*E114*(G117/F117)</f>
        <v>0</v>
      </c>
      <c r="L117" s="163">
        <f>E117*E114*(H117/F117)</f>
        <v>0</v>
      </c>
    </row>
    <row r="118" spans="3:14" ht="15" outlineLevel="1">
      <c r="C118" s="158" t="s">
        <v>232</v>
      </c>
      <c r="D118" s="159"/>
      <c r="E118" s="159">
        <v>0.125</v>
      </c>
      <c r="F118" s="161">
        <v>3</v>
      </c>
      <c r="G118" s="162">
        <v>2</v>
      </c>
      <c r="H118" s="161">
        <f t="shared" si="9"/>
        <v>1</v>
      </c>
      <c r="I118" s="416"/>
      <c r="J118" s="163">
        <f>D118*D114</f>
        <v>0</v>
      </c>
      <c r="K118" s="163">
        <f>E118*E114*(G118/F118)</f>
        <v>8.3333333333333329E-2</v>
      </c>
      <c r="L118" s="163">
        <f>E118*E114*(H118/F118)</f>
        <v>4.1666666666666664E-2</v>
      </c>
    </row>
    <row r="119" spans="3:14" ht="15" outlineLevel="1">
      <c r="C119" s="158" t="s">
        <v>232</v>
      </c>
      <c r="D119" s="159"/>
      <c r="E119" s="159">
        <v>0.125</v>
      </c>
      <c r="F119" s="161">
        <v>3</v>
      </c>
      <c r="G119" s="162">
        <v>1</v>
      </c>
      <c r="H119" s="161">
        <f t="shared" si="9"/>
        <v>2</v>
      </c>
      <c r="I119" s="416"/>
      <c r="J119" s="163">
        <f>D119*D114</f>
        <v>0</v>
      </c>
      <c r="K119" s="163">
        <f>E119*E114*(G119/F119)</f>
        <v>4.1666666666666664E-2</v>
      </c>
      <c r="L119" s="163">
        <f>E119*E114*(H119/F119)</f>
        <v>8.3333333333333329E-2</v>
      </c>
    </row>
    <row r="120" spans="3:14" ht="15" outlineLevel="1">
      <c r="C120" s="158" t="s">
        <v>233</v>
      </c>
      <c r="D120" s="159"/>
      <c r="E120" s="159">
        <v>0.15</v>
      </c>
      <c r="F120" s="161">
        <v>4</v>
      </c>
      <c r="G120" s="162">
        <v>2</v>
      </c>
      <c r="H120" s="161">
        <f t="shared" si="9"/>
        <v>2</v>
      </c>
      <c r="I120" s="416"/>
      <c r="J120" s="163">
        <f>D120*D114</f>
        <v>0</v>
      </c>
      <c r="K120" s="163">
        <f>E120*E114*(G120/F120)</f>
        <v>7.4999999999999997E-2</v>
      </c>
      <c r="L120" s="163">
        <f>E120*E114*(H120/F120)</f>
        <v>7.4999999999999997E-2</v>
      </c>
    </row>
    <row r="121" spans="3:14" ht="15" outlineLevel="1">
      <c r="C121" s="158" t="s">
        <v>234</v>
      </c>
      <c r="D121" s="159"/>
      <c r="E121" s="159">
        <v>0.15</v>
      </c>
      <c r="F121" s="161">
        <v>5</v>
      </c>
      <c r="G121" s="162">
        <v>2</v>
      </c>
      <c r="H121" s="161">
        <f t="shared" si="9"/>
        <v>3</v>
      </c>
      <c r="I121" s="416"/>
      <c r="J121" s="163">
        <f>D121*D114</f>
        <v>0</v>
      </c>
      <c r="K121" s="163">
        <f>E121*E114*(G121/F121)</f>
        <v>0.06</v>
      </c>
      <c r="L121" s="163">
        <f>E121*E114*(H121/F121)</f>
        <v>0.09</v>
      </c>
    </row>
    <row r="122" spans="3:14" ht="15" outlineLevel="1">
      <c r="C122" s="158" t="s">
        <v>235</v>
      </c>
      <c r="D122" s="159"/>
      <c r="E122" s="159">
        <v>0.15</v>
      </c>
      <c r="F122" s="161">
        <v>6</v>
      </c>
      <c r="G122" s="162">
        <v>3</v>
      </c>
      <c r="H122" s="161">
        <f t="shared" si="9"/>
        <v>3</v>
      </c>
      <c r="I122" s="416"/>
      <c r="J122" s="163">
        <f>D122*D114</f>
        <v>0</v>
      </c>
      <c r="K122" s="163">
        <f>E122*E114*(G122/F122)</f>
        <v>7.4999999999999997E-2</v>
      </c>
      <c r="L122" s="163">
        <f>E122*E114*(H122/F122)</f>
        <v>7.4999999999999997E-2</v>
      </c>
    </row>
    <row r="123" spans="3:14" ht="15" outlineLevel="1">
      <c r="C123" s="158" t="s">
        <v>235</v>
      </c>
      <c r="D123" s="159"/>
      <c r="E123" s="159">
        <v>0.15</v>
      </c>
      <c r="F123" s="161">
        <v>6</v>
      </c>
      <c r="G123" s="162">
        <v>4</v>
      </c>
      <c r="H123" s="161">
        <f t="shared" si="9"/>
        <v>2</v>
      </c>
      <c r="I123" s="416"/>
      <c r="J123" s="163">
        <f>D123*D114</f>
        <v>0</v>
      </c>
      <c r="K123" s="163">
        <f>E123*E114*(G123/F123)</f>
        <v>9.9999999999999992E-2</v>
      </c>
      <c r="L123" s="163">
        <f>E123*E114*(H123/F123)</f>
        <v>4.9999999999999996E-2</v>
      </c>
    </row>
    <row r="124" spans="3:14" ht="15" outlineLevel="1">
      <c r="C124" s="158" t="s">
        <v>235</v>
      </c>
      <c r="D124" s="164"/>
      <c r="E124" s="159">
        <v>0.15</v>
      </c>
      <c r="F124" s="161">
        <v>6</v>
      </c>
      <c r="G124" s="162">
        <v>6</v>
      </c>
      <c r="H124" s="161">
        <f t="shared" si="9"/>
        <v>0</v>
      </c>
      <c r="I124" s="416"/>
      <c r="J124" s="163">
        <f>D124*D114</f>
        <v>0</v>
      </c>
      <c r="K124" s="163">
        <f>E124*E114*(G124/F124)</f>
        <v>0.15</v>
      </c>
      <c r="L124" s="163">
        <f>E124*E114*(H124/F124)</f>
        <v>0</v>
      </c>
    </row>
    <row r="125" spans="3:14" ht="15" outlineLevel="1">
      <c r="C125" s="165" t="s">
        <v>0</v>
      </c>
      <c r="D125" s="166">
        <f>SUM(D115:D124)</f>
        <v>0</v>
      </c>
      <c r="E125" s="166">
        <f>SUM(E115:E124)</f>
        <v>1</v>
      </c>
      <c r="F125" s="161"/>
      <c r="G125" s="161"/>
      <c r="H125" s="161"/>
      <c r="I125" s="416"/>
      <c r="J125" s="167">
        <f>SUM(J115:J124)</f>
        <v>0</v>
      </c>
      <c r="K125" s="167">
        <f>SUM(K115:K124)</f>
        <v>0.58499999999999996</v>
      </c>
      <c r="L125" s="167">
        <f>SUM(L115:L124)</f>
        <v>0.41500000000000004</v>
      </c>
      <c r="M125" s="166">
        <f>SUM(J125:L125)</f>
        <v>1</v>
      </c>
    </row>
    <row r="126" spans="3:14" ht="15">
      <c r="C126" s="155" t="s">
        <v>41</v>
      </c>
      <c r="D126" s="168">
        <f>SUMPRODUCT(D115:D124,F115:F124)</f>
        <v>0</v>
      </c>
      <c r="E126" s="168">
        <f>SUMPRODUCT(E115:E124,F115:F124)</f>
        <v>4.8</v>
      </c>
      <c r="F126" s="161"/>
      <c r="G126" s="161"/>
      <c r="H126" s="161"/>
      <c r="I126" s="416"/>
      <c r="J126" s="155" t="s">
        <v>238</v>
      </c>
      <c r="K126" s="155"/>
      <c r="L126" s="167">
        <f>J125</f>
        <v>0</v>
      </c>
    </row>
    <row r="127" spans="3:14">
      <c r="C127" s="169" t="s">
        <v>239</v>
      </c>
      <c r="D127" s="168"/>
      <c r="E127" s="173">
        <f>E126*E114+D126*D114</f>
        <v>4.8</v>
      </c>
      <c r="F127" s="161"/>
      <c r="G127" s="161"/>
      <c r="H127" s="161"/>
      <c r="I127" s="171"/>
      <c r="J127" s="155" t="s">
        <v>240</v>
      </c>
      <c r="L127" s="167">
        <f>K125</f>
        <v>0.58499999999999996</v>
      </c>
    </row>
    <row r="128" spans="3:14">
      <c r="J128" s="155" t="s">
        <v>227</v>
      </c>
      <c r="K128" s="155"/>
      <c r="L128" s="167">
        <f>L125</f>
        <v>0.41500000000000004</v>
      </c>
    </row>
    <row r="131" spans="1:15" ht="15.75">
      <c r="A131" s="475">
        <f>A13</f>
        <v>7</v>
      </c>
      <c r="C131" s="780" t="str">
        <f>C13</f>
        <v>Туристские резиденции</v>
      </c>
    </row>
    <row r="132" spans="1:15" ht="15" outlineLevel="1">
      <c r="C132" s="1978"/>
      <c r="D132" s="1978" t="s">
        <v>221</v>
      </c>
      <c r="E132" s="1978" t="s">
        <v>222</v>
      </c>
      <c r="F132" s="1980" t="str">
        <f>E132</f>
        <v>Отдых и развлечения</v>
      </c>
      <c r="G132" s="1980"/>
      <c r="H132" s="1980"/>
      <c r="I132" s="416"/>
      <c r="J132" s="283" t="str">
        <f>D132</f>
        <v xml:space="preserve">MICE </v>
      </c>
      <c r="K132" s="1980" t="str">
        <f>E132</f>
        <v>Отдых и развлечения</v>
      </c>
      <c r="L132" s="1980"/>
      <c r="M132" s="136"/>
      <c r="N132" s="137">
        <v>3</v>
      </c>
      <c r="O132" s="1559">
        <f>M132*D134+N132*E134</f>
        <v>3</v>
      </c>
    </row>
    <row r="133" spans="1:15" ht="38.25" outlineLevel="1">
      <c r="C133" s="1979"/>
      <c r="D133" s="1979"/>
      <c r="E133" s="1979"/>
      <c r="F133" s="283" t="s">
        <v>223</v>
      </c>
      <c r="G133" s="283" t="s">
        <v>224</v>
      </c>
      <c r="H133" s="283" t="s">
        <v>225</v>
      </c>
      <c r="I133" s="416"/>
      <c r="J133" s="283" t="s">
        <v>226</v>
      </c>
      <c r="K133" s="283" t="str">
        <f>J133</f>
        <v>Взрослые</v>
      </c>
      <c r="L133" s="283" t="s">
        <v>227</v>
      </c>
      <c r="M133" s="283" t="str">
        <f>D132</f>
        <v xml:space="preserve">MICE </v>
      </c>
      <c r="N133" s="283" t="str">
        <f>E132</f>
        <v>Отдых и развлечения</v>
      </c>
    </row>
    <row r="134" spans="1:15" ht="15" outlineLevel="1">
      <c r="C134" s="155" t="s">
        <v>228</v>
      </c>
      <c r="D134" s="156"/>
      <c r="E134" s="157">
        <f>100%-D134</f>
        <v>1</v>
      </c>
      <c r="F134" s="154"/>
      <c r="G134" s="154"/>
      <c r="H134" s="154"/>
      <c r="I134" s="416"/>
      <c r="J134" s="283"/>
      <c r="K134" s="283"/>
      <c r="L134" s="283"/>
      <c r="M134" s="283"/>
      <c r="N134" s="283"/>
    </row>
    <row r="135" spans="1:15" ht="15" outlineLevel="1">
      <c r="C135" s="158" t="s">
        <v>230</v>
      </c>
      <c r="D135" s="159"/>
      <c r="E135" s="159">
        <v>0.05</v>
      </c>
      <c r="F135" s="161">
        <v>1</v>
      </c>
      <c r="G135" s="162">
        <v>1</v>
      </c>
      <c r="H135" s="161">
        <f>IF(E135&lt;&gt;"",F135-G135,0)</f>
        <v>0</v>
      </c>
      <c r="I135" s="416"/>
      <c r="J135" s="163">
        <f>D135*D134</f>
        <v>0</v>
      </c>
      <c r="K135" s="163">
        <f>E135*E134*(G135/F135)</f>
        <v>0.05</v>
      </c>
      <c r="L135" s="163">
        <f>E135*E134*(H135/F135)</f>
        <v>0</v>
      </c>
    </row>
    <row r="136" spans="1:15" ht="15" outlineLevel="1">
      <c r="C136" s="158" t="s">
        <v>231</v>
      </c>
      <c r="D136" s="159"/>
      <c r="E136" s="159">
        <v>0.45</v>
      </c>
      <c r="F136" s="161">
        <v>2</v>
      </c>
      <c r="G136" s="162">
        <v>2</v>
      </c>
      <c r="H136" s="161">
        <f t="shared" ref="H136:H144" si="10">IF(E136&lt;&gt;"",F136-G136,0)</f>
        <v>0</v>
      </c>
      <c r="I136" s="416"/>
      <c r="J136" s="163">
        <f>D136*D134</f>
        <v>0</v>
      </c>
      <c r="K136" s="163">
        <f>E136*E134*(G136/F136)</f>
        <v>0.45</v>
      </c>
      <c r="L136" s="163">
        <f>E136*E134*(H136/F136)</f>
        <v>0</v>
      </c>
    </row>
    <row r="137" spans="1:15" ht="15" outlineLevel="1">
      <c r="C137" s="158" t="s">
        <v>231</v>
      </c>
      <c r="D137" s="159"/>
      <c r="E137" s="159">
        <v>0.15</v>
      </c>
      <c r="F137" s="161">
        <v>2</v>
      </c>
      <c r="G137" s="162">
        <v>1</v>
      </c>
      <c r="H137" s="161">
        <f t="shared" si="10"/>
        <v>1</v>
      </c>
      <c r="I137" s="416"/>
      <c r="J137" s="163">
        <f>D137*D134</f>
        <v>0</v>
      </c>
      <c r="K137" s="163">
        <f>E137*E134*(G137/F137)</f>
        <v>7.4999999999999997E-2</v>
      </c>
      <c r="L137" s="163">
        <f>E137*E134*(H137/F137)</f>
        <v>7.4999999999999997E-2</v>
      </c>
    </row>
    <row r="138" spans="1:15" ht="15" outlineLevel="1">
      <c r="C138" s="158" t="s">
        <v>232</v>
      </c>
      <c r="D138" s="159"/>
      <c r="E138" s="159">
        <v>0.15</v>
      </c>
      <c r="F138" s="161">
        <v>3</v>
      </c>
      <c r="G138" s="162">
        <v>2</v>
      </c>
      <c r="H138" s="161">
        <f t="shared" si="10"/>
        <v>1</v>
      </c>
      <c r="I138" s="416"/>
      <c r="J138" s="163">
        <f>D138*D134</f>
        <v>0</v>
      </c>
      <c r="K138" s="163">
        <f>E138*E134*(G138/F138)</f>
        <v>9.9999999999999992E-2</v>
      </c>
      <c r="L138" s="163">
        <f>E138*E134*(H138/F138)</f>
        <v>4.9999999999999996E-2</v>
      </c>
    </row>
    <row r="139" spans="1:15" ht="15" outlineLevel="1">
      <c r="C139" s="158" t="s">
        <v>232</v>
      </c>
      <c r="D139" s="159"/>
      <c r="E139" s="159">
        <v>0.1</v>
      </c>
      <c r="F139" s="161">
        <v>3</v>
      </c>
      <c r="G139" s="162">
        <v>1</v>
      </c>
      <c r="H139" s="161">
        <f t="shared" si="10"/>
        <v>2</v>
      </c>
      <c r="I139" s="416"/>
      <c r="J139" s="163">
        <f>D139*D134</f>
        <v>0</v>
      </c>
      <c r="K139" s="163">
        <f>E139*E134*(G139/F139)</f>
        <v>3.3333333333333333E-2</v>
      </c>
      <c r="L139" s="163">
        <f>E139*E134*(H139/F139)</f>
        <v>6.6666666666666666E-2</v>
      </c>
    </row>
    <row r="140" spans="1:15" ht="15" outlineLevel="1">
      <c r="C140" s="158" t="s">
        <v>233</v>
      </c>
      <c r="D140" s="159"/>
      <c r="E140" s="159">
        <v>0.1</v>
      </c>
      <c r="F140" s="161">
        <v>4</v>
      </c>
      <c r="G140" s="162">
        <v>2</v>
      </c>
      <c r="H140" s="161">
        <f t="shared" si="10"/>
        <v>2</v>
      </c>
      <c r="I140" s="416"/>
      <c r="J140" s="163">
        <f>D140*D134</f>
        <v>0</v>
      </c>
      <c r="K140" s="163">
        <f>E140*E134*(G140/F140)</f>
        <v>0.05</v>
      </c>
      <c r="L140" s="163">
        <f>E140*E134*(H140/F140)</f>
        <v>0.05</v>
      </c>
    </row>
    <row r="141" spans="1:15" ht="15" outlineLevel="1">
      <c r="C141" s="158" t="s">
        <v>234</v>
      </c>
      <c r="D141" s="159"/>
      <c r="E141" s="159"/>
      <c r="F141" s="161">
        <v>5</v>
      </c>
      <c r="G141" s="162">
        <v>2</v>
      </c>
      <c r="H141" s="161">
        <f t="shared" si="10"/>
        <v>0</v>
      </c>
      <c r="I141" s="416"/>
      <c r="J141" s="163">
        <f>D141*D134</f>
        <v>0</v>
      </c>
      <c r="K141" s="163">
        <f>E141*E134*(G141/F141)</f>
        <v>0</v>
      </c>
      <c r="L141" s="163">
        <f>E141*E134*(H141/F141)</f>
        <v>0</v>
      </c>
    </row>
    <row r="142" spans="1:15" ht="15" outlineLevel="1">
      <c r="C142" s="158" t="s">
        <v>235</v>
      </c>
      <c r="D142" s="159"/>
      <c r="E142" s="159"/>
      <c r="F142" s="161">
        <v>6</v>
      </c>
      <c r="G142" s="162"/>
      <c r="H142" s="161">
        <f t="shared" si="10"/>
        <v>0</v>
      </c>
      <c r="I142" s="416"/>
      <c r="J142" s="163">
        <f>D142*D134</f>
        <v>0</v>
      </c>
      <c r="K142" s="163">
        <f>E142*E134*(G142/F142)</f>
        <v>0</v>
      </c>
      <c r="L142" s="163">
        <f>E142*E134*(H142/F142)</f>
        <v>0</v>
      </c>
    </row>
    <row r="143" spans="1:15" ht="15" outlineLevel="1">
      <c r="C143" s="158" t="s">
        <v>236</v>
      </c>
      <c r="D143" s="159"/>
      <c r="E143" s="159"/>
      <c r="F143" s="161">
        <v>7</v>
      </c>
      <c r="G143" s="162"/>
      <c r="H143" s="161">
        <f t="shared" si="10"/>
        <v>0</v>
      </c>
      <c r="I143" s="416"/>
      <c r="J143" s="163">
        <f>D143*D134</f>
        <v>0</v>
      </c>
      <c r="K143" s="163">
        <f>E143*E134*(G143/F143)</f>
        <v>0</v>
      </c>
      <c r="L143" s="163">
        <f>E143*E134*(H143/F143)</f>
        <v>0</v>
      </c>
    </row>
    <row r="144" spans="1:15" ht="15" outlineLevel="1">
      <c r="C144" s="158" t="s">
        <v>237</v>
      </c>
      <c r="D144" s="164"/>
      <c r="E144" s="164"/>
      <c r="F144" s="161">
        <v>8</v>
      </c>
      <c r="G144" s="162"/>
      <c r="H144" s="161">
        <f t="shared" si="10"/>
        <v>0</v>
      </c>
      <c r="I144" s="416"/>
      <c r="J144" s="163">
        <f>D144*D134</f>
        <v>0</v>
      </c>
      <c r="K144" s="163">
        <f>E144*E134*(G144/F144)</f>
        <v>0</v>
      </c>
      <c r="L144" s="163">
        <f>E144*E134*(H144/F144)</f>
        <v>0</v>
      </c>
    </row>
    <row r="145" spans="3:13" ht="15" outlineLevel="1">
      <c r="C145" s="165" t="s">
        <v>0</v>
      </c>
      <c r="D145" s="166">
        <f>SUM(D135:D144)</f>
        <v>0</v>
      </c>
      <c r="E145" s="166">
        <f>SUM(E135:E144)</f>
        <v>1</v>
      </c>
      <c r="F145" s="161"/>
      <c r="G145" s="161"/>
      <c r="H145" s="161"/>
      <c r="I145" s="416"/>
      <c r="J145" s="167">
        <f>SUM(J135:J144)</f>
        <v>0</v>
      </c>
      <c r="K145" s="167">
        <f>SUM(K135:K144)</f>
        <v>0.7583333333333333</v>
      </c>
      <c r="L145" s="167">
        <f>SUM(L135:L144)</f>
        <v>0.24166666666666664</v>
      </c>
      <c r="M145" s="166">
        <f>SUM(J145:L145)</f>
        <v>1</v>
      </c>
    </row>
    <row r="146" spans="3:13" ht="15" outlineLevel="1">
      <c r="C146" s="155" t="s">
        <v>41</v>
      </c>
      <c r="D146" s="168">
        <f>SUMPRODUCT(D135:D144,F135:F144)</f>
        <v>0</v>
      </c>
      <c r="E146" s="168">
        <f>SUMPRODUCT(E135:E144,F135:F144)</f>
        <v>2.4</v>
      </c>
      <c r="F146" s="161"/>
      <c r="G146" s="161"/>
      <c r="H146" s="161"/>
      <c r="I146" s="416"/>
      <c r="J146" s="155" t="s">
        <v>238</v>
      </c>
      <c r="K146" s="155"/>
      <c r="L146" s="167">
        <f>J145</f>
        <v>0</v>
      </c>
    </row>
    <row r="147" spans="3:13" outlineLevel="1">
      <c r="C147" s="169" t="s">
        <v>239</v>
      </c>
      <c r="D147" s="168"/>
      <c r="E147" s="170">
        <f>E146*E134+D146*D134</f>
        <v>2.4</v>
      </c>
      <c r="F147" s="161"/>
      <c r="G147" s="161"/>
      <c r="H147" s="161"/>
      <c r="I147" s="171"/>
      <c r="J147" s="155" t="s">
        <v>240</v>
      </c>
      <c r="L147" s="167">
        <f>K145</f>
        <v>0.7583333333333333</v>
      </c>
    </row>
    <row r="148" spans="3:13" outlineLevel="1">
      <c r="C148" s="169"/>
      <c r="D148" s="168"/>
      <c r="E148" s="170"/>
      <c r="F148" s="161"/>
      <c r="G148" s="161"/>
      <c r="H148" s="161"/>
      <c r="J148" s="155" t="s">
        <v>227</v>
      </c>
      <c r="K148" s="155"/>
      <c r="L148" s="167">
        <f>L145</f>
        <v>0.24166666666666664</v>
      </c>
    </row>
  </sheetData>
  <mergeCells count="48">
    <mergeCell ref="O4:O6"/>
    <mergeCell ref="H4:H6"/>
    <mergeCell ref="C4:C6"/>
    <mergeCell ref="D4:D6"/>
    <mergeCell ref="E4:E6"/>
    <mergeCell ref="F4:F6"/>
    <mergeCell ref="G4:G6"/>
    <mergeCell ref="I4:J4"/>
    <mergeCell ref="K4:K6"/>
    <mergeCell ref="L4:L6"/>
    <mergeCell ref="M4:N5"/>
    <mergeCell ref="I5:I6"/>
    <mergeCell ref="J5:J6"/>
    <mergeCell ref="C36:C37"/>
    <mergeCell ref="D36:D37"/>
    <mergeCell ref="E36:E37"/>
    <mergeCell ref="F36:H36"/>
    <mergeCell ref="K36:L36"/>
    <mergeCell ref="C17:C18"/>
    <mergeCell ref="D17:D18"/>
    <mergeCell ref="E17:E18"/>
    <mergeCell ref="F17:H17"/>
    <mergeCell ref="K17:L17"/>
    <mergeCell ref="C74:C75"/>
    <mergeCell ref="D74:D75"/>
    <mergeCell ref="E74:E75"/>
    <mergeCell ref="F74:H74"/>
    <mergeCell ref="K74:L74"/>
    <mergeCell ref="C55:C56"/>
    <mergeCell ref="D55:D56"/>
    <mergeCell ref="E55:E56"/>
    <mergeCell ref="F55:H55"/>
    <mergeCell ref="K55:L55"/>
    <mergeCell ref="C112:C113"/>
    <mergeCell ref="D112:D113"/>
    <mergeCell ref="E112:E113"/>
    <mergeCell ref="F112:H112"/>
    <mergeCell ref="K112:L112"/>
    <mergeCell ref="C93:C94"/>
    <mergeCell ref="D93:D94"/>
    <mergeCell ref="E93:E94"/>
    <mergeCell ref="F93:H93"/>
    <mergeCell ref="K93:L93"/>
    <mergeCell ref="C132:C133"/>
    <mergeCell ref="D132:D133"/>
    <mergeCell ref="E132:E133"/>
    <mergeCell ref="F132:H132"/>
    <mergeCell ref="K132:L132"/>
  </mergeCells>
  <conditionalFormatting sqref="D27:D29">
    <cfRule type="expression" dxfId="723" priority="174">
      <formula>$A$1=1</formula>
    </cfRule>
  </conditionalFormatting>
  <conditionalFormatting sqref="M30">
    <cfRule type="cellIs" dxfId="722" priority="173" operator="notEqual">
      <formula>1</formula>
    </cfRule>
  </conditionalFormatting>
  <conditionalFormatting sqref="D30:E30">
    <cfRule type="cellIs" dxfId="721" priority="172" operator="notEqual">
      <formula>1</formula>
    </cfRule>
  </conditionalFormatting>
  <conditionalFormatting sqref="E28:E29">
    <cfRule type="expression" dxfId="720" priority="171">
      <formula>$A$1=1</formula>
    </cfRule>
  </conditionalFormatting>
  <conditionalFormatting sqref="G28:G29">
    <cfRule type="expression" dxfId="719" priority="170">
      <formula>$A$1=1</formula>
    </cfRule>
  </conditionalFormatting>
  <conditionalFormatting sqref="F20:F26 H20:L26">
    <cfRule type="cellIs" dxfId="718" priority="169" operator="equal">
      <formula>0</formula>
    </cfRule>
  </conditionalFormatting>
  <conditionalFormatting sqref="D60">
    <cfRule type="expression" dxfId="717" priority="159">
      <formula>$A$1=1</formula>
    </cfRule>
  </conditionalFormatting>
  <conditionalFormatting sqref="M49">
    <cfRule type="cellIs" dxfId="716" priority="167" operator="notEqual">
      <formula>1</formula>
    </cfRule>
  </conditionalFormatting>
  <conditionalFormatting sqref="D49:E49">
    <cfRule type="cellIs" dxfId="715" priority="166" operator="notEqual">
      <formula>1</formula>
    </cfRule>
  </conditionalFormatting>
  <conditionalFormatting sqref="D41">
    <cfRule type="expression" dxfId="714" priority="139">
      <formula>$A$1=1</formula>
    </cfRule>
  </conditionalFormatting>
  <conditionalFormatting sqref="D42 D44:D45">
    <cfRule type="expression" dxfId="713" priority="141">
      <formula>$A$1=1</formula>
    </cfRule>
  </conditionalFormatting>
  <conditionalFormatting sqref="D81">
    <cfRule type="expression" dxfId="712" priority="148">
      <formula>$A$1=1</formula>
    </cfRule>
  </conditionalFormatting>
  <conditionalFormatting sqref="F39:F45 H39:L45">
    <cfRule type="cellIs" dxfId="711" priority="164" operator="equal">
      <formula>0</formula>
    </cfRule>
  </conditionalFormatting>
  <conditionalFormatting sqref="D61 D63:D67">
    <cfRule type="expression" dxfId="710" priority="163">
      <formula>$A$1=1</formula>
    </cfRule>
  </conditionalFormatting>
  <conditionalFormatting sqref="M68">
    <cfRule type="cellIs" dxfId="709" priority="162" operator="notEqual">
      <formula>1</formula>
    </cfRule>
  </conditionalFormatting>
  <conditionalFormatting sqref="D68:E68">
    <cfRule type="cellIs" dxfId="708" priority="161" operator="notEqual">
      <formula>1</formula>
    </cfRule>
  </conditionalFormatting>
  <conditionalFormatting sqref="E65:E67">
    <cfRule type="expression" dxfId="707" priority="160">
      <formula>$A$1=1</formula>
    </cfRule>
  </conditionalFormatting>
  <conditionalFormatting sqref="D62">
    <cfRule type="expression" dxfId="706" priority="158">
      <formula>$A$1=1</formula>
    </cfRule>
  </conditionalFormatting>
  <conditionalFormatting sqref="E84:E86">
    <cfRule type="expression" dxfId="705" priority="150">
      <formula>$A$1=1</formula>
    </cfRule>
  </conditionalFormatting>
  <conditionalFormatting sqref="D79">
    <cfRule type="expression" dxfId="704" priority="149">
      <formula>$A$1=1</formula>
    </cfRule>
  </conditionalFormatting>
  <conditionalFormatting sqref="D23 D25:D26">
    <cfRule type="expression" dxfId="703" priority="135">
      <formula>$A$1=1</formula>
    </cfRule>
  </conditionalFormatting>
  <conditionalFormatting sqref="F58:F64 H58:L64">
    <cfRule type="cellIs" dxfId="702" priority="154" operator="equal">
      <formula>0</formula>
    </cfRule>
  </conditionalFormatting>
  <conditionalFormatting sqref="D80 D82:D86">
    <cfRule type="expression" dxfId="701" priority="153">
      <formula>$A$1=1</formula>
    </cfRule>
  </conditionalFormatting>
  <conditionalFormatting sqref="M87">
    <cfRule type="cellIs" dxfId="700" priority="152" operator="notEqual">
      <formula>1</formula>
    </cfRule>
  </conditionalFormatting>
  <conditionalFormatting sqref="D87:E87">
    <cfRule type="cellIs" dxfId="699" priority="151" operator="notEqual">
      <formula>1</formula>
    </cfRule>
  </conditionalFormatting>
  <conditionalFormatting sqref="D103:D105">
    <cfRule type="expression" dxfId="698" priority="119">
      <formula>$A$1=1</formula>
    </cfRule>
  </conditionalFormatting>
  <conditionalFormatting sqref="G124">
    <cfRule type="expression" dxfId="697" priority="106">
      <formula>$A$1=1</formula>
    </cfRule>
  </conditionalFormatting>
  <conditionalFormatting sqref="E99:E105">
    <cfRule type="expression" dxfId="696" priority="118">
      <formula>$A$1=1</formula>
    </cfRule>
  </conditionalFormatting>
  <conditionalFormatting sqref="F77:F83 H77:L83">
    <cfRule type="cellIs" dxfId="695" priority="144" operator="equal">
      <formula>0</formula>
    </cfRule>
  </conditionalFormatting>
  <conditionalFormatting sqref="E46:E48">
    <cfRule type="expression" dxfId="694" priority="142">
      <formula>$A$1=1</formula>
    </cfRule>
  </conditionalFormatting>
  <conditionalFormatting sqref="D46:D48">
    <cfRule type="expression" dxfId="693" priority="143">
      <formula>$A$1=1</formula>
    </cfRule>
  </conditionalFormatting>
  <conditionalFormatting sqref="D22">
    <cfRule type="expression" dxfId="692" priority="133">
      <formula>$A$1=1</formula>
    </cfRule>
  </conditionalFormatting>
  <conditionalFormatting sqref="M93:N93">
    <cfRule type="expression" dxfId="691" priority="111">
      <formula>$A$1=1</formula>
    </cfRule>
  </conditionalFormatting>
  <conditionalFormatting sqref="D43">
    <cfRule type="expression" dxfId="690" priority="138">
      <formula>$A$1=1</formula>
    </cfRule>
  </conditionalFormatting>
  <conditionalFormatting sqref="D24">
    <cfRule type="expression" dxfId="689" priority="132">
      <formula>$A$1=1</formula>
    </cfRule>
  </conditionalFormatting>
  <conditionalFormatting sqref="D100">
    <cfRule type="expression" dxfId="688" priority="114">
      <formula>$A$1=1</formula>
    </cfRule>
  </conditionalFormatting>
  <conditionalFormatting sqref="D95">
    <cfRule type="expression" dxfId="687" priority="122">
      <formula>$A$1=1</formula>
    </cfRule>
  </conditionalFormatting>
  <conditionalFormatting sqref="D142:D144">
    <cfRule type="expression" dxfId="686" priority="86">
      <formula>$A$1=1</formula>
    </cfRule>
  </conditionalFormatting>
  <conditionalFormatting sqref="E135 E140:E141">
    <cfRule type="expression" dxfId="685" priority="83">
      <formula>$A$1=1</formula>
    </cfRule>
  </conditionalFormatting>
  <conditionalFormatting sqref="E139">
    <cfRule type="expression" dxfId="684" priority="79">
      <formula>$A$1=1</formula>
    </cfRule>
  </conditionalFormatting>
  <conditionalFormatting sqref="D96:D97 D99 D101:D102">
    <cfRule type="expression" dxfId="683" priority="117">
      <formula>$A$1=1</formula>
    </cfRule>
  </conditionalFormatting>
  <conditionalFormatting sqref="N132">
    <cfRule type="expression" dxfId="682" priority="78">
      <formula>$A$1=1</formula>
    </cfRule>
  </conditionalFormatting>
  <conditionalFormatting sqref="D98">
    <cfRule type="expression" dxfId="681" priority="115">
      <formula>$A$1=1</formula>
    </cfRule>
  </conditionalFormatting>
  <conditionalFormatting sqref="E136:E138">
    <cfRule type="expression" dxfId="680" priority="80">
      <formula>$A$1=1</formula>
    </cfRule>
  </conditionalFormatting>
  <conditionalFormatting sqref="D135:D136 D138 D140:D141">
    <cfRule type="expression" dxfId="679" priority="84">
      <formula>$A$1=1</formula>
    </cfRule>
  </conditionalFormatting>
  <conditionalFormatting sqref="M106">
    <cfRule type="cellIs" dxfId="678" priority="125" operator="notEqual">
      <formula>1</formula>
    </cfRule>
  </conditionalFormatting>
  <conditionalFormatting sqref="D106:E106">
    <cfRule type="cellIs" dxfId="677" priority="124" operator="notEqual">
      <formula>1</formula>
    </cfRule>
  </conditionalFormatting>
  <conditionalFormatting sqref="I96:L102">
    <cfRule type="cellIs" dxfId="676" priority="123" operator="equal">
      <formula>0</formula>
    </cfRule>
  </conditionalFormatting>
  <conditionalFormatting sqref="F96:F102 H96:H102">
    <cfRule type="cellIs" dxfId="675" priority="120" operator="equal">
      <formula>0</formula>
    </cfRule>
  </conditionalFormatting>
  <conditionalFormatting sqref="D139">
    <cfRule type="expression" dxfId="674" priority="81">
      <formula>$A$1=1</formula>
    </cfRule>
  </conditionalFormatting>
  <conditionalFormatting sqref="D39:D40">
    <cfRule type="expression" dxfId="673" priority="63">
      <formula>$A$1=1</formula>
    </cfRule>
  </conditionalFormatting>
  <conditionalFormatting sqref="M125">
    <cfRule type="cellIs" dxfId="672" priority="110" operator="notEqual">
      <formula>1</formula>
    </cfRule>
  </conditionalFormatting>
  <conditionalFormatting sqref="D125:E125">
    <cfRule type="cellIs" dxfId="671" priority="109" operator="notEqual">
      <formula>1</formula>
    </cfRule>
  </conditionalFormatting>
  <conditionalFormatting sqref="I115:L121">
    <cfRule type="cellIs" dxfId="670" priority="108" operator="equal">
      <formula>0</formula>
    </cfRule>
  </conditionalFormatting>
  <conditionalFormatting sqref="D137">
    <cfRule type="expression" dxfId="669" priority="82">
      <formula>$A$1=1</formula>
    </cfRule>
  </conditionalFormatting>
  <conditionalFormatting sqref="D134">
    <cfRule type="expression" dxfId="668" priority="89">
      <formula>$A$1=1</formula>
    </cfRule>
  </conditionalFormatting>
  <conditionalFormatting sqref="F115:F121 H115:H121">
    <cfRule type="cellIs" dxfId="667" priority="105" operator="equal">
      <formula>0</formula>
    </cfRule>
  </conditionalFormatting>
  <conditionalFormatting sqref="D20:D21">
    <cfRule type="expression" dxfId="666" priority="73">
      <formula>$A$1=1</formula>
    </cfRule>
  </conditionalFormatting>
  <conditionalFormatting sqref="D19">
    <cfRule type="expression" dxfId="665" priority="74">
      <formula>$A$1=1</formula>
    </cfRule>
  </conditionalFormatting>
  <conditionalFormatting sqref="E27">
    <cfRule type="expression" dxfId="664" priority="72">
      <formula>$A$1=1</formula>
    </cfRule>
  </conditionalFormatting>
  <conditionalFormatting sqref="H14">
    <cfRule type="cellIs" dxfId="663" priority="93" operator="equal">
      <formula>FALSE</formula>
    </cfRule>
    <cfRule type="cellIs" dxfId="662" priority="95" operator="equal">
      <formula>0</formula>
    </cfRule>
  </conditionalFormatting>
  <conditionalFormatting sqref="H14">
    <cfRule type="cellIs" dxfId="661" priority="94" operator="equal">
      <formula>0</formula>
    </cfRule>
  </conditionalFormatting>
  <conditionalFormatting sqref="M145">
    <cfRule type="cellIs" dxfId="660" priority="92" operator="notEqual">
      <formula>1</formula>
    </cfRule>
  </conditionalFormatting>
  <conditionalFormatting sqref="D145:E145">
    <cfRule type="cellIs" dxfId="659" priority="91" operator="notEqual">
      <formula>1</formula>
    </cfRule>
  </conditionalFormatting>
  <conditionalFormatting sqref="I135:L141">
    <cfRule type="cellIs" dxfId="658" priority="90" operator="equal">
      <formula>0</formula>
    </cfRule>
  </conditionalFormatting>
  <conditionalFormatting sqref="F135:F141 H135:H141">
    <cfRule type="cellIs" dxfId="657" priority="87" operator="equal">
      <formula>0</formula>
    </cfRule>
  </conditionalFormatting>
  <conditionalFormatting sqref="E142:E144">
    <cfRule type="expression" dxfId="656" priority="85">
      <formula>$A$1=1</formula>
    </cfRule>
  </conditionalFormatting>
  <conditionalFormatting sqref="A14">
    <cfRule type="cellIs" dxfId="655" priority="75" operator="equal">
      <formula>FALSE</formula>
    </cfRule>
    <cfRule type="cellIs" dxfId="654" priority="77" operator="equal">
      <formula>0</formula>
    </cfRule>
  </conditionalFormatting>
  <conditionalFormatting sqref="A14">
    <cfRule type="cellIs" dxfId="653" priority="76" operator="equal">
      <formula>0</formula>
    </cfRule>
  </conditionalFormatting>
  <conditionalFormatting sqref="E41">
    <cfRule type="expression" dxfId="652" priority="60">
      <formula>$A$1=1</formula>
    </cfRule>
  </conditionalFormatting>
  <conditionalFormatting sqref="G44:G48">
    <cfRule type="expression" dxfId="651" priority="59">
      <formula>$A$1=1</formula>
    </cfRule>
  </conditionalFormatting>
  <conditionalFormatting sqref="E20:E21 E23 E25:E26">
    <cfRule type="expression" dxfId="650" priority="71">
      <formula>$A$1=1</formula>
    </cfRule>
  </conditionalFormatting>
  <conditionalFormatting sqref="E22">
    <cfRule type="expression" dxfId="649" priority="69">
      <formula>$A$1=1</formula>
    </cfRule>
  </conditionalFormatting>
  <conditionalFormatting sqref="E24">
    <cfRule type="expression" dxfId="648" priority="70">
      <formula>$A$1=1</formula>
    </cfRule>
  </conditionalFormatting>
  <conditionalFormatting sqref="G20:G22">
    <cfRule type="expression" dxfId="647" priority="66">
      <formula>$A$1=1</formula>
    </cfRule>
  </conditionalFormatting>
  <conditionalFormatting sqref="G25:G27">
    <cfRule type="expression" dxfId="646" priority="68">
      <formula>$A$1=1</formula>
    </cfRule>
  </conditionalFormatting>
  <conditionalFormatting sqref="G23:G24">
    <cfRule type="expression" dxfId="645" priority="67">
      <formula>$A$1=1</formula>
    </cfRule>
  </conditionalFormatting>
  <conditionalFormatting sqref="G63:G64">
    <cfRule type="expression" dxfId="644" priority="49">
      <formula>$A$1=1</formula>
    </cfRule>
  </conditionalFormatting>
  <conditionalFormatting sqref="E39:E40 E42 E44:E45">
    <cfRule type="expression" dxfId="643" priority="62">
      <formula>$A$1=1</formula>
    </cfRule>
  </conditionalFormatting>
  <conditionalFormatting sqref="E43">
    <cfRule type="expression" dxfId="642" priority="61">
      <formula>$A$1=1</formula>
    </cfRule>
  </conditionalFormatting>
  <conditionalFormatting sqref="M74:N74">
    <cfRule type="expression" dxfId="641" priority="39">
      <formula>$A$1=1</formula>
    </cfRule>
  </conditionalFormatting>
  <conditionalFormatting sqref="G42:G43">
    <cfRule type="expression" dxfId="640" priority="58">
      <formula>$A$1=1</formula>
    </cfRule>
  </conditionalFormatting>
  <conditionalFormatting sqref="G39:G41">
    <cfRule type="expression" dxfId="639" priority="57">
      <formula>$A$1=1</formula>
    </cfRule>
  </conditionalFormatting>
  <conditionalFormatting sqref="G58:G60">
    <cfRule type="expression" dxfId="638" priority="47">
      <formula>$A$1=1</formula>
    </cfRule>
  </conditionalFormatting>
  <conditionalFormatting sqref="D77:D78">
    <cfRule type="expression" dxfId="637" priority="44">
      <formula>$A$1=1</formula>
    </cfRule>
  </conditionalFormatting>
  <conditionalFormatting sqref="D58:D59">
    <cfRule type="expression" dxfId="636" priority="54">
      <formula>$A$1=1</formula>
    </cfRule>
  </conditionalFormatting>
  <conditionalFormatting sqref="E58:E59 E61 E63:E64">
    <cfRule type="expression" dxfId="635" priority="53">
      <formula>$A$1=1</formula>
    </cfRule>
  </conditionalFormatting>
  <conditionalFormatting sqref="E60">
    <cfRule type="expression" dxfId="634" priority="51">
      <formula>$A$1=1</formula>
    </cfRule>
  </conditionalFormatting>
  <conditionalFormatting sqref="E62">
    <cfRule type="expression" dxfId="633" priority="52">
      <formula>$A$1=1</formula>
    </cfRule>
  </conditionalFormatting>
  <conditionalFormatting sqref="G65:G68">
    <cfRule type="expression" dxfId="632" priority="50">
      <formula>$A$1=1</formula>
    </cfRule>
  </conditionalFormatting>
  <conditionalFormatting sqref="G61:G62">
    <cfRule type="expression" dxfId="631" priority="48">
      <formula>$A$1=1</formula>
    </cfRule>
  </conditionalFormatting>
  <conditionalFormatting sqref="D76">
    <cfRule type="expression" dxfId="630" priority="43">
      <formula>$A$1=1</formula>
    </cfRule>
  </conditionalFormatting>
  <conditionalFormatting sqref="M17:N17">
    <cfRule type="expression" dxfId="629" priority="41">
      <formula>$A$1=1</formula>
    </cfRule>
  </conditionalFormatting>
  <conditionalFormatting sqref="D38">
    <cfRule type="expression" dxfId="628" priority="46">
      <formula>$A$1=1</formula>
    </cfRule>
  </conditionalFormatting>
  <conditionalFormatting sqref="D57">
    <cfRule type="expression" dxfId="627" priority="45">
      <formula>$A$1=1</formula>
    </cfRule>
  </conditionalFormatting>
  <conditionalFormatting sqref="E77:E78 E80 E82:E83">
    <cfRule type="expression" dxfId="626" priority="38">
      <formula>$A$1=1</formula>
    </cfRule>
  </conditionalFormatting>
  <conditionalFormatting sqref="G80:G81">
    <cfRule type="expression" dxfId="625" priority="33">
      <formula>$A$1=1</formula>
    </cfRule>
  </conditionalFormatting>
  <conditionalFormatting sqref="M55:N55">
    <cfRule type="expression" dxfId="624" priority="42">
      <formula>$A$1=1</formula>
    </cfRule>
  </conditionalFormatting>
  <conditionalFormatting sqref="E96 E101:E102">
    <cfRule type="expression" dxfId="623" priority="31">
      <formula>$A$1=1</formula>
    </cfRule>
  </conditionalFormatting>
  <conditionalFormatting sqref="M36:N36">
    <cfRule type="expression" dxfId="622" priority="40">
      <formula>$A$1=1</formula>
    </cfRule>
  </conditionalFormatting>
  <conditionalFormatting sqref="G103:G106">
    <cfRule type="expression" dxfId="621" priority="25">
      <formula>$A$1=1</formula>
    </cfRule>
  </conditionalFormatting>
  <conditionalFormatting sqref="E79">
    <cfRule type="expression" dxfId="620" priority="36">
      <formula>$A$1=1</formula>
    </cfRule>
  </conditionalFormatting>
  <conditionalFormatting sqref="E81">
    <cfRule type="expression" dxfId="619" priority="37">
      <formula>$A$1=1</formula>
    </cfRule>
  </conditionalFormatting>
  <conditionalFormatting sqref="G84:G87">
    <cfRule type="expression" dxfId="618" priority="35">
      <formula>$A$1=1</formula>
    </cfRule>
  </conditionalFormatting>
  <conditionalFormatting sqref="D117">
    <cfRule type="expression" dxfId="617" priority="19">
      <formula>$A$1=1</formula>
    </cfRule>
  </conditionalFormatting>
  <conditionalFormatting sqref="G82:G83">
    <cfRule type="expression" dxfId="616" priority="34">
      <formula>$A$1=1</formula>
    </cfRule>
  </conditionalFormatting>
  <conditionalFormatting sqref="G77:G79">
    <cfRule type="expression" dxfId="615" priority="32">
      <formula>$A$1=1</formula>
    </cfRule>
  </conditionalFormatting>
  <conditionalFormatting sqref="E100">
    <cfRule type="expression" dxfId="614" priority="29">
      <formula>$A$1=1</formula>
    </cfRule>
  </conditionalFormatting>
  <conditionalFormatting sqref="E116:E124">
    <cfRule type="expression" dxfId="613" priority="17">
      <formula>$A$1=1</formula>
    </cfRule>
  </conditionalFormatting>
  <conditionalFormatting sqref="E97:E99">
    <cfRule type="expression" dxfId="612" priority="30">
      <formula>$A$1=1</formula>
    </cfRule>
  </conditionalFormatting>
  <conditionalFormatting sqref="E119">
    <cfRule type="expression" dxfId="611" priority="16">
      <formula>$A$1=1</formula>
    </cfRule>
  </conditionalFormatting>
  <conditionalFormatting sqref="D119">
    <cfRule type="expression" dxfId="610" priority="18">
      <formula>$A$1=1</formula>
    </cfRule>
  </conditionalFormatting>
  <conditionalFormatting sqref="G101:G102">
    <cfRule type="expression" dxfId="609" priority="24">
      <formula>$A$1=1</formula>
    </cfRule>
  </conditionalFormatting>
  <conditionalFormatting sqref="G99:G100">
    <cfRule type="expression" dxfId="608" priority="23">
      <formula>$A$1=1</formula>
    </cfRule>
  </conditionalFormatting>
  <conditionalFormatting sqref="G96:G98">
    <cfRule type="expression" dxfId="607" priority="22">
      <formula>$A$1=1</formula>
    </cfRule>
  </conditionalFormatting>
  <conditionalFormatting sqref="G135:G137">
    <cfRule type="expression" dxfId="606" priority="2">
      <formula>$A$1=1</formula>
    </cfRule>
  </conditionalFormatting>
  <conditionalFormatting sqref="D114:D116 D118 D120:D124">
    <cfRule type="expression" dxfId="605" priority="21">
      <formula>$A$1=1</formula>
    </cfRule>
  </conditionalFormatting>
  <conditionalFormatting sqref="E115 E120:E124">
    <cfRule type="expression" dxfId="604" priority="20">
      <formula>$A$1=1</formula>
    </cfRule>
  </conditionalFormatting>
  <conditionalFormatting sqref="G140:G141">
    <cfRule type="expression" dxfId="603" priority="4">
      <formula>$A$1=1</formula>
    </cfRule>
  </conditionalFormatting>
  <conditionalFormatting sqref="G138:G139">
    <cfRule type="expression" dxfId="602" priority="3">
      <formula>$A$1=1</formula>
    </cfRule>
  </conditionalFormatting>
  <conditionalFormatting sqref="G142:G144">
    <cfRule type="expression" dxfId="601" priority="5">
      <formula>$A$1=1</formula>
    </cfRule>
  </conditionalFormatting>
  <conditionalFormatting sqref="M132">
    <cfRule type="expression" dxfId="600" priority="1">
      <formula>$A$1=1</formula>
    </cfRule>
  </conditionalFormatting>
  <conditionalFormatting sqref="G122:G123">
    <cfRule type="expression" dxfId="599" priority="11">
      <formula>$A$1=1</formula>
    </cfRule>
  </conditionalFormatting>
  <conditionalFormatting sqref="G118:G119">
    <cfRule type="expression" dxfId="598" priority="9">
      <formula>$A$1=1</formula>
    </cfRule>
  </conditionalFormatting>
  <conditionalFormatting sqref="G120:G121">
    <cfRule type="expression" dxfId="597" priority="10">
      <formula>$A$1=1</formula>
    </cfRule>
  </conditionalFormatting>
  <conditionalFormatting sqref="G115:G117">
    <cfRule type="expression" dxfId="596" priority="8">
      <formula>$A$1=1</formula>
    </cfRule>
  </conditionalFormatting>
  <conditionalFormatting sqref="E118">
    <cfRule type="expression" dxfId="595" priority="7">
      <formula>$A$1=1</formula>
    </cfRule>
  </conditionalFormatting>
  <conditionalFormatting sqref="M112:N112">
    <cfRule type="expression" dxfId="594" priority="6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577"/>
  <sheetViews>
    <sheetView showGridLines="0" zoomScale="85" zoomScaleNormal="85" zoomScalePageLayoutView="70" workbookViewId="0">
      <pane xSplit="1" ySplit="2" topLeftCell="B559" activePane="bottomRight" state="frozen"/>
      <selection activeCell="L8" sqref="L8"/>
      <selection pane="topRight" activeCell="L8" sqref="L8"/>
      <selection pane="bottomLeft" activeCell="L8" sqref="L8"/>
      <selection pane="bottomRight" activeCell="G584" sqref="G584"/>
    </sheetView>
  </sheetViews>
  <sheetFormatPr defaultColWidth="9" defaultRowHeight="12.75" outlineLevelRow="2" outlineLevelCol="1"/>
  <cols>
    <col min="1" max="1" width="41.5703125" style="843" customWidth="1"/>
    <col min="2" max="8" width="13.28515625" style="843" customWidth="1"/>
    <col min="9" max="9" width="13.28515625" style="920" customWidth="1"/>
    <col min="10" max="10" width="13.85546875" style="843" customWidth="1" outlineLevel="1"/>
    <col min="11" max="11" width="13.85546875" style="843" customWidth="1" outlineLevel="1" collapsed="1"/>
    <col min="12" max="16" width="13.85546875" style="843" customWidth="1" outlineLevel="1"/>
    <col min="17" max="17" width="13.85546875" style="843" customWidth="1"/>
    <col min="18" max="18" width="15.7109375" style="843" customWidth="1"/>
    <col min="19" max="19" width="14.28515625" style="843" customWidth="1"/>
    <col min="20" max="21" width="13.42578125" style="843" customWidth="1"/>
    <col min="22" max="22" width="12.5703125" style="843" customWidth="1"/>
    <col min="23" max="32" width="13.42578125" style="843" customWidth="1"/>
    <col min="33" max="40" width="13.28515625" style="843" customWidth="1"/>
    <col min="41" max="41" width="15.42578125" style="843" customWidth="1"/>
    <col min="42" max="42" width="13.28515625" style="843" customWidth="1"/>
    <col min="43" max="43" width="18.5703125" style="843" customWidth="1"/>
    <col min="44" max="250" width="9" style="843"/>
    <col min="251" max="251" width="31.28515625" style="843" customWidth="1"/>
    <col min="252" max="252" width="9.28515625" style="843" customWidth="1"/>
    <col min="253" max="253" width="12.140625" style="843" customWidth="1"/>
    <col min="254" max="257" width="9.85546875" style="843" bestFit="1" customWidth="1"/>
    <col min="258" max="258" width="16" style="843" customWidth="1"/>
    <col min="259" max="259" width="10.7109375" style="843" bestFit="1" customWidth="1"/>
    <col min="260" max="260" width="11.42578125" style="843" customWidth="1"/>
    <col min="261" max="261" width="10.7109375" style="843" bestFit="1" customWidth="1"/>
    <col min="262" max="264" width="10.42578125" style="843" customWidth="1"/>
    <col min="265" max="265" width="11.85546875" style="843" customWidth="1"/>
    <col min="266" max="266" width="10.7109375" style="843" customWidth="1"/>
    <col min="267" max="267" width="11.42578125" style="843" customWidth="1"/>
    <col min="268" max="269" width="11.28515625" style="843" customWidth="1"/>
    <col min="270" max="270" width="9.85546875" style="843" customWidth="1"/>
    <col min="271" max="272" width="10.7109375" style="843" bestFit="1" customWidth="1"/>
    <col min="273" max="273" width="14.140625" style="843" customWidth="1"/>
    <col min="274" max="274" width="15.7109375" style="843" customWidth="1"/>
    <col min="275" max="506" width="9" style="843"/>
    <col min="507" max="507" width="31.28515625" style="843" customWidth="1"/>
    <col min="508" max="508" width="9.28515625" style="843" customWidth="1"/>
    <col min="509" max="509" width="12.140625" style="843" customWidth="1"/>
    <col min="510" max="513" width="9.85546875" style="843" bestFit="1" customWidth="1"/>
    <col min="514" max="514" width="16" style="843" customWidth="1"/>
    <col min="515" max="515" width="10.7109375" style="843" bestFit="1" customWidth="1"/>
    <col min="516" max="516" width="11.42578125" style="843" customWidth="1"/>
    <col min="517" max="517" width="10.7109375" style="843" bestFit="1" customWidth="1"/>
    <col min="518" max="520" width="10.42578125" style="843" customWidth="1"/>
    <col min="521" max="521" width="11.85546875" style="843" customWidth="1"/>
    <col min="522" max="522" width="10.7109375" style="843" customWidth="1"/>
    <col min="523" max="523" width="11.42578125" style="843" customWidth="1"/>
    <col min="524" max="525" width="11.28515625" style="843" customWidth="1"/>
    <col min="526" max="526" width="9.85546875" style="843" customWidth="1"/>
    <col min="527" max="528" width="10.7109375" style="843" bestFit="1" customWidth="1"/>
    <col min="529" max="529" width="14.140625" style="843" customWidth="1"/>
    <col min="530" max="530" width="15.7109375" style="843" customWidth="1"/>
    <col min="531" max="762" width="9" style="843"/>
    <col min="763" max="763" width="31.28515625" style="843" customWidth="1"/>
    <col min="764" max="764" width="9.28515625" style="843" customWidth="1"/>
    <col min="765" max="765" width="12.140625" style="843" customWidth="1"/>
    <col min="766" max="769" width="9.85546875" style="843" bestFit="1" customWidth="1"/>
    <col min="770" max="770" width="16" style="843" customWidth="1"/>
    <col min="771" max="771" width="10.7109375" style="843" bestFit="1" customWidth="1"/>
    <col min="772" max="772" width="11.42578125" style="843" customWidth="1"/>
    <col min="773" max="773" width="10.7109375" style="843" bestFit="1" customWidth="1"/>
    <col min="774" max="776" width="10.42578125" style="843" customWidth="1"/>
    <col min="777" max="777" width="11.85546875" style="843" customWidth="1"/>
    <col min="778" max="778" width="10.7109375" style="843" customWidth="1"/>
    <col min="779" max="779" width="11.42578125" style="843" customWidth="1"/>
    <col min="780" max="781" width="11.28515625" style="843" customWidth="1"/>
    <col min="782" max="782" width="9.85546875" style="843" customWidth="1"/>
    <col min="783" max="784" width="10.7109375" style="843" bestFit="1" customWidth="1"/>
    <col min="785" max="785" width="14.140625" style="843" customWidth="1"/>
    <col min="786" max="786" width="15.7109375" style="843" customWidth="1"/>
    <col min="787" max="1018" width="9" style="843"/>
    <col min="1019" max="1019" width="31.28515625" style="843" customWidth="1"/>
    <col min="1020" max="1020" width="9.28515625" style="843" customWidth="1"/>
    <col min="1021" max="1021" width="12.140625" style="843" customWidth="1"/>
    <col min="1022" max="1025" width="9.85546875" style="843" bestFit="1" customWidth="1"/>
    <col min="1026" max="1026" width="16" style="843" customWidth="1"/>
    <col min="1027" max="1027" width="10.7109375" style="843" bestFit="1" customWidth="1"/>
    <col min="1028" max="1028" width="11.42578125" style="843" customWidth="1"/>
    <col min="1029" max="1029" width="10.7109375" style="843" bestFit="1" customWidth="1"/>
    <col min="1030" max="1032" width="10.42578125" style="843" customWidth="1"/>
    <col min="1033" max="1033" width="11.85546875" style="843" customWidth="1"/>
    <col min="1034" max="1034" width="10.7109375" style="843" customWidth="1"/>
    <col min="1035" max="1035" width="11.42578125" style="843" customWidth="1"/>
    <col min="1036" max="1037" width="11.28515625" style="843" customWidth="1"/>
    <col min="1038" max="1038" width="9.85546875" style="843" customWidth="1"/>
    <col min="1039" max="1040" width="10.7109375" style="843" bestFit="1" customWidth="1"/>
    <col min="1041" max="1041" width="14.140625" style="843" customWidth="1"/>
    <col min="1042" max="1042" width="15.7109375" style="843" customWidth="1"/>
    <col min="1043" max="1274" width="9" style="843"/>
    <col min="1275" max="1275" width="31.28515625" style="843" customWidth="1"/>
    <col min="1276" max="1276" width="9.28515625" style="843" customWidth="1"/>
    <col min="1277" max="1277" width="12.140625" style="843" customWidth="1"/>
    <col min="1278" max="1281" width="9.85546875" style="843" bestFit="1" customWidth="1"/>
    <col min="1282" max="1282" width="16" style="843" customWidth="1"/>
    <col min="1283" max="1283" width="10.7109375" style="843" bestFit="1" customWidth="1"/>
    <col min="1284" max="1284" width="11.42578125" style="843" customWidth="1"/>
    <col min="1285" max="1285" width="10.7109375" style="843" bestFit="1" customWidth="1"/>
    <col min="1286" max="1288" width="10.42578125" style="843" customWidth="1"/>
    <col min="1289" max="1289" width="11.85546875" style="843" customWidth="1"/>
    <col min="1290" max="1290" width="10.7109375" style="843" customWidth="1"/>
    <col min="1291" max="1291" width="11.42578125" style="843" customWidth="1"/>
    <col min="1292" max="1293" width="11.28515625" style="843" customWidth="1"/>
    <col min="1294" max="1294" width="9.85546875" style="843" customWidth="1"/>
    <col min="1295" max="1296" width="10.7109375" style="843" bestFit="1" customWidth="1"/>
    <col min="1297" max="1297" width="14.140625" style="843" customWidth="1"/>
    <col min="1298" max="1298" width="15.7109375" style="843" customWidth="1"/>
    <col min="1299" max="1530" width="9" style="843"/>
    <col min="1531" max="1531" width="31.28515625" style="843" customWidth="1"/>
    <col min="1532" max="1532" width="9.28515625" style="843" customWidth="1"/>
    <col min="1533" max="1533" width="12.140625" style="843" customWidth="1"/>
    <col min="1534" max="1537" width="9.85546875" style="843" bestFit="1" customWidth="1"/>
    <col min="1538" max="1538" width="16" style="843" customWidth="1"/>
    <col min="1539" max="1539" width="10.7109375" style="843" bestFit="1" customWidth="1"/>
    <col min="1540" max="1540" width="11.42578125" style="843" customWidth="1"/>
    <col min="1541" max="1541" width="10.7109375" style="843" bestFit="1" customWidth="1"/>
    <col min="1542" max="1544" width="10.42578125" style="843" customWidth="1"/>
    <col min="1545" max="1545" width="11.85546875" style="843" customWidth="1"/>
    <col min="1546" max="1546" width="10.7109375" style="843" customWidth="1"/>
    <col min="1547" max="1547" width="11.42578125" style="843" customWidth="1"/>
    <col min="1548" max="1549" width="11.28515625" style="843" customWidth="1"/>
    <col min="1550" max="1550" width="9.85546875" style="843" customWidth="1"/>
    <col min="1551" max="1552" width="10.7109375" style="843" bestFit="1" customWidth="1"/>
    <col min="1553" max="1553" width="14.140625" style="843" customWidth="1"/>
    <col min="1554" max="1554" width="15.7109375" style="843" customWidth="1"/>
    <col min="1555" max="1786" width="9" style="843"/>
    <col min="1787" max="1787" width="31.28515625" style="843" customWidth="1"/>
    <col min="1788" max="1788" width="9.28515625" style="843" customWidth="1"/>
    <col min="1789" max="1789" width="12.140625" style="843" customWidth="1"/>
    <col min="1790" max="1793" width="9.85546875" style="843" bestFit="1" customWidth="1"/>
    <col min="1794" max="1794" width="16" style="843" customWidth="1"/>
    <col min="1795" max="1795" width="10.7109375" style="843" bestFit="1" customWidth="1"/>
    <col min="1796" max="1796" width="11.42578125" style="843" customWidth="1"/>
    <col min="1797" max="1797" width="10.7109375" style="843" bestFit="1" customWidth="1"/>
    <col min="1798" max="1800" width="10.42578125" style="843" customWidth="1"/>
    <col min="1801" max="1801" width="11.85546875" style="843" customWidth="1"/>
    <col min="1802" max="1802" width="10.7109375" style="843" customWidth="1"/>
    <col min="1803" max="1803" width="11.42578125" style="843" customWidth="1"/>
    <col min="1804" max="1805" width="11.28515625" style="843" customWidth="1"/>
    <col min="1806" max="1806" width="9.85546875" style="843" customWidth="1"/>
    <col min="1807" max="1808" width="10.7109375" style="843" bestFit="1" customWidth="1"/>
    <col min="1809" max="1809" width="14.140625" style="843" customWidth="1"/>
    <col min="1810" max="1810" width="15.7109375" style="843" customWidth="1"/>
    <col min="1811" max="2042" width="9" style="843"/>
    <col min="2043" max="2043" width="31.28515625" style="843" customWidth="1"/>
    <col min="2044" max="2044" width="9.28515625" style="843" customWidth="1"/>
    <col min="2045" max="2045" width="12.140625" style="843" customWidth="1"/>
    <col min="2046" max="2049" width="9.85546875" style="843" bestFit="1" customWidth="1"/>
    <col min="2050" max="2050" width="16" style="843" customWidth="1"/>
    <col min="2051" max="2051" width="10.7109375" style="843" bestFit="1" customWidth="1"/>
    <col min="2052" max="2052" width="11.42578125" style="843" customWidth="1"/>
    <col min="2053" max="2053" width="10.7109375" style="843" bestFit="1" customWidth="1"/>
    <col min="2054" max="2056" width="10.42578125" style="843" customWidth="1"/>
    <col min="2057" max="2057" width="11.85546875" style="843" customWidth="1"/>
    <col min="2058" max="2058" width="10.7109375" style="843" customWidth="1"/>
    <col min="2059" max="2059" width="11.42578125" style="843" customWidth="1"/>
    <col min="2060" max="2061" width="11.28515625" style="843" customWidth="1"/>
    <col min="2062" max="2062" width="9.85546875" style="843" customWidth="1"/>
    <col min="2063" max="2064" width="10.7109375" style="843" bestFit="1" customWidth="1"/>
    <col min="2065" max="2065" width="14.140625" style="843" customWidth="1"/>
    <col min="2066" max="2066" width="15.7109375" style="843" customWidth="1"/>
    <col min="2067" max="2298" width="9" style="843"/>
    <col min="2299" max="2299" width="31.28515625" style="843" customWidth="1"/>
    <col min="2300" max="2300" width="9.28515625" style="843" customWidth="1"/>
    <col min="2301" max="2301" width="12.140625" style="843" customWidth="1"/>
    <col min="2302" max="2305" width="9.85546875" style="843" bestFit="1" customWidth="1"/>
    <col min="2306" max="2306" width="16" style="843" customWidth="1"/>
    <col min="2307" max="2307" width="10.7109375" style="843" bestFit="1" customWidth="1"/>
    <col min="2308" max="2308" width="11.42578125" style="843" customWidth="1"/>
    <col min="2309" max="2309" width="10.7109375" style="843" bestFit="1" customWidth="1"/>
    <col min="2310" max="2312" width="10.42578125" style="843" customWidth="1"/>
    <col min="2313" max="2313" width="11.85546875" style="843" customWidth="1"/>
    <col min="2314" max="2314" width="10.7109375" style="843" customWidth="1"/>
    <col min="2315" max="2315" width="11.42578125" style="843" customWidth="1"/>
    <col min="2316" max="2317" width="11.28515625" style="843" customWidth="1"/>
    <col min="2318" max="2318" width="9.85546875" style="843" customWidth="1"/>
    <col min="2319" max="2320" width="10.7109375" style="843" bestFit="1" customWidth="1"/>
    <col min="2321" max="2321" width="14.140625" style="843" customWidth="1"/>
    <col min="2322" max="2322" width="15.7109375" style="843" customWidth="1"/>
    <col min="2323" max="2554" width="9" style="843"/>
    <col min="2555" max="2555" width="31.28515625" style="843" customWidth="1"/>
    <col min="2556" max="2556" width="9.28515625" style="843" customWidth="1"/>
    <col min="2557" max="2557" width="12.140625" style="843" customWidth="1"/>
    <col min="2558" max="2561" width="9.85546875" style="843" bestFit="1" customWidth="1"/>
    <col min="2562" max="2562" width="16" style="843" customWidth="1"/>
    <col min="2563" max="2563" width="10.7109375" style="843" bestFit="1" customWidth="1"/>
    <col min="2564" max="2564" width="11.42578125" style="843" customWidth="1"/>
    <col min="2565" max="2565" width="10.7109375" style="843" bestFit="1" customWidth="1"/>
    <col min="2566" max="2568" width="10.42578125" style="843" customWidth="1"/>
    <col min="2569" max="2569" width="11.85546875" style="843" customWidth="1"/>
    <col min="2570" max="2570" width="10.7109375" style="843" customWidth="1"/>
    <col min="2571" max="2571" width="11.42578125" style="843" customWidth="1"/>
    <col min="2572" max="2573" width="11.28515625" style="843" customWidth="1"/>
    <col min="2574" max="2574" width="9.85546875" style="843" customWidth="1"/>
    <col min="2575" max="2576" width="10.7109375" style="843" bestFit="1" customWidth="1"/>
    <col min="2577" max="2577" width="14.140625" style="843" customWidth="1"/>
    <col min="2578" max="2578" width="15.7109375" style="843" customWidth="1"/>
    <col min="2579" max="2810" width="9" style="843"/>
    <col min="2811" max="2811" width="31.28515625" style="843" customWidth="1"/>
    <col min="2812" max="2812" width="9.28515625" style="843" customWidth="1"/>
    <col min="2813" max="2813" width="12.140625" style="843" customWidth="1"/>
    <col min="2814" max="2817" width="9.85546875" style="843" bestFit="1" customWidth="1"/>
    <col min="2818" max="2818" width="16" style="843" customWidth="1"/>
    <col min="2819" max="2819" width="10.7109375" style="843" bestFit="1" customWidth="1"/>
    <col min="2820" max="2820" width="11.42578125" style="843" customWidth="1"/>
    <col min="2821" max="2821" width="10.7109375" style="843" bestFit="1" customWidth="1"/>
    <col min="2822" max="2824" width="10.42578125" style="843" customWidth="1"/>
    <col min="2825" max="2825" width="11.85546875" style="843" customWidth="1"/>
    <col min="2826" max="2826" width="10.7109375" style="843" customWidth="1"/>
    <col min="2827" max="2827" width="11.42578125" style="843" customWidth="1"/>
    <col min="2828" max="2829" width="11.28515625" style="843" customWidth="1"/>
    <col min="2830" max="2830" width="9.85546875" style="843" customWidth="1"/>
    <col min="2831" max="2832" width="10.7109375" style="843" bestFit="1" customWidth="1"/>
    <col min="2833" max="2833" width="14.140625" style="843" customWidth="1"/>
    <col min="2834" max="2834" width="15.7109375" style="843" customWidth="1"/>
    <col min="2835" max="3066" width="9" style="843"/>
    <col min="3067" max="3067" width="31.28515625" style="843" customWidth="1"/>
    <col min="3068" max="3068" width="9.28515625" style="843" customWidth="1"/>
    <col min="3069" max="3069" width="12.140625" style="843" customWidth="1"/>
    <col min="3070" max="3073" width="9.85546875" style="843" bestFit="1" customWidth="1"/>
    <col min="3074" max="3074" width="16" style="843" customWidth="1"/>
    <col min="3075" max="3075" width="10.7109375" style="843" bestFit="1" customWidth="1"/>
    <col min="3076" max="3076" width="11.42578125" style="843" customWidth="1"/>
    <col min="3077" max="3077" width="10.7109375" style="843" bestFit="1" customWidth="1"/>
    <col min="3078" max="3080" width="10.42578125" style="843" customWidth="1"/>
    <col min="3081" max="3081" width="11.85546875" style="843" customWidth="1"/>
    <col min="3082" max="3082" width="10.7109375" style="843" customWidth="1"/>
    <col min="3083" max="3083" width="11.42578125" style="843" customWidth="1"/>
    <col min="3084" max="3085" width="11.28515625" style="843" customWidth="1"/>
    <col min="3086" max="3086" width="9.85546875" style="843" customWidth="1"/>
    <col min="3087" max="3088" width="10.7109375" style="843" bestFit="1" customWidth="1"/>
    <col min="3089" max="3089" width="14.140625" style="843" customWidth="1"/>
    <col min="3090" max="3090" width="15.7109375" style="843" customWidth="1"/>
    <col min="3091" max="3322" width="9" style="843"/>
    <col min="3323" max="3323" width="31.28515625" style="843" customWidth="1"/>
    <col min="3324" max="3324" width="9.28515625" style="843" customWidth="1"/>
    <col min="3325" max="3325" width="12.140625" style="843" customWidth="1"/>
    <col min="3326" max="3329" width="9.85546875" style="843" bestFit="1" customWidth="1"/>
    <col min="3330" max="3330" width="16" style="843" customWidth="1"/>
    <col min="3331" max="3331" width="10.7109375" style="843" bestFit="1" customWidth="1"/>
    <col min="3332" max="3332" width="11.42578125" style="843" customWidth="1"/>
    <col min="3333" max="3333" width="10.7109375" style="843" bestFit="1" customWidth="1"/>
    <col min="3334" max="3336" width="10.42578125" style="843" customWidth="1"/>
    <col min="3337" max="3337" width="11.85546875" style="843" customWidth="1"/>
    <col min="3338" max="3338" width="10.7109375" style="843" customWidth="1"/>
    <col min="3339" max="3339" width="11.42578125" style="843" customWidth="1"/>
    <col min="3340" max="3341" width="11.28515625" style="843" customWidth="1"/>
    <col min="3342" max="3342" width="9.85546875" style="843" customWidth="1"/>
    <col min="3343" max="3344" width="10.7109375" style="843" bestFit="1" customWidth="1"/>
    <col min="3345" max="3345" width="14.140625" style="843" customWidth="1"/>
    <col min="3346" max="3346" width="15.7109375" style="843" customWidth="1"/>
    <col min="3347" max="3578" width="9" style="843"/>
    <col min="3579" max="3579" width="31.28515625" style="843" customWidth="1"/>
    <col min="3580" max="3580" width="9.28515625" style="843" customWidth="1"/>
    <col min="3581" max="3581" width="12.140625" style="843" customWidth="1"/>
    <col min="3582" max="3585" width="9.85546875" style="843" bestFit="1" customWidth="1"/>
    <col min="3586" max="3586" width="16" style="843" customWidth="1"/>
    <col min="3587" max="3587" width="10.7109375" style="843" bestFit="1" customWidth="1"/>
    <col min="3588" max="3588" width="11.42578125" style="843" customWidth="1"/>
    <col min="3589" max="3589" width="10.7109375" style="843" bestFit="1" customWidth="1"/>
    <col min="3590" max="3592" width="10.42578125" style="843" customWidth="1"/>
    <col min="3593" max="3593" width="11.85546875" style="843" customWidth="1"/>
    <col min="3594" max="3594" width="10.7109375" style="843" customWidth="1"/>
    <col min="3595" max="3595" width="11.42578125" style="843" customWidth="1"/>
    <col min="3596" max="3597" width="11.28515625" style="843" customWidth="1"/>
    <col min="3598" max="3598" width="9.85546875" style="843" customWidth="1"/>
    <col min="3599" max="3600" width="10.7109375" style="843" bestFit="1" customWidth="1"/>
    <col min="3601" max="3601" width="14.140625" style="843" customWidth="1"/>
    <col min="3602" max="3602" width="15.7109375" style="843" customWidth="1"/>
    <col min="3603" max="3834" width="9" style="843"/>
    <col min="3835" max="3835" width="31.28515625" style="843" customWidth="1"/>
    <col min="3836" max="3836" width="9.28515625" style="843" customWidth="1"/>
    <col min="3837" max="3837" width="12.140625" style="843" customWidth="1"/>
    <col min="3838" max="3841" width="9.85546875" style="843" bestFit="1" customWidth="1"/>
    <col min="3842" max="3842" width="16" style="843" customWidth="1"/>
    <col min="3843" max="3843" width="10.7109375" style="843" bestFit="1" customWidth="1"/>
    <col min="3844" max="3844" width="11.42578125" style="843" customWidth="1"/>
    <col min="3845" max="3845" width="10.7109375" style="843" bestFit="1" customWidth="1"/>
    <col min="3846" max="3848" width="10.42578125" style="843" customWidth="1"/>
    <col min="3849" max="3849" width="11.85546875" style="843" customWidth="1"/>
    <col min="3850" max="3850" width="10.7109375" style="843" customWidth="1"/>
    <col min="3851" max="3851" width="11.42578125" style="843" customWidth="1"/>
    <col min="3852" max="3853" width="11.28515625" style="843" customWidth="1"/>
    <col min="3854" max="3854" width="9.85546875" style="843" customWidth="1"/>
    <col min="3855" max="3856" width="10.7109375" style="843" bestFit="1" customWidth="1"/>
    <col min="3857" max="3857" width="14.140625" style="843" customWidth="1"/>
    <col min="3858" max="3858" width="15.7109375" style="843" customWidth="1"/>
    <col min="3859" max="4090" width="9" style="843"/>
    <col min="4091" max="4091" width="31.28515625" style="843" customWidth="1"/>
    <col min="4092" max="4092" width="9.28515625" style="843" customWidth="1"/>
    <col min="4093" max="4093" width="12.140625" style="843" customWidth="1"/>
    <col min="4094" max="4097" width="9.85546875" style="843" bestFit="1" customWidth="1"/>
    <col min="4098" max="4098" width="16" style="843" customWidth="1"/>
    <col min="4099" max="4099" width="10.7109375" style="843" bestFit="1" customWidth="1"/>
    <col min="4100" max="4100" width="11.42578125" style="843" customWidth="1"/>
    <col min="4101" max="4101" width="10.7109375" style="843" bestFit="1" customWidth="1"/>
    <col min="4102" max="4104" width="10.42578125" style="843" customWidth="1"/>
    <col min="4105" max="4105" width="11.85546875" style="843" customWidth="1"/>
    <col min="4106" max="4106" width="10.7109375" style="843" customWidth="1"/>
    <col min="4107" max="4107" width="11.42578125" style="843" customWidth="1"/>
    <col min="4108" max="4109" width="11.28515625" style="843" customWidth="1"/>
    <col min="4110" max="4110" width="9.85546875" style="843" customWidth="1"/>
    <col min="4111" max="4112" width="10.7109375" style="843" bestFit="1" customWidth="1"/>
    <col min="4113" max="4113" width="14.140625" style="843" customWidth="1"/>
    <col min="4114" max="4114" width="15.7109375" style="843" customWidth="1"/>
    <col min="4115" max="4346" width="9" style="843"/>
    <col min="4347" max="4347" width="31.28515625" style="843" customWidth="1"/>
    <col min="4348" max="4348" width="9.28515625" style="843" customWidth="1"/>
    <col min="4349" max="4349" width="12.140625" style="843" customWidth="1"/>
    <col min="4350" max="4353" width="9.85546875" style="843" bestFit="1" customWidth="1"/>
    <col min="4354" max="4354" width="16" style="843" customWidth="1"/>
    <col min="4355" max="4355" width="10.7109375" style="843" bestFit="1" customWidth="1"/>
    <col min="4356" max="4356" width="11.42578125" style="843" customWidth="1"/>
    <col min="4357" max="4357" width="10.7109375" style="843" bestFit="1" customWidth="1"/>
    <col min="4358" max="4360" width="10.42578125" style="843" customWidth="1"/>
    <col min="4361" max="4361" width="11.85546875" style="843" customWidth="1"/>
    <col min="4362" max="4362" width="10.7109375" style="843" customWidth="1"/>
    <col min="4363" max="4363" width="11.42578125" style="843" customWidth="1"/>
    <col min="4364" max="4365" width="11.28515625" style="843" customWidth="1"/>
    <col min="4366" max="4366" width="9.85546875" style="843" customWidth="1"/>
    <col min="4367" max="4368" width="10.7109375" style="843" bestFit="1" customWidth="1"/>
    <col min="4369" max="4369" width="14.140625" style="843" customWidth="1"/>
    <col min="4370" max="4370" width="15.7109375" style="843" customWidth="1"/>
    <col min="4371" max="4602" width="9" style="843"/>
    <col min="4603" max="4603" width="31.28515625" style="843" customWidth="1"/>
    <col min="4604" max="4604" width="9.28515625" style="843" customWidth="1"/>
    <col min="4605" max="4605" width="12.140625" style="843" customWidth="1"/>
    <col min="4606" max="4609" width="9.85546875" style="843" bestFit="1" customWidth="1"/>
    <col min="4610" max="4610" width="16" style="843" customWidth="1"/>
    <col min="4611" max="4611" width="10.7109375" style="843" bestFit="1" customWidth="1"/>
    <col min="4612" max="4612" width="11.42578125" style="843" customWidth="1"/>
    <col min="4613" max="4613" width="10.7109375" style="843" bestFit="1" customWidth="1"/>
    <col min="4614" max="4616" width="10.42578125" style="843" customWidth="1"/>
    <col min="4617" max="4617" width="11.85546875" style="843" customWidth="1"/>
    <col min="4618" max="4618" width="10.7109375" style="843" customWidth="1"/>
    <col min="4619" max="4619" width="11.42578125" style="843" customWidth="1"/>
    <col min="4620" max="4621" width="11.28515625" style="843" customWidth="1"/>
    <col min="4622" max="4622" width="9.85546875" style="843" customWidth="1"/>
    <col min="4623" max="4624" width="10.7109375" style="843" bestFit="1" customWidth="1"/>
    <col min="4625" max="4625" width="14.140625" style="843" customWidth="1"/>
    <col min="4626" max="4626" width="15.7109375" style="843" customWidth="1"/>
    <col min="4627" max="4858" width="9" style="843"/>
    <col min="4859" max="4859" width="31.28515625" style="843" customWidth="1"/>
    <col min="4860" max="4860" width="9.28515625" style="843" customWidth="1"/>
    <col min="4861" max="4861" width="12.140625" style="843" customWidth="1"/>
    <col min="4862" max="4865" width="9.85546875" style="843" bestFit="1" customWidth="1"/>
    <col min="4866" max="4866" width="16" style="843" customWidth="1"/>
    <col min="4867" max="4867" width="10.7109375" style="843" bestFit="1" customWidth="1"/>
    <col min="4868" max="4868" width="11.42578125" style="843" customWidth="1"/>
    <col min="4869" max="4869" width="10.7109375" style="843" bestFit="1" customWidth="1"/>
    <col min="4870" max="4872" width="10.42578125" style="843" customWidth="1"/>
    <col min="4873" max="4873" width="11.85546875" style="843" customWidth="1"/>
    <col min="4874" max="4874" width="10.7109375" style="843" customWidth="1"/>
    <col min="4875" max="4875" width="11.42578125" style="843" customWidth="1"/>
    <col min="4876" max="4877" width="11.28515625" style="843" customWidth="1"/>
    <col min="4878" max="4878" width="9.85546875" style="843" customWidth="1"/>
    <col min="4879" max="4880" width="10.7109375" style="843" bestFit="1" customWidth="1"/>
    <col min="4881" max="4881" width="14.140625" style="843" customWidth="1"/>
    <col min="4882" max="4882" width="15.7109375" style="843" customWidth="1"/>
    <col min="4883" max="5114" width="9" style="843"/>
    <col min="5115" max="5115" width="31.28515625" style="843" customWidth="1"/>
    <col min="5116" max="5116" width="9.28515625" style="843" customWidth="1"/>
    <col min="5117" max="5117" width="12.140625" style="843" customWidth="1"/>
    <col min="5118" max="5121" width="9.85546875" style="843" bestFit="1" customWidth="1"/>
    <col min="5122" max="5122" width="16" style="843" customWidth="1"/>
    <col min="5123" max="5123" width="10.7109375" style="843" bestFit="1" customWidth="1"/>
    <col min="5124" max="5124" width="11.42578125" style="843" customWidth="1"/>
    <col min="5125" max="5125" width="10.7109375" style="843" bestFit="1" customWidth="1"/>
    <col min="5126" max="5128" width="10.42578125" style="843" customWidth="1"/>
    <col min="5129" max="5129" width="11.85546875" style="843" customWidth="1"/>
    <col min="5130" max="5130" width="10.7109375" style="843" customWidth="1"/>
    <col min="5131" max="5131" width="11.42578125" style="843" customWidth="1"/>
    <col min="5132" max="5133" width="11.28515625" style="843" customWidth="1"/>
    <col min="5134" max="5134" width="9.85546875" style="843" customWidth="1"/>
    <col min="5135" max="5136" width="10.7109375" style="843" bestFit="1" customWidth="1"/>
    <col min="5137" max="5137" width="14.140625" style="843" customWidth="1"/>
    <col min="5138" max="5138" width="15.7109375" style="843" customWidth="1"/>
    <col min="5139" max="5370" width="9" style="843"/>
    <col min="5371" max="5371" width="31.28515625" style="843" customWidth="1"/>
    <col min="5372" max="5372" width="9.28515625" style="843" customWidth="1"/>
    <col min="5373" max="5373" width="12.140625" style="843" customWidth="1"/>
    <col min="5374" max="5377" width="9.85546875" style="843" bestFit="1" customWidth="1"/>
    <col min="5378" max="5378" width="16" style="843" customWidth="1"/>
    <col min="5379" max="5379" width="10.7109375" style="843" bestFit="1" customWidth="1"/>
    <col min="5380" max="5380" width="11.42578125" style="843" customWidth="1"/>
    <col min="5381" max="5381" width="10.7109375" style="843" bestFit="1" customWidth="1"/>
    <col min="5382" max="5384" width="10.42578125" style="843" customWidth="1"/>
    <col min="5385" max="5385" width="11.85546875" style="843" customWidth="1"/>
    <col min="5386" max="5386" width="10.7109375" style="843" customWidth="1"/>
    <col min="5387" max="5387" width="11.42578125" style="843" customWidth="1"/>
    <col min="5388" max="5389" width="11.28515625" style="843" customWidth="1"/>
    <col min="5390" max="5390" width="9.85546875" style="843" customWidth="1"/>
    <col min="5391" max="5392" width="10.7109375" style="843" bestFit="1" customWidth="1"/>
    <col min="5393" max="5393" width="14.140625" style="843" customWidth="1"/>
    <col min="5394" max="5394" width="15.7109375" style="843" customWidth="1"/>
    <col min="5395" max="5626" width="9" style="843"/>
    <col min="5627" max="5627" width="31.28515625" style="843" customWidth="1"/>
    <col min="5628" max="5628" width="9.28515625" style="843" customWidth="1"/>
    <col min="5629" max="5629" width="12.140625" style="843" customWidth="1"/>
    <col min="5630" max="5633" width="9.85546875" style="843" bestFit="1" customWidth="1"/>
    <col min="5634" max="5634" width="16" style="843" customWidth="1"/>
    <col min="5635" max="5635" width="10.7109375" style="843" bestFit="1" customWidth="1"/>
    <col min="5636" max="5636" width="11.42578125" style="843" customWidth="1"/>
    <col min="5637" max="5637" width="10.7109375" style="843" bestFit="1" customWidth="1"/>
    <col min="5638" max="5640" width="10.42578125" style="843" customWidth="1"/>
    <col min="5641" max="5641" width="11.85546875" style="843" customWidth="1"/>
    <col min="5642" max="5642" width="10.7109375" style="843" customWidth="1"/>
    <col min="5643" max="5643" width="11.42578125" style="843" customWidth="1"/>
    <col min="5644" max="5645" width="11.28515625" style="843" customWidth="1"/>
    <col min="5646" max="5646" width="9.85546875" style="843" customWidth="1"/>
    <col min="5647" max="5648" width="10.7109375" style="843" bestFit="1" customWidth="1"/>
    <col min="5649" max="5649" width="14.140625" style="843" customWidth="1"/>
    <col min="5650" max="5650" width="15.7109375" style="843" customWidth="1"/>
    <col min="5651" max="5882" width="9" style="843"/>
    <col min="5883" max="5883" width="31.28515625" style="843" customWidth="1"/>
    <col min="5884" max="5884" width="9.28515625" style="843" customWidth="1"/>
    <col min="5885" max="5885" width="12.140625" style="843" customWidth="1"/>
    <col min="5886" max="5889" width="9.85546875" style="843" bestFit="1" customWidth="1"/>
    <col min="5890" max="5890" width="16" style="843" customWidth="1"/>
    <col min="5891" max="5891" width="10.7109375" style="843" bestFit="1" customWidth="1"/>
    <col min="5892" max="5892" width="11.42578125" style="843" customWidth="1"/>
    <col min="5893" max="5893" width="10.7109375" style="843" bestFit="1" customWidth="1"/>
    <col min="5894" max="5896" width="10.42578125" style="843" customWidth="1"/>
    <col min="5897" max="5897" width="11.85546875" style="843" customWidth="1"/>
    <col min="5898" max="5898" width="10.7109375" style="843" customWidth="1"/>
    <col min="5899" max="5899" width="11.42578125" style="843" customWidth="1"/>
    <col min="5900" max="5901" width="11.28515625" style="843" customWidth="1"/>
    <col min="5902" max="5902" width="9.85546875" style="843" customWidth="1"/>
    <col min="5903" max="5904" width="10.7109375" style="843" bestFit="1" customWidth="1"/>
    <col min="5905" max="5905" width="14.140625" style="843" customWidth="1"/>
    <col min="5906" max="5906" width="15.7109375" style="843" customWidth="1"/>
    <col min="5907" max="6138" width="9" style="843"/>
    <col min="6139" max="6139" width="31.28515625" style="843" customWidth="1"/>
    <col min="6140" max="6140" width="9.28515625" style="843" customWidth="1"/>
    <col min="6141" max="6141" width="12.140625" style="843" customWidth="1"/>
    <col min="6142" max="6145" width="9.85546875" style="843" bestFit="1" customWidth="1"/>
    <col min="6146" max="6146" width="16" style="843" customWidth="1"/>
    <col min="6147" max="6147" width="10.7109375" style="843" bestFit="1" customWidth="1"/>
    <col min="6148" max="6148" width="11.42578125" style="843" customWidth="1"/>
    <col min="6149" max="6149" width="10.7109375" style="843" bestFit="1" customWidth="1"/>
    <col min="6150" max="6152" width="10.42578125" style="843" customWidth="1"/>
    <col min="6153" max="6153" width="11.85546875" style="843" customWidth="1"/>
    <col min="6154" max="6154" width="10.7109375" style="843" customWidth="1"/>
    <col min="6155" max="6155" width="11.42578125" style="843" customWidth="1"/>
    <col min="6156" max="6157" width="11.28515625" style="843" customWidth="1"/>
    <col min="6158" max="6158" width="9.85546875" style="843" customWidth="1"/>
    <col min="6159" max="6160" width="10.7109375" style="843" bestFit="1" customWidth="1"/>
    <col min="6161" max="6161" width="14.140625" style="843" customWidth="1"/>
    <col min="6162" max="6162" width="15.7109375" style="843" customWidth="1"/>
    <col min="6163" max="6394" width="9" style="843"/>
    <col min="6395" max="6395" width="31.28515625" style="843" customWidth="1"/>
    <col min="6396" max="6396" width="9.28515625" style="843" customWidth="1"/>
    <col min="6397" max="6397" width="12.140625" style="843" customWidth="1"/>
    <col min="6398" max="6401" width="9.85546875" style="843" bestFit="1" customWidth="1"/>
    <col min="6402" max="6402" width="16" style="843" customWidth="1"/>
    <col min="6403" max="6403" width="10.7109375" style="843" bestFit="1" customWidth="1"/>
    <col min="6404" max="6404" width="11.42578125" style="843" customWidth="1"/>
    <col min="6405" max="6405" width="10.7109375" style="843" bestFit="1" customWidth="1"/>
    <col min="6406" max="6408" width="10.42578125" style="843" customWidth="1"/>
    <col min="6409" max="6409" width="11.85546875" style="843" customWidth="1"/>
    <col min="6410" max="6410" width="10.7109375" style="843" customWidth="1"/>
    <col min="6411" max="6411" width="11.42578125" style="843" customWidth="1"/>
    <col min="6412" max="6413" width="11.28515625" style="843" customWidth="1"/>
    <col min="6414" max="6414" width="9.85546875" style="843" customWidth="1"/>
    <col min="6415" max="6416" width="10.7109375" style="843" bestFit="1" customWidth="1"/>
    <col min="6417" max="6417" width="14.140625" style="843" customWidth="1"/>
    <col min="6418" max="6418" width="15.7109375" style="843" customWidth="1"/>
    <col min="6419" max="6650" width="9" style="843"/>
    <col min="6651" max="6651" width="31.28515625" style="843" customWidth="1"/>
    <col min="6652" max="6652" width="9.28515625" style="843" customWidth="1"/>
    <col min="6653" max="6653" width="12.140625" style="843" customWidth="1"/>
    <col min="6654" max="6657" width="9.85546875" style="843" bestFit="1" customWidth="1"/>
    <col min="6658" max="6658" width="16" style="843" customWidth="1"/>
    <col min="6659" max="6659" width="10.7109375" style="843" bestFit="1" customWidth="1"/>
    <col min="6660" max="6660" width="11.42578125" style="843" customWidth="1"/>
    <col min="6661" max="6661" width="10.7109375" style="843" bestFit="1" customWidth="1"/>
    <col min="6662" max="6664" width="10.42578125" style="843" customWidth="1"/>
    <col min="6665" max="6665" width="11.85546875" style="843" customWidth="1"/>
    <col min="6666" max="6666" width="10.7109375" style="843" customWidth="1"/>
    <col min="6667" max="6667" width="11.42578125" style="843" customWidth="1"/>
    <col min="6668" max="6669" width="11.28515625" style="843" customWidth="1"/>
    <col min="6670" max="6670" width="9.85546875" style="843" customWidth="1"/>
    <col min="6671" max="6672" width="10.7109375" style="843" bestFit="1" customWidth="1"/>
    <col min="6673" max="6673" width="14.140625" style="843" customWidth="1"/>
    <col min="6674" max="6674" width="15.7109375" style="843" customWidth="1"/>
    <col min="6675" max="6906" width="9" style="843"/>
    <col min="6907" max="6907" width="31.28515625" style="843" customWidth="1"/>
    <col min="6908" max="6908" width="9.28515625" style="843" customWidth="1"/>
    <col min="6909" max="6909" width="12.140625" style="843" customWidth="1"/>
    <col min="6910" max="6913" width="9.85546875" style="843" bestFit="1" customWidth="1"/>
    <col min="6914" max="6914" width="16" style="843" customWidth="1"/>
    <col min="6915" max="6915" width="10.7109375" style="843" bestFit="1" customWidth="1"/>
    <col min="6916" max="6916" width="11.42578125" style="843" customWidth="1"/>
    <col min="6917" max="6917" width="10.7109375" style="843" bestFit="1" customWidth="1"/>
    <col min="6918" max="6920" width="10.42578125" style="843" customWidth="1"/>
    <col min="6921" max="6921" width="11.85546875" style="843" customWidth="1"/>
    <col min="6922" max="6922" width="10.7109375" style="843" customWidth="1"/>
    <col min="6923" max="6923" width="11.42578125" style="843" customWidth="1"/>
    <col min="6924" max="6925" width="11.28515625" style="843" customWidth="1"/>
    <col min="6926" max="6926" width="9.85546875" style="843" customWidth="1"/>
    <col min="6927" max="6928" width="10.7109375" style="843" bestFit="1" customWidth="1"/>
    <col min="6929" max="6929" width="14.140625" style="843" customWidth="1"/>
    <col min="6930" max="6930" width="15.7109375" style="843" customWidth="1"/>
    <col min="6931" max="7162" width="9" style="843"/>
    <col min="7163" max="7163" width="31.28515625" style="843" customWidth="1"/>
    <col min="7164" max="7164" width="9.28515625" style="843" customWidth="1"/>
    <col min="7165" max="7165" width="12.140625" style="843" customWidth="1"/>
    <col min="7166" max="7169" width="9.85546875" style="843" bestFit="1" customWidth="1"/>
    <col min="7170" max="7170" width="16" style="843" customWidth="1"/>
    <col min="7171" max="7171" width="10.7109375" style="843" bestFit="1" customWidth="1"/>
    <col min="7172" max="7172" width="11.42578125" style="843" customWidth="1"/>
    <col min="7173" max="7173" width="10.7109375" style="843" bestFit="1" customWidth="1"/>
    <col min="7174" max="7176" width="10.42578125" style="843" customWidth="1"/>
    <col min="7177" max="7177" width="11.85546875" style="843" customWidth="1"/>
    <col min="7178" max="7178" width="10.7109375" style="843" customWidth="1"/>
    <col min="7179" max="7179" width="11.42578125" style="843" customWidth="1"/>
    <col min="7180" max="7181" width="11.28515625" style="843" customWidth="1"/>
    <col min="7182" max="7182" width="9.85546875" style="843" customWidth="1"/>
    <col min="7183" max="7184" width="10.7109375" style="843" bestFit="1" customWidth="1"/>
    <col min="7185" max="7185" width="14.140625" style="843" customWidth="1"/>
    <col min="7186" max="7186" width="15.7109375" style="843" customWidth="1"/>
    <col min="7187" max="7418" width="9" style="843"/>
    <col min="7419" max="7419" width="31.28515625" style="843" customWidth="1"/>
    <col min="7420" max="7420" width="9.28515625" style="843" customWidth="1"/>
    <col min="7421" max="7421" width="12.140625" style="843" customWidth="1"/>
    <col min="7422" max="7425" width="9.85546875" style="843" bestFit="1" customWidth="1"/>
    <col min="7426" max="7426" width="16" style="843" customWidth="1"/>
    <col min="7427" max="7427" width="10.7109375" style="843" bestFit="1" customWidth="1"/>
    <col min="7428" max="7428" width="11.42578125" style="843" customWidth="1"/>
    <col min="7429" max="7429" width="10.7109375" style="843" bestFit="1" customWidth="1"/>
    <col min="7430" max="7432" width="10.42578125" style="843" customWidth="1"/>
    <col min="7433" max="7433" width="11.85546875" style="843" customWidth="1"/>
    <col min="7434" max="7434" width="10.7109375" style="843" customWidth="1"/>
    <col min="7435" max="7435" width="11.42578125" style="843" customWidth="1"/>
    <col min="7436" max="7437" width="11.28515625" style="843" customWidth="1"/>
    <col min="7438" max="7438" width="9.85546875" style="843" customWidth="1"/>
    <col min="7439" max="7440" width="10.7109375" style="843" bestFit="1" customWidth="1"/>
    <col min="7441" max="7441" width="14.140625" style="843" customWidth="1"/>
    <col min="7442" max="7442" width="15.7109375" style="843" customWidth="1"/>
    <col min="7443" max="7674" width="9" style="843"/>
    <col min="7675" max="7675" width="31.28515625" style="843" customWidth="1"/>
    <col min="7676" max="7676" width="9.28515625" style="843" customWidth="1"/>
    <col min="7677" max="7677" width="12.140625" style="843" customWidth="1"/>
    <col min="7678" max="7681" width="9.85546875" style="843" bestFit="1" customWidth="1"/>
    <col min="7682" max="7682" width="16" style="843" customWidth="1"/>
    <col min="7683" max="7683" width="10.7109375" style="843" bestFit="1" customWidth="1"/>
    <col min="7684" max="7684" width="11.42578125" style="843" customWidth="1"/>
    <col min="7685" max="7685" width="10.7109375" style="843" bestFit="1" customWidth="1"/>
    <col min="7686" max="7688" width="10.42578125" style="843" customWidth="1"/>
    <col min="7689" max="7689" width="11.85546875" style="843" customWidth="1"/>
    <col min="7690" max="7690" width="10.7109375" style="843" customWidth="1"/>
    <col min="7691" max="7691" width="11.42578125" style="843" customWidth="1"/>
    <col min="7692" max="7693" width="11.28515625" style="843" customWidth="1"/>
    <col min="7694" max="7694" width="9.85546875" style="843" customWidth="1"/>
    <col min="7695" max="7696" width="10.7109375" style="843" bestFit="1" customWidth="1"/>
    <col min="7697" max="7697" width="14.140625" style="843" customWidth="1"/>
    <col min="7698" max="7698" width="15.7109375" style="843" customWidth="1"/>
    <col min="7699" max="7930" width="9" style="843"/>
    <col min="7931" max="7931" width="31.28515625" style="843" customWidth="1"/>
    <col min="7932" max="7932" width="9.28515625" style="843" customWidth="1"/>
    <col min="7933" max="7933" width="12.140625" style="843" customWidth="1"/>
    <col min="7934" max="7937" width="9.85546875" style="843" bestFit="1" customWidth="1"/>
    <col min="7938" max="7938" width="16" style="843" customWidth="1"/>
    <col min="7939" max="7939" width="10.7109375" style="843" bestFit="1" customWidth="1"/>
    <col min="7940" max="7940" width="11.42578125" style="843" customWidth="1"/>
    <col min="7941" max="7941" width="10.7109375" style="843" bestFit="1" customWidth="1"/>
    <col min="7942" max="7944" width="10.42578125" style="843" customWidth="1"/>
    <col min="7945" max="7945" width="11.85546875" style="843" customWidth="1"/>
    <col min="7946" max="7946" width="10.7109375" style="843" customWidth="1"/>
    <col min="7947" max="7947" width="11.42578125" style="843" customWidth="1"/>
    <col min="7948" max="7949" width="11.28515625" style="843" customWidth="1"/>
    <col min="7950" max="7950" width="9.85546875" style="843" customWidth="1"/>
    <col min="7951" max="7952" width="10.7109375" style="843" bestFit="1" customWidth="1"/>
    <col min="7953" max="7953" width="14.140625" style="843" customWidth="1"/>
    <col min="7954" max="7954" width="15.7109375" style="843" customWidth="1"/>
    <col min="7955" max="8186" width="9" style="843"/>
    <col min="8187" max="8187" width="31.28515625" style="843" customWidth="1"/>
    <col min="8188" max="8188" width="9.28515625" style="843" customWidth="1"/>
    <col min="8189" max="8189" width="12.140625" style="843" customWidth="1"/>
    <col min="8190" max="8193" width="9.85546875" style="843" bestFit="1" customWidth="1"/>
    <col min="8194" max="8194" width="16" style="843" customWidth="1"/>
    <col min="8195" max="8195" width="10.7109375" style="843" bestFit="1" customWidth="1"/>
    <col min="8196" max="8196" width="11.42578125" style="843" customWidth="1"/>
    <col min="8197" max="8197" width="10.7109375" style="843" bestFit="1" customWidth="1"/>
    <col min="8198" max="8200" width="10.42578125" style="843" customWidth="1"/>
    <col min="8201" max="8201" width="11.85546875" style="843" customWidth="1"/>
    <col min="8202" max="8202" width="10.7109375" style="843" customWidth="1"/>
    <col min="8203" max="8203" width="11.42578125" style="843" customWidth="1"/>
    <col min="8204" max="8205" width="11.28515625" style="843" customWidth="1"/>
    <col min="8206" max="8206" width="9.85546875" style="843" customWidth="1"/>
    <col min="8207" max="8208" width="10.7109375" style="843" bestFit="1" customWidth="1"/>
    <col min="8209" max="8209" width="14.140625" style="843" customWidth="1"/>
    <col min="8210" max="8210" width="15.7109375" style="843" customWidth="1"/>
    <col min="8211" max="8442" width="9" style="843"/>
    <col min="8443" max="8443" width="31.28515625" style="843" customWidth="1"/>
    <col min="8444" max="8444" width="9.28515625" style="843" customWidth="1"/>
    <col min="8445" max="8445" width="12.140625" style="843" customWidth="1"/>
    <col min="8446" max="8449" width="9.85546875" style="843" bestFit="1" customWidth="1"/>
    <col min="8450" max="8450" width="16" style="843" customWidth="1"/>
    <col min="8451" max="8451" width="10.7109375" style="843" bestFit="1" customWidth="1"/>
    <col min="8452" max="8452" width="11.42578125" style="843" customWidth="1"/>
    <col min="8453" max="8453" width="10.7109375" style="843" bestFit="1" customWidth="1"/>
    <col min="8454" max="8456" width="10.42578125" style="843" customWidth="1"/>
    <col min="8457" max="8457" width="11.85546875" style="843" customWidth="1"/>
    <col min="8458" max="8458" width="10.7109375" style="843" customWidth="1"/>
    <col min="8459" max="8459" width="11.42578125" style="843" customWidth="1"/>
    <col min="8460" max="8461" width="11.28515625" style="843" customWidth="1"/>
    <col min="8462" max="8462" width="9.85546875" style="843" customWidth="1"/>
    <col min="8463" max="8464" width="10.7109375" style="843" bestFit="1" customWidth="1"/>
    <col min="8465" max="8465" width="14.140625" style="843" customWidth="1"/>
    <col min="8466" max="8466" width="15.7109375" style="843" customWidth="1"/>
    <col min="8467" max="8698" width="9" style="843"/>
    <col min="8699" max="8699" width="31.28515625" style="843" customWidth="1"/>
    <col min="8700" max="8700" width="9.28515625" style="843" customWidth="1"/>
    <col min="8701" max="8701" width="12.140625" style="843" customWidth="1"/>
    <col min="8702" max="8705" width="9.85546875" style="843" bestFit="1" customWidth="1"/>
    <col min="8706" max="8706" width="16" style="843" customWidth="1"/>
    <col min="8707" max="8707" width="10.7109375" style="843" bestFit="1" customWidth="1"/>
    <col min="8708" max="8708" width="11.42578125" style="843" customWidth="1"/>
    <col min="8709" max="8709" width="10.7109375" style="843" bestFit="1" customWidth="1"/>
    <col min="8710" max="8712" width="10.42578125" style="843" customWidth="1"/>
    <col min="8713" max="8713" width="11.85546875" style="843" customWidth="1"/>
    <col min="8714" max="8714" width="10.7109375" style="843" customWidth="1"/>
    <col min="8715" max="8715" width="11.42578125" style="843" customWidth="1"/>
    <col min="8716" max="8717" width="11.28515625" style="843" customWidth="1"/>
    <col min="8718" max="8718" width="9.85546875" style="843" customWidth="1"/>
    <col min="8719" max="8720" width="10.7109375" style="843" bestFit="1" customWidth="1"/>
    <col min="8721" max="8721" width="14.140625" style="843" customWidth="1"/>
    <col min="8722" max="8722" width="15.7109375" style="843" customWidth="1"/>
    <col min="8723" max="8954" width="9" style="843"/>
    <col min="8955" max="8955" width="31.28515625" style="843" customWidth="1"/>
    <col min="8956" max="8956" width="9.28515625" style="843" customWidth="1"/>
    <col min="8957" max="8957" width="12.140625" style="843" customWidth="1"/>
    <col min="8958" max="8961" width="9.85546875" style="843" bestFit="1" customWidth="1"/>
    <col min="8962" max="8962" width="16" style="843" customWidth="1"/>
    <col min="8963" max="8963" width="10.7109375" style="843" bestFit="1" customWidth="1"/>
    <col min="8964" max="8964" width="11.42578125" style="843" customWidth="1"/>
    <col min="8965" max="8965" width="10.7109375" style="843" bestFit="1" customWidth="1"/>
    <col min="8966" max="8968" width="10.42578125" style="843" customWidth="1"/>
    <col min="8969" max="8969" width="11.85546875" style="843" customWidth="1"/>
    <col min="8970" max="8970" width="10.7109375" style="843" customWidth="1"/>
    <col min="8971" max="8971" width="11.42578125" style="843" customWidth="1"/>
    <col min="8972" max="8973" width="11.28515625" style="843" customWidth="1"/>
    <col min="8974" max="8974" width="9.85546875" style="843" customWidth="1"/>
    <col min="8975" max="8976" width="10.7109375" style="843" bestFit="1" customWidth="1"/>
    <col min="8977" max="8977" width="14.140625" style="843" customWidth="1"/>
    <col min="8978" max="8978" width="15.7109375" style="843" customWidth="1"/>
    <col min="8979" max="9210" width="9" style="843"/>
    <col min="9211" max="9211" width="31.28515625" style="843" customWidth="1"/>
    <col min="9212" max="9212" width="9.28515625" style="843" customWidth="1"/>
    <col min="9213" max="9213" width="12.140625" style="843" customWidth="1"/>
    <col min="9214" max="9217" width="9.85546875" style="843" bestFit="1" customWidth="1"/>
    <col min="9218" max="9218" width="16" style="843" customWidth="1"/>
    <col min="9219" max="9219" width="10.7109375" style="843" bestFit="1" customWidth="1"/>
    <col min="9220" max="9220" width="11.42578125" style="843" customWidth="1"/>
    <col min="9221" max="9221" width="10.7109375" style="843" bestFit="1" customWidth="1"/>
    <col min="9222" max="9224" width="10.42578125" style="843" customWidth="1"/>
    <col min="9225" max="9225" width="11.85546875" style="843" customWidth="1"/>
    <col min="9226" max="9226" width="10.7109375" style="843" customWidth="1"/>
    <col min="9227" max="9227" width="11.42578125" style="843" customWidth="1"/>
    <col min="9228" max="9229" width="11.28515625" style="843" customWidth="1"/>
    <col min="9230" max="9230" width="9.85546875" style="843" customWidth="1"/>
    <col min="9231" max="9232" width="10.7109375" style="843" bestFit="1" customWidth="1"/>
    <col min="9233" max="9233" width="14.140625" style="843" customWidth="1"/>
    <col min="9234" max="9234" width="15.7109375" style="843" customWidth="1"/>
    <col min="9235" max="9466" width="9" style="843"/>
    <col min="9467" max="9467" width="31.28515625" style="843" customWidth="1"/>
    <col min="9468" max="9468" width="9.28515625" style="843" customWidth="1"/>
    <col min="9469" max="9469" width="12.140625" style="843" customWidth="1"/>
    <col min="9470" max="9473" width="9.85546875" style="843" bestFit="1" customWidth="1"/>
    <col min="9474" max="9474" width="16" style="843" customWidth="1"/>
    <col min="9475" max="9475" width="10.7109375" style="843" bestFit="1" customWidth="1"/>
    <col min="9476" max="9476" width="11.42578125" style="843" customWidth="1"/>
    <col min="9477" max="9477" width="10.7109375" style="843" bestFit="1" customWidth="1"/>
    <col min="9478" max="9480" width="10.42578125" style="843" customWidth="1"/>
    <col min="9481" max="9481" width="11.85546875" style="843" customWidth="1"/>
    <col min="9482" max="9482" width="10.7109375" style="843" customWidth="1"/>
    <col min="9483" max="9483" width="11.42578125" style="843" customWidth="1"/>
    <col min="9484" max="9485" width="11.28515625" style="843" customWidth="1"/>
    <col min="9486" max="9486" width="9.85546875" style="843" customWidth="1"/>
    <col min="9487" max="9488" width="10.7109375" style="843" bestFit="1" customWidth="1"/>
    <col min="9489" max="9489" width="14.140625" style="843" customWidth="1"/>
    <col min="9490" max="9490" width="15.7109375" style="843" customWidth="1"/>
    <col min="9491" max="9722" width="9" style="843"/>
    <col min="9723" max="9723" width="31.28515625" style="843" customWidth="1"/>
    <col min="9724" max="9724" width="9.28515625" style="843" customWidth="1"/>
    <col min="9725" max="9725" width="12.140625" style="843" customWidth="1"/>
    <col min="9726" max="9729" width="9.85546875" style="843" bestFit="1" customWidth="1"/>
    <col min="9730" max="9730" width="16" style="843" customWidth="1"/>
    <col min="9731" max="9731" width="10.7109375" style="843" bestFit="1" customWidth="1"/>
    <col min="9732" max="9732" width="11.42578125" style="843" customWidth="1"/>
    <col min="9733" max="9733" width="10.7109375" style="843" bestFit="1" customWidth="1"/>
    <col min="9734" max="9736" width="10.42578125" style="843" customWidth="1"/>
    <col min="9737" max="9737" width="11.85546875" style="843" customWidth="1"/>
    <col min="9738" max="9738" width="10.7109375" style="843" customWidth="1"/>
    <col min="9739" max="9739" width="11.42578125" style="843" customWidth="1"/>
    <col min="9740" max="9741" width="11.28515625" style="843" customWidth="1"/>
    <col min="9742" max="9742" width="9.85546875" style="843" customWidth="1"/>
    <col min="9743" max="9744" width="10.7109375" style="843" bestFit="1" customWidth="1"/>
    <col min="9745" max="9745" width="14.140625" style="843" customWidth="1"/>
    <col min="9746" max="9746" width="15.7109375" style="843" customWidth="1"/>
    <col min="9747" max="9978" width="9" style="843"/>
    <col min="9979" max="9979" width="31.28515625" style="843" customWidth="1"/>
    <col min="9980" max="9980" width="9.28515625" style="843" customWidth="1"/>
    <col min="9981" max="9981" width="12.140625" style="843" customWidth="1"/>
    <col min="9982" max="9985" width="9.85546875" style="843" bestFit="1" customWidth="1"/>
    <col min="9986" max="9986" width="16" style="843" customWidth="1"/>
    <col min="9987" max="9987" width="10.7109375" style="843" bestFit="1" customWidth="1"/>
    <col min="9988" max="9988" width="11.42578125" style="843" customWidth="1"/>
    <col min="9989" max="9989" width="10.7109375" style="843" bestFit="1" customWidth="1"/>
    <col min="9990" max="9992" width="10.42578125" style="843" customWidth="1"/>
    <col min="9993" max="9993" width="11.85546875" style="843" customWidth="1"/>
    <col min="9994" max="9994" width="10.7109375" style="843" customWidth="1"/>
    <col min="9995" max="9995" width="11.42578125" style="843" customWidth="1"/>
    <col min="9996" max="9997" width="11.28515625" style="843" customWidth="1"/>
    <col min="9998" max="9998" width="9.85546875" style="843" customWidth="1"/>
    <col min="9999" max="10000" width="10.7109375" style="843" bestFit="1" customWidth="1"/>
    <col min="10001" max="10001" width="14.140625" style="843" customWidth="1"/>
    <col min="10002" max="10002" width="15.7109375" style="843" customWidth="1"/>
    <col min="10003" max="10234" width="9" style="843"/>
    <col min="10235" max="10235" width="31.28515625" style="843" customWidth="1"/>
    <col min="10236" max="10236" width="9.28515625" style="843" customWidth="1"/>
    <col min="10237" max="10237" width="12.140625" style="843" customWidth="1"/>
    <col min="10238" max="10241" width="9.85546875" style="843" bestFit="1" customWidth="1"/>
    <col min="10242" max="10242" width="16" style="843" customWidth="1"/>
    <col min="10243" max="10243" width="10.7109375" style="843" bestFit="1" customWidth="1"/>
    <col min="10244" max="10244" width="11.42578125" style="843" customWidth="1"/>
    <col min="10245" max="10245" width="10.7109375" style="843" bestFit="1" customWidth="1"/>
    <col min="10246" max="10248" width="10.42578125" style="843" customWidth="1"/>
    <col min="10249" max="10249" width="11.85546875" style="843" customWidth="1"/>
    <col min="10250" max="10250" width="10.7109375" style="843" customWidth="1"/>
    <col min="10251" max="10251" width="11.42578125" style="843" customWidth="1"/>
    <col min="10252" max="10253" width="11.28515625" style="843" customWidth="1"/>
    <col min="10254" max="10254" width="9.85546875" style="843" customWidth="1"/>
    <col min="10255" max="10256" width="10.7109375" style="843" bestFit="1" customWidth="1"/>
    <col min="10257" max="10257" width="14.140625" style="843" customWidth="1"/>
    <col min="10258" max="10258" width="15.7109375" style="843" customWidth="1"/>
    <col min="10259" max="10490" width="9" style="843"/>
    <col min="10491" max="10491" width="31.28515625" style="843" customWidth="1"/>
    <col min="10492" max="10492" width="9.28515625" style="843" customWidth="1"/>
    <col min="10493" max="10493" width="12.140625" style="843" customWidth="1"/>
    <col min="10494" max="10497" width="9.85546875" style="843" bestFit="1" customWidth="1"/>
    <col min="10498" max="10498" width="16" style="843" customWidth="1"/>
    <col min="10499" max="10499" width="10.7109375" style="843" bestFit="1" customWidth="1"/>
    <col min="10500" max="10500" width="11.42578125" style="843" customWidth="1"/>
    <col min="10501" max="10501" width="10.7109375" style="843" bestFit="1" customWidth="1"/>
    <col min="10502" max="10504" width="10.42578125" style="843" customWidth="1"/>
    <col min="10505" max="10505" width="11.85546875" style="843" customWidth="1"/>
    <col min="10506" max="10506" width="10.7109375" style="843" customWidth="1"/>
    <col min="10507" max="10507" width="11.42578125" style="843" customWidth="1"/>
    <col min="10508" max="10509" width="11.28515625" style="843" customWidth="1"/>
    <col min="10510" max="10510" width="9.85546875" style="843" customWidth="1"/>
    <col min="10511" max="10512" width="10.7109375" style="843" bestFit="1" customWidth="1"/>
    <col min="10513" max="10513" width="14.140625" style="843" customWidth="1"/>
    <col min="10514" max="10514" width="15.7109375" style="843" customWidth="1"/>
    <col min="10515" max="10746" width="9" style="843"/>
    <col min="10747" max="10747" width="31.28515625" style="843" customWidth="1"/>
    <col min="10748" max="10748" width="9.28515625" style="843" customWidth="1"/>
    <col min="10749" max="10749" width="12.140625" style="843" customWidth="1"/>
    <col min="10750" max="10753" width="9.85546875" style="843" bestFit="1" customWidth="1"/>
    <col min="10754" max="10754" width="16" style="843" customWidth="1"/>
    <col min="10755" max="10755" width="10.7109375" style="843" bestFit="1" customWidth="1"/>
    <col min="10756" max="10756" width="11.42578125" style="843" customWidth="1"/>
    <col min="10757" max="10757" width="10.7109375" style="843" bestFit="1" customWidth="1"/>
    <col min="10758" max="10760" width="10.42578125" style="843" customWidth="1"/>
    <col min="10761" max="10761" width="11.85546875" style="843" customWidth="1"/>
    <col min="10762" max="10762" width="10.7109375" style="843" customWidth="1"/>
    <col min="10763" max="10763" width="11.42578125" style="843" customWidth="1"/>
    <col min="10764" max="10765" width="11.28515625" style="843" customWidth="1"/>
    <col min="10766" max="10766" width="9.85546875" style="843" customWidth="1"/>
    <col min="10767" max="10768" width="10.7109375" style="843" bestFit="1" customWidth="1"/>
    <col min="10769" max="10769" width="14.140625" style="843" customWidth="1"/>
    <col min="10770" max="10770" width="15.7109375" style="843" customWidth="1"/>
    <col min="10771" max="11002" width="9" style="843"/>
    <col min="11003" max="11003" width="31.28515625" style="843" customWidth="1"/>
    <col min="11004" max="11004" width="9.28515625" style="843" customWidth="1"/>
    <col min="11005" max="11005" width="12.140625" style="843" customWidth="1"/>
    <col min="11006" max="11009" width="9.85546875" style="843" bestFit="1" customWidth="1"/>
    <col min="11010" max="11010" width="16" style="843" customWidth="1"/>
    <col min="11011" max="11011" width="10.7109375" style="843" bestFit="1" customWidth="1"/>
    <col min="11012" max="11012" width="11.42578125" style="843" customWidth="1"/>
    <col min="11013" max="11013" width="10.7109375" style="843" bestFit="1" customWidth="1"/>
    <col min="11014" max="11016" width="10.42578125" style="843" customWidth="1"/>
    <col min="11017" max="11017" width="11.85546875" style="843" customWidth="1"/>
    <col min="11018" max="11018" width="10.7109375" style="843" customWidth="1"/>
    <col min="11019" max="11019" width="11.42578125" style="843" customWidth="1"/>
    <col min="11020" max="11021" width="11.28515625" style="843" customWidth="1"/>
    <col min="11022" max="11022" width="9.85546875" style="843" customWidth="1"/>
    <col min="11023" max="11024" width="10.7109375" style="843" bestFit="1" customWidth="1"/>
    <col min="11025" max="11025" width="14.140625" style="843" customWidth="1"/>
    <col min="11026" max="11026" width="15.7109375" style="843" customWidth="1"/>
    <col min="11027" max="11258" width="9" style="843"/>
    <col min="11259" max="11259" width="31.28515625" style="843" customWidth="1"/>
    <col min="11260" max="11260" width="9.28515625" style="843" customWidth="1"/>
    <col min="11261" max="11261" width="12.140625" style="843" customWidth="1"/>
    <col min="11262" max="11265" width="9.85546875" style="843" bestFit="1" customWidth="1"/>
    <col min="11266" max="11266" width="16" style="843" customWidth="1"/>
    <col min="11267" max="11267" width="10.7109375" style="843" bestFit="1" customWidth="1"/>
    <col min="11268" max="11268" width="11.42578125" style="843" customWidth="1"/>
    <col min="11269" max="11269" width="10.7109375" style="843" bestFit="1" customWidth="1"/>
    <col min="11270" max="11272" width="10.42578125" style="843" customWidth="1"/>
    <col min="11273" max="11273" width="11.85546875" style="843" customWidth="1"/>
    <col min="11274" max="11274" width="10.7109375" style="843" customWidth="1"/>
    <col min="11275" max="11275" width="11.42578125" style="843" customWidth="1"/>
    <col min="11276" max="11277" width="11.28515625" style="843" customWidth="1"/>
    <col min="11278" max="11278" width="9.85546875" style="843" customWidth="1"/>
    <col min="11279" max="11280" width="10.7109375" style="843" bestFit="1" customWidth="1"/>
    <col min="11281" max="11281" width="14.140625" style="843" customWidth="1"/>
    <col min="11282" max="11282" width="15.7109375" style="843" customWidth="1"/>
    <col min="11283" max="11514" width="9" style="843"/>
    <col min="11515" max="11515" width="31.28515625" style="843" customWidth="1"/>
    <col min="11516" max="11516" width="9.28515625" style="843" customWidth="1"/>
    <col min="11517" max="11517" width="12.140625" style="843" customWidth="1"/>
    <col min="11518" max="11521" width="9.85546875" style="843" bestFit="1" customWidth="1"/>
    <col min="11522" max="11522" width="16" style="843" customWidth="1"/>
    <col min="11523" max="11523" width="10.7109375" style="843" bestFit="1" customWidth="1"/>
    <col min="11524" max="11524" width="11.42578125" style="843" customWidth="1"/>
    <col min="11525" max="11525" width="10.7109375" style="843" bestFit="1" customWidth="1"/>
    <col min="11526" max="11528" width="10.42578125" style="843" customWidth="1"/>
    <col min="11529" max="11529" width="11.85546875" style="843" customWidth="1"/>
    <col min="11530" max="11530" width="10.7109375" style="843" customWidth="1"/>
    <col min="11531" max="11531" width="11.42578125" style="843" customWidth="1"/>
    <col min="11532" max="11533" width="11.28515625" style="843" customWidth="1"/>
    <col min="11534" max="11534" width="9.85546875" style="843" customWidth="1"/>
    <col min="11535" max="11536" width="10.7109375" style="843" bestFit="1" customWidth="1"/>
    <col min="11537" max="11537" width="14.140625" style="843" customWidth="1"/>
    <col min="11538" max="11538" width="15.7109375" style="843" customWidth="1"/>
    <col min="11539" max="11770" width="9" style="843"/>
    <col min="11771" max="11771" width="31.28515625" style="843" customWidth="1"/>
    <col min="11772" max="11772" width="9.28515625" style="843" customWidth="1"/>
    <col min="11773" max="11773" width="12.140625" style="843" customWidth="1"/>
    <col min="11774" max="11777" width="9.85546875" style="843" bestFit="1" customWidth="1"/>
    <col min="11778" max="11778" width="16" style="843" customWidth="1"/>
    <col min="11779" max="11779" width="10.7109375" style="843" bestFit="1" customWidth="1"/>
    <col min="11780" max="11780" width="11.42578125" style="843" customWidth="1"/>
    <col min="11781" max="11781" width="10.7109375" style="843" bestFit="1" customWidth="1"/>
    <col min="11782" max="11784" width="10.42578125" style="843" customWidth="1"/>
    <col min="11785" max="11785" width="11.85546875" style="843" customWidth="1"/>
    <col min="11786" max="11786" width="10.7109375" style="843" customWidth="1"/>
    <col min="11787" max="11787" width="11.42578125" style="843" customWidth="1"/>
    <col min="11788" max="11789" width="11.28515625" style="843" customWidth="1"/>
    <col min="11790" max="11790" width="9.85546875" style="843" customWidth="1"/>
    <col min="11791" max="11792" width="10.7109375" style="843" bestFit="1" customWidth="1"/>
    <col min="11793" max="11793" width="14.140625" style="843" customWidth="1"/>
    <col min="11794" max="11794" width="15.7109375" style="843" customWidth="1"/>
    <col min="11795" max="12026" width="9" style="843"/>
    <col min="12027" max="12027" width="31.28515625" style="843" customWidth="1"/>
    <col min="12028" max="12028" width="9.28515625" style="843" customWidth="1"/>
    <col min="12029" max="12029" width="12.140625" style="843" customWidth="1"/>
    <col min="12030" max="12033" width="9.85546875" style="843" bestFit="1" customWidth="1"/>
    <col min="12034" max="12034" width="16" style="843" customWidth="1"/>
    <col min="12035" max="12035" width="10.7109375" style="843" bestFit="1" customWidth="1"/>
    <col min="12036" max="12036" width="11.42578125" style="843" customWidth="1"/>
    <col min="12037" max="12037" width="10.7109375" style="843" bestFit="1" customWidth="1"/>
    <col min="12038" max="12040" width="10.42578125" style="843" customWidth="1"/>
    <col min="12041" max="12041" width="11.85546875" style="843" customWidth="1"/>
    <col min="12042" max="12042" width="10.7109375" style="843" customWidth="1"/>
    <col min="12043" max="12043" width="11.42578125" style="843" customWidth="1"/>
    <col min="12044" max="12045" width="11.28515625" style="843" customWidth="1"/>
    <col min="12046" max="12046" width="9.85546875" style="843" customWidth="1"/>
    <col min="12047" max="12048" width="10.7109375" style="843" bestFit="1" customWidth="1"/>
    <col min="12049" max="12049" width="14.140625" style="843" customWidth="1"/>
    <col min="12050" max="12050" width="15.7109375" style="843" customWidth="1"/>
    <col min="12051" max="12282" width="9" style="843"/>
    <col min="12283" max="12283" width="31.28515625" style="843" customWidth="1"/>
    <col min="12284" max="12284" width="9.28515625" style="843" customWidth="1"/>
    <col min="12285" max="12285" width="12.140625" style="843" customWidth="1"/>
    <col min="12286" max="12289" width="9.85546875" style="843" bestFit="1" customWidth="1"/>
    <col min="12290" max="12290" width="16" style="843" customWidth="1"/>
    <col min="12291" max="12291" width="10.7109375" style="843" bestFit="1" customWidth="1"/>
    <col min="12292" max="12292" width="11.42578125" style="843" customWidth="1"/>
    <col min="12293" max="12293" width="10.7109375" style="843" bestFit="1" customWidth="1"/>
    <col min="12294" max="12296" width="10.42578125" style="843" customWidth="1"/>
    <col min="12297" max="12297" width="11.85546875" style="843" customWidth="1"/>
    <col min="12298" max="12298" width="10.7109375" style="843" customWidth="1"/>
    <col min="12299" max="12299" width="11.42578125" style="843" customWidth="1"/>
    <col min="12300" max="12301" width="11.28515625" style="843" customWidth="1"/>
    <col min="12302" max="12302" width="9.85546875" style="843" customWidth="1"/>
    <col min="12303" max="12304" width="10.7109375" style="843" bestFit="1" customWidth="1"/>
    <col min="12305" max="12305" width="14.140625" style="843" customWidth="1"/>
    <col min="12306" max="12306" width="15.7109375" style="843" customWidth="1"/>
    <col min="12307" max="12538" width="9" style="843"/>
    <col min="12539" max="12539" width="31.28515625" style="843" customWidth="1"/>
    <col min="12540" max="12540" width="9.28515625" style="843" customWidth="1"/>
    <col min="12541" max="12541" width="12.140625" style="843" customWidth="1"/>
    <col min="12542" max="12545" width="9.85546875" style="843" bestFit="1" customWidth="1"/>
    <col min="12546" max="12546" width="16" style="843" customWidth="1"/>
    <col min="12547" max="12547" width="10.7109375" style="843" bestFit="1" customWidth="1"/>
    <col min="12548" max="12548" width="11.42578125" style="843" customWidth="1"/>
    <col min="12549" max="12549" width="10.7109375" style="843" bestFit="1" customWidth="1"/>
    <col min="12550" max="12552" width="10.42578125" style="843" customWidth="1"/>
    <col min="12553" max="12553" width="11.85546875" style="843" customWidth="1"/>
    <col min="12554" max="12554" width="10.7109375" style="843" customWidth="1"/>
    <col min="12555" max="12555" width="11.42578125" style="843" customWidth="1"/>
    <col min="12556" max="12557" width="11.28515625" style="843" customWidth="1"/>
    <col min="12558" max="12558" width="9.85546875" style="843" customWidth="1"/>
    <col min="12559" max="12560" width="10.7109375" style="843" bestFit="1" customWidth="1"/>
    <col min="12561" max="12561" width="14.140625" style="843" customWidth="1"/>
    <col min="12562" max="12562" width="15.7109375" style="843" customWidth="1"/>
    <col min="12563" max="12794" width="9" style="843"/>
    <col min="12795" max="12795" width="31.28515625" style="843" customWidth="1"/>
    <col min="12796" max="12796" width="9.28515625" style="843" customWidth="1"/>
    <col min="12797" max="12797" width="12.140625" style="843" customWidth="1"/>
    <col min="12798" max="12801" width="9.85546875" style="843" bestFit="1" customWidth="1"/>
    <col min="12802" max="12802" width="16" style="843" customWidth="1"/>
    <col min="12803" max="12803" width="10.7109375" style="843" bestFit="1" customWidth="1"/>
    <col min="12804" max="12804" width="11.42578125" style="843" customWidth="1"/>
    <col min="12805" max="12805" width="10.7109375" style="843" bestFit="1" customWidth="1"/>
    <col min="12806" max="12808" width="10.42578125" style="843" customWidth="1"/>
    <col min="12809" max="12809" width="11.85546875" style="843" customWidth="1"/>
    <col min="12810" max="12810" width="10.7109375" style="843" customWidth="1"/>
    <col min="12811" max="12811" width="11.42578125" style="843" customWidth="1"/>
    <col min="12812" max="12813" width="11.28515625" style="843" customWidth="1"/>
    <col min="12814" max="12814" width="9.85546875" style="843" customWidth="1"/>
    <col min="12815" max="12816" width="10.7109375" style="843" bestFit="1" customWidth="1"/>
    <col min="12817" max="12817" width="14.140625" style="843" customWidth="1"/>
    <col min="12818" max="12818" width="15.7109375" style="843" customWidth="1"/>
    <col min="12819" max="13050" width="9" style="843"/>
    <col min="13051" max="13051" width="31.28515625" style="843" customWidth="1"/>
    <col min="13052" max="13052" width="9.28515625" style="843" customWidth="1"/>
    <col min="13053" max="13053" width="12.140625" style="843" customWidth="1"/>
    <col min="13054" max="13057" width="9.85546875" style="843" bestFit="1" customWidth="1"/>
    <col min="13058" max="13058" width="16" style="843" customWidth="1"/>
    <col min="13059" max="13059" width="10.7109375" style="843" bestFit="1" customWidth="1"/>
    <col min="13060" max="13060" width="11.42578125" style="843" customWidth="1"/>
    <col min="13061" max="13061" width="10.7109375" style="843" bestFit="1" customWidth="1"/>
    <col min="13062" max="13064" width="10.42578125" style="843" customWidth="1"/>
    <col min="13065" max="13065" width="11.85546875" style="843" customWidth="1"/>
    <col min="13066" max="13066" width="10.7109375" style="843" customWidth="1"/>
    <col min="13067" max="13067" width="11.42578125" style="843" customWidth="1"/>
    <col min="13068" max="13069" width="11.28515625" style="843" customWidth="1"/>
    <col min="13070" max="13070" width="9.85546875" style="843" customWidth="1"/>
    <col min="13071" max="13072" width="10.7109375" style="843" bestFit="1" customWidth="1"/>
    <col min="13073" max="13073" width="14.140625" style="843" customWidth="1"/>
    <col min="13074" max="13074" width="15.7109375" style="843" customWidth="1"/>
    <col min="13075" max="13306" width="9" style="843"/>
    <col min="13307" max="13307" width="31.28515625" style="843" customWidth="1"/>
    <col min="13308" max="13308" width="9.28515625" style="843" customWidth="1"/>
    <col min="13309" max="13309" width="12.140625" style="843" customWidth="1"/>
    <col min="13310" max="13313" width="9.85546875" style="843" bestFit="1" customWidth="1"/>
    <col min="13314" max="13314" width="16" style="843" customWidth="1"/>
    <col min="13315" max="13315" width="10.7109375" style="843" bestFit="1" customWidth="1"/>
    <col min="13316" max="13316" width="11.42578125" style="843" customWidth="1"/>
    <col min="13317" max="13317" width="10.7109375" style="843" bestFit="1" customWidth="1"/>
    <col min="13318" max="13320" width="10.42578125" style="843" customWidth="1"/>
    <col min="13321" max="13321" width="11.85546875" style="843" customWidth="1"/>
    <col min="13322" max="13322" width="10.7109375" style="843" customWidth="1"/>
    <col min="13323" max="13323" width="11.42578125" style="843" customWidth="1"/>
    <col min="13324" max="13325" width="11.28515625" style="843" customWidth="1"/>
    <col min="13326" max="13326" width="9.85546875" style="843" customWidth="1"/>
    <col min="13327" max="13328" width="10.7109375" style="843" bestFit="1" customWidth="1"/>
    <col min="13329" max="13329" width="14.140625" style="843" customWidth="1"/>
    <col min="13330" max="13330" width="15.7109375" style="843" customWidth="1"/>
    <col min="13331" max="13562" width="9" style="843"/>
    <col min="13563" max="13563" width="31.28515625" style="843" customWidth="1"/>
    <col min="13564" max="13564" width="9.28515625" style="843" customWidth="1"/>
    <col min="13565" max="13565" width="12.140625" style="843" customWidth="1"/>
    <col min="13566" max="13569" width="9.85546875" style="843" bestFit="1" customWidth="1"/>
    <col min="13570" max="13570" width="16" style="843" customWidth="1"/>
    <col min="13571" max="13571" width="10.7109375" style="843" bestFit="1" customWidth="1"/>
    <col min="13572" max="13572" width="11.42578125" style="843" customWidth="1"/>
    <col min="13573" max="13573" width="10.7109375" style="843" bestFit="1" customWidth="1"/>
    <col min="13574" max="13576" width="10.42578125" style="843" customWidth="1"/>
    <col min="13577" max="13577" width="11.85546875" style="843" customWidth="1"/>
    <col min="13578" max="13578" width="10.7109375" style="843" customWidth="1"/>
    <col min="13579" max="13579" width="11.42578125" style="843" customWidth="1"/>
    <col min="13580" max="13581" width="11.28515625" style="843" customWidth="1"/>
    <col min="13582" max="13582" width="9.85546875" style="843" customWidth="1"/>
    <col min="13583" max="13584" width="10.7109375" style="843" bestFit="1" customWidth="1"/>
    <col min="13585" max="13585" width="14.140625" style="843" customWidth="1"/>
    <col min="13586" max="13586" width="15.7109375" style="843" customWidth="1"/>
    <col min="13587" max="13818" width="9" style="843"/>
    <col min="13819" max="13819" width="31.28515625" style="843" customWidth="1"/>
    <col min="13820" max="13820" width="9.28515625" style="843" customWidth="1"/>
    <col min="13821" max="13821" width="12.140625" style="843" customWidth="1"/>
    <col min="13822" max="13825" width="9.85546875" style="843" bestFit="1" customWidth="1"/>
    <col min="13826" max="13826" width="16" style="843" customWidth="1"/>
    <col min="13827" max="13827" width="10.7109375" style="843" bestFit="1" customWidth="1"/>
    <col min="13828" max="13828" width="11.42578125" style="843" customWidth="1"/>
    <col min="13829" max="13829" width="10.7109375" style="843" bestFit="1" customWidth="1"/>
    <col min="13830" max="13832" width="10.42578125" style="843" customWidth="1"/>
    <col min="13833" max="13833" width="11.85546875" style="843" customWidth="1"/>
    <col min="13834" max="13834" width="10.7109375" style="843" customWidth="1"/>
    <col min="13835" max="13835" width="11.42578125" style="843" customWidth="1"/>
    <col min="13836" max="13837" width="11.28515625" style="843" customWidth="1"/>
    <col min="13838" max="13838" width="9.85546875" style="843" customWidth="1"/>
    <col min="13839" max="13840" width="10.7109375" style="843" bestFit="1" customWidth="1"/>
    <col min="13841" max="13841" width="14.140625" style="843" customWidth="1"/>
    <col min="13842" max="13842" width="15.7109375" style="843" customWidth="1"/>
    <col min="13843" max="14074" width="9" style="843"/>
    <col min="14075" max="14075" width="31.28515625" style="843" customWidth="1"/>
    <col min="14076" max="14076" width="9.28515625" style="843" customWidth="1"/>
    <col min="14077" max="14077" width="12.140625" style="843" customWidth="1"/>
    <col min="14078" max="14081" width="9.85546875" style="843" bestFit="1" customWidth="1"/>
    <col min="14082" max="14082" width="16" style="843" customWidth="1"/>
    <col min="14083" max="14083" width="10.7109375" style="843" bestFit="1" customWidth="1"/>
    <col min="14084" max="14084" width="11.42578125" style="843" customWidth="1"/>
    <col min="14085" max="14085" width="10.7109375" style="843" bestFit="1" customWidth="1"/>
    <col min="14086" max="14088" width="10.42578125" style="843" customWidth="1"/>
    <col min="14089" max="14089" width="11.85546875" style="843" customWidth="1"/>
    <col min="14090" max="14090" width="10.7109375" style="843" customWidth="1"/>
    <col min="14091" max="14091" width="11.42578125" style="843" customWidth="1"/>
    <col min="14092" max="14093" width="11.28515625" style="843" customWidth="1"/>
    <col min="14094" max="14094" width="9.85546875" style="843" customWidth="1"/>
    <col min="14095" max="14096" width="10.7109375" style="843" bestFit="1" customWidth="1"/>
    <col min="14097" max="14097" width="14.140625" style="843" customWidth="1"/>
    <col min="14098" max="14098" width="15.7109375" style="843" customWidth="1"/>
    <col min="14099" max="14330" width="9" style="843"/>
    <col min="14331" max="14331" width="31.28515625" style="843" customWidth="1"/>
    <col min="14332" max="14332" width="9.28515625" style="843" customWidth="1"/>
    <col min="14333" max="14333" width="12.140625" style="843" customWidth="1"/>
    <col min="14334" max="14337" width="9.85546875" style="843" bestFit="1" customWidth="1"/>
    <col min="14338" max="14338" width="16" style="843" customWidth="1"/>
    <col min="14339" max="14339" width="10.7109375" style="843" bestFit="1" customWidth="1"/>
    <col min="14340" max="14340" width="11.42578125" style="843" customWidth="1"/>
    <col min="14341" max="14341" width="10.7109375" style="843" bestFit="1" customWidth="1"/>
    <col min="14342" max="14344" width="10.42578125" style="843" customWidth="1"/>
    <col min="14345" max="14345" width="11.85546875" style="843" customWidth="1"/>
    <col min="14346" max="14346" width="10.7109375" style="843" customWidth="1"/>
    <col min="14347" max="14347" width="11.42578125" style="843" customWidth="1"/>
    <col min="14348" max="14349" width="11.28515625" style="843" customWidth="1"/>
    <col min="14350" max="14350" width="9.85546875" style="843" customWidth="1"/>
    <col min="14351" max="14352" width="10.7109375" style="843" bestFit="1" customWidth="1"/>
    <col min="14353" max="14353" width="14.140625" style="843" customWidth="1"/>
    <col min="14354" max="14354" width="15.7109375" style="843" customWidth="1"/>
    <col min="14355" max="14586" width="9" style="843"/>
    <col min="14587" max="14587" width="31.28515625" style="843" customWidth="1"/>
    <col min="14588" max="14588" width="9.28515625" style="843" customWidth="1"/>
    <col min="14589" max="14589" width="12.140625" style="843" customWidth="1"/>
    <col min="14590" max="14593" width="9.85546875" style="843" bestFit="1" customWidth="1"/>
    <col min="14594" max="14594" width="16" style="843" customWidth="1"/>
    <col min="14595" max="14595" width="10.7109375" style="843" bestFit="1" customWidth="1"/>
    <col min="14596" max="14596" width="11.42578125" style="843" customWidth="1"/>
    <col min="14597" max="14597" width="10.7109375" style="843" bestFit="1" customWidth="1"/>
    <col min="14598" max="14600" width="10.42578125" style="843" customWidth="1"/>
    <col min="14601" max="14601" width="11.85546875" style="843" customWidth="1"/>
    <col min="14602" max="14602" width="10.7109375" style="843" customWidth="1"/>
    <col min="14603" max="14603" width="11.42578125" style="843" customWidth="1"/>
    <col min="14604" max="14605" width="11.28515625" style="843" customWidth="1"/>
    <col min="14606" max="14606" width="9.85546875" style="843" customWidth="1"/>
    <col min="14607" max="14608" width="10.7109375" style="843" bestFit="1" customWidth="1"/>
    <col min="14609" max="14609" width="14.140625" style="843" customWidth="1"/>
    <col min="14610" max="14610" width="15.7109375" style="843" customWidth="1"/>
    <col min="14611" max="14842" width="9" style="843"/>
    <col min="14843" max="14843" width="31.28515625" style="843" customWidth="1"/>
    <col min="14844" max="14844" width="9.28515625" style="843" customWidth="1"/>
    <col min="14845" max="14845" width="12.140625" style="843" customWidth="1"/>
    <col min="14846" max="14849" width="9.85546875" style="843" bestFit="1" customWidth="1"/>
    <col min="14850" max="14850" width="16" style="843" customWidth="1"/>
    <col min="14851" max="14851" width="10.7109375" style="843" bestFit="1" customWidth="1"/>
    <col min="14852" max="14852" width="11.42578125" style="843" customWidth="1"/>
    <col min="14853" max="14853" width="10.7109375" style="843" bestFit="1" customWidth="1"/>
    <col min="14854" max="14856" width="10.42578125" style="843" customWidth="1"/>
    <col min="14857" max="14857" width="11.85546875" style="843" customWidth="1"/>
    <col min="14858" max="14858" width="10.7109375" style="843" customWidth="1"/>
    <col min="14859" max="14859" width="11.42578125" style="843" customWidth="1"/>
    <col min="14860" max="14861" width="11.28515625" style="843" customWidth="1"/>
    <col min="14862" max="14862" width="9.85546875" style="843" customWidth="1"/>
    <col min="14863" max="14864" width="10.7109375" style="843" bestFit="1" customWidth="1"/>
    <col min="14865" max="14865" width="14.140625" style="843" customWidth="1"/>
    <col min="14866" max="14866" width="15.7109375" style="843" customWidth="1"/>
    <col min="14867" max="15098" width="9" style="843"/>
    <col min="15099" max="15099" width="31.28515625" style="843" customWidth="1"/>
    <col min="15100" max="15100" width="9.28515625" style="843" customWidth="1"/>
    <col min="15101" max="15101" width="12.140625" style="843" customWidth="1"/>
    <col min="15102" max="15105" width="9.85546875" style="843" bestFit="1" customWidth="1"/>
    <col min="15106" max="15106" width="16" style="843" customWidth="1"/>
    <col min="15107" max="15107" width="10.7109375" style="843" bestFit="1" customWidth="1"/>
    <col min="15108" max="15108" width="11.42578125" style="843" customWidth="1"/>
    <col min="15109" max="15109" width="10.7109375" style="843" bestFit="1" customWidth="1"/>
    <col min="15110" max="15112" width="10.42578125" style="843" customWidth="1"/>
    <col min="15113" max="15113" width="11.85546875" style="843" customWidth="1"/>
    <col min="15114" max="15114" width="10.7109375" style="843" customWidth="1"/>
    <col min="15115" max="15115" width="11.42578125" style="843" customWidth="1"/>
    <col min="15116" max="15117" width="11.28515625" style="843" customWidth="1"/>
    <col min="15118" max="15118" width="9.85546875" style="843" customWidth="1"/>
    <col min="15119" max="15120" width="10.7109375" style="843" bestFit="1" customWidth="1"/>
    <col min="15121" max="15121" width="14.140625" style="843" customWidth="1"/>
    <col min="15122" max="15122" width="15.7109375" style="843" customWidth="1"/>
    <col min="15123" max="15354" width="9" style="843"/>
    <col min="15355" max="15355" width="31.28515625" style="843" customWidth="1"/>
    <col min="15356" max="15356" width="9.28515625" style="843" customWidth="1"/>
    <col min="15357" max="15357" width="12.140625" style="843" customWidth="1"/>
    <col min="15358" max="15361" width="9.85546875" style="843" bestFit="1" customWidth="1"/>
    <col min="15362" max="15362" width="16" style="843" customWidth="1"/>
    <col min="15363" max="15363" width="10.7109375" style="843" bestFit="1" customWidth="1"/>
    <col min="15364" max="15364" width="11.42578125" style="843" customWidth="1"/>
    <col min="15365" max="15365" width="10.7109375" style="843" bestFit="1" customWidth="1"/>
    <col min="15366" max="15368" width="10.42578125" style="843" customWidth="1"/>
    <col min="15369" max="15369" width="11.85546875" style="843" customWidth="1"/>
    <col min="15370" max="15370" width="10.7109375" style="843" customWidth="1"/>
    <col min="15371" max="15371" width="11.42578125" style="843" customWidth="1"/>
    <col min="15372" max="15373" width="11.28515625" style="843" customWidth="1"/>
    <col min="15374" max="15374" width="9.85546875" style="843" customWidth="1"/>
    <col min="15375" max="15376" width="10.7109375" style="843" bestFit="1" customWidth="1"/>
    <col min="15377" max="15377" width="14.140625" style="843" customWidth="1"/>
    <col min="15378" max="15378" width="15.7109375" style="843" customWidth="1"/>
    <col min="15379" max="15610" width="9" style="843"/>
    <col min="15611" max="15611" width="31.28515625" style="843" customWidth="1"/>
    <col min="15612" max="15612" width="9.28515625" style="843" customWidth="1"/>
    <col min="15613" max="15613" width="12.140625" style="843" customWidth="1"/>
    <col min="15614" max="15617" width="9.85546875" style="843" bestFit="1" customWidth="1"/>
    <col min="15618" max="15618" width="16" style="843" customWidth="1"/>
    <col min="15619" max="15619" width="10.7109375" style="843" bestFit="1" customWidth="1"/>
    <col min="15620" max="15620" width="11.42578125" style="843" customWidth="1"/>
    <col min="15621" max="15621" width="10.7109375" style="843" bestFit="1" customWidth="1"/>
    <col min="15622" max="15624" width="10.42578125" style="843" customWidth="1"/>
    <col min="15625" max="15625" width="11.85546875" style="843" customWidth="1"/>
    <col min="15626" max="15626" width="10.7109375" style="843" customWidth="1"/>
    <col min="15627" max="15627" width="11.42578125" style="843" customWidth="1"/>
    <col min="15628" max="15629" width="11.28515625" style="843" customWidth="1"/>
    <col min="15630" max="15630" width="9.85546875" style="843" customWidth="1"/>
    <col min="15631" max="15632" width="10.7109375" style="843" bestFit="1" customWidth="1"/>
    <col min="15633" max="15633" width="14.140625" style="843" customWidth="1"/>
    <col min="15634" max="15634" width="15.7109375" style="843" customWidth="1"/>
    <col min="15635" max="15866" width="9" style="843"/>
    <col min="15867" max="15867" width="31.28515625" style="843" customWidth="1"/>
    <col min="15868" max="15868" width="9.28515625" style="843" customWidth="1"/>
    <col min="15869" max="15869" width="12.140625" style="843" customWidth="1"/>
    <col min="15870" max="15873" width="9.85546875" style="843" bestFit="1" customWidth="1"/>
    <col min="15874" max="15874" width="16" style="843" customWidth="1"/>
    <col min="15875" max="15875" width="10.7109375" style="843" bestFit="1" customWidth="1"/>
    <col min="15876" max="15876" width="11.42578125" style="843" customWidth="1"/>
    <col min="15877" max="15877" width="10.7109375" style="843" bestFit="1" customWidth="1"/>
    <col min="15878" max="15880" width="10.42578125" style="843" customWidth="1"/>
    <col min="15881" max="15881" width="11.85546875" style="843" customWidth="1"/>
    <col min="15882" max="15882" width="10.7109375" style="843" customWidth="1"/>
    <col min="15883" max="15883" width="11.42578125" style="843" customWidth="1"/>
    <col min="15884" max="15885" width="11.28515625" style="843" customWidth="1"/>
    <col min="15886" max="15886" width="9.85546875" style="843" customWidth="1"/>
    <col min="15887" max="15888" width="10.7109375" style="843" bestFit="1" customWidth="1"/>
    <col min="15889" max="15889" width="14.140625" style="843" customWidth="1"/>
    <col min="15890" max="15890" width="15.7109375" style="843" customWidth="1"/>
    <col min="15891" max="16122" width="9" style="843"/>
    <col min="16123" max="16123" width="31.28515625" style="843" customWidth="1"/>
    <col min="16124" max="16124" width="9.28515625" style="843" customWidth="1"/>
    <col min="16125" max="16125" width="12.140625" style="843" customWidth="1"/>
    <col min="16126" max="16129" width="9.85546875" style="843" bestFit="1" customWidth="1"/>
    <col min="16130" max="16130" width="16" style="843" customWidth="1"/>
    <col min="16131" max="16131" width="10.7109375" style="843" bestFit="1" customWidth="1"/>
    <col min="16132" max="16132" width="11.42578125" style="843" customWidth="1"/>
    <col min="16133" max="16133" width="10.7109375" style="843" bestFit="1" customWidth="1"/>
    <col min="16134" max="16136" width="10.42578125" style="843" customWidth="1"/>
    <col min="16137" max="16137" width="11.85546875" style="843" customWidth="1"/>
    <col min="16138" max="16138" width="10.7109375" style="843" customWidth="1"/>
    <col min="16139" max="16139" width="11.42578125" style="843" customWidth="1"/>
    <col min="16140" max="16141" width="11.28515625" style="843" customWidth="1"/>
    <col min="16142" max="16142" width="9.85546875" style="843" customWidth="1"/>
    <col min="16143" max="16144" width="10.7109375" style="843" bestFit="1" customWidth="1"/>
    <col min="16145" max="16145" width="14.140625" style="843" customWidth="1"/>
    <col min="16146" max="16146" width="15.7109375" style="843" customWidth="1"/>
    <col min="16147" max="16384" width="9" style="843"/>
  </cols>
  <sheetData>
    <row r="1" spans="1:42" ht="15.95" customHeight="1">
      <c r="A1" s="839" t="s">
        <v>705</v>
      </c>
      <c r="B1" s="840" t="s">
        <v>700</v>
      </c>
      <c r="C1" s="840"/>
      <c r="D1" s="840" t="s">
        <v>665</v>
      </c>
      <c r="E1" s="841"/>
      <c r="F1" s="840"/>
      <c r="G1" s="841"/>
      <c r="H1" s="841"/>
      <c r="I1" s="841"/>
      <c r="J1" s="841" t="s">
        <v>666</v>
      </c>
      <c r="K1" s="841"/>
      <c r="L1" s="841"/>
      <c r="M1" s="841"/>
      <c r="N1" s="841"/>
      <c r="O1" s="841"/>
      <c r="P1" s="841"/>
      <c r="Q1" s="842"/>
      <c r="R1" s="842"/>
    </row>
    <row r="2" spans="1:42" s="842" customFormat="1" outlineLevel="1">
      <c r="A2" s="844" t="s">
        <v>59</v>
      </c>
      <c r="B2" s="845">
        <v>2014</v>
      </c>
      <c r="C2" s="845">
        <f t="shared" ref="C2:H2" si="0">B2+1</f>
        <v>2015</v>
      </c>
      <c r="D2" s="845">
        <f t="shared" si="0"/>
        <v>2016</v>
      </c>
      <c r="E2" s="845">
        <f t="shared" si="0"/>
        <v>2017</v>
      </c>
      <c r="F2" s="845">
        <f t="shared" si="0"/>
        <v>2018</v>
      </c>
      <c r="G2" s="845">
        <f t="shared" si="0"/>
        <v>2019</v>
      </c>
      <c r="H2" s="845">
        <f t="shared" si="0"/>
        <v>2020</v>
      </c>
      <c r="I2" s="846">
        <f>H2+1</f>
        <v>2021</v>
      </c>
      <c r="J2" s="847" t="s">
        <v>667</v>
      </c>
      <c r="K2" s="848">
        <f>I2+1</f>
        <v>2022</v>
      </c>
      <c r="L2" s="849">
        <f>K2+1</f>
        <v>2023</v>
      </c>
      <c r="M2" s="849">
        <f>L2+1</f>
        <v>2024</v>
      </c>
      <c r="N2" s="849">
        <f>M2+1</f>
        <v>2025</v>
      </c>
      <c r="O2" s="849">
        <f>N2+1</f>
        <v>2026</v>
      </c>
      <c r="P2" s="850" t="s">
        <v>667</v>
      </c>
      <c r="V2" s="843"/>
      <c r="W2" s="843"/>
      <c r="X2" s="843"/>
      <c r="Y2" s="843"/>
      <c r="Z2" s="843"/>
      <c r="AA2" s="843"/>
      <c r="AB2" s="843"/>
      <c r="AC2" s="843"/>
      <c r="AD2" s="843"/>
      <c r="AE2" s="843"/>
      <c r="AF2" s="843"/>
      <c r="AG2" s="843"/>
      <c r="AH2" s="843"/>
      <c r="AI2" s="843"/>
      <c r="AJ2" s="843"/>
      <c r="AK2" s="843"/>
      <c r="AL2" s="843"/>
    </row>
    <row r="3" spans="1:42" s="842" customFormat="1" ht="16.7" customHeight="1" outlineLevel="1">
      <c r="A3" s="851" t="s">
        <v>668</v>
      </c>
      <c r="B3" s="852">
        <f>F318</f>
        <v>0.21450649598232627</v>
      </c>
      <c r="C3" s="852">
        <f>K318</f>
        <v>0.369986092742837</v>
      </c>
      <c r="D3" s="852">
        <f>P318</f>
        <v>0.48823965183774343</v>
      </c>
      <c r="E3" s="852">
        <f>U318</f>
        <v>0.53868215316957524</v>
      </c>
      <c r="F3" s="852">
        <f>Z318</f>
        <v>0.58913862789450588</v>
      </c>
      <c r="G3" s="852">
        <f>AE318</f>
        <v>0.62977218996492601</v>
      </c>
      <c r="H3" s="852">
        <f>AJ318</f>
        <v>0.50369081417712247</v>
      </c>
      <c r="I3" s="853">
        <f>AO318</f>
        <v>0.60830795132777227</v>
      </c>
      <c r="J3" s="854">
        <f>AVERAGE(E3:I3)</f>
        <v>0.57391834730678037</v>
      </c>
      <c r="K3" s="855">
        <f>I3+K4</f>
        <v>0.62830795132777228</v>
      </c>
      <c r="L3" s="856">
        <f>K3+L4</f>
        <v>0.62830795132777228</v>
      </c>
      <c r="M3" s="856">
        <f>L3+M4</f>
        <v>0.60830795132777227</v>
      </c>
      <c r="N3" s="856">
        <f>M3+N4</f>
        <v>0.59830795132777226</v>
      </c>
      <c r="O3" s="856">
        <f>N3+O4</f>
        <v>0.59830795132777226</v>
      </c>
      <c r="P3" s="857">
        <f>AVERAGE(K3:O3)</f>
        <v>0.61230795132777227</v>
      </c>
      <c r="V3" s="843"/>
      <c r="W3" s="843"/>
      <c r="X3" s="843"/>
      <c r="Y3" s="843"/>
      <c r="Z3" s="843"/>
      <c r="AA3" s="843"/>
      <c r="AB3" s="843"/>
      <c r="AC3" s="843"/>
      <c r="AD3" s="843"/>
      <c r="AE3" s="843"/>
      <c r="AF3" s="843"/>
      <c r="AG3" s="843"/>
      <c r="AH3" s="843"/>
      <c r="AI3" s="843"/>
      <c r="AJ3" s="843"/>
      <c r="AK3" s="843"/>
      <c r="AL3" s="843"/>
    </row>
    <row r="4" spans="1:42" s="842" customFormat="1" ht="16.7" customHeight="1" outlineLevel="1">
      <c r="A4" s="858" t="s">
        <v>669</v>
      </c>
      <c r="B4" s="859"/>
      <c r="C4" s="859">
        <f t="shared" ref="C4:H4" si="1">C3-B3</f>
        <v>0.15547959676051074</v>
      </c>
      <c r="D4" s="859">
        <f t="shared" si="1"/>
        <v>0.11825355909490642</v>
      </c>
      <c r="E4" s="859">
        <f t="shared" si="1"/>
        <v>5.0442501331831813E-2</v>
      </c>
      <c r="F4" s="859">
        <f t="shared" si="1"/>
        <v>5.0456474724930644E-2</v>
      </c>
      <c r="G4" s="860">
        <f t="shared" si="1"/>
        <v>4.0633562070420126E-2</v>
      </c>
      <c r="H4" s="861">
        <f t="shared" si="1"/>
        <v>-0.12608137578780354</v>
      </c>
      <c r="I4" s="862">
        <f>I3-H3</f>
        <v>0.1046171371506498</v>
      </c>
      <c r="J4" s="863">
        <f>RATE(COUNT(E2:I2)-1,,-E3,I3)</f>
        <v>3.0855343527908176E-2</v>
      </c>
      <c r="K4" s="864">
        <v>0.02</v>
      </c>
      <c r="L4" s="865">
        <v>0</v>
      </c>
      <c r="M4" s="865">
        <v>-0.02</v>
      </c>
      <c r="N4" s="865">
        <v>-0.01</v>
      </c>
      <c r="O4" s="866"/>
      <c r="P4" s="867">
        <f>RATE(COUNT(K2:O2)-1,,-K3,O3)</f>
        <v>-1.2156708952369227E-2</v>
      </c>
      <c r="V4" s="843"/>
      <c r="W4" s="843"/>
      <c r="X4" s="843"/>
      <c r="Y4" s="843"/>
      <c r="Z4" s="843"/>
      <c r="AA4" s="843"/>
      <c r="AB4" s="843"/>
      <c r="AC4" s="843"/>
      <c r="AD4" s="843"/>
      <c r="AE4" s="843"/>
      <c r="AF4" s="843"/>
      <c r="AG4" s="843"/>
      <c r="AH4" s="843"/>
      <c r="AI4" s="843"/>
      <c r="AJ4" s="843"/>
      <c r="AK4" s="843"/>
      <c r="AL4" s="843"/>
    </row>
    <row r="5" spans="1:42" s="842" customFormat="1" ht="16.7" customHeight="1" outlineLevel="1">
      <c r="A5" s="858" t="s">
        <v>670</v>
      </c>
      <c r="B5" s="868">
        <f>F259</f>
        <v>250404.58450463705</v>
      </c>
      <c r="C5" s="868">
        <f>K259</f>
        <v>263891</v>
      </c>
      <c r="D5" s="868">
        <f>P259</f>
        <v>264618</v>
      </c>
      <c r="E5" s="868">
        <f>U259</f>
        <v>307881</v>
      </c>
      <c r="F5" s="868">
        <f>Z259</f>
        <v>307695</v>
      </c>
      <c r="G5" s="868">
        <f>AE259</f>
        <v>321891</v>
      </c>
      <c r="H5" s="868">
        <f>AJ259</f>
        <v>327570</v>
      </c>
      <c r="I5" s="868">
        <f>AO259</f>
        <v>326675</v>
      </c>
      <c r="J5" s="869">
        <f>AVERAGE(E5:I5)</f>
        <v>318342.40000000002</v>
      </c>
      <c r="K5" s="870">
        <f>I5+(K26*365)</f>
        <v>326675</v>
      </c>
      <c r="L5" s="871">
        <f>K5+(L26*365)</f>
        <v>326675</v>
      </c>
      <c r="M5" s="871">
        <f>L5+(M26*365)</f>
        <v>326675</v>
      </c>
      <c r="N5" s="871">
        <f>M5+(N26*365)</f>
        <v>326675</v>
      </c>
      <c r="O5" s="871">
        <f>N5+(O26*365)</f>
        <v>326675</v>
      </c>
      <c r="P5" s="872">
        <f>AVERAGE(K5:O5)</f>
        <v>326675</v>
      </c>
      <c r="V5" s="843"/>
      <c r="W5" s="843"/>
      <c r="X5" s="843"/>
      <c r="Y5" s="843"/>
      <c r="Z5" s="843"/>
      <c r="AA5" s="843"/>
      <c r="AB5" s="843"/>
      <c r="AC5" s="843"/>
      <c r="AD5" s="843"/>
      <c r="AE5" s="843"/>
      <c r="AF5" s="843"/>
      <c r="AG5" s="843"/>
      <c r="AH5" s="843"/>
      <c r="AI5" s="843"/>
      <c r="AJ5" s="843"/>
      <c r="AK5" s="843"/>
      <c r="AL5" s="843"/>
    </row>
    <row r="6" spans="1:42" s="842" customFormat="1" ht="16.7" customHeight="1" outlineLevel="1">
      <c r="A6" s="858" t="s">
        <v>671</v>
      </c>
      <c r="B6" s="859"/>
      <c r="C6" s="861">
        <f t="shared" ref="C6:I6" si="2">C5/B5-1</f>
        <v>5.3858500722111291E-2</v>
      </c>
      <c r="D6" s="861">
        <f t="shared" si="2"/>
        <v>2.7549253290184428E-3</v>
      </c>
      <c r="E6" s="861">
        <f t="shared" si="2"/>
        <v>0.16349227943677302</v>
      </c>
      <c r="F6" s="861">
        <f t="shared" si="2"/>
        <v>-6.0412951757338185E-4</v>
      </c>
      <c r="G6" s="861">
        <f t="shared" si="2"/>
        <v>4.6136596304782396E-2</v>
      </c>
      <c r="H6" s="861">
        <f t="shared" si="2"/>
        <v>1.7642618153349998E-2</v>
      </c>
      <c r="I6" s="862">
        <f t="shared" si="2"/>
        <v>-2.732240437158473E-3</v>
      </c>
      <c r="J6" s="863">
        <f>RATE((COUNT(E5:I5)-1),,-E5,I5)</f>
        <v>1.4923369941329673E-2</v>
      </c>
      <c r="K6" s="873">
        <f>K5/I5-1</f>
        <v>0</v>
      </c>
      <c r="L6" s="861">
        <f>L5/K5-1</f>
        <v>0</v>
      </c>
      <c r="M6" s="861">
        <f>M5/L5-1</f>
        <v>0</v>
      </c>
      <c r="N6" s="861">
        <f>N5/M5-1</f>
        <v>0</v>
      </c>
      <c r="O6" s="861">
        <f>O5/N5-1</f>
        <v>0</v>
      </c>
      <c r="P6" s="867">
        <f>RATE(COUNT(K2:O2)-1,,-K5,O5)</f>
        <v>9.8351791875383666E-17</v>
      </c>
      <c r="V6" s="843"/>
      <c r="W6" s="843"/>
      <c r="X6" s="843"/>
      <c r="Y6" s="843"/>
      <c r="Z6" s="843"/>
      <c r="AA6" s="843"/>
      <c r="AB6" s="843"/>
      <c r="AC6" s="843"/>
      <c r="AD6" s="843"/>
      <c r="AE6" s="843"/>
      <c r="AF6" s="843"/>
      <c r="AG6" s="843"/>
      <c r="AH6" s="843"/>
      <c r="AI6" s="843"/>
      <c r="AJ6" s="843"/>
      <c r="AK6" s="843"/>
      <c r="AL6" s="843"/>
    </row>
    <row r="7" spans="1:42" s="842" customFormat="1" ht="16.7" customHeight="1" outlineLevel="1">
      <c r="A7" s="858" t="s">
        <v>672</v>
      </c>
      <c r="B7" s="868">
        <f>B5*B3</f>
        <v>53713.41</v>
      </c>
      <c r="C7" s="868">
        <f>C5*C3</f>
        <v>97636</v>
      </c>
      <c r="D7" s="868">
        <f>D5*D3</f>
        <v>129197.00018999999</v>
      </c>
      <c r="E7" s="868">
        <f>E5*E3</f>
        <v>165850.00000000201</v>
      </c>
      <c r="F7" s="868">
        <f>F5*F3</f>
        <v>181275.01010999997</v>
      </c>
      <c r="G7" s="874">
        <f>G3*G5</f>
        <v>202718</v>
      </c>
      <c r="H7" s="874">
        <f>H3*H5</f>
        <v>164994</v>
      </c>
      <c r="I7" s="875">
        <f>I3*I5</f>
        <v>198719</v>
      </c>
      <c r="J7" s="876">
        <f>AVERAGE(E7:I7)</f>
        <v>182711.20202200039</v>
      </c>
      <c r="K7" s="877">
        <f>K3*K5</f>
        <v>205252.5</v>
      </c>
      <c r="L7" s="874">
        <f>L3*L5</f>
        <v>205252.5</v>
      </c>
      <c r="M7" s="874">
        <f>M3*M5</f>
        <v>198719</v>
      </c>
      <c r="N7" s="874">
        <f>N3*N5</f>
        <v>195452.25</v>
      </c>
      <c r="O7" s="874">
        <f>O3*O5</f>
        <v>195452.25</v>
      </c>
      <c r="P7" s="872">
        <f>AVERAGE(K7:O7)</f>
        <v>200025.7</v>
      </c>
      <c r="V7" s="843"/>
      <c r="W7" s="843"/>
      <c r="X7" s="843"/>
      <c r="Y7" s="843"/>
      <c r="Z7" s="843"/>
      <c r="AA7" s="843"/>
      <c r="AB7" s="843"/>
      <c r="AC7" s="843"/>
      <c r="AD7" s="843"/>
      <c r="AE7" s="843"/>
      <c r="AF7" s="843"/>
      <c r="AG7" s="843"/>
      <c r="AH7" s="843"/>
      <c r="AI7" s="843"/>
      <c r="AJ7" s="843"/>
      <c r="AK7" s="843"/>
      <c r="AL7" s="843"/>
    </row>
    <row r="8" spans="1:42" s="842" customFormat="1" ht="16.7" customHeight="1" outlineLevel="1">
      <c r="A8" s="858" t="s">
        <v>673</v>
      </c>
      <c r="B8" s="859"/>
      <c r="C8" s="859">
        <f t="shared" ref="C8:I8" si="3">C7/B7-1</f>
        <v>0.81772112401726105</v>
      </c>
      <c r="D8" s="859">
        <f t="shared" si="3"/>
        <v>0.32325167141218403</v>
      </c>
      <c r="E8" s="859">
        <f t="shared" si="3"/>
        <v>0.28369853600392658</v>
      </c>
      <c r="F8" s="859">
        <f t="shared" si="3"/>
        <v>9.3005789026215036E-2</v>
      </c>
      <c r="G8" s="859">
        <f t="shared" si="3"/>
        <v>0.11828982868067772</v>
      </c>
      <c r="H8" s="859">
        <f t="shared" si="3"/>
        <v>-0.18609102299746449</v>
      </c>
      <c r="I8" s="859">
        <f t="shared" si="3"/>
        <v>0.20440137217110932</v>
      </c>
      <c r="J8" s="863">
        <f>RATE((COUNT(E2:I2)-1),,-E7,I7)</f>
        <v>4.6239179175332747E-2</v>
      </c>
      <c r="K8" s="878">
        <f>K7/I7-1</f>
        <v>3.2878084128845186E-2</v>
      </c>
      <c r="L8" s="859">
        <f>L7/K7-1</f>
        <v>0</v>
      </c>
      <c r="M8" s="859">
        <f>M7/L7-1</f>
        <v>-3.183152458557148E-2</v>
      </c>
      <c r="N8" s="859">
        <f>N7/M7-1</f>
        <v>-1.6439042064422593E-2</v>
      </c>
      <c r="O8" s="859">
        <f>O7/N7-1</f>
        <v>0</v>
      </c>
      <c r="P8" s="867">
        <f>RATE(COUNT(K4:O4)-1,,-K7,O7)</f>
        <v>-1.6176014858844668E-2</v>
      </c>
      <c r="V8" s="843"/>
      <c r="W8" s="843"/>
      <c r="X8" s="843"/>
      <c r="Y8" s="843"/>
      <c r="Z8" s="843"/>
      <c r="AA8" s="843"/>
      <c r="AB8" s="843"/>
      <c r="AC8" s="843"/>
      <c r="AD8" s="843"/>
      <c r="AE8" s="843"/>
      <c r="AF8" s="843"/>
      <c r="AG8" s="843"/>
      <c r="AH8" s="843"/>
      <c r="AI8" s="843"/>
      <c r="AJ8" s="843"/>
      <c r="AK8" s="843"/>
      <c r="AL8" s="843"/>
    </row>
    <row r="9" spans="1:42" s="842" customFormat="1" ht="16.7" customHeight="1" outlineLevel="2">
      <c r="A9" s="858" t="s">
        <v>674</v>
      </c>
      <c r="B9" s="879">
        <f t="shared" ref="B9:I9" si="4">B11/B18</f>
        <v>140.28408134497693</v>
      </c>
      <c r="C9" s="879">
        <f t="shared" si="4"/>
        <v>85.955850280564604</v>
      </c>
      <c r="D9" s="879">
        <f t="shared" si="4"/>
        <v>101.2982125326776</v>
      </c>
      <c r="E9" s="879">
        <f t="shared" si="4"/>
        <v>113.81137308807378</v>
      </c>
      <c r="F9" s="879">
        <f t="shared" si="4"/>
        <v>110.46703465115954</v>
      </c>
      <c r="G9" s="879">
        <f t="shared" si="4"/>
        <v>104.64173974344436</v>
      </c>
      <c r="H9" s="879">
        <f t="shared" si="4"/>
        <v>124.12081769769915</v>
      </c>
      <c r="I9" s="879">
        <f t="shared" si="4"/>
        <v>156.49722668964225</v>
      </c>
      <c r="J9" s="880">
        <f>AVERAGE(E9:I9)</f>
        <v>121.90763837400382</v>
      </c>
      <c r="K9" s="881">
        <f>K11/K18</f>
        <v>153.30202401733857</v>
      </c>
      <c r="L9" s="879">
        <f>L11/L18</f>
        <v>160.9671252182055</v>
      </c>
      <c r="M9" s="879">
        <f>M11/M18</f>
        <v>167.40581022693374</v>
      </c>
      <c r="N9" s="879">
        <f>N11/N18</f>
        <v>174.10204263601108</v>
      </c>
      <c r="O9" s="879">
        <f>O11/O18</f>
        <v>181.06612434145154</v>
      </c>
      <c r="P9" s="882">
        <f>AVERAGE(K9:O9)</f>
        <v>167.3686252879881</v>
      </c>
      <c r="V9" s="843"/>
      <c r="W9" s="843"/>
      <c r="X9" s="843"/>
      <c r="Y9" s="843"/>
      <c r="Z9" s="843"/>
      <c r="AA9" s="843"/>
      <c r="AB9" s="843"/>
      <c r="AC9" s="843"/>
      <c r="AD9" s="843"/>
      <c r="AE9" s="843"/>
      <c r="AF9" s="843"/>
      <c r="AG9" s="843"/>
      <c r="AH9" s="843"/>
      <c r="AI9" s="843"/>
      <c r="AJ9" s="843"/>
      <c r="AK9" s="843"/>
      <c r="AL9" s="843"/>
    </row>
    <row r="10" spans="1:42" s="842" customFormat="1" ht="16.7" customHeight="1" outlineLevel="2">
      <c r="A10" s="858" t="s">
        <v>675</v>
      </c>
      <c r="B10" s="859"/>
      <c r="C10" s="859">
        <f t="shared" ref="C10:H10" si="5">C9/B9-1</f>
        <v>-0.38727295744135137</v>
      </c>
      <c r="D10" s="859">
        <f t="shared" si="5"/>
        <v>0.17849119288605353</v>
      </c>
      <c r="E10" s="859">
        <f t="shared" si="5"/>
        <v>0.12352795022280949</v>
      </c>
      <c r="F10" s="859">
        <f t="shared" si="5"/>
        <v>-2.9384923019303177E-2</v>
      </c>
      <c r="G10" s="883">
        <f t="shared" si="5"/>
        <v>-5.2733332854554282E-2</v>
      </c>
      <c r="H10" s="884">
        <f t="shared" si="5"/>
        <v>0.18615017298080727</v>
      </c>
      <c r="I10" s="885">
        <f>I9/H9-1</f>
        <v>0.26084592087362046</v>
      </c>
      <c r="J10" s="863">
        <f>RATE((COUNT(E2:I2)-1),,-E9,I9)</f>
        <v>8.2879783101041549E-2</v>
      </c>
      <c r="K10" s="886">
        <f>K9/I9-1</f>
        <v>-2.0416992300063219E-2</v>
      </c>
      <c r="L10" s="884">
        <f>L9/K9-1</f>
        <v>5.0000000000000044E-2</v>
      </c>
      <c r="M10" s="884">
        <f>M9/L9-1</f>
        <v>4.0000000000000036E-2</v>
      </c>
      <c r="N10" s="884">
        <f>N9/M9-1</f>
        <v>4.0000000000000036E-2</v>
      </c>
      <c r="O10" s="884">
        <f>O9/N9-1</f>
        <v>4.0000000000000036E-2</v>
      </c>
      <c r="P10" s="867">
        <f>RATE(COUNT(K2:O2)-1,,-K9,O9)</f>
        <v>4.2491035806745167E-2</v>
      </c>
      <c r="V10" s="843"/>
      <c r="W10" s="843"/>
      <c r="X10" s="843"/>
      <c r="Y10" s="843"/>
      <c r="Z10" s="843"/>
      <c r="AA10" s="843"/>
      <c r="AB10" s="843"/>
      <c r="AC10" s="843"/>
      <c r="AD10" s="843"/>
      <c r="AE10" s="843"/>
      <c r="AF10" s="843"/>
      <c r="AG10" s="843"/>
      <c r="AH10" s="843"/>
      <c r="AI10" s="843"/>
      <c r="AJ10" s="843"/>
      <c r="AK10" s="843"/>
      <c r="AL10" s="843"/>
    </row>
    <row r="11" spans="1:42" s="892" customFormat="1" ht="16.7" customHeight="1" outlineLevel="1">
      <c r="A11" s="851" t="s">
        <v>676</v>
      </c>
      <c r="B11" s="887">
        <f>F377</f>
        <v>5392.1693766975504</v>
      </c>
      <c r="C11" s="887">
        <f>K377</f>
        <v>5239.688125817629</v>
      </c>
      <c r="D11" s="887">
        <f>P377</f>
        <v>6790.5155473067889</v>
      </c>
      <c r="E11" s="887">
        <f>U377</f>
        <v>6641.2236726710598</v>
      </c>
      <c r="F11" s="887">
        <f>Z377</f>
        <v>6927.2883226430286</v>
      </c>
      <c r="G11" s="887">
        <f>AE377</f>
        <v>6774.1085923795627</v>
      </c>
      <c r="H11" s="887">
        <f>AJ377</f>
        <v>8954.8701619452822</v>
      </c>
      <c r="I11" s="887">
        <f>AO377</f>
        <v>11526.662384321578</v>
      </c>
      <c r="J11" s="888">
        <f>AVERAGE(E11:I11)</f>
        <v>8164.8306267921025</v>
      </c>
      <c r="K11" s="889">
        <f>I11*(1+K12)</f>
        <v>12102.995503537657</v>
      </c>
      <c r="L11" s="887">
        <f>K11*(1+L12)</f>
        <v>12708.145278714541</v>
      </c>
      <c r="M11" s="887">
        <f>L11*(1+M12)</f>
        <v>13216.471089863124</v>
      </c>
      <c r="N11" s="887">
        <f>M11*(1+N12)</f>
        <v>13745.129933457649</v>
      </c>
      <c r="O11" s="890">
        <f>N11*(1+O12)</f>
        <v>14294.935130795955</v>
      </c>
      <c r="P11" s="891">
        <f>AVERAGE(K11:O11)</f>
        <v>13213.535387273785</v>
      </c>
      <c r="Q11" s="842"/>
      <c r="R11" s="842"/>
      <c r="S11" s="842"/>
      <c r="V11" s="843"/>
      <c r="W11" s="843"/>
      <c r="X11" s="843"/>
      <c r="Y11" s="843"/>
      <c r="Z11" s="843"/>
      <c r="AA11" s="843"/>
      <c r="AB11" s="843"/>
      <c r="AC11" s="843"/>
      <c r="AD11" s="843"/>
      <c r="AE11" s="843"/>
      <c r="AF11" s="843"/>
      <c r="AG11" s="843"/>
      <c r="AH11" s="843"/>
      <c r="AI11" s="843"/>
      <c r="AJ11" s="843"/>
      <c r="AK11" s="843"/>
      <c r="AL11" s="843"/>
    </row>
    <row r="12" spans="1:42" s="842" customFormat="1" ht="16.7" customHeight="1" outlineLevel="1">
      <c r="A12" s="858" t="s">
        <v>677</v>
      </c>
      <c r="B12" s="859"/>
      <c r="C12" s="859">
        <f t="shared" ref="C12:I12" si="6">C11/B11-1</f>
        <v>-2.8278275444921008E-2</v>
      </c>
      <c r="D12" s="859">
        <f t="shared" si="6"/>
        <v>0.29597704753604215</v>
      </c>
      <c r="E12" s="859">
        <f t="shared" si="6"/>
        <v>-2.1985352009824988E-2</v>
      </c>
      <c r="F12" s="859">
        <f t="shared" si="6"/>
        <v>4.3074087558462759E-2</v>
      </c>
      <c r="G12" s="859">
        <f t="shared" si="6"/>
        <v>-2.2112509704955041E-2</v>
      </c>
      <c r="H12" s="859">
        <f t="shared" si="6"/>
        <v>0.32192598329748301</v>
      </c>
      <c r="I12" s="859">
        <f t="shared" si="6"/>
        <v>0.28719480861994118</v>
      </c>
      <c r="J12" s="863">
        <f>RATE((COUNT(E2:I2)-1),,-E11,I11)</f>
        <v>0.14779377857926448</v>
      </c>
      <c r="K12" s="864">
        <v>0.05</v>
      </c>
      <c r="L12" s="865">
        <v>0.05</v>
      </c>
      <c r="M12" s="865">
        <v>0.04</v>
      </c>
      <c r="N12" s="865">
        <v>0.04</v>
      </c>
      <c r="O12" s="866">
        <v>0.04</v>
      </c>
      <c r="P12" s="867">
        <f>RATE(COUNT(K2:O2)-1,,-K11,O11)</f>
        <v>4.2491035806745112E-2</v>
      </c>
      <c r="V12" s="843"/>
      <c r="W12" s="843"/>
      <c r="X12" s="843"/>
      <c r="Y12" s="843"/>
      <c r="Z12" s="843"/>
      <c r="AA12" s="843"/>
      <c r="AB12" s="843"/>
      <c r="AC12" s="843"/>
      <c r="AD12" s="843"/>
      <c r="AE12" s="843"/>
      <c r="AF12" s="843"/>
      <c r="AG12" s="843"/>
      <c r="AH12" s="843"/>
      <c r="AI12" s="843"/>
      <c r="AJ12" s="843"/>
      <c r="AK12" s="843"/>
      <c r="AL12" s="843"/>
    </row>
    <row r="13" spans="1:42" s="842" customFormat="1" ht="16.7" customHeight="1" outlineLevel="2">
      <c r="A13" s="858" t="s">
        <v>678</v>
      </c>
      <c r="B13" s="879">
        <f t="shared" ref="B13:G13" si="7">B9*B3</f>
        <v>30.091846731410623</v>
      </c>
      <c r="C13" s="879">
        <f t="shared" si="7"/>
        <v>31.802469193694389</v>
      </c>
      <c r="D13" s="879">
        <f t="shared" si="7"/>
        <v>49.457804018740248</v>
      </c>
      <c r="E13" s="879">
        <f t="shared" si="7"/>
        <v>61.30815551026943</v>
      </c>
      <c r="F13" s="879">
        <f t="shared" si="7"/>
        <v>65.080397221958961</v>
      </c>
      <c r="G13" s="893">
        <f t="shared" si="7"/>
        <v>65.900457599968789</v>
      </c>
      <c r="H13" s="894">
        <f>H9*H3</f>
        <v>62.518515722484281</v>
      </c>
      <c r="I13" s="895">
        <f>I9*I3</f>
        <v>95.198507356054236</v>
      </c>
      <c r="J13" s="880">
        <f>AVERAGE(E13:I13)</f>
        <v>70.001206682147128</v>
      </c>
      <c r="K13" s="881">
        <f>K9*K3</f>
        <v>96.320880644734942</v>
      </c>
      <c r="L13" s="879">
        <f>L9*L3</f>
        <v>101.13692467697169</v>
      </c>
      <c r="M13" s="879">
        <f>M9*M3</f>
        <v>101.83428545951189</v>
      </c>
      <c r="N13" s="879">
        <f>N9*N3</f>
        <v>104.16663645153224</v>
      </c>
      <c r="O13" s="879">
        <f>O9*O3</f>
        <v>108.33330190959354</v>
      </c>
      <c r="P13" s="882">
        <f>AVERAGE(K13:O13)</f>
        <v>102.35840582846888</v>
      </c>
      <c r="V13" s="843"/>
      <c r="W13" s="843"/>
      <c r="X13" s="843"/>
      <c r="Y13" s="843"/>
      <c r="Z13" s="843"/>
      <c r="AA13" s="843"/>
      <c r="AB13" s="843"/>
      <c r="AC13" s="843"/>
      <c r="AD13" s="843"/>
      <c r="AE13" s="843"/>
      <c r="AF13" s="843"/>
      <c r="AG13" s="843"/>
      <c r="AH13" s="843"/>
      <c r="AI13" s="843"/>
      <c r="AJ13" s="843"/>
      <c r="AK13" s="843"/>
      <c r="AL13" s="843"/>
    </row>
    <row r="14" spans="1:42" s="842" customFormat="1" ht="16.7" customHeight="1" outlineLevel="2">
      <c r="A14" s="858" t="s">
        <v>675</v>
      </c>
      <c r="B14" s="859"/>
      <c r="C14" s="859">
        <f>C13/B13-1</f>
        <v>5.6846709261554773E-2</v>
      </c>
      <c r="D14" s="859">
        <f>D13/C13-1</f>
        <v>0.55515610179559438</v>
      </c>
      <c r="E14" s="859">
        <f>E13/D13-1</f>
        <v>0.23960529034081102</v>
      </c>
      <c r="F14" s="859">
        <f>F13/E13-1</f>
        <v>6.1529199179017224E-2</v>
      </c>
      <c r="G14" s="860">
        <f>G13/J13-1</f>
        <v>-5.8581119905525614E-2</v>
      </c>
      <c r="H14" s="861">
        <f>H13/G13-1</f>
        <v>-5.1318943762328484E-2</v>
      </c>
      <c r="I14" s="896">
        <f>I13/H13-1</f>
        <v>0.52272500803816846</v>
      </c>
      <c r="J14" s="863">
        <f>RATE((COUNT(E2:I2)-1),,-E13,I13)</f>
        <v>0.11629241080797725</v>
      </c>
      <c r="K14" s="878">
        <f>K13/I13-1</f>
        <v>1.1789820238282678E-2</v>
      </c>
      <c r="L14" s="859">
        <f>L13/K13-1</f>
        <v>5.0000000000000044E-2</v>
      </c>
      <c r="M14" s="859">
        <f>M13/L13-1</f>
        <v>6.895214431005714E-3</v>
      </c>
      <c r="N14" s="859">
        <f>N13/M13-1</f>
        <v>2.2903396253000308E-2</v>
      </c>
      <c r="O14" s="859">
        <f>O13/N13-1</f>
        <v>4.0000000000000036E-2</v>
      </c>
      <c r="P14" s="867">
        <f>RATE(COUNT(K12:O12)-1,,-K13,O13)</f>
        <v>2.9817775699033544E-2</v>
      </c>
      <c r="V14" s="843"/>
      <c r="W14" s="843"/>
      <c r="X14" s="843"/>
      <c r="Y14" s="843"/>
      <c r="Z14" s="843"/>
      <c r="AA14" s="843"/>
      <c r="AB14" s="843"/>
      <c r="AC14" s="843"/>
      <c r="AD14" s="843"/>
      <c r="AE14" s="843"/>
      <c r="AF14" s="843"/>
      <c r="AG14" s="843"/>
      <c r="AH14" s="843"/>
      <c r="AI14" s="843"/>
      <c r="AJ14" s="843"/>
      <c r="AK14" s="843"/>
      <c r="AL14" s="843"/>
    </row>
    <row r="15" spans="1:42" s="892" customFormat="1" ht="16.7" customHeight="1" outlineLevel="1">
      <c r="A15" s="851" t="s">
        <v>679</v>
      </c>
      <c r="B15" s="887">
        <f>B3*B11</f>
        <v>1156.6553587385959</v>
      </c>
      <c r="C15" s="887">
        <f>C3*C11</f>
        <v>1938.6117368623031</v>
      </c>
      <c r="D15" s="887">
        <f>D3*D11</f>
        <v>3315.3989466158505</v>
      </c>
      <c r="E15" s="887">
        <f>E3*E11</f>
        <v>3577.5086676752007</v>
      </c>
      <c r="F15" s="887">
        <f>F3*F11</f>
        <v>4081.1331374315469</v>
      </c>
      <c r="G15" s="897">
        <f>G11*G3</f>
        <v>4266.1452032830994</v>
      </c>
      <c r="H15" s="898">
        <f>H11*H3</f>
        <v>4510.48584272064</v>
      </c>
      <c r="I15" s="899">
        <f>I11*I3</f>
        <v>7011.7603806535544</v>
      </c>
      <c r="J15" s="888">
        <f>AVERAGE(E15:I15)</f>
        <v>4689.4066463528088</v>
      </c>
      <c r="K15" s="889">
        <f>K11*K3</f>
        <v>7604.4083097569846</v>
      </c>
      <c r="L15" s="887">
        <f>L11*L3</f>
        <v>7984.6287252448346</v>
      </c>
      <c r="M15" s="887">
        <f>M11*M3</f>
        <v>8039.6844524573662</v>
      </c>
      <c r="N15" s="887">
        <f>N11*N3</f>
        <v>8223.8205312210848</v>
      </c>
      <c r="O15" s="887">
        <f>O11*O3</f>
        <v>8552.7733524699288</v>
      </c>
      <c r="P15" s="891">
        <f>AVERAGE(K15:O15)</f>
        <v>8081.06307423004</v>
      </c>
      <c r="R15" s="842"/>
      <c r="V15" s="843"/>
      <c r="W15" s="843"/>
      <c r="X15" s="843"/>
      <c r="Y15" s="843"/>
      <c r="Z15" s="843"/>
      <c r="AA15" s="843"/>
      <c r="AB15" s="843"/>
      <c r="AC15" s="843"/>
      <c r="AD15" s="843"/>
      <c r="AE15" s="843"/>
      <c r="AF15" s="843"/>
      <c r="AG15" s="843"/>
      <c r="AH15" s="843"/>
      <c r="AI15" s="843"/>
      <c r="AJ15" s="843"/>
      <c r="AK15" s="843"/>
      <c r="AL15" s="843"/>
      <c r="AM15" s="900"/>
    </row>
    <row r="16" spans="1:42" s="842" customFormat="1" ht="16.7" customHeight="1" outlineLevel="1">
      <c r="A16" s="858" t="s">
        <v>677</v>
      </c>
      <c r="B16" s="859"/>
      <c r="C16" s="859">
        <f t="shared" ref="C16:H16" si="8">C15/B15-1</f>
        <v>0.67604958747303878</v>
      </c>
      <c r="D16" s="859">
        <f t="shared" si="8"/>
        <v>0.71019234206325166</v>
      </c>
      <c r="E16" s="859">
        <f t="shared" si="8"/>
        <v>7.905827481995642E-2</v>
      </c>
      <c r="F16" s="859">
        <f t="shared" si="8"/>
        <v>0.1407751920510707</v>
      </c>
      <c r="G16" s="860">
        <f t="shared" si="8"/>
        <v>4.5333504108123535E-2</v>
      </c>
      <c r="H16" s="861">
        <f t="shared" si="8"/>
        <v>5.7274337322016811E-2</v>
      </c>
      <c r="I16" s="862">
        <f>I15/H15-1</f>
        <v>0.55454658880476448</v>
      </c>
      <c r="J16" s="863">
        <f>RATE((COUNT(E2:I2)-1),,-E15,I15)</f>
        <v>0.18320934991610491</v>
      </c>
      <c r="K16" s="873">
        <f>K15/I15-1</f>
        <v>8.4521988335287457E-2</v>
      </c>
      <c r="L16" s="861">
        <f>L15/K15-1</f>
        <v>5.0000000000000044E-2</v>
      </c>
      <c r="M16" s="861">
        <f>M15/L15-1</f>
        <v>6.895214431005714E-3</v>
      </c>
      <c r="N16" s="861">
        <f>N15/M15-1</f>
        <v>2.290339625300053E-2</v>
      </c>
      <c r="O16" s="861">
        <f>O15/N15-1</f>
        <v>4.0000000000000036E-2</v>
      </c>
      <c r="P16" s="867">
        <f>RATE(COUNT(K2:O2)-1,,-K15,O15)</f>
        <v>2.9817775699033613E-2</v>
      </c>
      <c r="V16" s="843"/>
      <c r="W16" s="843"/>
      <c r="X16" s="843"/>
      <c r="Y16" s="843"/>
      <c r="Z16" s="843"/>
      <c r="AA16" s="843"/>
      <c r="AB16" s="843"/>
      <c r="AC16" s="843"/>
      <c r="AD16" s="843"/>
      <c r="AE16" s="843"/>
      <c r="AF16" s="843"/>
      <c r="AG16" s="843"/>
      <c r="AH16" s="843"/>
      <c r="AI16" s="843"/>
      <c r="AJ16" s="843"/>
      <c r="AK16" s="843"/>
      <c r="AL16" s="843"/>
      <c r="AM16" s="900"/>
      <c r="AO16" s="901"/>
      <c r="AP16" s="902"/>
    </row>
    <row r="17" spans="1:42" s="908" customFormat="1" ht="16.7" customHeight="1" outlineLevel="1">
      <c r="A17" s="903" t="s">
        <v>5</v>
      </c>
      <c r="B17" s="904">
        <v>0.114</v>
      </c>
      <c r="C17" s="904">
        <v>0.129</v>
      </c>
      <c r="D17" s="905">
        <v>5.3999999999999999E-2</v>
      </c>
      <c r="E17" s="905">
        <v>2.5000000000000001E-2</v>
      </c>
      <c r="F17" s="905">
        <v>4.2999999999999997E-2</v>
      </c>
      <c r="G17" s="905">
        <v>0.03</v>
      </c>
      <c r="H17" s="905">
        <v>4.9000000000000002E-2</v>
      </c>
      <c r="I17" s="905">
        <v>8.3900000000000002E-2</v>
      </c>
      <c r="J17" s="906">
        <f>AVERAGE(E17:I17)</f>
        <v>4.6180000000000006E-2</v>
      </c>
      <c r="K17" s="864">
        <v>5.8999999999999997E-2</v>
      </c>
      <c r="L17" s="865">
        <v>0.04</v>
      </c>
      <c r="M17" s="865">
        <v>0.04</v>
      </c>
      <c r="N17" s="865">
        <v>0.04</v>
      </c>
      <c r="O17" s="866">
        <v>0.04</v>
      </c>
      <c r="P17" s="907">
        <f>AVERAGE(K17:O17)</f>
        <v>4.3800000000000006E-2</v>
      </c>
      <c r="R17" s="842"/>
      <c r="V17" s="843"/>
      <c r="W17" s="843"/>
      <c r="X17" s="843"/>
      <c r="Y17" s="843"/>
      <c r="Z17" s="843"/>
      <c r="AA17" s="843"/>
      <c r="AB17" s="843"/>
      <c r="AC17" s="843"/>
      <c r="AD17" s="843"/>
      <c r="AE17" s="843"/>
      <c r="AF17" s="843"/>
      <c r="AG17" s="843"/>
      <c r="AH17" s="843"/>
      <c r="AI17" s="843"/>
      <c r="AJ17" s="843"/>
      <c r="AK17" s="843"/>
      <c r="AL17" s="843"/>
      <c r="AM17" s="900"/>
      <c r="AO17" s="909"/>
    </row>
    <row r="18" spans="1:42" s="908" customFormat="1" ht="16.7" customHeight="1" outlineLevel="1">
      <c r="A18" s="910" t="s">
        <v>680</v>
      </c>
      <c r="B18" s="911">
        <v>38.4375</v>
      </c>
      <c r="C18" s="912">
        <v>60.957900000000002</v>
      </c>
      <c r="D18" s="913">
        <v>67.034899999999993</v>
      </c>
      <c r="E18" s="913">
        <v>58.352899999999998</v>
      </c>
      <c r="F18" s="913">
        <v>62.709099999999999</v>
      </c>
      <c r="G18" s="914">
        <v>64.736199999999997</v>
      </c>
      <c r="H18" s="914">
        <v>72.1464</v>
      </c>
      <c r="I18" s="914">
        <v>73.6541</v>
      </c>
      <c r="J18" s="915">
        <f>AVERAGE(E18:I18)</f>
        <v>66.319739999999996</v>
      </c>
      <c r="K18" s="916">
        <v>78.948700000000002</v>
      </c>
      <c r="L18" s="917">
        <f>K18</f>
        <v>78.948700000000002</v>
      </c>
      <c r="M18" s="917">
        <f>L18</f>
        <v>78.948700000000002</v>
      </c>
      <c r="N18" s="917">
        <f>M18</f>
        <v>78.948700000000002</v>
      </c>
      <c r="O18" s="917">
        <f>N18</f>
        <v>78.948700000000002</v>
      </c>
      <c r="P18" s="918">
        <f>AVERAGE(K18:O18)</f>
        <v>78.948700000000002</v>
      </c>
      <c r="R18" s="842"/>
      <c r="V18" s="843"/>
      <c r="W18" s="843"/>
      <c r="X18" s="843"/>
      <c r="Y18" s="843"/>
      <c r="Z18" s="843"/>
      <c r="AA18" s="843"/>
      <c r="AB18" s="843"/>
      <c r="AC18" s="843"/>
      <c r="AD18" s="843"/>
      <c r="AE18" s="843"/>
      <c r="AF18" s="843"/>
      <c r="AG18" s="843"/>
      <c r="AH18" s="843"/>
      <c r="AI18" s="843"/>
      <c r="AJ18" s="843"/>
      <c r="AK18" s="843"/>
      <c r="AL18" s="843"/>
      <c r="AM18" s="900"/>
      <c r="AO18" s="909"/>
    </row>
    <row r="19" spans="1:42" outlineLevel="1">
      <c r="A19" s="919" t="s">
        <v>681</v>
      </c>
    </row>
    <row r="20" spans="1:42" s="842" customFormat="1" ht="16.7" customHeight="1" outlineLevel="2">
      <c r="A20" s="843"/>
      <c r="B20" s="921" t="s">
        <v>682</v>
      </c>
      <c r="C20" s="921" t="s">
        <v>683</v>
      </c>
      <c r="D20" s="921" t="s">
        <v>684</v>
      </c>
      <c r="E20" s="921" t="s">
        <v>685</v>
      </c>
      <c r="F20" s="921" t="s">
        <v>686</v>
      </c>
      <c r="G20" s="921" t="s">
        <v>687</v>
      </c>
      <c r="H20" s="921" t="s">
        <v>688</v>
      </c>
      <c r="I20" s="921" t="s">
        <v>689</v>
      </c>
      <c r="J20" s="843"/>
      <c r="K20" s="921"/>
      <c r="L20" s="921"/>
      <c r="M20" s="921"/>
      <c r="N20" s="921"/>
      <c r="O20" s="921"/>
      <c r="P20" s="921"/>
      <c r="V20" s="843"/>
      <c r="W20" s="843"/>
      <c r="X20" s="843"/>
      <c r="Y20" s="843"/>
      <c r="Z20" s="843"/>
      <c r="AA20" s="843"/>
      <c r="AB20" s="843"/>
      <c r="AC20" s="843"/>
      <c r="AD20" s="843"/>
      <c r="AE20" s="843"/>
      <c r="AF20" s="843"/>
      <c r="AG20" s="843"/>
      <c r="AH20" s="843"/>
      <c r="AI20" s="843"/>
      <c r="AJ20" s="843"/>
      <c r="AK20" s="843"/>
      <c r="AL20" s="843"/>
      <c r="AM20" s="900"/>
      <c r="AO20" s="901"/>
    </row>
    <row r="21" spans="1:42" outlineLevel="2">
      <c r="A21" s="922" t="s">
        <v>690</v>
      </c>
      <c r="B21" s="922"/>
      <c r="C21" s="922"/>
      <c r="D21" s="922"/>
      <c r="E21" s="922"/>
      <c r="F21" s="922"/>
      <c r="G21" s="922"/>
      <c r="H21" s="922"/>
      <c r="I21" s="922"/>
      <c r="J21" s="922"/>
      <c r="K21" s="922"/>
      <c r="L21" s="922"/>
      <c r="M21" s="922"/>
      <c r="N21" s="922"/>
      <c r="O21" s="922"/>
      <c r="P21" s="922"/>
      <c r="R21" s="892"/>
      <c r="AM21" s="900"/>
      <c r="AP21" s="902"/>
    </row>
    <row r="22" spans="1:42" outlineLevel="2">
      <c r="A22" s="923" t="s">
        <v>691</v>
      </c>
      <c r="B22" s="995" t="s">
        <v>706</v>
      </c>
      <c r="C22" s="1015" t="s">
        <v>398</v>
      </c>
      <c r="D22" s="924" t="s">
        <v>692</v>
      </c>
      <c r="E22" s="925"/>
      <c r="F22" s="925"/>
      <c r="G22" s="925"/>
      <c r="H22" s="925"/>
      <c r="I22" s="926"/>
      <c r="J22" s="926"/>
      <c r="K22" s="839" t="s">
        <v>693</v>
      </c>
      <c r="L22" s="839"/>
      <c r="M22" s="839"/>
      <c r="N22" s="839"/>
      <c r="O22" s="839"/>
      <c r="Q22" s="926"/>
      <c r="R22" s="892"/>
      <c r="AM22" s="900"/>
      <c r="AP22" s="902"/>
    </row>
    <row r="23" spans="1:42" outlineLevel="2">
      <c r="A23" s="936" t="s">
        <v>710</v>
      </c>
      <c r="B23" s="927"/>
      <c r="C23" s="1018"/>
      <c r="D23" s="928"/>
      <c r="E23" s="925"/>
      <c r="F23" s="925"/>
      <c r="G23" s="925"/>
      <c r="H23" s="921"/>
      <c r="I23" s="921"/>
      <c r="K23" s="868">
        <f t="shared" ref="K23:O25" si="9">IF($D23=K$57,$C23,0)</f>
        <v>0</v>
      </c>
      <c r="L23" s="868">
        <f t="shared" si="9"/>
        <v>0</v>
      </c>
      <c r="M23" s="868">
        <f t="shared" si="9"/>
        <v>0</v>
      </c>
      <c r="N23" s="868">
        <f t="shared" si="9"/>
        <v>0</v>
      </c>
      <c r="O23" s="868">
        <f t="shared" si="9"/>
        <v>0</v>
      </c>
      <c r="Q23" s="926"/>
      <c r="R23" s="892"/>
      <c r="AM23" s="900"/>
      <c r="AP23" s="902"/>
    </row>
    <row r="24" spans="1:42" outlineLevel="2">
      <c r="A24" s="936" t="s">
        <v>710</v>
      </c>
      <c r="B24" s="927"/>
      <c r="C24" s="1018"/>
      <c r="D24" s="928"/>
      <c r="E24" s="925"/>
      <c r="F24" s="925"/>
      <c r="G24" s="925"/>
      <c r="H24" s="925"/>
      <c r="I24" s="926"/>
      <c r="J24" s="926"/>
      <c r="K24" s="868">
        <f t="shared" si="9"/>
        <v>0</v>
      </c>
      <c r="L24" s="868">
        <f t="shared" si="9"/>
        <v>0</v>
      </c>
      <c r="M24" s="868">
        <f t="shared" si="9"/>
        <v>0</v>
      </c>
      <c r="N24" s="868">
        <f t="shared" si="9"/>
        <v>0</v>
      </c>
      <c r="O24" s="868">
        <f t="shared" si="9"/>
        <v>0</v>
      </c>
      <c r="Q24" s="926"/>
      <c r="R24" s="892"/>
      <c r="AM24" s="900"/>
      <c r="AP24" s="902"/>
    </row>
    <row r="25" spans="1:42" outlineLevel="2">
      <c r="A25" s="937" t="s">
        <v>710</v>
      </c>
      <c r="B25" s="929"/>
      <c r="C25" s="1019"/>
      <c r="D25" s="930"/>
      <c r="E25" s="925"/>
      <c r="F25" s="925"/>
      <c r="G25" s="925"/>
      <c r="H25" s="925"/>
      <c r="I25" s="926"/>
      <c r="J25" s="926"/>
      <c r="K25" s="868">
        <f t="shared" si="9"/>
        <v>0</v>
      </c>
      <c r="L25" s="868">
        <f t="shared" si="9"/>
        <v>0</v>
      </c>
      <c r="M25" s="868">
        <f t="shared" si="9"/>
        <v>0</v>
      </c>
      <c r="N25" s="868">
        <f t="shared" si="9"/>
        <v>0</v>
      </c>
      <c r="O25" s="868">
        <f t="shared" si="9"/>
        <v>0</v>
      </c>
      <c r="Q25" s="926"/>
      <c r="R25" s="892"/>
      <c r="AM25" s="900"/>
      <c r="AP25" s="902"/>
    </row>
    <row r="26" spans="1:42" outlineLevel="2">
      <c r="A26" s="932" t="s">
        <v>0</v>
      </c>
      <c r="B26" s="932"/>
      <c r="C26" s="933">
        <f>SUM(C23:C25)</f>
        <v>0</v>
      </c>
      <c r="D26" s="932"/>
      <c r="E26" s="925"/>
      <c r="F26" s="925"/>
      <c r="G26" s="925"/>
      <c r="H26" s="925"/>
      <c r="I26" s="926"/>
      <c r="J26" s="926"/>
      <c r="K26" s="934">
        <f>SUM(K23:K25)</f>
        <v>0</v>
      </c>
      <c r="L26" s="934">
        <f>SUM(L23:L25)</f>
        <v>0</v>
      </c>
      <c r="M26" s="934">
        <f>SUM(M23:M25)</f>
        <v>0</v>
      </c>
      <c r="N26" s="934">
        <f>SUM(N23:N25)</f>
        <v>0</v>
      </c>
      <c r="O26" s="934">
        <f>SUM(O23:O25)</f>
        <v>0</v>
      </c>
      <c r="P26" s="921" t="b">
        <f>SUM(K26:O26)=C26</f>
        <v>1</v>
      </c>
      <c r="Q26" s="926"/>
      <c r="R26" s="892"/>
      <c r="AM26" s="900"/>
      <c r="AP26" s="902"/>
    </row>
    <row r="27" spans="1:42" outlineLevel="2">
      <c r="B27" s="926"/>
      <c r="C27" s="926"/>
      <c r="D27" s="925"/>
      <c r="E27" s="925"/>
      <c r="F27" s="925"/>
      <c r="G27" s="925"/>
      <c r="H27" s="925"/>
      <c r="I27" s="926"/>
      <c r="J27" s="926"/>
      <c r="K27" s="926"/>
      <c r="L27" s="926"/>
      <c r="M27" s="926"/>
      <c r="Q27" s="926"/>
      <c r="R27" s="892"/>
      <c r="AM27" s="900"/>
      <c r="AP27" s="902"/>
    </row>
    <row r="28" spans="1:42" outlineLevel="2">
      <c r="B28" s="926"/>
      <c r="C28" s="926"/>
      <c r="D28" s="925"/>
      <c r="E28" s="925"/>
      <c r="F28" s="925"/>
      <c r="G28" s="925"/>
      <c r="H28" s="925"/>
      <c r="I28" s="926"/>
      <c r="J28" s="926"/>
      <c r="K28" s="926"/>
      <c r="L28" s="926"/>
      <c r="M28" s="926"/>
      <c r="Q28" s="926"/>
      <c r="R28" s="892"/>
      <c r="AM28" s="900"/>
      <c r="AP28" s="902"/>
    </row>
    <row r="29" spans="1:42" outlineLevel="2">
      <c r="B29" s="926"/>
      <c r="C29" s="926"/>
      <c r="D29" s="925"/>
      <c r="E29" s="925"/>
      <c r="F29" s="925"/>
      <c r="G29" s="925"/>
      <c r="H29" s="925"/>
      <c r="I29" s="926"/>
      <c r="J29" s="926"/>
      <c r="K29" s="926"/>
      <c r="L29" s="926"/>
      <c r="M29" s="926"/>
      <c r="P29" s="1017"/>
      <c r="Q29" s="926"/>
      <c r="R29" s="892"/>
      <c r="AM29" s="900"/>
      <c r="AP29" s="902"/>
    </row>
    <row r="30" spans="1:42" outlineLevel="2">
      <c r="B30" s="926"/>
      <c r="C30" s="926"/>
      <c r="D30" s="925"/>
      <c r="E30" s="925"/>
      <c r="F30" s="925"/>
      <c r="G30" s="925"/>
      <c r="H30" s="925"/>
      <c r="I30" s="926"/>
      <c r="J30" s="926"/>
      <c r="K30" s="926"/>
      <c r="L30" s="926"/>
      <c r="M30" s="926"/>
      <c r="Q30" s="926"/>
      <c r="R30" s="892"/>
      <c r="AM30" s="900"/>
      <c r="AP30" s="902"/>
    </row>
    <row r="31" spans="1:42" outlineLevel="2">
      <c r="B31" s="926"/>
      <c r="C31" s="926"/>
      <c r="D31" s="926"/>
      <c r="E31" s="926"/>
      <c r="F31" s="926"/>
      <c r="G31" s="926"/>
      <c r="H31" s="926"/>
      <c r="I31" s="935"/>
      <c r="J31" s="926"/>
      <c r="K31" s="926"/>
      <c r="L31" s="926"/>
      <c r="M31" s="926"/>
      <c r="N31" s="926"/>
    </row>
    <row r="32" spans="1:42" outlineLevel="2">
      <c r="B32" s="926"/>
      <c r="C32" s="926"/>
      <c r="D32" s="926"/>
      <c r="E32" s="926"/>
      <c r="F32" s="926"/>
      <c r="G32" s="926"/>
      <c r="H32" s="926"/>
      <c r="I32" s="933"/>
      <c r="J32" s="926"/>
    </row>
    <row r="33" outlineLevel="2"/>
    <row r="34" outlineLevel="2"/>
    <row r="35" outlineLevel="2"/>
    <row r="36" outlineLevel="2"/>
    <row r="37" outlineLevel="2"/>
    <row r="38" outlineLevel="2"/>
    <row r="39" outlineLevel="2"/>
    <row r="40" outlineLevel="2"/>
    <row r="41" outlineLevel="2"/>
    <row r="42" outlineLevel="2"/>
    <row r="43" outlineLevel="2"/>
    <row r="44" outlineLevel="2"/>
    <row r="45" outlineLevel="2"/>
    <row r="46" outlineLevel="2"/>
    <row r="47" outlineLevel="2"/>
    <row r="48" outlineLevel="2"/>
    <row r="49" spans="1:38" outlineLevel="2"/>
    <row r="50" spans="1:38" outlineLevel="2"/>
    <row r="51" spans="1:38" outlineLevel="2"/>
    <row r="52" spans="1:38" outlineLevel="2"/>
    <row r="53" spans="1:38" outlineLevel="2"/>
    <row r="54" spans="1:38" outlineLevel="2"/>
    <row r="56" spans="1:38" ht="15.95" customHeight="1">
      <c r="A56" s="839" t="str">
        <f>A1</f>
        <v>РЫНОК - Горный кластер г. Сочи</v>
      </c>
      <c r="B56" s="840" t="s">
        <v>694</v>
      </c>
      <c r="C56" s="840"/>
      <c r="D56" s="840" t="s">
        <v>665</v>
      </c>
      <c r="E56" s="841"/>
      <c r="F56" s="840"/>
      <c r="G56" s="841"/>
      <c r="H56" s="841"/>
      <c r="I56" s="841"/>
      <c r="J56" s="841" t="s">
        <v>666</v>
      </c>
      <c r="K56" s="841"/>
      <c r="L56" s="841"/>
      <c r="M56" s="841"/>
      <c r="N56" s="841"/>
      <c r="O56" s="841"/>
      <c r="P56" s="841"/>
      <c r="Q56" s="842"/>
      <c r="R56" s="842"/>
    </row>
    <row r="57" spans="1:38" s="842" customFormat="1" outlineLevel="1">
      <c r="A57" s="844" t="s">
        <v>59</v>
      </c>
      <c r="B57" s="845">
        <v>2014</v>
      </c>
      <c r="C57" s="845">
        <f t="shared" ref="C57:H57" si="10">B57+1</f>
        <v>2015</v>
      </c>
      <c r="D57" s="845">
        <f t="shared" si="10"/>
        <v>2016</v>
      </c>
      <c r="E57" s="845">
        <f t="shared" si="10"/>
        <v>2017</v>
      </c>
      <c r="F57" s="845">
        <f t="shared" si="10"/>
        <v>2018</v>
      </c>
      <c r="G57" s="845">
        <f t="shared" si="10"/>
        <v>2019</v>
      </c>
      <c r="H57" s="845">
        <f t="shared" si="10"/>
        <v>2020</v>
      </c>
      <c r="I57" s="846">
        <f>H57+1</f>
        <v>2021</v>
      </c>
      <c r="J57" s="847" t="s">
        <v>667</v>
      </c>
      <c r="K57" s="848">
        <f>I57+1</f>
        <v>2022</v>
      </c>
      <c r="L57" s="849">
        <f>K57+1</f>
        <v>2023</v>
      </c>
      <c r="M57" s="849">
        <f>L57+1</f>
        <v>2024</v>
      </c>
      <c r="N57" s="849">
        <f>M57+1</f>
        <v>2025</v>
      </c>
      <c r="O57" s="849">
        <f>N57+1</f>
        <v>2026</v>
      </c>
      <c r="P57" s="850" t="s">
        <v>667</v>
      </c>
      <c r="V57" s="843"/>
      <c r="W57" s="843"/>
      <c r="X57" s="843"/>
      <c r="Y57" s="843"/>
      <c r="Z57" s="843"/>
      <c r="AA57" s="843"/>
      <c r="AB57" s="843"/>
      <c r="AC57" s="843"/>
      <c r="AD57" s="843"/>
      <c r="AE57" s="843"/>
      <c r="AF57" s="843"/>
      <c r="AG57" s="843"/>
      <c r="AH57" s="843"/>
      <c r="AI57" s="843"/>
      <c r="AJ57" s="843"/>
      <c r="AK57" s="843"/>
      <c r="AL57" s="843"/>
    </row>
    <row r="58" spans="1:38" s="842" customFormat="1" ht="16.7" customHeight="1" outlineLevel="1">
      <c r="A58" s="851" t="s">
        <v>668</v>
      </c>
      <c r="B58" s="852">
        <f>F319</f>
        <v>0.22120599479920311</v>
      </c>
      <c r="C58" s="852">
        <f>K319</f>
        <v>0.33952308898615108</v>
      </c>
      <c r="D58" s="852">
        <f>P319</f>
        <v>0.50102654922734535</v>
      </c>
      <c r="E58" s="852">
        <f>U319</f>
        <v>0.52145392030764393</v>
      </c>
      <c r="F58" s="852">
        <f>Z319</f>
        <v>0.49911179679558543</v>
      </c>
      <c r="G58" s="852">
        <f>AE319</f>
        <v>0.5398717035551921</v>
      </c>
      <c r="H58" s="852">
        <f>AJ319</f>
        <v>0.46436681886149739</v>
      </c>
      <c r="I58" s="853">
        <f>AO319</f>
        <v>0.58345248192576438</v>
      </c>
      <c r="J58" s="854">
        <f>AVERAGE(E58:I58)</f>
        <v>0.52165134428913673</v>
      </c>
      <c r="K58" s="855">
        <f>I58+K59</f>
        <v>0.6134524819257644</v>
      </c>
      <c r="L58" s="856">
        <f>K58+L59</f>
        <v>0.60345248192576439</v>
      </c>
      <c r="M58" s="856">
        <f>L58+M59</f>
        <v>0.60345248192576439</v>
      </c>
      <c r="N58" s="856">
        <f>M58+N59</f>
        <v>0.60345248192576439</v>
      </c>
      <c r="O58" s="856">
        <f>N58+O59</f>
        <v>0.60345248192576439</v>
      </c>
      <c r="P58" s="857">
        <f>AVERAGE(K58:O58)</f>
        <v>0.60545248192576451</v>
      </c>
      <c r="V58" s="843"/>
      <c r="W58" s="843"/>
      <c r="X58" s="843"/>
      <c r="Y58" s="843"/>
      <c r="Z58" s="843"/>
      <c r="AA58" s="843"/>
      <c r="AB58" s="843"/>
      <c r="AC58" s="843"/>
      <c r="AD58" s="843"/>
      <c r="AE58" s="843"/>
      <c r="AF58" s="843"/>
      <c r="AG58" s="843"/>
      <c r="AH58" s="843"/>
      <c r="AI58" s="843"/>
      <c r="AJ58" s="843"/>
      <c r="AK58" s="843"/>
      <c r="AL58" s="843"/>
    </row>
    <row r="59" spans="1:38" s="842" customFormat="1" ht="16.7" customHeight="1" outlineLevel="1">
      <c r="A59" s="858" t="s">
        <v>669</v>
      </c>
      <c r="B59" s="859"/>
      <c r="C59" s="859">
        <f t="shared" ref="C59:H59" si="11">C58-B58</f>
        <v>0.11831709418694797</v>
      </c>
      <c r="D59" s="859">
        <f t="shared" si="11"/>
        <v>0.16150346024119427</v>
      </c>
      <c r="E59" s="859">
        <f t="shared" si="11"/>
        <v>2.0427371080298573E-2</v>
      </c>
      <c r="F59" s="859">
        <f t="shared" si="11"/>
        <v>-2.2342123512058498E-2</v>
      </c>
      <c r="G59" s="860">
        <f t="shared" si="11"/>
        <v>4.0759906759606668E-2</v>
      </c>
      <c r="H59" s="861">
        <f t="shared" si="11"/>
        <v>-7.5504884693694707E-2</v>
      </c>
      <c r="I59" s="862">
        <f>I58-H58</f>
        <v>0.11908566306426699</v>
      </c>
      <c r="J59" s="863">
        <f>RATE(COUNT(E57:I57)-1,,-E58,I58)</f>
        <v>2.8483642107744615E-2</v>
      </c>
      <c r="K59" s="864">
        <v>0.03</v>
      </c>
      <c r="L59" s="865">
        <v>-0.01</v>
      </c>
      <c r="M59" s="865">
        <v>0</v>
      </c>
      <c r="N59" s="865">
        <v>0</v>
      </c>
      <c r="O59" s="866">
        <v>0</v>
      </c>
      <c r="P59" s="867">
        <f>RATE(COUNT(K57:O57)-1,,-K58,O58)</f>
        <v>-4.1004468975978725E-3</v>
      </c>
      <c r="V59" s="843"/>
      <c r="W59" s="843"/>
      <c r="X59" s="843"/>
      <c r="Y59" s="843"/>
      <c r="Z59" s="843"/>
      <c r="AA59" s="843"/>
      <c r="AB59" s="843"/>
      <c r="AC59" s="843"/>
      <c r="AD59" s="843"/>
      <c r="AE59" s="843"/>
      <c r="AF59" s="843"/>
      <c r="AG59" s="843"/>
      <c r="AH59" s="843"/>
      <c r="AI59" s="843"/>
      <c r="AJ59" s="843"/>
      <c r="AK59" s="843"/>
      <c r="AL59" s="843"/>
    </row>
    <row r="60" spans="1:38" s="842" customFormat="1" ht="16.7" customHeight="1" outlineLevel="1">
      <c r="A60" s="858" t="s">
        <v>670</v>
      </c>
      <c r="B60" s="868">
        <f>F270</f>
        <v>294038.32534099533</v>
      </c>
      <c r="C60" s="868">
        <f>K270</f>
        <v>381329</v>
      </c>
      <c r="D60" s="868">
        <f>P270</f>
        <v>382836</v>
      </c>
      <c r="E60" s="868">
        <f>U270</f>
        <v>412815</v>
      </c>
      <c r="F60" s="868">
        <f>Z270</f>
        <v>413180</v>
      </c>
      <c r="G60" s="868">
        <f>AE270</f>
        <v>454884</v>
      </c>
      <c r="H60" s="868">
        <f>AJ270</f>
        <v>500236</v>
      </c>
      <c r="I60" s="868">
        <f>AO270</f>
        <v>495180</v>
      </c>
      <c r="J60" s="869">
        <f>AVERAGE(E60:I60)</f>
        <v>455259</v>
      </c>
      <c r="K60" s="870">
        <f>I60+K81*365</f>
        <v>495180</v>
      </c>
      <c r="L60" s="871">
        <f>K60+(L81*365)</f>
        <v>495180</v>
      </c>
      <c r="M60" s="871">
        <f>L60+(M81*365)</f>
        <v>495180</v>
      </c>
      <c r="N60" s="871">
        <f>M60+(N81*365)</f>
        <v>548105</v>
      </c>
      <c r="O60" s="871">
        <f>N60+(O81*365)</f>
        <v>548105</v>
      </c>
      <c r="P60" s="872">
        <f>AVERAGE(K60:O60)</f>
        <v>516350</v>
      </c>
      <c r="V60" s="843"/>
      <c r="W60" s="843"/>
      <c r="X60" s="843"/>
      <c r="Y60" s="843"/>
      <c r="Z60" s="843"/>
      <c r="AA60" s="843"/>
      <c r="AB60" s="843"/>
      <c r="AC60" s="843"/>
      <c r="AD60" s="843"/>
      <c r="AE60" s="843"/>
      <c r="AF60" s="843"/>
      <c r="AG60" s="843"/>
      <c r="AH60" s="843"/>
      <c r="AI60" s="843"/>
      <c r="AJ60" s="843"/>
      <c r="AK60" s="843"/>
      <c r="AL60" s="843"/>
    </row>
    <row r="61" spans="1:38" s="842" customFormat="1" ht="16.7" customHeight="1" outlineLevel="1">
      <c r="A61" s="858" t="s">
        <v>671</v>
      </c>
      <c r="B61" s="859"/>
      <c r="C61" s="861">
        <f t="shared" ref="C61:I61" si="12">C60/B60-1</f>
        <v>0.29686835740808259</v>
      </c>
      <c r="D61" s="861">
        <f t="shared" si="12"/>
        <v>3.9519679856501178E-3</v>
      </c>
      <c r="E61" s="861">
        <f t="shared" si="12"/>
        <v>7.830768266307242E-2</v>
      </c>
      <c r="F61" s="861">
        <f t="shared" si="12"/>
        <v>8.8417329796630639E-4</v>
      </c>
      <c r="G61" s="861">
        <f t="shared" si="12"/>
        <v>0.10093421753231047</v>
      </c>
      <c r="H61" s="861">
        <f t="shared" si="12"/>
        <v>9.9700143333245395E-2</v>
      </c>
      <c r="I61" s="862">
        <f t="shared" si="12"/>
        <v>-1.0107229387729011E-2</v>
      </c>
      <c r="J61" s="863">
        <f>RATE((COUNT(E60:I60)-1),,-E60,I60)</f>
        <v>4.6530540062813125E-2</v>
      </c>
      <c r="K61" s="873">
        <f>K60/I60-1</f>
        <v>0</v>
      </c>
      <c r="L61" s="861">
        <f>L60/K60-1</f>
        <v>0</v>
      </c>
      <c r="M61" s="861">
        <f>M60/L60-1</f>
        <v>0</v>
      </c>
      <c r="N61" s="861">
        <f>N60/M60-1</f>
        <v>0.10688032634597522</v>
      </c>
      <c r="O61" s="861">
        <f>O60/N60-1</f>
        <v>0</v>
      </c>
      <c r="P61" s="867">
        <f>RATE(COUNT(K57:O57)-1,,-K60,O60)</f>
        <v>2.5711363863976523E-2</v>
      </c>
      <c r="V61" s="843"/>
      <c r="W61" s="843"/>
      <c r="X61" s="843"/>
      <c r="Y61" s="843"/>
      <c r="Z61" s="843"/>
      <c r="AA61" s="843"/>
      <c r="AB61" s="843"/>
      <c r="AC61" s="843"/>
      <c r="AD61" s="843"/>
      <c r="AE61" s="843"/>
      <c r="AF61" s="843"/>
      <c r="AG61" s="843"/>
      <c r="AH61" s="843"/>
      <c r="AI61" s="843"/>
      <c r="AJ61" s="843"/>
      <c r="AK61" s="843"/>
      <c r="AL61" s="843"/>
    </row>
    <row r="62" spans="1:38" s="842" customFormat="1" ht="16.7" customHeight="1" outlineLevel="1">
      <c r="A62" s="858" t="s">
        <v>672</v>
      </c>
      <c r="B62" s="868">
        <f>B60*B58</f>
        <v>65043.040266146607</v>
      </c>
      <c r="C62" s="868">
        <f>C60*C58</f>
        <v>129470</v>
      </c>
      <c r="D62" s="868">
        <f>D60*D58</f>
        <v>191810.99999999997</v>
      </c>
      <c r="E62" s="868">
        <f>E60*E58</f>
        <v>215264.00011180004</v>
      </c>
      <c r="F62" s="868">
        <f>F60*F58</f>
        <v>206223.0122</v>
      </c>
      <c r="G62" s="874">
        <f>G58*G60</f>
        <v>245579</v>
      </c>
      <c r="H62" s="874">
        <f>H58*H60</f>
        <v>232293</v>
      </c>
      <c r="I62" s="875">
        <f>I58*I60</f>
        <v>288914</v>
      </c>
      <c r="J62" s="876">
        <f>AVERAGE(E62:I62)</f>
        <v>237654.60246236</v>
      </c>
      <c r="K62" s="877">
        <f>K58*K60</f>
        <v>303769.40000000002</v>
      </c>
      <c r="L62" s="874">
        <f>L58*L60</f>
        <v>298817.60000000003</v>
      </c>
      <c r="M62" s="874">
        <f>M58*M60</f>
        <v>298817.60000000003</v>
      </c>
      <c r="N62" s="874">
        <f>N58*N60</f>
        <v>330755.32260592107</v>
      </c>
      <c r="O62" s="874">
        <f>O58*O60</f>
        <v>330755.32260592107</v>
      </c>
      <c r="P62" s="872">
        <f>AVERAGE(K62:O62)</f>
        <v>312583.04904236842</v>
      </c>
      <c r="V62" s="843"/>
      <c r="W62" s="843"/>
      <c r="X62" s="843"/>
      <c r="Y62" s="843"/>
      <c r="Z62" s="843"/>
      <c r="AA62" s="843"/>
      <c r="AB62" s="843"/>
      <c r="AC62" s="843"/>
      <c r="AD62" s="843"/>
      <c r="AE62" s="843"/>
      <c r="AF62" s="843"/>
      <c r="AG62" s="843"/>
      <c r="AH62" s="843"/>
      <c r="AI62" s="843"/>
      <c r="AJ62" s="843"/>
      <c r="AK62" s="843"/>
      <c r="AL62" s="843"/>
    </row>
    <row r="63" spans="1:38" s="842" customFormat="1" ht="16.7" customHeight="1" outlineLevel="1">
      <c r="A63" s="858" t="s">
        <v>673</v>
      </c>
      <c r="B63" s="859"/>
      <c r="C63" s="859">
        <f t="shared" ref="C63:I63" si="13">C62/B62-1</f>
        <v>0.99052810985199491</v>
      </c>
      <c r="D63" s="859">
        <f t="shared" si="13"/>
        <v>0.48150922993743706</v>
      </c>
      <c r="E63" s="859">
        <f t="shared" si="13"/>
        <v>0.1222714031614458</v>
      </c>
      <c r="F63" s="859">
        <f t="shared" si="13"/>
        <v>-4.1999535022597789E-2</v>
      </c>
      <c r="G63" s="859">
        <f t="shared" si="13"/>
        <v>0.19084188219417353</v>
      </c>
      <c r="H63" s="859">
        <f t="shared" si="13"/>
        <v>-5.4100717080857841E-2</v>
      </c>
      <c r="I63" s="859">
        <f t="shared" si="13"/>
        <v>0.24374819731976416</v>
      </c>
      <c r="J63" s="863">
        <f>RATE((COUNT(E57:I57)-1),,-E62,I62)</f>
        <v>7.6339541420720664E-2</v>
      </c>
      <c r="K63" s="878">
        <f>K62/I62-1</f>
        <v>5.1418069044767645E-2</v>
      </c>
      <c r="L63" s="859">
        <f>L62/K62-1</f>
        <v>-1.6301181093289818E-2</v>
      </c>
      <c r="M63" s="859">
        <f>M62/L62-1</f>
        <v>0</v>
      </c>
      <c r="N63" s="859">
        <f>N62/M62-1</f>
        <v>0.106880326345975</v>
      </c>
      <c r="O63" s="859">
        <f>O62/N62-1</f>
        <v>0</v>
      </c>
      <c r="P63" s="867">
        <f>RATE(COUNT(K59:O59)-1,,-K62,O62)</f>
        <v>2.1505488884189641E-2</v>
      </c>
      <c r="V63" s="843"/>
      <c r="W63" s="843"/>
      <c r="X63" s="843"/>
      <c r="Y63" s="843"/>
      <c r="Z63" s="843"/>
      <c r="AA63" s="843"/>
      <c r="AB63" s="843"/>
      <c r="AC63" s="843"/>
      <c r="AD63" s="843"/>
      <c r="AE63" s="843"/>
      <c r="AF63" s="843"/>
      <c r="AG63" s="843"/>
      <c r="AH63" s="843"/>
      <c r="AI63" s="843"/>
      <c r="AJ63" s="843"/>
      <c r="AK63" s="843"/>
      <c r="AL63" s="843"/>
    </row>
    <row r="64" spans="1:38" s="842" customFormat="1" ht="16.7" customHeight="1" outlineLevel="2">
      <c r="A64" s="858" t="s">
        <v>674</v>
      </c>
      <c r="B64" s="879">
        <f t="shared" ref="B64:I64" si="14">B66/B73</f>
        <v>94.917489643547739</v>
      </c>
      <c r="C64" s="879">
        <f t="shared" si="14"/>
        <v>53.55368571266078</v>
      </c>
      <c r="D64" s="879">
        <f t="shared" si="14"/>
        <v>60.072990505938776</v>
      </c>
      <c r="E64" s="879">
        <f t="shared" si="14"/>
        <v>70.293218832230565</v>
      </c>
      <c r="F64" s="879">
        <f t="shared" si="14"/>
        <v>72.492552276853502</v>
      </c>
      <c r="G64" s="879">
        <f t="shared" si="14"/>
        <v>66.896876243832978</v>
      </c>
      <c r="H64" s="879">
        <f t="shared" si="14"/>
        <v>77.805374390242875</v>
      </c>
      <c r="I64" s="879">
        <f t="shared" si="14"/>
        <v>92.307539408118373</v>
      </c>
      <c r="J64" s="880">
        <f>AVERAGE(E64:I64)</f>
        <v>75.95911223025567</v>
      </c>
      <c r="K64" s="881">
        <f>K66/K73</f>
        <v>89.561726638339465</v>
      </c>
      <c r="L64" s="879">
        <f>L66/L73</f>
        <v>93.144195703873052</v>
      </c>
      <c r="M64" s="879">
        <f>M66/M73</f>
        <v>93.144195703873052</v>
      </c>
      <c r="N64" s="879">
        <f>N66/N73</f>
        <v>95.938521574989238</v>
      </c>
      <c r="O64" s="879">
        <f>O66/O73</f>
        <v>99.776062437988813</v>
      </c>
      <c r="P64" s="882">
        <f>AVERAGE(K64:O64)</f>
        <v>94.312940411812718</v>
      </c>
      <c r="V64" s="843"/>
      <c r="W64" s="843"/>
      <c r="X64" s="843"/>
      <c r="Y64" s="843"/>
      <c r="Z64" s="843"/>
      <c r="AA64" s="843"/>
      <c r="AB64" s="843"/>
      <c r="AC64" s="843"/>
      <c r="AD64" s="843"/>
      <c r="AE64" s="843"/>
      <c r="AF64" s="843"/>
      <c r="AG64" s="843"/>
      <c r="AH64" s="843"/>
      <c r="AI64" s="843"/>
      <c r="AJ64" s="843"/>
      <c r="AK64" s="843"/>
      <c r="AL64" s="843"/>
    </row>
    <row r="65" spans="1:42" s="842" customFormat="1" ht="16.7" customHeight="1" outlineLevel="2">
      <c r="A65" s="858" t="s">
        <v>675</v>
      </c>
      <c r="B65" s="859"/>
      <c r="C65" s="859">
        <f t="shared" ref="C65:H65" si="15">C64/B64-1</f>
        <v>-0.43578695650532062</v>
      </c>
      <c r="D65" s="859">
        <f t="shared" si="15"/>
        <v>0.12173400778159227</v>
      </c>
      <c r="E65" s="859">
        <f t="shared" si="15"/>
        <v>0.17013017398029184</v>
      </c>
      <c r="F65" s="859">
        <f t="shared" si="15"/>
        <v>3.1287988815423384E-2</v>
      </c>
      <c r="G65" s="883">
        <f t="shared" si="15"/>
        <v>-7.7189667866159439E-2</v>
      </c>
      <c r="H65" s="884">
        <f t="shared" si="15"/>
        <v>0.16306438744089369</v>
      </c>
      <c r="I65" s="885">
        <f>I64/H64-1</f>
        <v>0.18639027357079496</v>
      </c>
      <c r="J65" s="863">
        <f>RATE((COUNT(E57:I57)-1),,-E64,I64)</f>
        <v>7.0485861997858335E-2</v>
      </c>
      <c r="K65" s="886">
        <f>K64/I64-1</f>
        <v>-2.974635427815786E-2</v>
      </c>
      <c r="L65" s="884">
        <f>L64/K64-1</f>
        <v>4.0000000000000036E-2</v>
      </c>
      <c r="M65" s="884">
        <f>M64/L64-1</f>
        <v>0</v>
      </c>
      <c r="N65" s="884">
        <f>N64/M64-1</f>
        <v>3.0000000000000027E-2</v>
      </c>
      <c r="O65" s="884">
        <f>O64/N64-1</f>
        <v>4.0000000000000036E-2</v>
      </c>
      <c r="P65" s="867">
        <f>RATE(COUNT(K57:O57)-1,,-K64,O64)</f>
        <v>2.7367861464308328E-2</v>
      </c>
      <c r="V65" s="843"/>
      <c r="W65" s="843"/>
      <c r="X65" s="843"/>
      <c r="Y65" s="843"/>
      <c r="Z65" s="843"/>
      <c r="AA65" s="843"/>
      <c r="AB65" s="843"/>
      <c r="AC65" s="843"/>
      <c r="AD65" s="843"/>
      <c r="AE65" s="843"/>
      <c r="AF65" s="843"/>
      <c r="AG65" s="843"/>
      <c r="AH65" s="843"/>
      <c r="AI65" s="843"/>
      <c r="AJ65" s="843"/>
      <c r="AK65" s="843"/>
      <c r="AL65" s="843"/>
    </row>
    <row r="66" spans="1:42" s="892" customFormat="1" ht="16.7" customHeight="1" outlineLevel="1">
      <c r="A66" s="851" t="s">
        <v>676</v>
      </c>
      <c r="B66" s="887">
        <f>F378</f>
        <v>3648.3910081738663</v>
      </c>
      <c r="C66" s="887">
        <f>K378</f>
        <v>3264.5202183038045</v>
      </c>
      <c r="D66" s="887">
        <f>P378</f>
        <v>4026.9869112665547</v>
      </c>
      <c r="E66" s="887">
        <f>U378</f>
        <v>4101.8131691952667</v>
      </c>
      <c r="F66" s="887">
        <f>Z378</f>
        <v>4545.9427099844343</v>
      </c>
      <c r="G66" s="887">
        <f>AE378</f>
        <v>4330.64955989602</v>
      </c>
      <c r="H66" s="887">
        <f>AJ378</f>
        <v>5613.3776629082186</v>
      </c>
      <c r="I66" s="887">
        <f>AO378</f>
        <v>6798.8287383194911</v>
      </c>
      <c r="J66" s="888">
        <f>AVERAGE(E66:I66)</f>
        <v>5078.1223680606872</v>
      </c>
      <c r="K66" s="889">
        <f>I66*(1+K67)</f>
        <v>7070.7818878522712</v>
      </c>
      <c r="L66" s="887">
        <f>K66*(1+L67)</f>
        <v>7353.6131633663626</v>
      </c>
      <c r="M66" s="887">
        <f>L66*(1+M67)</f>
        <v>7353.6131633663626</v>
      </c>
      <c r="N66" s="887">
        <f>M66*(1+N67)</f>
        <v>7574.2215582673534</v>
      </c>
      <c r="O66" s="890">
        <f>N66*(1+O67)</f>
        <v>7877.1904205980481</v>
      </c>
      <c r="P66" s="891">
        <f>AVERAGE(K66:O66)</f>
        <v>7445.8840386900793</v>
      </c>
      <c r="R66" s="842"/>
      <c r="V66" s="843"/>
      <c r="W66" s="843"/>
      <c r="X66" s="843"/>
      <c r="Y66" s="843"/>
      <c r="Z66" s="843"/>
      <c r="AA66" s="843"/>
      <c r="AB66" s="843"/>
      <c r="AC66" s="843"/>
      <c r="AD66" s="843"/>
      <c r="AE66" s="843"/>
      <c r="AF66" s="843"/>
      <c r="AG66" s="843"/>
      <c r="AH66" s="843"/>
      <c r="AI66" s="843"/>
      <c r="AJ66" s="843"/>
      <c r="AK66" s="843"/>
      <c r="AL66" s="843"/>
    </row>
    <row r="67" spans="1:42" s="842" customFormat="1" ht="16.7" customHeight="1" outlineLevel="1">
      <c r="A67" s="858" t="s">
        <v>677</v>
      </c>
      <c r="B67" s="859"/>
      <c r="C67" s="859">
        <f t="shared" ref="C67:I67" si="16">C66/B66-1</f>
        <v>-0.10521646090291215</v>
      </c>
      <c r="D67" s="859">
        <f t="shared" si="16"/>
        <v>0.23356163906955874</v>
      </c>
      <c r="E67" s="859">
        <f t="shared" si="16"/>
        <v>1.8581202168640232E-2</v>
      </c>
      <c r="F67" s="859">
        <f t="shared" si="16"/>
        <v>0.10827639447954218</v>
      </c>
      <c r="G67" s="859">
        <f t="shared" si="16"/>
        <v>-4.735940679928885E-2</v>
      </c>
      <c r="H67" s="859">
        <f t="shared" si="16"/>
        <v>0.29619762238230996</v>
      </c>
      <c r="I67" s="859">
        <f t="shared" si="16"/>
        <v>0.21118320316205219</v>
      </c>
      <c r="J67" s="863">
        <f>RATE((COUNT(E57:I57)-1),,-E66,I66)</f>
        <v>0.13465689509210405</v>
      </c>
      <c r="K67" s="864">
        <v>0.04</v>
      </c>
      <c r="L67" s="865">
        <v>0.04</v>
      </c>
      <c r="M67" s="865">
        <v>0</v>
      </c>
      <c r="N67" s="865">
        <v>0.03</v>
      </c>
      <c r="O67" s="866">
        <v>0.04</v>
      </c>
      <c r="P67" s="867">
        <f>RATE(COUNT(K57:O57)-1,,-K66,O66)</f>
        <v>2.7367861464308304E-2</v>
      </c>
      <c r="V67" s="843"/>
      <c r="W67" s="843"/>
      <c r="X67" s="843"/>
      <c r="Y67" s="843"/>
      <c r="Z67" s="843"/>
      <c r="AA67" s="843"/>
      <c r="AB67" s="843"/>
      <c r="AC67" s="843"/>
      <c r="AD67" s="843"/>
      <c r="AE67" s="843"/>
      <c r="AF67" s="843"/>
      <c r="AG67" s="843"/>
      <c r="AH67" s="843"/>
      <c r="AI67" s="843"/>
      <c r="AJ67" s="843"/>
      <c r="AK67" s="843"/>
      <c r="AL67" s="843"/>
    </row>
    <row r="68" spans="1:42" s="842" customFormat="1" ht="16.7" customHeight="1" outlineLevel="2">
      <c r="A68" s="858" t="s">
        <v>678</v>
      </c>
      <c r="B68" s="879">
        <f t="shared" ref="B68:G68" si="17">B64*B58</f>
        <v>20.996317720444036</v>
      </c>
      <c r="C68" s="879">
        <f t="shared" si="17"/>
        <v>18.182712799756093</v>
      </c>
      <c r="D68" s="879">
        <f t="shared" si="17"/>
        <v>30.098163134957584</v>
      </c>
      <c r="E68" s="879">
        <f t="shared" si="17"/>
        <v>36.654674531109734</v>
      </c>
      <c r="F68" s="879">
        <f t="shared" si="17"/>
        <v>36.181888021198262</v>
      </c>
      <c r="G68" s="893">
        <f t="shared" si="17"/>
        <v>36.115730540278967</v>
      </c>
      <c r="H68" s="894">
        <f>H64*H58</f>
        <v>36.130234195924899</v>
      </c>
      <c r="I68" s="895">
        <f>I64*I58</f>
        <v>53.857062968126968</v>
      </c>
      <c r="J68" s="880">
        <f>AVERAGE(E68:I68)</f>
        <v>39.787918051327765</v>
      </c>
      <c r="K68" s="881">
        <f>K64*K58</f>
        <v>54.941863491846192</v>
      </c>
      <c r="L68" s="879">
        <f>L64*L58</f>
        <v>56.208096074481311</v>
      </c>
      <c r="M68" s="879">
        <f>M64*M58</f>
        <v>56.208096074481311</v>
      </c>
      <c r="N68" s="879">
        <f>N64*N58</f>
        <v>57.89433895671575</v>
      </c>
      <c r="O68" s="879">
        <f>O64*O58</f>
        <v>60.210112514984381</v>
      </c>
      <c r="P68" s="882">
        <f>AVERAGE(K68:O68)</f>
        <v>57.09250142250179</v>
      </c>
      <c r="V68" s="843"/>
      <c r="W68" s="843"/>
      <c r="X68" s="843"/>
      <c r="Y68" s="843"/>
      <c r="Z68" s="843"/>
      <c r="AA68" s="843"/>
      <c r="AB68" s="843"/>
      <c r="AC68" s="843"/>
      <c r="AD68" s="843"/>
      <c r="AE68" s="843"/>
      <c r="AF68" s="843"/>
      <c r="AG68" s="843"/>
      <c r="AH68" s="843"/>
      <c r="AI68" s="843"/>
      <c r="AJ68" s="843"/>
      <c r="AK68" s="843"/>
      <c r="AL68" s="843"/>
    </row>
    <row r="69" spans="1:42" s="842" customFormat="1" ht="16.7" customHeight="1" outlineLevel="2">
      <c r="A69" s="858" t="s">
        <v>675</v>
      </c>
      <c r="B69" s="859"/>
      <c r="C69" s="859">
        <f>C68/B68-1</f>
        <v>-0.13400468397124443</v>
      </c>
      <c r="D69" s="859">
        <f>D68/C68-1</f>
        <v>0.6553175242014122</v>
      </c>
      <c r="E69" s="859">
        <f>E68/D68-1</f>
        <v>0.2178375925053404</v>
      </c>
      <c r="F69" s="859">
        <f>F68/E68-1</f>
        <v>-1.2898396069789264E-2</v>
      </c>
      <c r="G69" s="860">
        <f>G68/J68-1</f>
        <v>-9.2294035247372119E-2</v>
      </c>
      <c r="H69" s="861">
        <f>H68/G68-1</f>
        <v>4.0158832256653731E-4</v>
      </c>
      <c r="I69" s="896">
        <f>I68/H68-1</f>
        <v>0.49063697390042016</v>
      </c>
      <c r="J69" s="863">
        <f>RATE((COUNT(E57:I57)-1),,-E68,I68)</f>
        <v>0.10097719816616532</v>
      </c>
      <c r="K69" s="878">
        <f>K68/I68-1</f>
        <v>2.0142214668505298E-2</v>
      </c>
      <c r="L69" s="859">
        <f>L68/K68-1</f>
        <v>2.3046771662978527E-2</v>
      </c>
      <c r="M69" s="859">
        <f>M68/L68-1</f>
        <v>0</v>
      </c>
      <c r="N69" s="859">
        <f>N68/M68-1</f>
        <v>3.0000000000000027E-2</v>
      </c>
      <c r="O69" s="859">
        <f>O68/N68-1</f>
        <v>4.0000000000000036E-2</v>
      </c>
      <c r="P69" s="867">
        <f>RATE(COUNT(K67:O67)-1,,-K68,O68)</f>
        <v>2.3155194104156656E-2</v>
      </c>
      <c r="V69" s="843"/>
      <c r="W69" s="843"/>
      <c r="X69" s="843"/>
      <c r="Y69" s="843"/>
      <c r="Z69" s="843"/>
      <c r="AA69" s="843"/>
      <c r="AB69" s="843"/>
      <c r="AC69" s="843"/>
      <c r="AD69" s="843"/>
      <c r="AE69" s="843"/>
      <c r="AF69" s="843"/>
      <c r="AG69" s="843"/>
      <c r="AH69" s="843"/>
      <c r="AI69" s="843"/>
      <c r="AJ69" s="843"/>
      <c r="AK69" s="843"/>
      <c r="AL69" s="843"/>
    </row>
    <row r="70" spans="1:42" s="892" customFormat="1" ht="16.7" customHeight="1" outlineLevel="1">
      <c r="A70" s="851" t="s">
        <v>679</v>
      </c>
      <c r="B70" s="887">
        <f>B58*B66</f>
        <v>807.04596237956764</v>
      </c>
      <c r="C70" s="887">
        <f>C58*C66</f>
        <v>1108.3799885762519</v>
      </c>
      <c r="D70" s="887">
        <f>D58*D66</f>
        <v>2017.6273559355679</v>
      </c>
      <c r="E70" s="887">
        <f>E58*E66</f>
        <v>2138.906557446393</v>
      </c>
      <c r="F70" s="887">
        <f>F58*F66</f>
        <v>2268.9336341101239</v>
      </c>
      <c r="G70" s="897">
        <f>G66*G58</f>
        <v>2337.9951554016075</v>
      </c>
      <c r="H70" s="898">
        <f>H66*H58</f>
        <v>2606.6663283928765</v>
      </c>
      <c r="I70" s="899">
        <f>I66*I58</f>
        <v>3966.7935015607204</v>
      </c>
      <c r="J70" s="888">
        <f>AVERAGE(E70:I70)</f>
        <v>2663.8590353823447</v>
      </c>
      <c r="K70" s="889">
        <f>K66*K58</f>
        <v>4337.5886982587181</v>
      </c>
      <c r="L70" s="887">
        <f>L66*L58</f>
        <v>4437.5561145554029</v>
      </c>
      <c r="M70" s="887">
        <f>M66*M58</f>
        <v>4437.5561145554029</v>
      </c>
      <c r="N70" s="887">
        <f>N66*N58</f>
        <v>4570.6827979920654</v>
      </c>
      <c r="O70" s="887">
        <f>O66*O58</f>
        <v>4753.5101099117483</v>
      </c>
      <c r="P70" s="891">
        <f>AVERAGE(K70:O70)</f>
        <v>4507.3787670546672</v>
      </c>
      <c r="R70" s="842"/>
      <c r="V70" s="843"/>
      <c r="W70" s="843"/>
      <c r="X70" s="843"/>
      <c r="Y70" s="843"/>
      <c r="Z70" s="843"/>
      <c r="AA70" s="843"/>
      <c r="AB70" s="843"/>
      <c r="AC70" s="843"/>
      <c r="AD70" s="843"/>
      <c r="AE70" s="843"/>
      <c r="AF70" s="843"/>
      <c r="AG70" s="843"/>
      <c r="AH70" s="843"/>
      <c r="AI70" s="843"/>
      <c r="AJ70" s="843"/>
      <c r="AK70" s="843"/>
      <c r="AL70" s="843"/>
      <c r="AM70" s="900"/>
    </row>
    <row r="71" spans="1:42" s="842" customFormat="1" ht="16.7" customHeight="1" outlineLevel="1">
      <c r="A71" s="858" t="s">
        <v>677</v>
      </c>
      <c r="B71" s="859"/>
      <c r="C71" s="859">
        <f t="shared" ref="C71:H71" si="18">C70/B70-1</f>
        <v>0.37337901463282663</v>
      </c>
      <c r="D71" s="859">
        <f t="shared" si="18"/>
        <v>0.82033903239923367</v>
      </c>
      <c r="E71" s="859">
        <f t="shared" si="18"/>
        <v>6.0109812227733261E-2</v>
      </c>
      <c r="F71" s="859">
        <f t="shared" si="18"/>
        <v>6.0791377823895321E-2</v>
      </c>
      <c r="G71" s="860">
        <f t="shared" si="18"/>
        <v>3.0437876301555811E-2</v>
      </c>
      <c r="H71" s="861">
        <f t="shared" si="18"/>
        <v>0.11491519662499816</v>
      </c>
      <c r="I71" s="862">
        <f>I70/H70-1</f>
        <v>0.52178798580884034</v>
      </c>
      <c r="J71" s="863">
        <f>RATE((COUNT(E57:I57)-1),,-E70,I70)</f>
        <v>0.16697605600689866</v>
      </c>
      <c r="K71" s="873">
        <f>K70/I70-1</f>
        <v>9.3474791806558599E-2</v>
      </c>
      <c r="L71" s="861">
        <f>L70/K70-1</f>
        <v>2.3046771662978527E-2</v>
      </c>
      <c r="M71" s="861">
        <f>M70/L70-1</f>
        <v>0</v>
      </c>
      <c r="N71" s="861">
        <f>N70/M70-1</f>
        <v>3.0000000000000027E-2</v>
      </c>
      <c r="O71" s="861">
        <f>O70/N70-1</f>
        <v>4.0000000000000036E-2</v>
      </c>
      <c r="P71" s="867">
        <f>RATE(COUNT(K57:O57)-1,,-K70,O70)</f>
        <v>2.3155194104156812E-2</v>
      </c>
      <c r="V71" s="843"/>
      <c r="W71" s="843"/>
      <c r="X71" s="843"/>
      <c r="Y71" s="843"/>
      <c r="Z71" s="843"/>
      <c r="AA71" s="843"/>
      <c r="AB71" s="843"/>
      <c r="AC71" s="843"/>
      <c r="AD71" s="843"/>
      <c r="AE71" s="843"/>
      <c r="AF71" s="843"/>
      <c r="AG71" s="843"/>
      <c r="AH71" s="843"/>
      <c r="AI71" s="843"/>
      <c r="AJ71" s="843"/>
      <c r="AK71" s="843"/>
      <c r="AL71" s="843"/>
      <c r="AM71" s="900"/>
      <c r="AO71" s="901"/>
      <c r="AP71" s="902"/>
    </row>
    <row r="72" spans="1:42" s="908" customFormat="1" ht="16.7" customHeight="1" outlineLevel="1">
      <c r="A72" s="903" t="s">
        <v>5</v>
      </c>
      <c r="B72" s="904">
        <v>0.114</v>
      </c>
      <c r="C72" s="904">
        <v>0.129</v>
      </c>
      <c r="D72" s="905">
        <v>5.3999999999999999E-2</v>
      </c>
      <c r="E72" s="905">
        <v>2.5000000000000001E-2</v>
      </c>
      <c r="F72" s="905">
        <v>4.2999999999999997E-2</v>
      </c>
      <c r="G72" s="905">
        <v>0.03</v>
      </c>
      <c r="H72" s="905">
        <v>4.9000000000000002E-2</v>
      </c>
      <c r="I72" s="905">
        <v>8.3900000000000002E-2</v>
      </c>
      <c r="J72" s="906">
        <f>AVERAGE(E72:I72)</f>
        <v>4.6180000000000006E-2</v>
      </c>
      <c r="K72" s="864">
        <v>5.8999999999999997E-2</v>
      </c>
      <c r="L72" s="865">
        <v>0.04</v>
      </c>
      <c r="M72" s="865">
        <v>0.04</v>
      </c>
      <c r="N72" s="865">
        <v>0.04</v>
      </c>
      <c r="O72" s="866">
        <v>0.04</v>
      </c>
      <c r="P72" s="907">
        <f>AVERAGE(K72:O72)</f>
        <v>4.3800000000000006E-2</v>
      </c>
      <c r="R72" s="842"/>
      <c r="V72" s="843"/>
      <c r="W72" s="843"/>
      <c r="X72" s="843"/>
      <c r="Y72" s="843"/>
      <c r="Z72" s="843"/>
      <c r="AA72" s="843"/>
      <c r="AB72" s="843"/>
      <c r="AC72" s="843"/>
      <c r="AD72" s="843"/>
      <c r="AE72" s="843"/>
      <c r="AF72" s="843"/>
      <c r="AG72" s="843"/>
      <c r="AH72" s="843"/>
      <c r="AI72" s="843"/>
      <c r="AJ72" s="843"/>
      <c r="AK72" s="843"/>
      <c r="AL72" s="843"/>
      <c r="AM72" s="900"/>
      <c r="AO72" s="909"/>
    </row>
    <row r="73" spans="1:42" s="908" customFormat="1" ht="16.7" customHeight="1" outlineLevel="1">
      <c r="A73" s="910" t="s">
        <v>680</v>
      </c>
      <c r="B73" s="911">
        <v>38.4375</v>
      </c>
      <c r="C73" s="912">
        <v>60.957900000000002</v>
      </c>
      <c r="D73" s="913">
        <v>67.034899999999993</v>
      </c>
      <c r="E73" s="913">
        <v>58.352899999999998</v>
      </c>
      <c r="F73" s="913">
        <v>62.709099999999999</v>
      </c>
      <c r="G73" s="914">
        <v>64.736199999999997</v>
      </c>
      <c r="H73" s="914">
        <v>72.1464</v>
      </c>
      <c r="I73" s="914">
        <v>73.6541</v>
      </c>
      <c r="J73" s="915">
        <f>AVERAGE(E73:I73)</f>
        <v>66.319739999999996</v>
      </c>
      <c r="K73" s="916">
        <v>78.948700000000002</v>
      </c>
      <c r="L73" s="917">
        <f>K73</f>
        <v>78.948700000000002</v>
      </c>
      <c r="M73" s="917">
        <f>L73</f>
        <v>78.948700000000002</v>
      </c>
      <c r="N73" s="917">
        <f>M73</f>
        <v>78.948700000000002</v>
      </c>
      <c r="O73" s="917">
        <f>N73</f>
        <v>78.948700000000002</v>
      </c>
      <c r="P73" s="918">
        <f>AVERAGE(K73:O73)</f>
        <v>78.948700000000002</v>
      </c>
      <c r="R73" s="842"/>
      <c r="V73" s="843"/>
      <c r="W73" s="843"/>
      <c r="X73" s="843"/>
      <c r="Y73" s="843"/>
      <c r="Z73" s="843"/>
      <c r="AA73" s="843"/>
      <c r="AB73" s="843"/>
      <c r="AC73" s="843"/>
      <c r="AD73" s="843"/>
      <c r="AE73" s="843"/>
      <c r="AF73" s="843"/>
      <c r="AG73" s="843"/>
      <c r="AH73" s="843"/>
      <c r="AI73" s="843"/>
      <c r="AJ73" s="843"/>
      <c r="AK73" s="843"/>
      <c r="AL73" s="843"/>
      <c r="AM73" s="900"/>
      <c r="AO73" s="909"/>
    </row>
    <row r="74" spans="1:42" outlineLevel="1">
      <c r="A74" s="919" t="s">
        <v>681</v>
      </c>
    </row>
    <row r="75" spans="1:42" s="842" customFormat="1" ht="16.7" customHeight="1" outlineLevel="2">
      <c r="A75" s="843"/>
      <c r="B75" s="921" t="s">
        <v>682</v>
      </c>
      <c r="C75" s="921" t="s">
        <v>683</v>
      </c>
      <c r="D75" s="921" t="s">
        <v>684</v>
      </c>
      <c r="E75" s="921" t="s">
        <v>685</v>
      </c>
      <c r="F75" s="921" t="s">
        <v>686</v>
      </c>
      <c r="G75" s="921" t="s">
        <v>687</v>
      </c>
      <c r="H75" s="921" t="s">
        <v>688</v>
      </c>
      <c r="I75" s="921" t="s">
        <v>689</v>
      </c>
      <c r="J75" s="843"/>
      <c r="K75" s="921"/>
      <c r="L75" s="921"/>
      <c r="M75" s="921"/>
      <c r="N75" s="921"/>
      <c r="O75" s="921"/>
      <c r="P75" s="921"/>
      <c r="V75" s="843"/>
      <c r="W75" s="843"/>
      <c r="X75" s="843"/>
      <c r="Y75" s="843"/>
      <c r="Z75" s="843"/>
      <c r="AA75" s="843"/>
      <c r="AB75" s="843"/>
      <c r="AC75" s="843"/>
      <c r="AD75" s="843"/>
      <c r="AE75" s="843"/>
      <c r="AF75" s="843"/>
      <c r="AG75" s="843"/>
      <c r="AH75" s="843"/>
      <c r="AI75" s="843"/>
      <c r="AJ75" s="843"/>
      <c r="AK75" s="843"/>
      <c r="AL75" s="843"/>
      <c r="AM75" s="900"/>
      <c r="AO75" s="901"/>
    </row>
    <row r="76" spans="1:42" outlineLevel="2">
      <c r="A76" s="922" t="s">
        <v>690</v>
      </c>
      <c r="B76" s="922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R76" s="892"/>
      <c r="AM76" s="900"/>
      <c r="AP76" s="902"/>
    </row>
    <row r="77" spans="1:42" outlineLevel="2">
      <c r="A77" s="923" t="s">
        <v>691</v>
      </c>
      <c r="B77" s="995" t="s">
        <v>706</v>
      </c>
      <c r="C77" s="995" t="s">
        <v>398</v>
      </c>
      <c r="D77" s="924" t="s">
        <v>692</v>
      </c>
      <c r="E77" s="925"/>
      <c r="F77" s="925"/>
      <c r="G77" s="925"/>
      <c r="H77" s="925"/>
      <c r="I77" s="926"/>
      <c r="J77" s="926"/>
      <c r="K77" s="839" t="s">
        <v>693</v>
      </c>
      <c r="L77" s="839"/>
      <c r="M77" s="839"/>
      <c r="N77" s="839"/>
      <c r="O77" s="839"/>
      <c r="Q77" s="926"/>
      <c r="R77" s="892"/>
      <c r="AM77" s="900"/>
      <c r="AP77" s="902"/>
    </row>
    <row r="78" spans="1:42" s="842" customFormat="1" ht="16.7" customHeight="1" outlineLevel="2">
      <c r="A78" s="936" t="s">
        <v>711</v>
      </c>
      <c r="B78" s="927" t="s">
        <v>712</v>
      </c>
      <c r="C78" s="1018">
        <v>145</v>
      </c>
      <c r="D78" s="928">
        <v>2025</v>
      </c>
      <c r="E78" s="921"/>
      <c r="F78" s="921"/>
      <c r="G78" s="921"/>
      <c r="H78" s="921"/>
      <c r="I78" s="921"/>
      <c r="J78" s="843"/>
      <c r="K78" s="868">
        <f>IF($D78=K$57,$C78,0)</f>
        <v>0</v>
      </c>
      <c r="L78" s="868">
        <f t="shared" ref="L78:O80" si="19">IF($D78=L$57,$C78,0)</f>
        <v>0</v>
      </c>
      <c r="M78" s="868">
        <f t="shared" si="19"/>
        <v>0</v>
      </c>
      <c r="N78" s="868">
        <f t="shared" si="19"/>
        <v>145</v>
      </c>
      <c r="O78" s="868">
        <f t="shared" si="19"/>
        <v>0</v>
      </c>
      <c r="P78" s="921"/>
      <c r="V78" s="843"/>
      <c r="W78" s="843"/>
      <c r="X78" s="843"/>
      <c r="Y78" s="843"/>
      <c r="Z78" s="843"/>
      <c r="AA78" s="843"/>
      <c r="AB78" s="843"/>
      <c r="AC78" s="843"/>
      <c r="AD78" s="843"/>
      <c r="AE78" s="843"/>
      <c r="AF78" s="843"/>
      <c r="AG78" s="843"/>
      <c r="AH78" s="843"/>
      <c r="AI78" s="843"/>
      <c r="AJ78" s="843"/>
      <c r="AK78" s="843"/>
      <c r="AL78" s="843"/>
      <c r="AM78" s="900"/>
      <c r="AO78" s="901"/>
    </row>
    <row r="79" spans="1:42" s="842" customFormat="1" ht="16.7" customHeight="1" outlineLevel="2">
      <c r="A79" s="936"/>
      <c r="B79" s="927"/>
      <c r="C79" s="1018"/>
      <c r="D79" s="928"/>
      <c r="E79" s="921"/>
      <c r="F79" s="921"/>
      <c r="G79" s="921"/>
      <c r="H79" s="921"/>
      <c r="I79" s="921"/>
      <c r="J79" s="843"/>
      <c r="K79" s="868">
        <f>IF($D79=K$57,$C79,0)</f>
        <v>0</v>
      </c>
      <c r="L79" s="868">
        <f t="shared" si="19"/>
        <v>0</v>
      </c>
      <c r="M79" s="868">
        <f t="shared" si="19"/>
        <v>0</v>
      </c>
      <c r="N79" s="868">
        <f t="shared" si="19"/>
        <v>0</v>
      </c>
      <c r="O79" s="868">
        <f t="shared" si="19"/>
        <v>0</v>
      </c>
      <c r="P79" s="921"/>
      <c r="V79" s="843"/>
      <c r="W79" s="843"/>
      <c r="X79" s="843"/>
      <c r="Y79" s="843"/>
      <c r="Z79" s="843"/>
      <c r="AA79" s="843"/>
      <c r="AB79" s="843"/>
      <c r="AC79" s="843"/>
      <c r="AD79" s="843"/>
      <c r="AE79" s="843"/>
      <c r="AF79" s="843"/>
      <c r="AG79" s="843"/>
      <c r="AH79" s="843"/>
      <c r="AI79" s="843"/>
      <c r="AJ79" s="843"/>
      <c r="AK79" s="843"/>
      <c r="AL79" s="843"/>
      <c r="AM79" s="900"/>
      <c r="AO79" s="901"/>
    </row>
    <row r="80" spans="1:42" s="842" customFormat="1" ht="16.7" customHeight="1" outlineLevel="2">
      <c r="A80" s="937"/>
      <c r="B80" s="929"/>
      <c r="C80" s="1016"/>
      <c r="D80" s="930"/>
      <c r="E80" s="921"/>
      <c r="F80" s="921"/>
      <c r="G80" s="921"/>
      <c r="H80" s="921"/>
      <c r="I80" s="921"/>
      <c r="J80" s="843"/>
      <c r="K80" s="868">
        <f>IF($D80=K$57,$C80,0)</f>
        <v>0</v>
      </c>
      <c r="L80" s="868">
        <f t="shared" si="19"/>
        <v>0</v>
      </c>
      <c r="M80" s="868">
        <f t="shared" si="19"/>
        <v>0</v>
      </c>
      <c r="N80" s="868">
        <f t="shared" si="19"/>
        <v>0</v>
      </c>
      <c r="O80" s="868">
        <f t="shared" si="19"/>
        <v>0</v>
      </c>
      <c r="P80" s="921"/>
      <c r="V80" s="843"/>
      <c r="W80" s="843"/>
      <c r="X80" s="843"/>
      <c r="Y80" s="843"/>
      <c r="Z80" s="843"/>
      <c r="AA80" s="843"/>
      <c r="AB80" s="843"/>
      <c r="AC80" s="843"/>
      <c r="AD80" s="843"/>
      <c r="AE80" s="843"/>
      <c r="AF80" s="843"/>
      <c r="AG80" s="843"/>
      <c r="AH80" s="843"/>
      <c r="AI80" s="843"/>
      <c r="AJ80" s="843"/>
      <c r="AK80" s="843"/>
      <c r="AL80" s="843"/>
      <c r="AM80" s="900"/>
      <c r="AO80" s="901"/>
    </row>
    <row r="81" spans="1:42" s="842" customFormat="1" ht="16.7" customHeight="1" outlineLevel="2">
      <c r="A81" s="932" t="s">
        <v>0</v>
      </c>
      <c r="B81" s="932"/>
      <c r="C81" s="933">
        <f>SUM(C78:C80)</f>
        <v>145</v>
      </c>
      <c r="D81" s="932"/>
      <c r="E81" s="921"/>
      <c r="F81" s="921"/>
      <c r="G81" s="921"/>
      <c r="H81" s="921"/>
      <c r="I81" s="921"/>
      <c r="J81" s="843"/>
      <c r="K81" s="934">
        <f>SUM(K78:K80)</f>
        <v>0</v>
      </c>
      <c r="L81" s="934">
        <f>SUM(L78:L80)</f>
        <v>0</v>
      </c>
      <c r="M81" s="934">
        <f>SUM(M78:M80)</f>
        <v>0</v>
      </c>
      <c r="N81" s="934">
        <f>SUM(N78:N80)</f>
        <v>145</v>
      </c>
      <c r="O81" s="934">
        <f>SUM(O78:O80)</f>
        <v>0</v>
      </c>
      <c r="P81" s="921" t="b">
        <f>SUM(K81:O81)=C81</f>
        <v>1</v>
      </c>
      <c r="V81" s="843"/>
      <c r="W81" s="843"/>
      <c r="X81" s="843"/>
      <c r="Y81" s="843"/>
      <c r="Z81" s="843"/>
      <c r="AA81" s="843"/>
      <c r="AB81" s="843"/>
      <c r="AC81" s="843"/>
      <c r="AD81" s="843"/>
      <c r="AE81" s="843"/>
      <c r="AF81" s="843"/>
      <c r="AG81" s="843"/>
      <c r="AH81" s="843"/>
      <c r="AI81" s="843"/>
      <c r="AJ81" s="843"/>
      <c r="AK81" s="843"/>
      <c r="AL81" s="843"/>
      <c r="AM81" s="900"/>
      <c r="AO81" s="901"/>
    </row>
    <row r="82" spans="1:42" outlineLevel="2">
      <c r="B82" s="938"/>
      <c r="C82" s="938"/>
      <c r="D82" s="938"/>
      <c r="E82" s="938"/>
      <c r="F82" s="938"/>
      <c r="G82" s="938"/>
      <c r="H82" s="938"/>
      <c r="I82" s="843"/>
      <c r="K82" s="938"/>
      <c r="L82" s="938"/>
      <c r="M82" s="938"/>
      <c r="N82" s="938"/>
      <c r="R82" s="892"/>
      <c r="AM82" s="900"/>
      <c r="AP82" s="902"/>
    </row>
    <row r="83" spans="1:42" outlineLevel="2">
      <c r="B83" s="926"/>
      <c r="C83" s="926"/>
      <c r="D83" s="925"/>
      <c r="E83" s="925"/>
      <c r="F83" s="925"/>
      <c r="G83" s="925"/>
      <c r="H83" s="925"/>
      <c r="I83" s="926"/>
      <c r="J83" s="926"/>
      <c r="K83" s="926"/>
      <c r="L83" s="926"/>
      <c r="M83" s="926"/>
      <c r="Q83" s="926"/>
      <c r="R83" s="892"/>
      <c r="AM83" s="900"/>
      <c r="AP83" s="902"/>
    </row>
    <row r="84" spans="1:42" outlineLevel="2">
      <c r="B84" s="926"/>
      <c r="C84" s="926"/>
      <c r="D84" s="926"/>
      <c r="E84" s="926"/>
      <c r="F84" s="926"/>
      <c r="G84" s="926"/>
      <c r="H84" s="926"/>
      <c r="I84" s="935"/>
      <c r="J84" s="926"/>
      <c r="K84" s="926"/>
      <c r="L84" s="926"/>
      <c r="M84" s="926"/>
      <c r="N84" s="926"/>
    </row>
    <row r="85" spans="1:42" outlineLevel="2">
      <c r="B85" s="926"/>
      <c r="C85" s="926"/>
      <c r="D85" s="926"/>
      <c r="E85" s="926"/>
      <c r="F85" s="926"/>
      <c r="G85" s="926"/>
      <c r="H85" s="926"/>
      <c r="I85" s="933"/>
      <c r="J85" s="926"/>
    </row>
    <row r="86" spans="1:42" outlineLevel="2"/>
    <row r="87" spans="1:42" outlineLevel="2"/>
    <row r="88" spans="1:42" outlineLevel="2"/>
    <row r="89" spans="1:42" outlineLevel="2"/>
    <row r="90" spans="1:42" outlineLevel="2"/>
    <row r="91" spans="1:42" outlineLevel="2"/>
    <row r="92" spans="1:42" outlineLevel="2"/>
    <row r="93" spans="1:42" outlineLevel="2"/>
    <row r="94" spans="1:42" outlineLevel="2"/>
    <row r="95" spans="1:42" outlineLevel="2"/>
    <row r="96" spans="1:42" outlineLevel="2"/>
    <row r="97" spans="1:38" outlineLevel="2"/>
    <row r="98" spans="1:38" outlineLevel="2"/>
    <row r="99" spans="1:38" outlineLevel="2"/>
    <row r="100" spans="1:38" outlineLevel="2"/>
    <row r="101" spans="1:38" outlineLevel="2"/>
    <row r="102" spans="1:38" outlineLevel="2"/>
    <row r="103" spans="1:38" outlineLevel="2"/>
    <row r="104" spans="1:38" outlineLevel="2"/>
    <row r="105" spans="1:38" outlineLevel="2"/>
    <row r="106" spans="1:38" outlineLevel="2"/>
    <row r="107" spans="1:38" outlineLevel="2"/>
    <row r="109" spans="1:38" ht="15.95" customHeight="1">
      <c r="A109" s="839" t="str">
        <f>A56</f>
        <v>РЫНОК - Горный кластер г. Сочи</v>
      </c>
      <c r="B109" s="840" t="s">
        <v>664</v>
      </c>
      <c r="C109" s="840"/>
      <c r="D109" s="840" t="s">
        <v>665</v>
      </c>
      <c r="E109" s="841"/>
      <c r="F109" s="840"/>
      <c r="G109" s="841"/>
      <c r="H109" s="841"/>
      <c r="I109" s="841"/>
      <c r="J109" s="841" t="s">
        <v>666</v>
      </c>
      <c r="K109" s="841"/>
      <c r="L109" s="841"/>
      <c r="M109" s="841"/>
      <c r="N109" s="841"/>
      <c r="O109" s="841"/>
      <c r="P109" s="841"/>
      <c r="Q109" s="842"/>
      <c r="R109" s="842"/>
    </row>
    <row r="110" spans="1:38" s="842" customFormat="1" outlineLevel="1">
      <c r="A110" s="844" t="s">
        <v>59</v>
      </c>
      <c r="B110" s="845">
        <v>2014</v>
      </c>
      <c r="C110" s="845">
        <f t="shared" ref="C110:I110" si="20">B110+1</f>
        <v>2015</v>
      </c>
      <c r="D110" s="845">
        <f t="shared" si="20"/>
        <v>2016</v>
      </c>
      <c r="E110" s="845">
        <f t="shared" si="20"/>
        <v>2017</v>
      </c>
      <c r="F110" s="845">
        <f t="shared" si="20"/>
        <v>2018</v>
      </c>
      <c r="G110" s="845">
        <f t="shared" si="20"/>
        <v>2019</v>
      </c>
      <c r="H110" s="845">
        <f t="shared" si="20"/>
        <v>2020</v>
      </c>
      <c r="I110" s="846">
        <f t="shared" si="20"/>
        <v>2021</v>
      </c>
      <c r="J110" s="847" t="s">
        <v>667</v>
      </c>
      <c r="K110" s="848">
        <f>I110+1</f>
        <v>2022</v>
      </c>
      <c r="L110" s="849">
        <f>K110+1</f>
        <v>2023</v>
      </c>
      <c r="M110" s="849">
        <f>L110+1</f>
        <v>2024</v>
      </c>
      <c r="N110" s="849">
        <f>M110+1</f>
        <v>2025</v>
      </c>
      <c r="O110" s="849">
        <f>N110+1</f>
        <v>2026</v>
      </c>
      <c r="P110" s="850" t="s">
        <v>667</v>
      </c>
      <c r="V110" s="843"/>
      <c r="W110" s="843"/>
      <c r="X110" s="843"/>
      <c r="Y110" s="843"/>
      <c r="Z110" s="843"/>
      <c r="AA110" s="843"/>
      <c r="AB110" s="843"/>
      <c r="AC110" s="843"/>
      <c r="AD110" s="843"/>
      <c r="AE110" s="843"/>
      <c r="AF110" s="843"/>
      <c r="AG110" s="843"/>
      <c r="AH110" s="843"/>
      <c r="AI110" s="843"/>
      <c r="AJ110" s="843"/>
      <c r="AK110" s="843"/>
      <c r="AL110" s="843"/>
    </row>
    <row r="111" spans="1:38" s="842" customFormat="1" ht="16.7" customHeight="1" outlineLevel="1">
      <c r="A111" s="851" t="s">
        <v>668</v>
      </c>
      <c r="B111" s="852">
        <f>F320</f>
        <v>0.17877011702508946</v>
      </c>
      <c r="C111" s="852">
        <f>K320</f>
        <v>0.31183170043868813</v>
      </c>
      <c r="D111" s="852">
        <f>P320</f>
        <v>0.41936772444467979</v>
      </c>
      <c r="E111" s="852">
        <f>U320</f>
        <v>0.60359340877506451</v>
      </c>
      <c r="F111" s="852">
        <f>Z320</f>
        <v>0.53676355941641607</v>
      </c>
      <c r="G111" s="852">
        <f>AE320</f>
        <v>0.7101165659831532</v>
      </c>
      <c r="H111" s="852">
        <f>AJ320</f>
        <v>0.4860927264704884</v>
      </c>
      <c r="I111" s="853">
        <f>AO320</f>
        <v>0.60142942227516383</v>
      </c>
      <c r="J111" s="854">
        <f>AVERAGE(E111:I111)</f>
        <v>0.58759913658405716</v>
      </c>
      <c r="K111" s="855">
        <f>I111+K112</f>
        <v>0.65142942227516387</v>
      </c>
      <c r="L111" s="856">
        <f>K111+L112</f>
        <v>0.69142942227516391</v>
      </c>
      <c r="M111" s="856">
        <f>L111+M112</f>
        <v>0.69142942227516391</v>
      </c>
      <c r="N111" s="856">
        <f>M111+N112</f>
        <v>0.67142942227516389</v>
      </c>
      <c r="O111" s="856">
        <f>N111+O112</f>
        <v>0.67142942227516389</v>
      </c>
      <c r="P111" s="857">
        <f>AVERAGE(K111:O111)</f>
        <v>0.67542942227516389</v>
      </c>
      <c r="V111" s="843"/>
      <c r="W111" s="843"/>
      <c r="X111" s="843"/>
      <c r="Y111" s="843"/>
      <c r="Z111" s="843"/>
      <c r="AA111" s="843"/>
      <c r="AB111" s="843"/>
      <c r="AC111" s="843"/>
      <c r="AD111" s="843"/>
      <c r="AE111" s="843"/>
      <c r="AF111" s="843"/>
      <c r="AG111" s="843"/>
      <c r="AH111" s="843"/>
      <c r="AI111" s="843"/>
      <c r="AJ111" s="843"/>
      <c r="AK111" s="843"/>
      <c r="AL111" s="843"/>
    </row>
    <row r="112" spans="1:38" s="842" customFormat="1" ht="16.7" customHeight="1" outlineLevel="1">
      <c r="A112" s="858" t="s">
        <v>669</v>
      </c>
      <c r="B112" s="859"/>
      <c r="C112" s="859">
        <f t="shared" ref="C112:I112" si="21">C111-B111</f>
        <v>0.13306158341359867</v>
      </c>
      <c r="D112" s="859">
        <f t="shared" si="21"/>
        <v>0.10753602400599166</v>
      </c>
      <c r="E112" s="859">
        <f t="shared" si="21"/>
        <v>0.18422568433038472</v>
      </c>
      <c r="F112" s="859">
        <f t="shared" si="21"/>
        <v>-6.6829849358648441E-2</v>
      </c>
      <c r="G112" s="860">
        <f t="shared" si="21"/>
        <v>0.17335300656673713</v>
      </c>
      <c r="H112" s="861">
        <f t="shared" si="21"/>
        <v>-0.2240238395126648</v>
      </c>
      <c r="I112" s="862">
        <f t="shared" si="21"/>
        <v>0.11533669580467543</v>
      </c>
      <c r="J112" s="863">
        <f>RATE(COUNT(E110:I110)-1,,-E111,I111)</f>
        <v>-8.975006620576784E-4</v>
      </c>
      <c r="K112" s="864">
        <v>0.05</v>
      </c>
      <c r="L112" s="865">
        <v>0.04</v>
      </c>
      <c r="M112" s="865">
        <v>0</v>
      </c>
      <c r="N112" s="865">
        <v>-0.02</v>
      </c>
      <c r="O112" s="866">
        <v>0</v>
      </c>
      <c r="P112" s="867">
        <f>RATE(COUNT(K110:O110)-1,,-K111,O111)</f>
        <v>7.5886102309112753E-3</v>
      </c>
      <c r="V112" s="843"/>
      <c r="W112" s="843"/>
      <c r="X112" s="843"/>
      <c r="Y112" s="843"/>
      <c r="Z112" s="843"/>
      <c r="AA112" s="843"/>
      <c r="AB112" s="843"/>
      <c r="AC112" s="843"/>
      <c r="AD112" s="843"/>
      <c r="AE112" s="843"/>
      <c r="AF112" s="843"/>
      <c r="AG112" s="843"/>
      <c r="AH112" s="843"/>
      <c r="AI112" s="843"/>
      <c r="AJ112" s="843"/>
      <c r="AK112" s="843"/>
      <c r="AL112" s="843"/>
    </row>
    <row r="113" spans="1:42" s="842" customFormat="1" ht="16.7" customHeight="1" outlineLevel="1">
      <c r="A113" s="858" t="s">
        <v>670</v>
      </c>
      <c r="B113" s="868">
        <f>F275</f>
        <v>115428.32853381176</v>
      </c>
      <c r="C113" s="868">
        <f>K275</f>
        <v>172332</v>
      </c>
      <c r="D113" s="868">
        <f>P275</f>
        <v>188855</v>
      </c>
      <c r="E113" s="868">
        <f>U275</f>
        <v>151110</v>
      </c>
      <c r="F113" s="868">
        <f>Z275</f>
        <v>179580</v>
      </c>
      <c r="G113" s="868">
        <f>AE275</f>
        <v>117530</v>
      </c>
      <c r="H113" s="868">
        <f>AJ275</f>
        <v>117852</v>
      </c>
      <c r="I113" s="868">
        <f>AO275</f>
        <v>117530</v>
      </c>
      <c r="J113" s="869">
        <f>AVERAGE(E113:I113)</f>
        <v>136720.4</v>
      </c>
      <c r="K113" s="870">
        <f>I113+K134*365</f>
        <v>117530</v>
      </c>
      <c r="L113" s="871">
        <f>K113+(L134*365)</f>
        <v>117530</v>
      </c>
      <c r="M113" s="871">
        <f>L113+(M134*365)</f>
        <v>117530</v>
      </c>
      <c r="N113" s="871">
        <f>M113+(N134*365)</f>
        <v>117530</v>
      </c>
      <c r="O113" s="871">
        <f>N113+(O134*365)</f>
        <v>117530</v>
      </c>
      <c r="P113" s="872">
        <f>AVERAGE(K113:O113)</f>
        <v>117530</v>
      </c>
      <c r="V113" s="843"/>
      <c r="W113" s="843"/>
      <c r="X113" s="843"/>
      <c r="Y113" s="843"/>
      <c r="Z113" s="843"/>
      <c r="AA113" s="843"/>
      <c r="AB113" s="843"/>
      <c r="AC113" s="843"/>
      <c r="AD113" s="843"/>
      <c r="AE113" s="843"/>
      <c r="AF113" s="843"/>
      <c r="AG113" s="843"/>
      <c r="AH113" s="843"/>
      <c r="AI113" s="843"/>
      <c r="AJ113" s="843"/>
      <c r="AK113" s="843"/>
      <c r="AL113" s="843"/>
    </row>
    <row r="114" spans="1:42" s="842" customFormat="1" ht="16.7" customHeight="1" outlineLevel="1">
      <c r="A114" s="858" t="s">
        <v>671</v>
      </c>
      <c r="B114" s="859"/>
      <c r="C114" s="861">
        <f t="shared" ref="C114:I114" si="22">C113/B113-1</f>
        <v>0.49297838917869963</v>
      </c>
      <c r="D114" s="861">
        <f t="shared" si="22"/>
        <v>9.5878884943016995E-2</v>
      </c>
      <c r="E114" s="861">
        <f t="shared" si="22"/>
        <v>-0.19986232824124328</v>
      </c>
      <c r="F114" s="861">
        <f t="shared" si="22"/>
        <v>0.18840579710144922</v>
      </c>
      <c r="G114" s="861">
        <f t="shared" si="22"/>
        <v>-0.34552845528455289</v>
      </c>
      <c r="H114" s="861">
        <f t="shared" si="22"/>
        <v>2.73972602739736E-3</v>
      </c>
      <c r="I114" s="862">
        <f t="shared" si="22"/>
        <v>-2.732240437158473E-3</v>
      </c>
      <c r="J114" s="863">
        <f>RATE((COUNT(E113:I113)-1),,-E113,I113)</f>
        <v>-6.0895584246233703E-2</v>
      </c>
      <c r="K114" s="873">
        <f>K113/I113-1</f>
        <v>0</v>
      </c>
      <c r="L114" s="861">
        <f>L113/K113-1</f>
        <v>0</v>
      </c>
      <c r="M114" s="861">
        <f>M113/L113-1</f>
        <v>0</v>
      </c>
      <c r="N114" s="861">
        <f>N113/M113-1</f>
        <v>0</v>
      </c>
      <c r="O114" s="861">
        <f>O113/N113-1</f>
        <v>0</v>
      </c>
      <c r="P114" s="867">
        <f>RATE(COUNT(K110:O110)-1,,-K113,O113)</f>
        <v>-9.6054345870129809E-19</v>
      </c>
      <c r="V114" s="843"/>
      <c r="W114" s="843"/>
      <c r="X114" s="843"/>
      <c r="Y114" s="843"/>
      <c r="Z114" s="843"/>
      <c r="AA114" s="843"/>
      <c r="AB114" s="843"/>
      <c r="AC114" s="843"/>
      <c r="AD114" s="843"/>
      <c r="AE114" s="843"/>
      <c r="AF114" s="843"/>
      <c r="AG114" s="843"/>
      <c r="AH114" s="843"/>
      <c r="AI114" s="843"/>
      <c r="AJ114" s="843"/>
      <c r="AK114" s="843"/>
      <c r="AL114" s="843"/>
    </row>
    <row r="115" spans="1:42" s="842" customFormat="1" ht="16.7" customHeight="1" outlineLevel="1">
      <c r="A115" s="858" t="s">
        <v>672</v>
      </c>
      <c r="B115" s="868">
        <f>B113*B111</f>
        <v>20635.1358</v>
      </c>
      <c r="C115" s="868">
        <f>C113*C111</f>
        <v>53738.580600000001</v>
      </c>
      <c r="D115" s="868">
        <f>D113*D111</f>
        <v>79199.691600000006</v>
      </c>
      <c r="E115" s="868">
        <f>E113*E111</f>
        <v>91209</v>
      </c>
      <c r="F115" s="868">
        <f>F113*F111</f>
        <v>96392</v>
      </c>
      <c r="G115" s="874">
        <f>G111*G113</f>
        <v>83460</v>
      </c>
      <c r="H115" s="874">
        <f>H111*H113</f>
        <v>57287</v>
      </c>
      <c r="I115" s="875">
        <f>I111*I113</f>
        <v>70686</v>
      </c>
      <c r="J115" s="876">
        <f>AVERAGE(E115:I115)</f>
        <v>79806.8</v>
      </c>
      <c r="K115" s="877">
        <f>K111*K113</f>
        <v>76562.500000000015</v>
      </c>
      <c r="L115" s="874">
        <f>L111*L113</f>
        <v>81263.700000000012</v>
      </c>
      <c r="M115" s="874">
        <f>M111*M113</f>
        <v>81263.700000000012</v>
      </c>
      <c r="N115" s="874">
        <f>N111*N113</f>
        <v>78913.100000000006</v>
      </c>
      <c r="O115" s="874">
        <f>O111*O113</f>
        <v>78913.100000000006</v>
      </c>
      <c r="P115" s="872">
        <f>AVERAGE(K115:O115)</f>
        <v>79383.22</v>
      </c>
      <c r="V115" s="843"/>
      <c r="W115" s="843"/>
      <c r="X115" s="843"/>
      <c r="Y115" s="843"/>
      <c r="Z115" s="843"/>
      <c r="AA115" s="843"/>
      <c r="AB115" s="843"/>
      <c r="AC115" s="843"/>
      <c r="AD115" s="843"/>
      <c r="AE115" s="843"/>
      <c r="AF115" s="843"/>
      <c r="AG115" s="843"/>
      <c r="AH115" s="843"/>
      <c r="AI115" s="843"/>
      <c r="AJ115" s="843"/>
      <c r="AK115" s="843"/>
      <c r="AL115" s="843"/>
    </row>
    <row r="116" spans="1:42" s="842" customFormat="1" ht="16.7" customHeight="1" outlineLevel="1">
      <c r="A116" s="858" t="s">
        <v>673</v>
      </c>
      <c r="B116" s="859"/>
      <c r="C116" s="859">
        <f t="shared" ref="C116:I116" si="23">C115/B115-1</f>
        <v>1.6042271357380646</v>
      </c>
      <c r="D116" s="859">
        <f t="shared" si="23"/>
        <v>0.47379574815193393</v>
      </c>
      <c r="E116" s="859">
        <f t="shared" si="23"/>
        <v>0.15163327226895396</v>
      </c>
      <c r="F116" s="859">
        <f t="shared" si="23"/>
        <v>5.6825532568058001E-2</v>
      </c>
      <c r="G116" s="859">
        <f t="shared" si="23"/>
        <v>-0.13416051124574657</v>
      </c>
      <c r="H116" s="859">
        <f t="shared" si="23"/>
        <v>-0.31359932901988974</v>
      </c>
      <c r="I116" s="859">
        <f t="shared" si="23"/>
        <v>0.23389250615322843</v>
      </c>
      <c r="J116" s="863">
        <f>RATE((COUNT(E110:I110)-1),,-E115,I115)</f>
        <v>-6.1738431086090097E-2</v>
      </c>
      <c r="K116" s="878">
        <f>K115/I115-1</f>
        <v>8.3135274311745055E-2</v>
      </c>
      <c r="L116" s="859">
        <f>L115/K115-1</f>
        <v>6.1403428571428442E-2</v>
      </c>
      <c r="M116" s="859">
        <f>M115/L115-1</f>
        <v>0</v>
      </c>
      <c r="N116" s="859">
        <f>N115/M115-1</f>
        <v>-2.8925584239949731E-2</v>
      </c>
      <c r="O116" s="859">
        <f>O115/N115-1</f>
        <v>0</v>
      </c>
      <c r="P116" s="867">
        <f>RATE(COUNT(K112:O112)-1,,-K115,O115)</f>
        <v>7.588610229209777E-3</v>
      </c>
      <c r="V116" s="843"/>
      <c r="W116" s="843"/>
      <c r="X116" s="843"/>
      <c r="Y116" s="843"/>
      <c r="Z116" s="843"/>
      <c r="AA116" s="843"/>
      <c r="AB116" s="843"/>
      <c r="AC116" s="843"/>
      <c r="AD116" s="843"/>
      <c r="AE116" s="843"/>
      <c r="AF116" s="843"/>
      <c r="AG116" s="843"/>
      <c r="AH116" s="843"/>
      <c r="AI116" s="843"/>
      <c r="AJ116" s="843"/>
      <c r="AK116" s="843"/>
      <c r="AL116" s="843"/>
    </row>
    <row r="117" spans="1:42" s="842" customFormat="1" ht="16.7" customHeight="1" outlineLevel="2">
      <c r="A117" s="858" t="s">
        <v>674</v>
      </c>
      <c r="B117" s="879">
        <f t="shared" ref="B117:I117" si="24">B119/B126</f>
        <v>93.785852822299631</v>
      </c>
      <c r="C117" s="879">
        <f t="shared" si="24"/>
        <v>48.598350511871757</v>
      </c>
      <c r="D117" s="879">
        <f t="shared" si="24"/>
        <v>52.027625821806438</v>
      </c>
      <c r="E117" s="879">
        <f t="shared" si="24"/>
        <v>54.952735461260616</v>
      </c>
      <c r="F117" s="879">
        <f t="shared" si="24"/>
        <v>51.592044606508715</v>
      </c>
      <c r="G117" s="879">
        <f t="shared" si="24"/>
        <v>48.674733655588142</v>
      </c>
      <c r="H117" s="879">
        <f t="shared" si="24"/>
        <v>62.942014312339339</v>
      </c>
      <c r="I117" s="879">
        <f t="shared" si="24"/>
        <v>73.850672596147348</v>
      </c>
      <c r="J117" s="880">
        <f>AVERAGE(E117:I117)</f>
        <v>58.40244012636883</v>
      </c>
      <c r="K117" s="881">
        <f>K119/K126</f>
        <v>72.342863982397319</v>
      </c>
      <c r="L117" s="879">
        <f>L119/L126</f>
        <v>75.23657854169322</v>
      </c>
      <c r="M117" s="879">
        <f>M119/M126</f>
        <v>78.246041683360943</v>
      </c>
      <c r="N117" s="879">
        <f>N119/N126</f>
        <v>81.375883350695389</v>
      </c>
      <c r="O117" s="879">
        <f>O119/O126</f>
        <v>84.630918684723198</v>
      </c>
      <c r="P117" s="882">
        <f>AVERAGE(K117:O117)</f>
        <v>78.366457248574022</v>
      </c>
      <c r="V117" s="843"/>
      <c r="W117" s="843"/>
      <c r="X117" s="843"/>
      <c r="Y117" s="843"/>
      <c r="Z117" s="843"/>
      <c r="AA117" s="843"/>
      <c r="AB117" s="843"/>
      <c r="AC117" s="843"/>
      <c r="AD117" s="843"/>
      <c r="AE117" s="843"/>
      <c r="AF117" s="843"/>
      <c r="AG117" s="843"/>
      <c r="AH117" s="843"/>
      <c r="AI117" s="843"/>
      <c r="AJ117" s="843"/>
      <c r="AK117" s="843"/>
      <c r="AL117" s="843"/>
    </row>
    <row r="118" spans="1:42" s="842" customFormat="1" ht="16.7" customHeight="1" outlineLevel="2">
      <c r="A118" s="858" t="s">
        <v>675</v>
      </c>
      <c r="B118" s="859"/>
      <c r="C118" s="859">
        <f t="shared" ref="C118:I118" si="25">C117/B117-1</f>
        <v>-0.48181576379165325</v>
      </c>
      <c r="D118" s="859">
        <f t="shared" si="25"/>
        <v>7.0563615304123584E-2</v>
      </c>
      <c r="E118" s="859">
        <f t="shared" si="25"/>
        <v>5.6222239497774051E-2</v>
      </c>
      <c r="F118" s="859">
        <f t="shared" si="25"/>
        <v>-6.115602483739957E-2</v>
      </c>
      <c r="G118" s="883">
        <f t="shared" si="25"/>
        <v>-5.6545751833850244E-2</v>
      </c>
      <c r="H118" s="884">
        <f t="shared" si="25"/>
        <v>0.2931147144574715</v>
      </c>
      <c r="I118" s="885">
        <f t="shared" si="25"/>
        <v>0.17331282455746644</v>
      </c>
      <c r="J118" s="863">
        <f>RATE((COUNT(E110:I110)-1),,-E117,I117)</f>
        <v>7.669150073992001E-2</v>
      </c>
      <c r="K118" s="886">
        <f>K117/I117-1</f>
        <v>-2.0416992300063219E-2</v>
      </c>
      <c r="L118" s="884">
        <f>L117/K117-1</f>
        <v>4.0000000000000036E-2</v>
      </c>
      <c r="M118" s="884">
        <f>M117/L117-1</f>
        <v>3.9999999999999813E-2</v>
      </c>
      <c r="N118" s="884">
        <f>N117/M117-1</f>
        <v>4.0000000000000036E-2</v>
      </c>
      <c r="O118" s="884">
        <f>O117/N117-1</f>
        <v>3.9999999999999813E-2</v>
      </c>
      <c r="P118" s="867">
        <f>RATE(COUNT(K110:O110)-1,,-K117,O117)</f>
        <v>4.0000000000006537E-2</v>
      </c>
      <c r="V118" s="843"/>
      <c r="W118" s="843"/>
      <c r="X118" s="843"/>
      <c r="Y118" s="843"/>
      <c r="Z118" s="843"/>
      <c r="AA118" s="843"/>
      <c r="AB118" s="843"/>
      <c r="AC118" s="843"/>
      <c r="AD118" s="843"/>
      <c r="AE118" s="843"/>
      <c r="AF118" s="843"/>
      <c r="AG118" s="843"/>
      <c r="AH118" s="843"/>
      <c r="AI118" s="843"/>
      <c r="AJ118" s="843"/>
      <c r="AK118" s="843"/>
      <c r="AL118" s="843"/>
    </row>
    <row r="119" spans="1:42" s="892" customFormat="1" ht="16.7" customHeight="1" outlineLevel="1">
      <c r="A119" s="851" t="s">
        <v>676</v>
      </c>
      <c r="B119" s="887">
        <f>F379</f>
        <v>3604.8937178571418</v>
      </c>
      <c r="C119" s="887">
        <f>K379</f>
        <v>2962.4533906676274</v>
      </c>
      <c r="D119" s="887">
        <f>P379</f>
        <v>3487.6666942022121</v>
      </c>
      <c r="E119" s="887">
        <f>U379</f>
        <v>3206.6514770973945</v>
      </c>
      <c r="F119" s="887">
        <f>Z379</f>
        <v>3235.2906844340155</v>
      </c>
      <c r="G119" s="887">
        <f>AE379</f>
        <v>3151.0172928748848</v>
      </c>
      <c r="H119" s="887">
        <f>AJ379</f>
        <v>4541.0397413837591</v>
      </c>
      <c r="I119" s="887">
        <f>AO379</f>
        <v>5439.4048244638961</v>
      </c>
      <c r="J119" s="888">
        <f>AVERAGE(E119:I119)</f>
        <v>3914.6808040507894</v>
      </c>
      <c r="K119" s="889">
        <f>I119*(1+K120)</f>
        <v>5711.3750656870916</v>
      </c>
      <c r="L119" s="887">
        <f>K119*(1+L120)</f>
        <v>5939.8300683145753</v>
      </c>
      <c r="M119" s="887">
        <f>L119*(1+M120)</f>
        <v>6177.4232710471588</v>
      </c>
      <c r="N119" s="887">
        <f>M119*(1+N120)</f>
        <v>6424.520201889045</v>
      </c>
      <c r="O119" s="890">
        <f>N119*(1+O120)</f>
        <v>6681.501009964607</v>
      </c>
      <c r="P119" s="891">
        <f>AVERAGE(K119:O119)</f>
        <v>6186.929923380495</v>
      </c>
      <c r="R119" s="842"/>
      <c r="V119" s="843"/>
      <c r="W119" s="843"/>
      <c r="X119" s="843"/>
      <c r="Y119" s="843"/>
      <c r="Z119" s="843"/>
      <c r="AA119" s="843"/>
      <c r="AB119" s="843"/>
      <c r="AC119" s="843"/>
      <c r="AD119" s="843"/>
      <c r="AE119" s="843"/>
      <c r="AF119" s="843"/>
      <c r="AG119" s="843"/>
      <c r="AH119" s="843"/>
      <c r="AI119" s="843"/>
      <c r="AJ119" s="843"/>
      <c r="AK119" s="843"/>
      <c r="AL119" s="843"/>
    </row>
    <row r="120" spans="1:42" s="842" customFormat="1" ht="16.7" customHeight="1" outlineLevel="1">
      <c r="A120" s="858" t="s">
        <v>677</v>
      </c>
      <c r="B120" s="859"/>
      <c r="C120" s="859">
        <f t="shared" ref="C120:I120" si="26">C119/B119-1</f>
        <v>-0.17821338920676988</v>
      </c>
      <c r="D120" s="859">
        <f t="shared" si="26"/>
        <v>0.17728998038893051</v>
      </c>
      <c r="E120" s="859">
        <f t="shared" si="26"/>
        <v>-8.057398878510047E-2</v>
      </c>
      <c r="F120" s="859">
        <f t="shared" si="26"/>
        <v>8.931188044964733E-3</v>
      </c>
      <c r="G120" s="859">
        <f t="shared" si="26"/>
        <v>-2.6048166850847765E-2</v>
      </c>
      <c r="H120" s="859">
        <f t="shared" si="26"/>
        <v>0.4411345033402414</v>
      </c>
      <c r="I120" s="859">
        <f t="shared" si="26"/>
        <v>0.19783246442286906</v>
      </c>
      <c r="J120" s="863">
        <f>RATE((COUNT(E110:I110)-1),,-E119,I119)</f>
        <v>0.1412345352486413</v>
      </c>
      <c r="K120" s="864">
        <v>0.05</v>
      </c>
      <c r="L120" s="865">
        <v>0.04</v>
      </c>
      <c r="M120" s="865">
        <v>0.04</v>
      </c>
      <c r="N120" s="865">
        <v>0.04</v>
      </c>
      <c r="O120" s="866">
        <v>0.04</v>
      </c>
      <c r="P120" s="867">
        <f>RATE(COUNT(K110:O110)-1,,-K119,O119)</f>
        <v>4.0000000000006385E-2</v>
      </c>
      <c r="V120" s="843"/>
      <c r="W120" s="843"/>
      <c r="X120" s="843"/>
      <c r="Y120" s="843"/>
      <c r="Z120" s="843"/>
      <c r="AA120" s="843"/>
      <c r="AB120" s="843"/>
      <c r="AC120" s="843"/>
      <c r="AD120" s="843"/>
      <c r="AE120" s="843"/>
      <c r="AF120" s="843"/>
      <c r="AG120" s="843"/>
      <c r="AH120" s="843"/>
      <c r="AI120" s="843"/>
      <c r="AJ120" s="843"/>
      <c r="AK120" s="843"/>
      <c r="AL120" s="843"/>
    </row>
    <row r="121" spans="1:42" s="842" customFormat="1" ht="16.7" customHeight="1" outlineLevel="2">
      <c r="A121" s="858" t="s">
        <v>678</v>
      </c>
      <c r="B121" s="879">
        <f t="shared" ref="B121:G121" si="27">B117*B111</f>
        <v>16.766107884340322</v>
      </c>
      <c r="C121" s="879">
        <f t="shared" si="27"/>
        <v>15.154506278632359</v>
      </c>
      <c r="D121" s="879">
        <f t="shared" si="27"/>
        <v>21.81870704915023</v>
      </c>
      <c r="E121" s="879">
        <f t="shared" si="27"/>
        <v>33.169108918576661</v>
      </c>
      <c r="F121" s="879">
        <f t="shared" si="27"/>
        <v>27.69272950056013</v>
      </c>
      <c r="G121" s="893">
        <f t="shared" si="27"/>
        <v>34.564734713650864</v>
      </c>
      <c r="H121" s="894">
        <f>H117*H111</f>
        <v>30.595655346629531</v>
      </c>
      <c r="I121" s="895">
        <f>I117*I111</f>
        <v>44.415967354133173</v>
      </c>
      <c r="J121" s="880">
        <f>AVERAGE(E121:I121)</f>
        <v>34.087639166710076</v>
      </c>
      <c r="K121" s="881">
        <f>K117*K111</f>
        <v>47.126270089783844</v>
      </c>
      <c r="L121" s="879">
        <f>L117*L111</f>
        <v>52.020784035042936</v>
      </c>
      <c r="M121" s="879">
        <f>M117*M111</f>
        <v>54.10161539644465</v>
      </c>
      <c r="N121" s="879">
        <f>N117*N111</f>
        <v>54.638162345288535</v>
      </c>
      <c r="O121" s="879">
        <f>O117*O111</f>
        <v>56.823688839100072</v>
      </c>
      <c r="P121" s="882">
        <f>AVERAGE(K121:O121)</f>
        <v>52.94210414113202</v>
      </c>
      <c r="V121" s="843"/>
      <c r="W121" s="843"/>
      <c r="X121" s="843"/>
      <c r="Y121" s="843"/>
      <c r="Z121" s="843"/>
      <c r="AA121" s="843"/>
      <c r="AB121" s="843"/>
      <c r="AC121" s="843"/>
      <c r="AD121" s="843"/>
      <c r="AE121" s="843"/>
      <c r="AF121" s="843"/>
      <c r="AG121" s="843"/>
      <c r="AH121" s="843"/>
      <c r="AI121" s="843"/>
      <c r="AJ121" s="843"/>
      <c r="AK121" s="843"/>
      <c r="AL121" s="843"/>
    </row>
    <row r="122" spans="1:42" s="842" customFormat="1" ht="16.7" customHeight="1" outlineLevel="2">
      <c r="A122" s="858" t="s">
        <v>675</v>
      </c>
      <c r="B122" s="859"/>
      <c r="C122" s="859">
        <f>C121/B121-1</f>
        <v>-9.6122583537304518E-2</v>
      </c>
      <c r="D122" s="859">
        <f>D121/C121-1</f>
        <v>0.43975043778986711</v>
      </c>
      <c r="E122" s="859">
        <f>E121/D121-1</f>
        <v>0.5202142291868066</v>
      </c>
      <c r="F122" s="859">
        <f>F121/E121-1</f>
        <v>-0.16510480976320219</v>
      </c>
      <c r="G122" s="860">
        <f>G121/J121-1</f>
        <v>1.3996145189389297E-2</v>
      </c>
      <c r="H122" s="861">
        <f>H121/G121-1</f>
        <v>-0.11483031476743255</v>
      </c>
      <c r="I122" s="896">
        <f>I121/H121-1</f>
        <v>0.45170831776368892</v>
      </c>
      <c r="J122" s="863">
        <f>RATE((COUNT(E110:I110)-1),,-E121,I121)</f>
        <v>7.5725169399820047E-2</v>
      </c>
      <c r="K122" s="878">
        <f>K121/I121-1</f>
        <v>6.1020909756195119E-2</v>
      </c>
      <c r="L122" s="859">
        <f>L121/K121-1</f>
        <v>0.10385956571428601</v>
      </c>
      <c r="M122" s="859">
        <f>M121/L121-1</f>
        <v>4.0000000000000036E-2</v>
      </c>
      <c r="N122" s="859">
        <f>N121/M121-1</f>
        <v>9.9173923904525285E-3</v>
      </c>
      <c r="O122" s="859">
        <f>O121/N121-1</f>
        <v>3.9999999999999813E-2</v>
      </c>
      <c r="P122" s="867">
        <f>RATE(COUNT(K120:O120)-1,,-K121,O121)</f>
        <v>4.7892154638379175E-2</v>
      </c>
      <c r="V122" s="843"/>
      <c r="W122" s="843"/>
      <c r="X122" s="843"/>
      <c r="Y122" s="843"/>
      <c r="Z122" s="843"/>
      <c r="AA122" s="843"/>
      <c r="AB122" s="843"/>
      <c r="AC122" s="843"/>
      <c r="AD122" s="843"/>
      <c r="AE122" s="843"/>
      <c r="AF122" s="843"/>
      <c r="AG122" s="843"/>
      <c r="AH122" s="843"/>
      <c r="AI122" s="843"/>
      <c r="AJ122" s="843"/>
      <c r="AK122" s="843"/>
      <c r="AL122" s="843"/>
    </row>
    <row r="123" spans="1:42" s="892" customFormat="1" ht="16.7" customHeight="1" outlineLevel="1">
      <c r="A123" s="851" t="s">
        <v>679</v>
      </c>
      <c r="B123" s="887">
        <f>B111*B119</f>
        <v>644.44727180433108</v>
      </c>
      <c r="C123" s="887">
        <f>C111*C119</f>
        <v>923.78687828224349</v>
      </c>
      <c r="D123" s="887">
        <f>D111*D119</f>
        <v>1462.6148451690806</v>
      </c>
      <c r="E123" s="887">
        <f>E111*E119</f>
        <v>1935.5136958148121</v>
      </c>
      <c r="F123" s="887">
        <f>F111*F119</f>
        <v>1736.5861435235752</v>
      </c>
      <c r="G123" s="897">
        <f>G119*G111</f>
        <v>2237.5895793698451</v>
      </c>
      <c r="H123" s="898">
        <f>H119*H111</f>
        <v>2207.3663889000732</v>
      </c>
      <c r="I123" s="899">
        <f>I119*I111</f>
        <v>3271.4181010980601</v>
      </c>
      <c r="J123" s="888">
        <f>AVERAGE(E123:I123)</f>
        <v>2277.6947817412729</v>
      </c>
      <c r="K123" s="889">
        <f>K119*K111</f>
        <v>3720.5577594373181</v>
      </c>
      <c r="L123" s="887">
        <f>L119*L111</f>
        <v>4106.9732725473941</v>
      </c>
      <c r="M123" s="887">
        <f>M119*M111</f>
        <v>4271.2522034492904</v>
      </c>
      <c r="N123" s="887">
        <f>N119*N111</f>
        <v>4313.6118875494803</v>
      </c>
      <c r="O123" s="887">
        <f>O119*O111</f>
        <v>4486.1563630514602</v>
      </c>
      <c r="P123" s="891">
        <f>AVERAGE(K123:O123)</f>
        <v>4179.7102972069888</v>
      </c>
      <c r="R123" s="842"/>
      <c r="V123" s="843"/>
      <c r="W123" s="843"/>
      <c r="X123" s="843"/>
      <c r="Y123" s="843"/>
      <c r="Z123" s="843"/>
      <c r="AA123" s="843"/>
      <c r="AB123" s="843"/>
      <c r="AC123" s="843"/>
      <c r="AD123" s="843"/>
      <c r="AE123" s="843"/>
      <c r="AF123" s="843"/>
      <c r="AG123" s="843"/>
      <c r="AH123" s="843"/>
      <c r="AI123" s="843"/>
      <c r="AJ123" s="843"/>
      <c r="AK123" s="843"/>
      <c r="AL123" s="843"/>
      <c r="AM123" s="900"/>
    </row>
    <row r="124" spans="1:42" s="842" customFormat="1" ht="16.7" customHeight="1" outlineLevel="1">
      <c r="A124" s="858" t="s">
        <v>677</v>
      </c>
      <c r="B124" s="859"/>
      <c r="C124" s="859">
        <f t="shared" ref="C124:I124" si="28">C123/B123-1</f>
        <v>0.43345610835749859</v>
      </c>
      <c r="D124" s="859">
        <f t="shared" si="28"/>
        <v>0.58328168493665222</v>
      </c>
      <c r="E124" s="859">
        <f t="shared" si="28"/>
        <v>0.32332425190930136</v>
      </c>
      <c r="F124" s="859">
        <f t="shared" si="28"/>
        <v>-0.10277765159780616</v>
      </c>
      <c r="G124" s="860">
        <f t="shared" si="28"/>
        <v>0.2884990403238632</v>
      </c>
      <c r="H124" s="861">
        <f t="shared" si="28"/>
        <v>-1.3507030399329767E-2</v>
      </c>
      <c r="I124" s="862">
        <f t="shared" si="28"/>
        <v>0.48204580696193444</v>
      </c>
      <c r="J124" s="863">
        <f>RATE((COUNT(E110:I110)-1),,-E123,I123)</f>
        <v>0.14021027649164367</v>
      </c>
      <c r="K124" s="873">
        <f>K123/I123-1</f>
        <v>0.13729203802733236</v>
      </c>
      <c r="L124" s="861">
        <f>L123/K123-1</f>
        <v>0.10385956571428578</v>
      </c>
      <c r="M124" s="861">
        <f>M123/L123-1</f>
        <v>4.0000000000000036E-2</v>
      </c>
      <c r="N124" s="861">
        <f>N123/M123-1</f>
        <v>9.9173923904520844E-3</v>
      </c>
      <c r="O124" s="861">
        <f>O123/N123-1</f>
        <v>4.0000000000000036E-2</v>
      </c>
      <c r="P124" s="867">
        <f>RATE(COUNT(K110:O110)-1,,-K123,O123)</f>
        <v>4.7892154638379092E-2</v>
      </c>
      <c r="V124" s="843"/>
      <c r="W124" s="843"/>
      <c r="X124" s="843"/>
      <c r="Y124" s="843"/>
      <c r="Z124" s="843"/>
      <c r="AA124" s="843"/>
      <c r="AB124" s="843"/>
      <c r="AC124" s="843"/>
      <c r="AD124" s="843"/>
      <c r="AE124" s="843"/>
      <c r="AF124" s="843"/>
      <c r="AG124" s="843"/>
      <c r="AH124" s="843"/>
      <c r="AI124" s="843"/>
      <c r="AJ124" s="843"/>
      <c r="AK124" s="843"/>
      <c r="AL124" s="843"/>
      <c r="AM124" s="900"/>
      <c r="AO124" s="901"/>
      <c r="AP124" s="902"/>
    </row>
    <row r="125" spans="1:42" s="908" customFormat="1" ht="16.7" customHeight="1" outlineLevel="1">
      <c r="A125" s="903" t="s">
        <v>5</v>
      </c>
      <c r="B125" s="904">
        <v>0.114</v>
      </c>
      <c r="C125" s="904">
        <v>0.129</v>
      </c>
      <c r="D125" s="905">
        <v>5.3999999999999999E-2</v>
      </c>
      <c r="E125" s="905">
        <v>2.5000000000000001E-2</v>
      </c>
      <c r="F125" s="905">
        <v>4.2999999999999997E-2</v>
      </c>
      <c r="G125" s="905">
        <v>0.03</v>
      </c>
      <c r="H125" s="905">
        <v>4.9000000000000002E-2</v>
      </c>
      <c r="I125" s="905">
        <v>8.3900000000000002E-2</v>
      </c>
      <c r="J125" s="906">
        <f>AVERAGE(E125:I125)</f>
        <v>4.6180000000000006E-2</v>
      </c>
      <c r="K125" s="864">
        <v>5.8999999999999997E-2</v>
      </c>
      <c r="L125" s="865">
        <v>0.04</v>
      </c>
      <c r="M125" s="865">
        <v>0.04</v>
      </c>
      <c r="N125" s="865">
        <v>0.04</v>
      </c>
      <c r="O125" s="866">
        <v>0.04</v>
      </c>
      <c r="P125" s="907">
        <f>AVERAGE(K125:O125)</f>
        <v>4.3800000000000006E-2</v>
      </c>
      <c r="R125" s="842"/>
      <c r="V125" s="843"/>
      <c r="W125" s="843"/>
      <c r="X125" s="843"/>
      <c r="Y125" s="843"/>
      <c r="Z125" s="843"/>
      <c r="AA125" s="843"/>
      <c r="AB125" s="843"/>
      <c r="AC125" s="843"/>
      <c r="AD125" s="843"/>
      <c r="AE125" s="843"/>
      <c r="AF125" s="843"/>
      <c r="AG125" s="843"/>
      <c r="AH125" s="843"/>
      <c r="AI125" s="843"/>
      <c r="AJ125" s="843"/>
      <c r="AK125" s="843"/>
      <c r="AL125" s="843"/>
      <c r="AM125" s="900"/>
      <c r="AO125" s="909"/>
    </row>
    <row r="126" spans="1:42" s="908" customFormat="1" ht="16.7" customHeight="1" outlineLevel="1">
      <c r="A126" s="910" t="s">
        <v>680</v>
      </c>
      <c r="B126" s="911">
        <v>38.4375</v>
      </c>
      <c r="C126" s="912">
        <v>60.957900000000002</v>
      </c>
      <c r="D126" s="913">
        <v>67.034899999999993</v>
      </c>
      <c r="E126" s="913">
        <v>58.352899999999998</v>
      </c>
      <c r="F126" s="913">
        <v>62.709099999999999</v>
      </c>
      <c r="G126" s="914">
        <v>64.736199999999997</v>
      </c>
      <c r="H126" s="914">
        <v>72.1464</v>
      </c>
      <c r="I126" s="914">
        <v>73.6541</v>
      </c>
      <c r="J126" s="915">
        <f>AVERAGE(E126:I126)</f>
        <v>66.319739999999996</v>
      </c>
      <c r="K126" s="916">
        <v>78.948700000000002</v>
      </c>
      <c r="L126" s="917">
        <f>K126</f>
        <v>78.948700000000002</v>
      </c>
      <c r="M126" s="917">
        <f>L126</f>
        <v>78.948700000000002</v>
      </c>
      <c r="N126" s="917">
        <f>M126</f>
        <v>78.948700000000002</v>
      </c>
      <c r="O126" s="917">
        <f>N126</f>
        <v>78.948700000000002</v>
      </c>
      <c r="P126" s="918">
        <f>AVERAGE(K126:O126)</f>
        <v>78.948700000000002</v>
      </c>
      <c r="R126" s="842"/>
      <c r="V126" s="843"/>
      <c r="W126" s="843"/>
      <c r="X126" s="843"/>
      <c r="Y126" s="843"/>
      <c r="Z126" s="843"/>
      <c r="AA126" s="843"/>
      <c r="AB126" s="843"/>
      <c r="AC126" s="843"/>
      <c r="AD126" s="843"/>
      <c r="AE126" s="843"/>
      <c r="AF126" s="843"/>
      <c r="AG126" s="843"/>
      <c r="AH126" s="843"/>
      <c r="AI126" s="843"/>
      <c r="AJ126" s="843"/>
      <c r="AK126" s="843"/>
      <c r="AL126" s="843"/>
      <c r="AM126" s="900"/>
      <c r="AO126" s="909"/>
    </row>
    <row r="127" spans="1:42" outlineLevel="1">
      <c r="A127" s="919" t="s">
        <v>681</v>
      </c>
    </row>
    <row r="128" spans="1:42" s="842" customFormat="1" ht="16.7" customHeight="1" outlineLevel="2">
      <c r="A128" s="843"/>
      <c r="B128" s="921" t="s">
        <v>682</v>
      </c>
      <c r="C128" s="921" t="s">
        <v>683</v>
      </c>
      <c r="D128" s="921" t="s">
        <v>684</v>
      </c>
      <c r="E128" s="921" t="s">
        <v>685</v>
      </c>
      <c r="F128" s="921" t="s">
        <v>686</v>
      </c>
      <c r="G128" s="921" t="s">
        <v>687</v>
      </c>
      <c r="H128" s="921" t="s">
        <v>688</v>
      </c>
      <c r="I128" s="921" t="s">
        <v>689</v>
      </c>
      <c r="J128" s="843"/>
      <c r="K128" s="921"/>
      <c r="L128" s="921"/>
      <c r="M128" s="921"/>
      <c r="N128" s="921"/>
      <c r="O128" s="921"/>
      <c r="P128" s="921"/>
      <c r="V128" s="843"/>
      <c r="W128" s="843"/>
      <c r="X128" s="843"/>
      <c r="Y128" s="843"/>
      <c r="Z128" s="843"/>
      <c r="AA128" s="843"/>
      <c r="AB128" s="843"/>
      <c r="AC128" s="843"/>
      <c r="AD128" s="843"/>
      <c r="AE128" s="843"/>
      <c r="AF128" s="843"/>
      <c r="AG128" s="843"/>
      <c r="AH128" s="843"/>
      <c r="AI128" s="843"/>
      <c r="AJ128" s="843"/>
      <c r="AK128" s="843"/>
      <c r="AL128" s="843"/>
      <c r="AM128" s="900"/>
      <c r="AO128" s="901"/>
    </row>
    <row r="129" spans="1:42" outlineLevel="2">
      <c r="A129" s="922" t="s">
        <v>690</v>
      </c>
      <c r="B129" s="922"/>
      <c r="C129" s="922"/>
      <c r="D129" s="922"/>
      <c r="E129" s="922"/>
      <c r="F129" s="922"/>
      <c r="G129" s="922"/>
      <c r="H129" s="922"/>
      <c r="I129" s="922"/>
      <c r="J129" s="922"/>
      <c r="K129" s="922"/>
      <c r="L129" s="922"/>
      <c r="M129" s="922"/>
      <c r="N129" s="922"/>
      <c r="O129" s="922"/>
      <c r="P129" s="922"/>
      <c r="R129" s="892"/>
      <c r="AM129" s="900"/>
      <c r="AP129" s="902"/>
    </row>
    <row r="130" spans="1:42" outlineLevel="2">
      <c r="A130" s="923" t="s">
        <v>691</v>
      </c>
      <c r="B130" s="995" t="s">
        <v>706</v>
      </c>
      <c r="C130" s="995" t="s">
        <v>398</v>
      </c>
      <c r="D130" s="924" t="s">
        <v>692</v>
      </c>
      <c r="E130" s="925"/>
      <c r="F130" s="925"/>
      <c r="G130" s="925"/>
      <c r="H130" s="925"/>
      <c r="I130" s="926"/>
      <c r="J130" s="926"/>
      <c r="K130" s="839" t="s">
        <v>693</v>
      </c>
      <c r="L130" s="839"/>
      <c r="M130" s="839"/>
      <c r="N130" s="839"/>
      <c r="O130" s="839"/>
      <c r="Q130" s="926"/>
      <c r="R130" s="892"/>
      <c r="AM130" s="900"/>
      <c r="AP130" s="902"/>
    </row>
    <row r="131" spans="1:42" s="842" customFormat="1" outlineLevel="2">
      <c r="A131" s="936" t="s">
        <v>710</v>
      </c>
      <c r="B131" s="927"/>
      <c r="C131" s="1018"/>
      <c r="D131" s="928"/>
      <c r="E131" s="921"/>
      <c r="F131" s="921"/>
      <c r="G131" s="921"/>
      <c r="H131" s="921"/>
      <c r="I131" s="921"/>
      <c r="J131" s="843"/>
      <c r="K131" s="868">
        <f>IF($D131=K$57,$C131,0)</f>
        <v>0</v>
      </c>
      <c r="L131" s="868">
        <f t="shared" ref="L131:O133" si="29">IF($D131=L$57,$C131,0)</f>
        <v>0</v>
      </c>
      <c r="M131" s="868">
        <f t="shared" si="29"/>
        <v>0</v>
      </c>
      <c r="N131" s="868">
        <f t="shared" si="29"/>
        <v>0</v>
      </c>
      <c r="O131" s="868">
        <f t="shared" si="29"/>
        <v>0</v>
      </c>
      <c r="P131" s="921"/>
      <c r="V131" s="843"/>
      <c r="W131" s="843"/>
      <c r="X131" s="843"/>
      <c r="Y131" s="843"/>
      <c r="Z131" s="843"/>
      <c r="AA131" s="843"/>
      <c r="AB131" s="843"/>
      <c r="AC131" s="843"/>
      <c r="AD131" s="843"/>
      <c r="AE131" s="843"/>
      <c r="AF131" s="843"/>
      <c r="AG131" s="843"/>
      <c r="AH131" s="843"/>
      <c r="AI131" s="843"/>
      <c r="AJ131" s="843"/>
      <c r="AK131" s="843"/>
      <c r="AL131" s="843"/>
      <c r="AM131" s="900"/>
      <c r="AO131" s="901"/>
    </row>
    <row r="132" spans="1:42" s="842" customFormat="1" outlineLevel="2">
      <c r="A132" s="936" t="s">
        <v>710</v>
      </c>
      <c r="B132" s="927"/>
      <c r="C132" s="1018"/>
      <c r="D132" s="928"/>
      <c r="E132" s="921"/>
      <c r="F132" s="921"/>
      <c r="G132" s="921"/>
      <c r="H132" s="921"/>
      <c r="I132" s="921"/>
      <c r="J132" s="843"/>
      <c r="K132" s="868">
        <f>IF($D132=K$57,$C132,0)</f>
        <v>0</v>
      </c>
      <c r="L132" s="868">
        <f t="shared" si="29"/>
        <v>0</v>
      </c>
      <c r="M132" s="868">
        <f t="shared" si="29"/>
        <v>0</v>
      </c>
      <c r="N132" s="868">
        <f t="shared" si="29"/>
        <v>0</v>
      </c>
      <c r="O132" s="868">
        <f t="shared" si="29"/>
        <v>0</v>
      </c>
      <c r="P132" s="921"/>
      <c r="V132" s="843"/>
      <c r="W132" s="843"/>
      <c r="X132" s="843"/>
      <c r="Y132" s="843"/>
      <c r="Z132" s="843"/>
      <c r="AA132" s="843"/>
      <c r="AB132" s="843"/>
      <c r="AC132" s="843"/>
      <c r="AD132" s="843"/>
      <c r="AE132" s="843"/>
      <c r="AF132" s="843"/>
      <c r="AG132" s="843"/>
      <c r="AH132" s="843"/>
      <c r="AI132" s="843"/>
      <c r="AJ132" s="843"/>
      <c r="AK132" s="843"/>
      <c r="AL132" s="843"/>
      <c r="AM132" s="900"/>
      <c r="AO132" s="901"/>
    </row>
    <row r="133" spans="1:42" s="842" customFormat="1" outlineLevel="2">
      <c r="A133" s="937" t="s">
        <v>710</v>
      </c>
      <c r="B133" s="929"/>
      <c r="C133" s="1019"/>
      <c r="D133" s="930"/>
      <c r="E133" s="921"/>
      <c r="F133" s="921"/>
      <c r="G133" s="921"/>
      <c r="H133" s="921"/>
      <c r="I133" s="921"/>
      <c r="J133" s="843"/>
      <c r="K133" s="868">
        <f>IF($D133=K$57,$C133,0)</f>
        <v>0</v>
      </c>
      <c r="L133" s="868">
        <f t="shared" si="29"/>
        <v>0</v>
      </c>
      <c r="M133" s="868">
        <f t="shared" si="29"/>
        <v>0</v>
      </c>
      <c r="N133" s="868">
        <f t="shared" si="29"/>
        <v>0</v>
      </c>
      <c r="O133" s="868">
        <f t="shared" si="29"/>
        <v>0</v>
      </c>
      <c r="P133" s="921"/>
      <c r="V133" s="843"/>
      <c r="W133" s="843"/>
      <c r="X133" s="843"/>
      <c r="Y133" s="843"/>
      <c r="Z133" s="843"/>
      <c r="AA133" s="843"/>
      <c r="AB133" s="843"/>
      <c r="AC133" s="843"/>
      <c r="AD133" s="843"/>
      <c r="AE133" s="843"/>
      <c r="AF133" s="843"/>
      <c r="AG133" s="843"/>
      <c r="AH133" s="843"/>
      <c r="AI133" s="843"/>
      <c r="AJ133" s="843"/>
      <c r="AK133" s="843"/>
      <c r="AL133" s="843"/>
      <c r="AM133" s="900"/>
      <c r="AO133" s="901"/>
    </row>
    <row r="134" spans="1:42" s="842" customFormat="1" ht="16.7" customHeight="1" outlineLevel="2">
      <c r="A134" s="932" t="s">
        <v>0</v>
      </c>
      <c r="B134" s="932"/>
      <c r="C134" s="933">
        <f>SUM(C131:C133)</f>
        <v>0</v>
      </c>
      <c r="D134" s="932"/>
      <c r="E134" s="921"/>
      <c r="F134" s="921"/>
      <c r="G134" s="921"/>
      <c r="H134" s="921"/>
      <c r="I134" s="921"/>
      <c r="J134" s="843"/>
      <c r="K134" s="934">
        <f>SUM(K131:K133)</f>
        <v>0</v>
      </c>
      <c r="L134" s="934">
        <f>SUM(L131:L133)</f>
        <v>0</v>
      </c>
      <c r="M134" s="934">
        <f>SUM(M131:M133)</f>
        <v>0</v>
      </c>
      <c r="N134" s="934">
        <f>SUM(N131:N133)</f>
        <v>0</v>
      </c>
      <c r="O134" s="934">
        <f>SUM(O131:O133)</f>
        <v>0</v>
      </c>
      <c r="P134" s="921" t="b">
        <f>SUM(K134:O134)=C134</f>
        <v>1</v>
      </c>
      <c r="V134" s="843"/>
      <c r="W134" s="843"/>
      <c r="X134" s="843"/>
      <c r="Y134" s="843"/>
      <c r="Z134" s="843"/>
      <c r="AA134" s="843"/>
      <c r="AB134" s="843"/>
      <c r="AC134" s="843"/>
      <c r="AD134" s="843"/>
      <c r="AE134" s="843"/>
      <c r="AF134" s="843"/>
      <c r="AG134" s="843"/>
      <c r="AH134" s="843"/>
      <c r="AI134" s="843"/>
      <c r="AJ134" s="843"/>
      <c r="AK134" s="843"/>
      <c r="AL134" s="843"/>
      <c r="AM134" s="900"/>
      <c r="AO134" s="901"/>
    </row>
    <row r="135" spans="1:42" outlineLevel="2">
      <c r="B135" s="938"/>
      <c r="C135" s="938"/>
      <c r="D135" s="938"/>
      <c r="E135" s="938"/>
      <c r="F135" s="938"/>
      <c r="G135" s="938"/>
      <c r="H135" s="938"/>
      <c r="I135" s="843"/>
      <c r="K135" s="938"/>
      <c r="L135" s="938"/>
      <c r="M135" s="938"/>
      <c r="N135" s="938"/>
      <c r="R135" s="892"/>
      <c r="AM135" s="900"/>
      <c r="AP135" s="902"/>
    </row>
    <row r="136" spans="1:42" outlineLevel="2">
      <c r="B136" s="926"/>
      <c r="C136" s="926"/>
      <c r="D136" s="925"/>
      <c r="E136" s="925"/>
      <c r="F136" s="925"/>
      <c r="G136" s="925"/>
      <c r="H136" s="925"/>
      <c r="I136" s="926"/>
      <c r="J136" s="926"/>
      <c r="K136" s="926"/>
      <c r="L136" s="926"/>
      <c r="M136" s="926"/>
      <c r="Q136" s="926"/>
      <c r="R136" s="892"/>
      <c r="AM136" s="900"/>
      <c r="AP136" s="902"/>
    </row>
    <row r="137" spans="1:42" outlineLevel="2">
      <c r="B137" s="926"/>
      <c r="C137" s="926"/>
      <c r="D137" s="926"/>
      <c r="E137" s="926"/>
      <c r="F137" s="926"/>
      <c r="G137" s="926"/>
      <c r="H137" s="926"/>
      <c r="I137" s="935"/>
      <c r="J137" s="926"/>
      <c r="K137" s="926"/>
      <c r="L137" s="926"/>
      <c r="M137" s="926"/>
      <c r="N137" s="926"/>
    </row>
    <row r="138" spans="1:42" outlineLevel="2">
      <c r="B138" s="926"/>
      <c r="C138" s="926"/>
      <c r="D138" s="926"/>
      <c r="E138" s="926"/>
      <c r="F138" s="926"/>
      <c r="G138" s="926"/>
      <c r="H138" s="926"/>
      <c r="I138" s="933"/>
      <c r="J138" s="926"/>
    </row>
    <row r="139" spans="1:42" outlineLevel="2"/>
    <row r="140" spans="1:42" outlineLevel="2"/>
    <row r="141" spans="1:42" outlineLevel="2"/>
    <row r="142" spans="1:42" outlineLevel="2"/>
    <row r="143" spans="1:42" outlineLevel="2"/>
    <row r="144" spans="1:42" outlineLevel="2"/>
    <row r="145" outlineLevel="2"/>
    <row r="146" outlineLevel="2"/>
    <row r="147" outlineLevel="2"/>
    <row r="148" outlineLevel="2"/>
    <row r="149" outlineLevel="2"/>
    <row r="150" outlineLevel="2"/>
    <row r="151" outlineLevel="2"/>
    <row r="152" outlineLevel="2"/>
    <row r="153" outlineLevel="2"/>
    <row r="154" outlineLevel="2"/>
    <row r="155" outlineLevel="2"/>
    <row r="156" outlineLevel="2"/>
    <row r="157" outlineLevel="2"/>
    <row r="158" outlineLevel="2"/>
    <row r="159" outlineLevel="2"/>
    <row r="160" outlineLevel="2"/>
    <row r="161" spans="1:39">
      <c r="C161" s="926"/>
      <c r="D161" s="926"/>
      <c r="E161" s="926"/>
      <c r="F161" s="926"/>
      <c r="G161" s="926"/>
      <c r="H161" s="926"/>
      <c r="I161" s="926"/>
      <c r="J161" s="926"/>
      <c r="K161" s="926"/>
      <c r="L161" s="926"/>
      <c r="M161" s="926"/>
      <c r="N161" s="926"/>
      <c r="O161" s="926"/>
    </row>
    <row r="162" spans="1:39" ht="15.95" customHeight="1">
      <c r="A162" s="839" t="str">
        <f>A109</f>
        <v>РЫНОК - Горный кластер г. Сочи</v>
      </c>
      <c r="B162" s="840" t="s">
        <v>707</v>
      </c>
      <c r="C162" s="840"/>
      <c r="D162" s="840" t="s">
        <v>665</v>
      </c>
      <c r="E162" s="841"/>
      <c r="F162" s="840"/>
      <c r="G162" s="841"/>
      <c r="H162" s="841"/>
      <c r="I162" s="841"/>
      <c r="J162" s="841" t="s">
        <v>666</v>
      </c>
      <c r="K162" s="841"/>
      <c r="L162" s="841"/>
      <c r="M162" s="841"/>
      <c r="N162" s="841"/>
      <c r="O162" s="841"/>
      <c r="P162" s="841"/>
      <c r="Q162" s="842"/>
      <c r="R162" s="842"/>
    </row>
    <row r="163" spans="1:39" s="842" customFormat="1" outlineLevel="1">
      <c r="A163" s="844" t="s">
        <v>59</v>
      </c>
      <c r="B163" s="845">
        <v>2014</v>
      </c>
      <c r="C163" s="845">
        <f t="shared" ref="C163:I163" si="30">B163+1</f>
        <v>2015</v>
      </c>
      <c r="D163" s="845">
        <f t="shared" si="30"/>
        <v>2016</v>
      </c>
      <c r="E163" s="845">
        <f t="shared" si="30"/>
        <v>2017</v>
      </c>
      <c r="F163" s="845">
        <f t="shared" si="30"/>
        <v>2018</v>
      </c>
      <c r="G163" s="845">
        <f t="shared" si="30"/>
        <v>2019</v>
      </c>
      <c r="H163" s="845">
        <f t="shared" si="30"/>
        <v>2020</v>
      </c>
      <c r="I163" s="846">
        <f t="shared" si="30"/>
        <v>2021</v>
      </c>
      <c r="J163" s="847" t="s">
        <v>667</v>
      </c>
      <c r="K163" s="848">
        <f>I163+1</f>
        <v>2022</v>
      </c>
      <c r="L163" s="849">
        <f>K163+1</f>
        <v>2023</v>
      </c>
      <c r="M163" s="849">
        <f>L163+1</f>
        <v>2024</v>
      </c>
      <c r="N163" s="849">
        <f>M163+1</f>
        <v>2025</v>
      </c>
      <c r="O163" s="849">
        <f>N163+1</f>
        <v>2026</v>
      </c>
      <c r="P163" s="850" t="s">
        <v>667</v>
      </c>
      <c r="V163" s="843"/>
      <c r="W163" s="843"/>
      <c r="X163" s="843"/>
      <c r="Y163" s="843"/>
      <c r="Z163" s="843"/>
      <c r="AA163" s="843"/>
      <c r="AB163" s="843"/>
      <c r="AC163" s="843"/>
      <c r="AD163" s="843"/>
      <c r="AE163" s="843"/>
      <c r="AF163" s="843"/>
      <c r="AG163" s="843"/>
      <c r="AH163" s="843"/>
      <c r="AI163" s="843"/>
      <c r="AJ163" s="843"/>
      <c r="AK163" s="843"/>
      <c r="AL163" s="843"/>
    </row>
    <row r="164" spans="1:39" s="842" customFormat="1" ht="16.5" customHeight="1" outlineLevel="1">
      <c r="A164" s="851" t="s">
        <v>668</v>
      </c>
      <c r="B164" s="852" t="str">
        <f>F321</f>
        <v>-</v>
      </c>
      <c r="C164" s="852">
        <f>K321</f>
        <v>0.45160882882313935</v>
      </c>
      <c r="D164" s="852">
        <f>P321</f>
        <v>0.3824506956040829</v>
      </c>
      <c r="E164" s="852">
        <f>U321</f>
        <v>0.38198852870057864</v>
      </c>
      <c r="F164" s="852">
        <f>Z321</f>
        <v>0.47526631765380006</v>
      </c>
      <c r="G164" s="852">
        <f>AE321</f>
        <v>0.43192122068931899</v>
      </c>
      <c r="H164" s="852">
        <f>AJ321</f>
        <v>0.29549933986282767</v>
      </c>
      <c r="I164" s="853">
        <f>AO321</f>
        <v>0.41571226723949778</v>
      </c>
      <c r="J164" s="854">
        <f>AVERAGE(E164:I164)</f>
        <v>0.40007753482920466</v>
      </c>
      <c r="K164" s="855">
        <f>I164+K165</f>
        <v>0.46571226723949777</v>
      </c>
      <c r="L164" s="856">
        <f>K164+L165</f>
        <v>0.48571226723949779</v>
      </c>
      <c r="M164" s="856">
        <f>L164+M165</f>
        <v>0.49571226723949779</v>
      </c>
      <c r="N164" s="856">
        <f>M164+N165</f>
        <v>0.51571226723949781</v>
      </c>
      <c r="O164" s="856">
        <f>N164+O165</f>
        <v>0.51571226723949781</v>
      </c>
      <c r="P164" s="857">
        <f>AVERAGE(K164:O164)</f>
        <v>0.49571226723949779</v>
      </c>
      <c r="Q164" s="1828"/>
      <c r="V164" s="843"/>
      <c r="W164" s="843"/>
      <c r="X164" s="843"/>
      <c r="Y164" s="843"/>
      <c r="Z164" s="843"/>
      <c r="AA164" s="843"/>
      <c r="AB164" s="843"/>
      <c r="AC164" s="843"/>
      <c r="AD164" s="843"/>
      <c r="AE164" s="843"/>
      <c r="AF164" s="843"/>
      <c r="AG164" s="843"/>
      <c r="AH164" s="843"/>
      <c r="AI164" s="843"/>
      <c r="AJ164" s="843"/>
      <c r="AK164" s="843"/>
      <c r="AL164" s="843"/>
    </row>
    <row r="165" spans="1:39" s="842" customFormat="1" ht="16.7" customHeight="1" outlineLevel="1">
      <c r="A165" s="858" t="s">
        <v>669</v>
      </c>
      <c r="B165" s="859"/>
      <c r="C165" s="859"/>
      <c r="D165" s="859">
        <f t="shared" ref="D165:I165" si="31">D164-C164</f>
        <v>-6.915813321905645E-2</v>
      </c>
      <c r="E165" s="859">
        <f t="shared" si="31"/>
        <v>-4.6216690350425749E-4</v>
      </c>
      <c r="F165" s="859">
        <f t="shared" si="31"/>
        <v>9.3277788953221419E-2</v>
      </c>
      <c r="G165" s="860">
        <f t="shared" si="31"/>
        <v>-4.3345096964481078E-2</v>
      </c>
      <c r="H165" s="861">
        <f t="shared" si="31"/>
        <v>-0.13642188082649132</v>
      </c>
      <c r="I165" s="862">
        <f t="shared" si="31"/>
        <v>0.12021292737667011</v>
      </c>
      <c r="J165" s="863">
        <f>RATE(COUNT(E163:I163)-1,,-E164,I164)</f>
        <v>2.1375955546461822E-2</v>
      </c>
      <c r="K165" s="864">
        <v>0.05</v>
      </c>
      <c r="L165" s="865">
        <v>0.02</v>
      </c>
      <c r="M165" s="865">
        <v>0.01</v>
      </c>
      <c r="N165" s="865">
        <v>0.02</v>
      </c>
      <c r="O165" s="866">
        <v>0</v>
      </c>
      <c r="P165" s="867">
        <f>RATE(COUNT(K163:O163)-1,,-K164,O164)</f>
        <v>2.5823032875379934E-2</v>
      </c>
      <c r="V165" s="843"/>
      <c r="W165" s="843"/>
      <c r="X165" s="843"/>
      <c r="Y165" s="843"/>
      <c r="Z165" s="843"/>
      <c r="AA165" s="843"/>
      <c r="AB165" s="843"/>
      <c r="AC165" s="843"/>
      <c r="AD165" s="843"/>
      <c r="AE165" s="843"/>
      <c r="AF165" s="843"/>
      <c r="AG165" s="843"/>
      <c r="AH165" s="843"/>
      <c r="AI165" s="843"/>
      <c r="AJ165" s="843"/>
      <c r="AK165" s="843"/>
      <c r="AL165" s="843"/>
    </row>
    <row r="166" spans="1:39" s="842" customFormat="1" ht="16.7" customHeight="1" outlineLevel="1">
      <c r="A166" s="858" t="s">
        <v>670</v>
      </c>
      <c r="B166" s="868">
        <f>F280</f>
        <v>0</v>
      </c>
      <c r="C166" s="868">
        <f>K280</f>
        <v>95007</v>
      </c>
      <c r="D166" s="868">
        <f>P280</f>
        <v>186241</v>
      </c>
      <c r="E166" s="868">
        <f>U280</f>
        <v>313478</v>
      </c>
      <c r="F166" s="868">
        <f>Z280</f>
        <v>307152</v>
      </c>
      <c r="G166" s="868">
        <f>AE280</f>
        <v>307695</v>
      </c>
      <c r="H166" s="868">
        <f>AJ280</f>
        <v>264339</v>
      </c>
      <c r="I166" s="868">
        <f>AO280</f>
        <v>261159</v>
      </c>
      <c r="J166" s="869">
        <f>AVERAGE(E166:I166)</f>
        <v>290764.59999999998</v>
      </c>
      <c r="K166" s="870">
        <f>I166+K187*365</f>
        <v>261159</v>
      </c>
      <c r="L166" s="871">
        <f>K166+(L187*365)</f>
        <v>261159</v>
      </c>
      <c r="M166" s="871">
        <f>L166+(M187*365)</f>
        <v>261159</v>
      </c>
      <c r="N166" s="871">
        <f>M166+(N187*365)</f>
        <v>261159</v>
      </c>
      <c r="O166" s="871">
        <f>N166+(O187*365)</f>
        <v>261159</v>
      </c>
      <c r="P166" s="872">
        <f>AVERAGE(K166:O166)</f>
        <v>261159</v>
      </c>
      <c r="V166" s="843"/>
      <c r="W166" s="843"/>
      <c r="X166" s="843"/>
      <c r="Y166" s="843"/>
      <c r="Z166" s="843"/>
      <c r="AA166" s="843"/>
      <c r="AB166" s="843"/>
      <c r="AC166" s="843"/>
      <c r="AD166" s="843"/>
      <c r="AE166" s="843"/>
      <c r="AF166" s="843"/>
      <c r="AG166" s="843"/>
      <c r="AH166" s="843"/>
      <c r="AI166" s="843"/>
      <c r="AJ166" s="843"/>
      <c r="AK166" s="843"/>
      <c r="AL166" s="843"/>
    </row>
    <row r="167" spans="1:39" s="842" customFormat="1" ht="16.7" customHeight="1" outlineLevel="1">
      <c r="A167" s="858" t="s">
        <v>671</v>
      </c>
      <c r="B167" s="859"/>
      <c r="C167" s="861"/>
      <c r="D167" s="861">
        <f t="shared" ref="D167:I167" si="32">D166/C166-1</f>
        <v>0.96028713673729293</v>
      </c>
      <c r="E167" s="861">
        <f t="shared" si="32"/>
        <v>0.68318469080385102</v>
      </c>
      <c r="F167" s="861">
        <f t="shared" si="32"/>
        <v>-2.018004453263067E-2</v>
      </c>
      <c r="G167" s="861">
        <f t="shared" si="32"/>
        <v>1.7678543522425816E-3</v>
      </c>
      <c r="H167" s="861">
        <f t="shared" si="32"/>
        <v>-0.14090576707453806</v>
      </c>
      <c r="I167" s="862">
        <f t="shared" si="32"/>
        <v>-1.2030006922928549E-2</v>
      </c>
      <c r="J167" s="863">
        <f>RATE((COUNT(E166:I166)-1),,-E166,I166)</f>
        <v>-4.4623658474573093E-2</v>
      </c>
      <c r="K167" s="873">
        <f>K166/I166-1</f>
        <v>0</v>
      </c>
      <c r="L167" s="861">
        <f>L166/K166-1</f>
        <v>0</v>
      </c>
      <c r="M167" s="861">
        <f>M166/L166-1</f>
        <v>0</v>
      </c>
      <c r="N167" s="861">
        <f>N166/M166-1</f>
        <v>0</v>
      </c>
      <c r="O167" s="861">
        <f>O166/N166-1</f>
        <v>0</v>
      </c>
      <c r="P167" s="867">
        <f>RATE(COUNT(K163:O163)-1,,-K166,O166)</f>
        <v>2.8862884780450261E-17</v>
      </c>
      <c r="V167" s="843"/>
      <c r="W167" s="843"/>
      <c r="X167" s="843"/>
      <c r="Y167" s="843"/>
      <c r="Z167" s="843"/>
      <c r="AA167" s="843"/>
      <c r="AB167" s="843"/>
      <c r="AC167" s="843"/>
      <c r="AD167" s="843"/>
      <c r="AE167" s="843"/>
      <c r="AF167" s="843"/>
      <c r="AG167" s="843"/>
      <c r="AH167" s="843"/>
      <c r="AI167" s="843"/>
      <c r="AJ167" s="843"/>
      <c r="AK167" s="843"/>
      <c r="AL167" s="843"/>
    </row>
    <row r="168" spans="1:39" s="842" customFormat="1" ht="16.7" customHeight="1" outlineLevel="1">
      <c r="A168" s="858" t="s">
        <v>672</v>
      </c>
      <c r="B168" s="868"/>
      <c r="C168" s="868">
        <f>C166*C164</f>
        <v>42906</v>
      </c>
      <c r="D168" s="868">
        <f>D166*D164</f>
        <v>71228</v>
      </c>
      <c r="E168" s="868">
        <f>E166*E164</f>
        <v>119744.99999999999</v>
      </c>
      <c r="F168" s="868">
        <f>F166*F164</f>
        <v>145979</v>
      </c>
      <c r="G168" s="874">
        <f>G164*G166</f>
        <v>132900</v>
      </c>
      <c r="H168" s="874">
        <f>H164*H166</f>
        <v>78112</v>
      </c>
      <c r="I168" s="875">
        <f>I164*I166</f>
        <v>108567</v>
      </c>
      <c r="J168" s="876">
        <f>AVERAGE(E168:I168)</f>
        <v>117060.6</v>
      </c>
      <c r="K168" s="877">
        <f>K164*K166</f>
        <v>121624.95</v>
      </c>
      <c r="L168" s="874">
        <f>L164*L166</f>
        <v>126848.13</v>
      </c>
      <c r="M168" s="874">
        <f>M164*M166</f>
        <v>129459.72</v>
      </c>
      <c r="N168" s="874">
        <f>N164*N166</f>
        <v>134682.90000000002</v>
      </c>
      <c r="O168" s="874">
        <f>O164*O166</f>
        <v>134682.90000000002</v>
      </c>
      <c r="P168" s="872">
        <f>AVERAGE(K168:O168)</f>
        <v>129459.72000000002</v>
      </c>
      <c r="V168" s="843"/>
      <c r="W168" s="843"/>
      <c r="X168" s="843"/>
      <c r="Y168" s="843"/>
      <c r="Z168" s="843"/>
      <c r="AA168" s="843"/>
      <c r="AB168" s="843"/>
      <c r="AC168" s="843"/>
      <c r="AD168" s="843"/>
      <c r="AE168" s="843"/>
      <c r="AF168" s="843"/>
      <c r="AG168" s="843"/>
      <c r="AH168" s="843"/>
      <c r="AI168" s="843"/>
      <c r="AJ168" s="843"/>
      <c r="AK168" s="843"/>
      <c r="AL168" s="843"/>
    </row>
    <row r="169" spans="1:39" s="842" customFormat="1" ht="16.7" customHeight="1" outlineLevel="1">
      <c r="A169" s="858" t="s">
        <v>673</v>
      </c>
      <c r="B169" s="859"/>
      <c r="C169" s="859"/>
      <c r="D169" s="859">
        <f t="shared" ref="D169:I169" si="33">D168/C168-1</f>
        <v>0.66009415932503623</v>
      </c>
      <c r="E169" s="859">
        <f t="shared" si="33"/>
        <v>0.68115067108440486</v>
      </c>
      <c r="F169" s="859">
        <f t="shared" si="33"/>
        <v>0.21908221637646674</v>
      </c>
      <c r="G169" s="859">
        <f t="shared" si="33"/>
        <v>-8.9595078744202916E-2</v>
      </c>
      <c r="H169" s="859">
        <f t="shared" si="33"/>
        <v>-0.41224981188863807</v>
      </c>
      <c r="I169" s="859">
        <f t="shared" si="33"/>
        <v>0.38988887750921752</v>
      </c>
      <c r="J169" s="863">
        <f>RATE((COUNT(E163:I163)-1),,-E168,I168)</f>
        <v>-2.4201576268186909E-2</v>
      </c>
      <c r="K169" s="878">
        <f>K168/I168-1</f>
        <v>0.12027549807952687</v>
      </c>
      <c r="L169" s="859">
        <f>L168/K168-1</f>
        <v>4.2944971405949328E-2</v>
      </c>
      <c r="M169" s="859">
        <f>M168/L168-1</f>
        <v>2.0588320852660491E-2</v>
      </c>
      <c r="N169" s="859">
        <f>N168/M168-1</f>
        <v>4.0345985608496671E-2</v>
      </c>
      <c r="O169" s="859">
        <f>O168/N168-1</f>
        <v>0</v>
      </c>
      <c r="P169" s="867">
        <f>RATE(COUNT(K165:O165)-1,,-K168,O168)</f>
        <v>2.5823032875379827E-2</v>
      </c>
      <c r="V169" s="843"/>
      <c r="W169" s="843"/>
      <c r="X169" s="843"/>
      <c r="Y169" s="843"/>
      <c r="Z169" s="843"/>
      <c r="AA169" s="843"/>
      <c r="AB169" s="843"/>
      <c r="AC169" s="843"/>
      <c r="AD169" s="843"/>
      <c r="AE169" s="843"/>
      <c r="AF169" s="843"/>
      <c r="AG169" s="843"/>
      <c r="AH169" s="843"/>
      <c r="AI169" s="843"/>
      <c r="AJ169" s="843"/>
      <c r="AK169" s="843"/>
      <c r="AL169" s="843"/>
    </row>
    <row r="170" spans="1:39" s="842" customFormat="1" ht="16.7" customHeight="1" outlineLevel="2">
      <c r="A170" s="858" t="s">
        <v>674</v>
      </c>
      <c r="B170" s="879"/>
      <c r="C170" s="879">
        <f t="shared" ref="C170:I170" si="34">C172/C179</f>
        <v>33.503988260364402</v>
      </c>
      <c r="D170" s="879">
        <f t="shared" si="34"/>
        <v>36.410977294606212</v>
      </c>
      <c r="E170" s="879">
        <f t="shared" si="34"/>
        <v>45.138308401564728</v>
      </c>
      <c r="F170" s="879">
        <f t="shared" si="34"/>
        <v>45.011910333762785</v>
      </c>
      <c r="G170" s="879">
        <f t="shared" si="34"/>
        <v>53.298724333977667</v>
      </c>
      <c r="H170" s="879">
        <f t="shared" si="34"/>
        <v>64.331792259233779</v>
      </c>
      <c r="I170" s="879">
        <f t="shared" si="34"/>
        <v>73.282231395409141</v>
      </c>
      <c r="J170" s="880">
        <f>AVERAGE(E170:I170)</f>
        <v>56.212593344789624</v>
      </c>
      <c r="K170" s="881">
        <f>K172/K179</f>
        <v>69.051322788276565</v>
      </c>
      <c r="L170" s="879">
        <f>L172/L179</f>
        <v>71.122862471924861</v>
      </c>
      <c r="M170" s="879">
        <f>M172/M179</f>
        <v>73.967776970801864</v>
      </c>
      <c r="N170" s="879">
        <f>N172/N179</f>
        <v>76.926488049633946</v>
      </c>
      <c r="O170" s="879">
        <f>O172/O179</f>
        <v>80.003547571619293</v>
      </c>
      <c r="P170" s="882">
        <f>AVERAGE(K170:O170)</f>
        <v>74.214399570451292</v>
      </c>
      <c r="V170" s="843"/>
      <c r="W170" s="843"/>
      <c r="X170" s="843"/>
      <c r="Y170" s="843"/>
      <c r="Z170" s="843"/>
      <c r="AA170" s="843"/>
      <c r="AB170" s="843"/>
      <c r="AC170" s="843"/>
      <c r="AD170" s="843"/>
      <c r="AE170" s="843"/>
      <c r="AF170" s="843"/>
      <c r="AG170" s="843"/>
      <c r="AH170" s="843"/>
      <c r="AI170" s="843"/>
      <c r="AJ170" s="843"/>
      <c r="AK170" s="843"/>
      <c r="AL170" s="843"/>
    </row>
    <row r="171" spans="1:39" s="842" customFormat="1" ht="16.7" customHeight="1" outlineLevel="2">
      <c r="A171" s="858" t="s">
        <v>675</v>
      </c>
      <c r="B171" s="859"/>
      <c r="C171" s="859"/>
      <c r="D171" s="859">
        <f t="shared" ref="D171:I171" si="35">D170/C170-1</f>
        <v>8.6765462417524031E-2</v>
      </c>
      <c r="E171" s="859">
        <f t="shared" si="35"/>
        <v>0.23968955945193349</v>
      </c>
      <c r="F171" s="859">
        <f t="shared" si="35"/>
        <v>-2.8002393593811181E-3</v>
      </c>
      <c r="G171" s="883">
        <f t="shared" si="35"/>
        <v>0.18410269501490273</v>
      </c>
      <c r="H171" s="884">
        <f t="shared" si="35"/>
        <v>0.20700435260178618</v>
      </c>
      <c r="I171" s="885">
        <f t="shared" si="35"/>
        <v>0.13912932971163516</v>
      </c>
      <c r="J171" s="863" t="e" cm="1">
        <f t="array" aca="1" ref="J171" ca="1">RATE((eOUNT(E163:I163)-1),,-E170,I170)</f>
        <v>#NAME?</v>
      </c>
      <c r="K171" s="886">
        <f>K170/I170-1</f>
        <v>-5.7734440212441784E-2</v>
      </c>
      <c r="L171" s="884">
        <f>L170/K170-1</f>
        <v>3.0000000000000027E-2</v>
      </c>
      <c r="M171" s="884">
        <f>M170/L170-1</f>
        <v>4.0000000000000036E-2</v>
      </c>
      <c r="N171" s="884">
        <f>N170/M170-1</f>
        <v>4.0000000000000036E-2</v>
      </c>
      <c r="O171" s="884">
        <f>O170/N170-1</f>
        <v>3.9999999999999813E-2</v>
      </c>
      <c r="P171" s="867">
        <f>RATE(COUNT(K163:O163)-1,,-K170,O170)</f>
        <v>3.7490934678595413E-2</v>
      </c>
      <c r="V171" s="843"/>
      <c r="W171" s="843"/>
      <c r="X171" s="843"/>
      <c r="Y171" s="843"/>
      <c r="Z171" s="843"/>
      <c r="AA171" s="843"/>
      <c r="AB171" s="843"/>
      <c r="AC171" s="843"/>
      <c r="AD171" s="843"/>
      <c r="AE171" s="843"/>
      <c r="AF171" s="843"/>
      <c r="AG171" s="843"/>
      <c r="AH171" s="843"/>
      <c r="AI171" s="843"/>
      <c r="AJ171" s="843"/>
      <c r="AK171" s="843"/>
      <c r="AL171" s="843"/>
    </row>
    <row r="172" spans="1:39" s="892" customFormat="1" ht="16.7" customHeight="1" outlineLevel="1">
      <c r="A172" s="851" t="s">
        <v>676</v>
      </c>
      <c r="B172" s="887"/>
      <c r="C172" s="887">
        <f>K380</f>
        <v>2042.332765976467</v>
      </c>
      <c r="D172" s="887">
        <f>P380</f>
        <v>2440.8062218461978</v>
      </c>
      <c r="E172" s="887">
        <f>U380</f>
        <v>2633.9511963256664</v>
      </c>
      <c r="F172" s="887">
        <f>Z380</f>
        <v>2822.6563863109636</v>
      </c>
      <c r="G172" s="887">
        <f>AE380</f>
        <v>3450.356878229245</v>
      </c>
      <c r="H172" s="887">
        <f>AJ380</f>
        <v>4641.3072170515843</v>
      </c>
      <c r="I172" s="887">
        <f>AO380</f>
        <v>5397.5367994206044</v>
      </c>
      <c r="J172" s="888">
        <f>AVERAGE(E172:I172)</f>
        <v>3789.1616954676124</v>
      </c>
      <c r="K172" s="889">
        <f>I172*(1+K173)</f>
        <v>5451.5121674148104</v>
      </c>
      <c r="L172" s="887">
        <f>K172*(1+L173)</f>
        <v>5615.0575324372548</v>
      </c>
      <c r="M172" s="887">
        <f>L172*(1+M173)</f>
        <v>5839.659833734745</v>
      </c>
      <c r="N172" s="887">
        <f>M172*(1+N173)</f>
        <v>6073.2462270841352</v>
      </c>
      <c r="O172" s="890">
        <f>N172*(1+O173)</f>
        <v>6316.1760761675005</v>
      </c>
      <c r="P172" s="891">
        <f>AVERAGE(K172:O172)</f>
        <v>5859.1303673676894</v>
      </c>
      <c r="R172" s="842"/>
      <c r="V172" s="843"/>
      <c r="W172" s="843"/>
      <c r="X172" s="843"/>
      <c r="Y172" s="843"/>
      <c r="Z172" s="843"/>
      <c r="AA172" s="843"/>
      <c r="AB172" s="843"/>
      <c r="AC172" s="843"/>
      <c r="AD172" s="843"/>
      <c r="AE172" s="843"/>
      <c r="AF172" s="843"/>
      <c r="AG172" s="843"/>
      <c r="AH172" s="843"/>
      <c r="AI172" s="843"/>
      <c r="AJ172" s="843"/>
      <c r="AK172" s="843"/>
      <c r="AL172" s="843"/>
    </row>
    <row r="173" spans="1:39" s="842" customFormat="1" ht="16.7" customHeight="1" outlineLevel="1">
      <c r="A173" s="858" t="s">
        <v>677</v>
      </c>
      <c r="B173" s="859"/>
      <c r="C173" s="859"/>
      <c r="D173" s="859">
        <f t="shared" ref="D173:I173" si="36">D172/C172-1</f>
        <v>0.19510701806677178</v>
      </c>
      <c r="E173" s="859">
        <f t="shared" si="36"/>
        <v>7.9131629848671947E-2</v>
      </c>
      <c r="F173" s="859">
        <f t="shared" si="36"/>
        <v>7.1643388931632135E-2</v>
      </c>
      <c r="G173" s="859">
        <f t="shared" si="36"/>
        <v>0.22237934980766361</v>
      </c>
      <c r="H173" s="859">
        <f t="shared" si="36"/>
        <v>0.34516729163203141</v>
      </c>
      <c r="I173" s="859">
        <f t="shared" si="36"/>
        <v>0.16293461023022293</v>
      </c>
      <c r="J173" s="863">
        <f>RATE((COUNT(E163:I163)-1),,-E172,I172)</f>
        <v>0.19645666145351731</v>
      </c>
      <c r="K173" s="864">
        <v>0.01</v>
      </c>
      <c r="L173" s="865">
        <v>0.03</v>
      </c>
      <c r="M173" s="865">
        <v>0.04</v>
      </c>
      <c r="N173" s="865">
        <v>0.04</v>
      </c>
      <c r="O173" s="866">
        <v>0.04</v>
      </c>
      <c r="P173" s="867">
        <f>RATE(COUNT(K163:O163)-1,,-K172,O172)</f>
        <v>3.7490934678595378E-2</v>
      </c>
      <c r="V173" s="843"/>
      <c r="W173" s="843"/>
      <c r="X173" s="843"/>
      <c r="Y173" s="843"/>
      <c r="Z173" s="843"/>
      <c r="AA173" s="843"/>
      <c r="AB173" s="843"/>
      <c r="AC173" s="843"/>
      <c r="AD173" s="843"/>
      <c r="AE173" s="843"/>
      <c r="AF173" s="843"/>
      <c r="AG173" s="843"/>
      <c r="AH173" s="843"/>
      <c r="AI173" s="843"/>
      <c r="AJ173" s="843"/>
      <c r="AK173" s="843"/>
      <c r="AL173" s="843"/>
    </row>
    <row r="174" spans="1:39" s="842" customFormat="1" ht="16.7" customHeight="1" outlineLevel="2">
      <c r="A174" s="858" t="s">
        <v>678</v>
      </c>
      <c r="B174" s="879"/>
      <c r="C174" s="879">
        <f t="shared" ref="C174:I174" si="37">C170*C164</f>
        <v>15.130696899167377</v>
      </c>
      <c r="D174" s="879">
        <f t="shared" si="37"/>
        <v>13.925403593946614</v>
      </c>
      <c r="E174" s="879">
        <f t="shared" si="37"/>
        <v>17.242316014346677</v>
      </c>
      <c r="F174" s="879">
        <f t="shared" si="37"/>
        <v>21.392644874890468</v>
      </c>
      <c r="G174" s="893">
        <f t="shared" si="37"/>
        <v>23.020850075515146</v>
      </c>
      <c r="H174" s="894">
        <f t="shared" si="37"/>
        <v>19.01000214479615</v>
      </c>
      <c r="I174" s="895">
        <f t="shared" si="37"/>
        <v>30.46432256175504</v>
      </c>
      <c r="J174" s="880">
        <f>AVERAGE(E174:I174)</f>
        <v>22.226027134260697</v>
      </c>
      <c r="K174" s="881">
        <f>K170*K164</f>
        <v>32.158048091614681</v>
      </c>
      <c r="L174" s="879">
        <f>L170*L164</f>
        <v>34.545246783801616</v>
      </c>
      <c r="M174" s="879">
        <f>M170*M164</f>
        <v>36.666734424861701</v>
      </c>
      <c r="N174" s="879">
        <f>N170*N164</f>
        <v>39.671933562848857</v>
      </c>
      <c r="O174" s="879">
        <f>O170*O164</f>
        <v>41.258810905362807</v>
      </c>
      <c r="P174" s="882">
        <f>AVERAGE(K174:O174)</f>
        <v>36.860154753697927</v>
      </c>
      <c r="V174" s="843"/>
      <c r="W174" s="843"/>
      <c r="X174" s="843"/>
      <c r="Y174" s="843"/>
      <c r="Z174" s="843"/>
      <c r="AA174" s="843"/>
      <c r="AB174" s="843"/>
      <c r="AC174" s="843"/>
      <c r="AD174" s="843"/>
      <c r="AE174" s="843"/>
      <c r="AF174" s="843"/>
      <c r="AG174" s="843"/>
      <c r="AH174" s="843"/>
      <c r="AI174" s="843"/>
      <c r="AJ174" s="843"/>
      <c r="AK174" s="843"/>
      <c r="AL174" s="843"/>
    </row>
    <row r="175" spans="1:39" s="842" customFormat="1" ht="16.7" customHeight="1" outlineLevel="2">
      <c r="A175" s="858" t="s">
        <v>675</v>
      </c>
      <c r="B175" s="859"/>
      <c r="C175" s="859"/>
      <c r="D175" s="859">
        <f>D174/C174-1</f>
        <v>-7.9658809719933554E-2</v>
      </c>
      <c r="E175" s="859">
        <f>E174/D174-1</f>
        <v>0.23819147488421288</v>
      </c>
      <c r="F175" s="859">
        <f>F174/E174-1</f>
        <v>0.24070599663586134</v>
      </c>
      <c r="G175" s="860">
        <f>G174/J174-1</f>
        <v>3.5760909336300273E-2</v>
      </c>
      <c r="H175" s="861">
        <f>H174/G174-1</f>
        <v>-0.17422675172994206</v>
      </c>
      <c r="I175" s="896">
        <f>I174/H174-1</f>
        <v>0.6025417740467971</v>
      </c>
      <c r="J175" s="863" t="e" cm="1">
        <f t="array" aca="1" ref="J175" ca="1">RATE((eOUNT(E163:I163)-1),,-E174,I174)</f>
        <v>#NAME?</v>
      </c>
      <c r="K175" s="878">
        <f>K174/I174-1</f>
        <v>5.5597019314191032E-2</v>
      </c>
      <c r="L175" s="859">
        <f>L174/K174-1</f>
        <v>7.423332054812759E-2</v>
      </c>
      <c r="M175" s="859">
        <f>M174/L174-1</f>
        <v>6.1411853686767159E-2</v>
      </c>
      <c r="N175" s="859">
        <f>N174/M174-1</f>
        <v>8.1959825032836608E-2</v>
      </c>
      <c r="O175" s="859">
        <f>O174/N174-1</f>
        <v>3.9999999999999813E-2</v>
      </c>
      <c r="P175" s="867">
        <f>RATE(COUNT(K173:O173)-1,,-K174,O174)</f>
        <v>6.4282097192595047E-2</v>
      </c>
      <c r="V175" s="843"/>
      <c r="W175" s="843"/>
      <c r="X175" s="843"/>
      <c r="Y175" s="843"/>
      <c r="Z175" s="843"/>
      <c r="AA175" s="843"/>
      <c r="AB175" s="843"/>
      <c r="AC175" s="843"/>
      <c r="AD175" s="843"/>
      <c r="AE175" s="843"/>
      <c r="AF175" s="843"/>
      <c r="AG175" s="843"/>
      <c r="AH175" s="843"/>
      <c r="AI175" s="843"/>
      <c r="AJ175" s="843"/>
      <c r="AK175" s="843"/>
      <c r="AL175" s="843"/>
    </row>
    <row r="176" spans="1:39" s="892" customFormat="1" ht="16.7" customHeight="1" outlineLevel="1">
      <c r="A176" s="851" t="s">
        <v>679</v>
      </c>
      <c r="B176" s="887"/>
      <c r="C176" s="887">
        <f>C164*C172</f>
        <v>922.33550850975507</v>
      </c>
      <c r="D176" s="887">
        <f>D164*D172</f>
        <v>933.48803737985179</v>
      </c>
      <c r="E176" s="887">
        <f>E164*E172</f>
        <v>1006.1391421535702</v>
      </c>
      <c r="F176" s="887">
        <f>F164*F172</f>
        <v>1341.5135067239937</v>
      </c>
      <c r="G176" s="897">
        <f>G172*G164</f>
        <v>1490.2823546585635</v>
      </c>
      <c r="H176" s="898">
        <f>H172*H164</f>
        <v>1371.503218739321</v>
      </c>
      <c r="I176" s="899">
        <f>I172*I164</f>
        <v>2243.822260395762</v>
      </c>
      <c r="J176" s="888">
        <f>AVERAGE(E176:I176)</f>
        <v>1490.652096534242</v>
      </c>
      <c r="K176" s="889">
        <f>K172*K164</f>
        <v>2538.8360913704601</v>
      </c>
      <c r="L176" s="887">
        <f>L172*L164</f>
        <v>2727.3023247603192</v>
      </c>
      <c r="M176" s="887">
        <f>M172*M164</f>
        <v>2894.7910160880792</v>
      </c>
      <c r="N176" s="887">
        <f>N172*N164</f>
        <v>3132.0475812732852</v>
      </c>
      <c r="O176" s="887">
        <f>O172*O164</f>
        <v>3257.3294845242167</v>
      </c>
      <c r="P176" s="891">
        <f>AVERAGE(K176:O176)</f>
        <v>2910.0612996032719</v>
      </c>
      <c r="R176" s="842"/>
      <c r="V176" s="843"/>
      <c r="W176" s="843"/>
      <c r="X176" s="843"/>
      <c r="Y176" s="843"/>
      <c r="Z176" s="843"/>
      <c r="AA176" s="843"/>
      <c r="AB176" s="843"/>
      <c r="AC176" s="843"/>
      <c r="AD176" s="843"/>
      <c r="AE176" s="843"/>
      <c r="AF176" s="843"/>
      <c r="AG176" s="843"/>
      <c r="AH176" s="843"/>
      <c r="AI176" s="843"/>
      <c r="AJ176" s="843"/>
      <c r="AK176" s="843"/>
      <c r="AL176" s="843"/>
      <c r="AM176" s="900"/>
    </row>
    <row r="177" spans="1:42" s="842" customFormat="1" ht="16.7" customHeight="1" outlineLevel="1">
      <c r="A177" s="858" t="s">
        <v>677</v>
      </c>
      <c r="B177" s="859"/>
      <c r="C177" s="859"/>
      <c r="D177" s="859">
        <f t="shared" ref="D177:I177" si="38">D176/C176-1</f>
        <v>1.2091618253011083E-2</v>
      </c>
      <c r="E177" s="859">
        <f t="shared" si="38"/>
        <v>7.7827569143401387E-2</v>
      </c>
      <c r="F177" s="859">
        <f t="shared" si="38"/>
        <v>0.33332801649340293</v>
      </c>
      <c r="G177" s="860">
        <f t="shared" si="38"/>
        <v>0.11089627289543036</v>
      </c>
      <c r="H177" s="861">
        <f t="shared" si="38"/>
        <v>-7.9702437291794825E-2</v>
      </c>
      <c r="I177" s="862">
        <f t="shared" si="38"/>
        <v>0.63603134847781995</v>
      </c>
      <c r="J177" s="863">
        <f>RATE((COUNT(E163:I163)-1),,-E176,I176)</f>
        <v>0.22203206586426799</v>
      </c>
      <c r="K177" s="873">
        <f>K176/I176-1</f>
        <v>0.13147825306032224</v>
      </c>
      <c r="L177" s="861">
        <f>L176/K176-1</f>
        <v>7.4233320548127812E-2</v>
      </c>
      <c r="M177" s="861">
        <f>M176/L176-1</f>
        <v>6.1411853686766937E-2</v>
      </c>
      <c r="N177" s="861">
        <f>N176/M176-1</f>
        <v>8.1959825032836608E-2</v>
      </c>
      <c r="O177" s="861">
        <f>O176/N176-1</f>
        <v>4.0000000000000036E-2</v>
      </c>
      <c r="P177" s="867">
        <f>RATE(COUNT(K163:O163)-1,,-K176,O176)</f>
        <v>6.4282097192595145E-2</v>
      </c>
      <c r="Q177" s="892"/>
      <c r="V177" s="843"/>
      <c r="W177" s="843"/>
      <c r="X177" s="843"/>
      <c r="Y177" s="843"/>
      <c r="Z177" s="843"/>
      <c r="AA177" s="843"/>
      <c r="AB177" s="843"/>
      <c r="AC177" s="843"/>
      <c r="AD177" s="843"/>
      <c r="AE177" s="843"/>
      <c r="AF177" s="843"/>
      <c r="AG177" s="843"/>
      <c r="AH177" s="843"/>
      <c r="AI177" s="843"/>
      <c r="AJ177" s="843"/>
      <c r="AK177" s="843"/>
      <c r="AL177" s="843"/>
      <c r="AM177" s="900"/>
      <c r="AO177" s="901"/>
      <c r="AP177" s="902"/>
    </row>
    <row r="178" spans="1:42" s="908" customFormat="1" ht="16.7" customHeight="1" outlineLevel="1">
      <c r="A178" s="903" t="s">
        <v>5</v>
      </c>
      <c r="B178" s="904">
        <v>0.114</v>
      </c>
      <c r="C178" s="904">
        <v>0.129</v>
      </c>
      <c r="D178" s="905">
        <v>5.3999999999999999E-2</v>
      </c>
      <c r="E178" s="905">
        <v>2.5000000000000001E-2</v>
      </c>
      <c r="F178" s="905">
        <v>4.2999999999999997E-2</v>
      </c>
      <c r="G178" s="905">
        <v>0.03</v>
      </c>
      <c r="H178" s="905">
        <v>4.9000000000000002E-2</v>
      </c>
      <c r="I178" s="905">
        <v>8.3900000000000002E-2</v>
      </c>
      <c r="J178" s="906">
        <f>AVERAGE(E178:I178)</f>
        <v>4.6180000000000006E-2</v>
      </c>
      <c r="K178" s="864">
        <v>5.8999999999999997E-2</v>
      </c>
      <c r="L178" s="865">
        <v>0.04</v>
      </c>
      <c r="M178" s="865">
        <v>0.04</v>
      </c>
      <c r="N178" s="865">
        <v>0.04</v>
      </c>
      <c r="O178" s="866">
        <v>0.04</v>
      </c>
      <c r="P178" s="907">
        <f>AVERAGE(K178:O178)</f>
        <v>4.3800000000000006E-2</v>
      </c>
      <c r="R178" s="842"/>
      <c r="V178" s="843"/>
      <c r="W178" s="843"/>
      <c r="X178" s="843"/>
      <c r="Y178" s="843"/>
      <c r="Z178" s="843"/>
      <c r="AA178" s="843"/>
      <c r="AB178" s="843"/>
      <c r="AC178" s="843"/>
      <c r="AD178" s="843"/>
      <c r="AE178" s="843"/>
      <c r="AF178" s="843"/>
      <c r="AG178" s="843"/>
      <c r="AH178" s="843"/>
      <c r="AI178" s="843"/>
      <c r="AJ178" s="843"/>
      <c r="AK178" s="843"/>
      <c r="AL178" s="843"/>
      <c r="AM178" s="900"/>
      <c r="AO178" s="909"/>
    </row>
    <row r="179" spans="1:42" s="908" customFormat="1" ht="16.7" customHeight="1" outlineLevel="1">
      <c r="A179" s="910" t="s">
        <v>680</v>
      </c>
      <c r="B179" s="911">
        <v>38.4375</v>
      </c>
      <c r="C179" s="912">
        <v>60.957900000000002</v>
      </c>
      <c r="D179" s="913">
        <v>67.034899999999993</v>
      </c>
      <c r="E179" s="913">
        <v>58.352899999999998</v>
      </c>
      <c r="F179" s="913">
        <v>62.709099999999999</v>
      </c>
      <c r="G179" s="914">
        <v>64.736199999999997</v>
      </c>
      <c r="H179" s="914">
        <v>72.1464</v>
      </c>
      <c r="I179" s="914">
        <v>73.6541</v>
      </c>
      <c r="J179" s="915">
        <f>AVERAGE(E179:I179)</f>
        <v>66.319739999999996</v>
      </c>
      <c r="K179" s="916">
        <v>78.948700000000002</v>
      </c>
      <c r="L179" s="917">
        <f>K179</f>
        <v>78.948700000000002</v>
      </c>
      <c r="M179" s="917">
        <f>L179</f>
        <v>78.948700000000002</v>
      </c>
      <c r="N179" s="917">
        <f>M179</f>
        <v>78.948700000000002</v>
      </c>
      <c r="O179" s="917">
        <f>N179</f>
        <v>78.948700000000002</v>
      </c>
      <c r="P179" s="918">
        <f>AVERAGE(K179:O179)</f>
        <v>78.948700000000002</v>
      </c>
      <c r="R179" s="842"/>
      <c r="V179" s="843"/>
      <c r="W179" s="843"/>
      <c r="X179" s="843"/>
      <c r="Y179" s="843"/>
      <c r="Z179" s="843"/>
      <c r="AA179" s="843"/>
      <c r="AB179" s="843"/>
      <c r="AC179" s="843"/>
      <c r="AD179" s="843"/>
      <c r="AE179" s="843"/>
      <c r="AF179" s="843"/>
      <c r="AG179" s="843"/>
      <c r="AH179" s="843"/>
      <c r="AI179" s="843"/>
      <c r="AJ179" s="843"/>
      <c r="AK179" s="843"/>
      <c r="AL179" s="843"/>
      <c r="AM179" s="900"/>
      <c r="AO179" s="909"/>
    </row>
    <row r="180" spans="1:42" outlineLevel="1">
      <c r="A180" s="919" t="s">
        <v>681</v>
      </c>
    </row>
    <row r="181" spans="1:42" s="842" customFormat="1" ht="16.7" customHeight="1" outlineLevel="2">
      <c r="A181" s="843"/>
      <c r="B181" s="921" t="s">
        <v>682</v>
      </c>
      <c r="C181" s="921" t="s">
        <v>683</v>
      </c>
      <c r="D181" s="921" t="s">
        <v>684</v>
      </c>
      <c r="E181" s="921" t="s">
        <v>685</v>
      </c>
      <c r="F181" s="921" t="s">
        <v>686</v>
      </c>
      <c r="G181" s="921" t="s">
        <v>687</v>
      </c>
      <c r="H181" s="921" t="s">
        <v>688</v>
      </c>
      <c r="I181" s="921" t="s">
        <v>689</v>
      </c>
      <c r="J181" s="843"/>
      <c r="K181" s="921"/>
      <c r="L181" s="921"/>
      <c r="M181" s="921"/>
      <c r="N181" s="921"/>
      <c r="O181" s="921"/>
      <c r="P181" s="921"/>
      <c r="V181" s="843"/>
      <c r="W181" s="843"/>
      <c r="X181" s="843"/>
      <c r="Y181" s="843"/>
      <c r="Z181" s="843"/>
      <c r="AA181" s="843"/>
      <c r="AB181" s="843"/>
      <c r="AC181" s="843"/>
      <c r="AD181" s="843"/>
      <c r="AE181" s="843"/>
      <c r="AF181" s="843"/>
      <c r="AG181" s="843"/>
      <c r="AH181" s="843"/>
      <c r="AI181" s="843"/>
      <c r="AJ181" s="843"/>
      <c r="AK181" s="843"/>
      <c r="AL181" s="843"/>
      <c r="AM181" s="900"/>
      <c r="AO181" s="901"/>
    </row>
    <row r="182" spans="1:42" outlineLevel="2">
      <c r="A182" s="922" t="s">
        <v>690</v>
      </c>
      <c r="B182" s="922"/>
      <c r="C182" s="922"/>
      <c r="D182" s="922"/>
      <c r="E182" s="922"/>
      <c r="F182" s="922"/>
      <c r="G182" s="922"/>
      <c r="H182" s="922"/>
      <c r="I182" s="922"/>
      <c r="J182" s="922"/>
      <c r="K182" s="922"/>
      <c r="L182" s="922"/>
      <c r="M182" s="922"/>
      <c r="N182" s="922"/>
      <c r="O182" s="922"/>
      <c r="P182" s="922"/>
      <c r="R182" s="892"/>
      <c r="AM182" s="900"/>
      <c r="AP182" s="902"/>
    </row>
    <row r="183" spans="1:42" outlineLevel="2">
      <c r="A183" s="923" t="s">
        <v>691</v>
      </c>
      <c r="B183" s="995" t="s">
        <v>706</v>
      </c>
      <c r="C183" s="995" t="s">
        <v>398</v>
      </c>
      <c r="D183" s="924" t="s">
        <v>692</v>
      </c>
      <c r="E183" s="925"/>
      <c r="F183" s="925"/>
      <c r="G183" s="925"/>
      <c r="H183" s="925"/>
      <c r="I183" s="926"/>
      <c r="J183" s="926"/>
      <c r="K183" s="839" t="s">
        <v>693</v>
      </c>
      <c r="L183" s="839"/>
      <c r="M183" s="839"/>
      <c r="N183" s="839"/>
      <c r="O183" s="839"/>
      <c r="Q183" s="926"/>
      <c r="R183" s="892"/>
      <c r="AM183" s="900"/>
      <c r="AP183" s="902"/>
    </row>
    <row r="184" spans="1:42" s="842" customFormat="1" ht="16.7" customHeight="1" outlineLevel="2">
      <c r="A184" s="936" t="s">
        <v>710</v>
      </c>
      <c r="B184" s="927"/>
      <c r="C184" s="1018"/>
      <c r="D184" s="928"/>
      <c r="E184" s="921"/>
      <c r="F184" s="921"/>
      <c r="G184" s="921"/>
      <c r="H184" s="921"/>
      <c r="I184" s="921"/>
      <c r="J184" s="843"/>
      <c r="K184" s="868">
        <f>IF($D184=K$57,$C184,0)</f>
        <v>0</v>
      </c>
      <c r="L184" s="868">
        <f t="shared" ref="L184:O186" si="39">IF($D184=L$57,$C184,0)</f>
        <v>0</v>
      </c>
      <c r="M184" s="868">
        <f t="shared" si="39"/>
        <v>0</v>
      </c>
      <c r="N184" s="868">
        <f t="shared" si="39"/>
        <v>0</v>
      </c>
      <c r="O184" s="868">
        <f t="shared" si="39"/>
        <v>0</v>
      </c>
      <c r="P184" s="921"/>
      <c r="V184" s="843"/>
      <c r="W184" s="843"/>
      <c r="X184" s="843"/>
      <c r="Y184" s="843"/>
      <c r="Z184" s="843"/>
      <c r="AA184" s="843"/>
      <c r="AB184" s="843"/>
      <c r="AC184" s="843"/>
      <c r="AD184" s="843"/>
      <c r="AE184" s="843"/>
      <c r="AF184" s="843"/>
      <c r="AG184" s="843"/>
      <c r="AH184" s="843"/>
      <c r="AI184" s="843"/>
      <c r="AJ184" s="843"/>
      <c r="AK184" s="843"/>
      <c r="AL184" s="843"/>
      <c r="AM184" s="900"/>
      <c r="AO184" s="901"/>
    </row>
    <row r="185" spans="1:42" s="842" customFormat="1" ht="16.7" customHeight="1" outlineLevel="2">
      <c r="A185" s="936" t="s">
        <v>710</v>
      </c>
      <c r="B185" s="927"/>
      <c r="C185" s="1018"/>
      <c r="D185" s="928"/>
      <c r="E185" s="921"/>
      <c r="F185" s="921"/>
      <c r="G185" s="921"/>
      <c r="H185" s="921"/>
      <c r="I185" s="921"/>
      <c r="J185" s="843"/>
      <c r="K185" s="868">
        <f>IF($D185=K$57,$C185,0)</f>
        <v>0</v>
      </c>
      <c r="L185" s="868">
        <f t="shared" si="39"/>
        <v>0</v>
      </c>
      <c r="M185" s="868">
        <f t="shared" si="39"/>
        <v>0</v>
      </c>
      <c r="N185" s="868">
        <f t="shared" si="39"/>
        <v>0</v>
      </c>
      <c r="O185" s="868">
        <f t="shared" si="39"/>
        <v>0</v>
      </c>
      <c r="P185" s="921"/>
      <c r="V185" s="843"/>
      <c r="W185" s="843"/>
      <c r="X185" s="843"/>
      <c r="Y185" s="843"/>
      <c r="Z185" s="843"/>
      <c r="AA185" s="843"/>
      <c r="AB185" s="843"/>
      <c r="AC185" s="843"/>
      <c r="AD185" s="843"/>
      <c r="AE185" s="843"/>
      <c r="AF185" s="843"/>
      <c r="AG185" s="843"/>
      <c r="AH185" s="843"/>
      <c r="AI185" s="843"/>
      <c r="AJ185" s="843"/>
      <c r="AK185" s="843"/>
      <c r="AL185" s="843"/>
      <c r="AM185" s="900"/>
      <c r="AO185" s="901"/>
    </row>
    <row r="186" spans="1:42" s="842" customFormat="1" ht="16.7" customHeight="1" outlineLevel="2">
      <c r="A186" s="937" t="s">
        <v>710</v>
      </c>
      <c r="B186" s="929"/>
      <c r="C186" s="1019"/>
      <c r="D186" s="930"/>
      <c r="E186" s="921"/>
      <c r="F186" s="921"/>
      <c r="G186" s="921"/>
      <c r="H186" s="921"/>
      <c r="I186" s="921"/>
      <c r="J186" s="843"/>
      <c r="K186" s="931">
        <f>IF($D186=K$57,$C186,0)</f>
        <v>0</v>
      </c>
      <c r="L186" s="931">
        <f t="shared" si="39"/>
        <v>0</v>
      </c>
      <c r="M186" s="931">
        <f t="shared" si="39"/>
        <v>0</v>
      </c>
      <c r="N186" s="931">
        <f t="shared" si="39"/>
        <v>0</v>
      </c>
      <c r="O186" s="931">
        <f t="shared" si="39"/>
        <v>0</v>
      </c>
      <c r="P186" s="921"/>
      <c r="V186" s="843"/>
      <c r="W186" s="843"/>
      <c r="X186" s="843"/>
      <c r="Y186" s="843"/>
      <c r="Z186" s="843"/>
      <c r="AA186" s="843"/>
      <c r="AB186" s="843"/>
      <c r="AC186" s="843"/>
      <c r="AD186" s="843"/>
      <c r="AE186" s="843"/>
      <c r="AF186" s="843"/>
      <c r="AG186" s="843"/>
      <c r="AH186" s="843"/>
      <c r="AI186" s="843"/>
      <c r="AJ186" s="843"/>
      <c r="AK186" s="843"/>
      <c r="AL186" s="843"/>
      <c r="AM186" s="900"/>
      <c r="AO186" s="901"/>
    </row>
    <row r="187" spans="1:42" s="842" customFormat="1" ht="16.7" customHeight="1" outlineLevel="2">
      <c r="A187" s="932" t="s">
        <v>0</v>
      </c>
      <c r="B187" s="932"/>
      <c r="C187" s="933">
        <f>SUM(C184:C186)</f>
        <v>0</v>
      </c>
      <c r="D187" s="932"/>
      <c r="E187" s="921"/>
      <c r="F187" s="921"/>
      <c r="G187" s="921"/>
      <c r="H187" s="921"/>
      <c r="I187" s="921"/>
      <c r="J187" s="843"/>
      <c r="K187" s="934">
        <f>SUM(K184:K186)</f>
        <v>0</v>
      </c>
      <c r="L187" s="934">
        <f>SUM(L184:L186)</f>
        <v>0</v>
      </c>
      <c r="M187" s="934">
        <f>SUM(M184:M186)</f>
        <v>0</v>
      </c>
      <c r="N187" s="934">
        <f>SUM(N184:N186)</f>
        <v>0</v>
      </c>
      <c r="O187" s="934">
        <f>SUM(O184:O186)</f>
        <v>0</v>
      </c>
      <c r="P187" s="921" t="b">
        <f>SUM(K187:O187)=C187</f>
        <v>1</v>
      </c>
      <c r="V187" s="843"/>
      <c r="W187" s="843"/>
      <c r="X187" s="843"/>
      <c r="Y187" s="843"/>
      <c r="Z187" s="843"/>
      <c r="AA187" s="843"/>
      <c r="AB187" s="843"/>
      <c r="AC187" s="843"/>
      <c r="AD187" s="843"/>
      <c r="AE187" s="843"/>
      <c r="AF187" s="843"/>
      <c r="AG187" s="843"/>
      <c r="AH187" s="843"/>
      <c r="AI187" s="843"/>
      <c r="AJ187" s="843"/>
      <c r="AK187" s="843"/>
      <c r="AL187" s="843"/>
      <c r="AM187" s="900"/>
      <c r="AO187" s="901"/>
    </row>
    <row r="188" spans="1:42" outlineLevel="2">
      <c r="B188" s="938"/>
      <c r="C188" s="938"/>
      <c r="D188" s="938"/>
      <c r="E188" s="938"/>
      <c r="F188" s="938"/>
      <c r="G188" s="938"/>
      <c r="H188" s="938"/>
      <c r="I188" s="843"/>
      <c r="K188" s="938"/>
      <c r="L188" s="938"/>
      <c r="M188" s="938"/>
      <c r="N188" s="938"/>
      <c r="R188" s="892"/>
      <c r="AM188" s="900"/>
      <c r="AP188" s="902"/>
    </row>
    <row r="189" spans="1:42" outlineLevel="2">
      <c r="B189" s="926"/>
      <c r="C189" s="926"/>
      <c r="D189" s="925"/>
      <c r="E189" s="925"/>
      <c r="F189" s="925"/>
      <c r="G189" s="925"/>
      <c r="H189" s="925"/>
      <c r="I189" s="926"/>
      <c r="J189" s="926"/>
      <c r="K189" s="926"/>
      <c r="L189" s="926"/>
      <c r="M189" s="926"/>
      <c r="Q189" s="926"/>
      <c r="R189" s="892"/>
      <c r="AM189" s="900"/>
      <c r="AP189" s="902"/>
    </row>
    <row r="190" spans="1:42" outlineLevel="2">
      <c r="B190" s="926"/>
      <c r="C190" s="926"/>
      <c r="D190" s="926"/>
      <c r="E190" s="926"/>
      <c r="F190" s="926"/>
      <c r="G190" s="926"/>
      <c r="H190" s="926"/>
      <c r="I190" s="935"/>
      <c r="J190" s="926"/>
      <c r="K190" s="926"/>
      <c r="L190" s="926"/>
      <c r="M190" s="926"/>
      <c r="N190" s="926"/>
    </row>
    <row r="191" spans="1:42" outlineLevel="2">
      <c r="B191" s="926"/>
      <c r="C191" s="926"/>
      <c r="D191" s="926"/>
      <c r="E191" s="926"/>
      <c r="F191" s="926"/>
      <c r="G191" s="926"/>
      <c r="H191" s="926"/>
      <c r="I191" s="933"/>
      <c r="J191" s="926"/>
    </row>
    <row r="192" spans="1:42" outlineLevel="2"/>
    <row r="193" outlineLevel="2"/>
    <row r="194" outlineLevel="2"/>
    <row r="195" outlineLevel="2"/>
    <row r="196" outlineLevel="2"/>
    <row r="197" outlineLevel="2"/>
    <row r="198" outlineLevel="2"/>
    <row r="199" outlineLevel="2"/>
    <row r="200" outlineLevel="2"/>
    <row r="201" outlineLevel="2"/>
    <row r="202" outlineLevel="2"/>
    <row r="203" outlineLevel="2"/>
    <row r="204" outlineLevel="2"/>
    <row r="205" outlineLevel="2"/>
    <row r="206" outlineLevel="2"/>
    <row r="207" outlineLevel="2"/>
    <row r="208" outlineLevel="2"/>
    <row r="209" spans="1:42" outlineLevel="2"/>
    <row r="210" spans="1:42" outlineLevel="2"/>
    <row r="211" spans="1:42" outlineLevel="2"/>
    <row r="212" spans="1:42" outlineLevel="2"/>
    <row r="213" spans="1:42" outlineLevel="1"/>
    <row r="214" spans="1:42">
      <c r="C214" s="921" t="s">
        <v>683</v>
      </c>
      <c r="D214" s="921" t="s">
        <v>684</v>
      </c>
      <c r="E214" s="921" t="s">
        <v>685</v>
      </c>
      <c r="F214" s="921" t="s">
        <v>686</v>
      </c>
      <c r="G214" s="921" t="s">
        <v>687</v>
      </c>
      <c r="H214" s="921" t="s">
        <v>688</v>
      </c>
      <c r="I214" s="921" t="s">
        <v>689</v>
      </c>
    </row>
    <row r="215" spans="1:42" ht="15.95" customHeight="1">
      <c r="A215" s="839" t="str">
        <f>A162</f>
        <v>РЫНОК - Горный кластер г. Сочи</v>
      </c>
      <c r="B215" s="840" t="s">
        <v>713</v>
      </c>
      <c r="C215" s="840"/>
      <c r="D215" s="840" t="s">
        <v>665</v>
      </c>
      <c r="E215" s="841"/>
      <c r="F215" s="840"/>
      <c r="G215" s="841"/>
      <c r="H215" s="841"/>
      <c r="I215" s="841"/>
      <c r="J215" s="841" t="s">
        <v>666</v>
      </c>
      <c r="K215" s="841"/>
      <c r="L215" s="841"/>
      <c r="M215" s="841"/>
      <c r="N215" s="841"/>
      <c r="O215" s="841"/>
      <c r="P215" s="841"/>
      <c r="Q215" s="842"/>
      <c r="R215" s="842"/>
    </row>
    <row r="216" spans="1:42" ht="15.95" customHeight="1">
      <c r="A216" s="844" t="s">
        <v>59</v>
      </c>
      <c r="B216" s="845">
        <v>2014</v>
      </c>
      <c r="C216" s="845">
        <f t="shared" ref="C216:I216" si="40">B216+1</f>
        <v>2015</v>
      </c>
      <c r="D216" s="845">
        <f t="shared" si="40"/>
        <v>2016</v>
      </c>
      <c r="E216" s="845">
        <f t="shared" si="40"/>
        <v>2017</v>
      </c>
      <c r="F216" s="845">
        <f t="shared" si="40"/>
        <v>2018</v>
      </c>
      <c r="G216" s="845">
        <f t="shared" si="40"/>
        <v>2019</v>
      </c>
      <c r="H216" s="845">
        <f t="shared" si="40"/>
        <v>2020</v>
      </c>
      <c r="I216" s="846">
        <f t="shared" si="40"/>
        <v>2021</v>
      </c>
      <c r="J216" s="847" t="s">
        <v>667</v>
      </c>
      <c r="K216" s="848">
        <f>I216+1</f>
        <v>2022</v>
      </c>
      <c r="L216" s="849">
        <f>K216+1</f>
        <v>2023</v>
      </c>
      <c r="M216" s="849">
        <f>L216+1</f>
        <v>2024</v>
      </c>
      <c r="N216" s="849">
        <f>M216+1</f>
        <v>2025</v>
      </c>
      <c r="O216" s="849">
        <f>N216+1</f>
        <v>2026</v>
      </c>
      <c r="P216" s="850" t="s">
        <v>667</v>
      </c>
      <c r="Q216" s="842"/>
      <c r="R216" s="842"/>
    </row>
    <row r="217" spans="1:42">
      <c r="A217" s="851" t="s">
        <v>668</v>
      </c>
      <c r="B217" s="852"/>
      <c r="C217" s="852">
        <f>K323</f>
        <v>0.1146431411530815</v>
      </c>
      <c r="D217" s="852">
        <f>P323</f>
        <v>0.12518628912071536</v>
      </c>
      <c r="E217" s="852">
        <f>U323</f>
        <v>0.28869863013698632</v>
      </c>
      <c r="F217" s="852">
        <f>Z323</f>
        <v>0.29433374844333748</v>
      </c>
      <c r="G217" s="852">
        <f>AE323</f>
        <v>0.24768493150684931</v>
      </c>
      <c r="H217" s="852">
        <f>AJ323</f>
        <v>0.13524590163934427</v>
      </c>
      <c r="I217" s="852">
        <f>AO323</f>
        <v>0.31687422166874224</v>
      </c>
      <c r="J217" s="854">
        <f>AVERAGE(E217:I217)</f>
        <v>0.25656748667905188</v>
      </c>
      <c r="K217" s="855">
        <f>I217+K218</f>
        <v>0.34687422166874227</v>
      </c>
      <c r="L217" s="856">
        <f>K217+L218</f>
        <v>0.37687422166874229</v>
      </c>
      <c r="M217" s="856">
        <f>L217+M218</f>
        <v>0.39687422166874231</v>
      </c>
      <c r="N217" s="856">
        <f>M217+N218</f>
        <v>0.40687422166874232</v>
      </c>
      <c r="O217" s="856">
        <f>N217+O218</f>
        <v>0.41687422166874233</v>
      </c>
      <c r="P217" s="857">
        <f>AVERAGE(K217:O217)</f>
        <v>0.3888742216687423</v>
      </c>
    </row>
    <row r="218" spans="1:42" s="842" customFormat="1" ht="16.7" customHeight="1" outlineLevel="1">
      <c r="A218" s="858" t="s">
        <v>669</v>
      </c>
      <c r="B218" s="859"/>
      <c r="C218" s="859"/>
      <c r="D218" s="859">
        <f t="shared" ref="D218:I218" si="41">D217-C217</f>
        <v>1.0543147967633865E-2</v>
      </c>
      <c r="E218" s="859">
        <f t="shared" si="41"/>
        <v>0.16351234101627096</v>
      </c>
      <c r="F218" s="859">
        <f t="shared" si="41"/>
        <v>5.6351183063511612E-3</v>
      </c>
      <c r="G218" s="860">
        <f t="shared" si="41"/>
        <v>-4.6648816936488174E-2</v>
      </c>
      <c r="H218" s="861">
        <f t="shared" si="41"/>
        <v>-0.11243902986750504</v>
      </c>
      <c r="I218" s="862">
        <f t="shared" si="41"/>
        <v>0.18162832002939797</v>
      </c>
      <c r="J218" s="863">
        <f>RATE(COUNT(E216:I216)-1,,-E217,I217)</f>
        <v>2.3553497663418573E-2</v>
      </c>
      <c r="K218" s="864">
        <v>0.03</v>
      </c>
      <c r="L218" s="865">
        <v>0.03</v>
      </c>
      <c r="M218" s="865">
        <v>0.02</v>
      </c>
      <c r="N218" s="865">
        <v>0.01</v>
      </c>
      <c r="O218" s="866">
        <v>0.01</v>
      </c>
      <c r="P218" s="867">
        <f>RATE(COUNT(K216:O216)-1,,-K217,O217)</f>
        <v>4.7027898051225113E-2</v>
      </c>
      <c r="V218" s="843"/>
      <c r="W218" s="843"/>
      <c r="X218" s="843"/>
      <c r="Y218" s="843"/>
      <c r="Z218" s="843"/>
      <c r="AA218" s="843"/>
      <c r="AB218" s="843"/>
      <c r="AC218" s="843"/>
      <c r="AD218" s="843"/>
      <c r="AE218" s="843"/>
      <c r="AF218" s="843"/>
      <c r="AG218" s="843"/>
      <c r="AH218" s="843"/>
      <c r="AI218" s="843"/>
      <c r="AJ218" s="843"/>
      <c r="AK218" s="843"/>
      <c r="AL218" s="843"/>
    </row>
    <row r="219" spans="1:42">
      <c r="A219" s="851" t="s">
        <v>676</v>
      </c>
      <c r="B219" s="852"/>
      <c r="C219" s="887">
        <f>K382</f>
        <v>40105.20980915799</v>
      </c>
      <c r="D219" s="887">
        <f>P382</f>
        <v>59582.88527710519</v>
      </c>
      <c r="E219" s="887">
        <f>U382</f>
        <v>38455.581062629433</v>
      </c>
      <c r="F219" s="887">
        <f>Z382</f>
        <v>45957.913060277606</v>
      </c>
      <c r="G219" s="887">
        <f>AE382</f>
        <v>51546.741872684041</v>
      </c>
      <c r="H219" s="887">
        <f>AJ382</f>
        <v>80707.584607984609</v>
      </c>
      <c r="I219" s="887">
        <f>AO382</f>
        <v>92246.070764393808</v>
      </c>
      <c r="J219" s="888">
        <f>AVERAGE(E219:I219)</f>
        <v>61782.778273593904</v>
      </c>
      <c r="K219" s="889">
        <f>I219*(1+K220)</f>
        <v>96858.374302613505</v>
      </c>
      <c r="L219" s="887">
        <f>K219*(1+L220)</f>
        <v>101701.29301774419</v>
      </c>
      <c r="M219" s="887">
        <f>L219*(1+M220)</f>
        <v>105769.34473845396</v>
      </c>
      <c r="N219" s="887">
        <f>M219*(1+N220)</f>
        <v>110000.11852799212</v>
      </c>
      <c r="O219" s="890">
        <f>N219*(1+O220)</f>
        <v>114400.12326911181</v>
      </c>
      <c r="P219" s="891">
        <f>AVERAGE(K219:O219)</f>
        <v>105745.85077118312</v>
      </c>
    </row>
    <row r="220" spans="1:42" s="842" customFormat="1" ht="16.7" customHeight="1" outlineLevel="1">
      <c r="A220" s="858" t="s">
        <v>677</v>
      </c>
      <c r="B220" s="859"/>
      <c r="C220" s="859"/>
      <c r="D220" s="859">
        <f t="shared" ref="D220:I220" si="42">D219/C219-1</f>
        <v>0.48566447004347779</v>
      </c>
      <c r="E220" s="859">
        <f t="shared" si="42"/>
        <v>-0.35458679310707963</v>
      </c>
      <c r="F220" s="859">
        <f t="shared" si="42"/>
        <v>0.19509085002329685</v>
      </c>
      <c r="G220" s="859">
        <f t="shared" si="42"/>
        <v>0.12160754134062235</v>
      </c>
      <c r="H220" s="859">
        <f t="shared" si="42"/>
        <v>0.56571650653159233</v>
      </c>
      <c r="I220" s="859">
        <f t="shared" si="42"/>
        <v>0.14296656519277939</v>
      </c>
      <c r="J220" s="863">
        <f>RATE((COUNT(E216:I216)-1),,-E219,I219)</f>
        <v>0.24450637209886955</v>
      </c>
      <c r="K220" s="864">
        <v>0.05</v>
      </c>
      <c r="L220" s="865">
        <v>0.05</v>
      </c>
      <c r="M220" s="865">
        <v>0.04</v>
      </c>
      <c r="N220" s="865">
        <v>0.04</v>
      </c>
      <c r="O220" s="866">
        <v>0.04</v>
      </c>
      <c r="P220" s="867">
        <f>RATE(COUNT(K216:O216)-1,,-K219,O219)</f>
        <v>4.2491035806745139E-2</v>
      </c>
      <c r="V220" s="843"/>
      <c r="W220" s="843"/>
      <c r="X220" s="843"/>
      <c r="Y220" s="843"/>
      <c r="Z220" s="843"/>
      <c r="AA220" s="843"/>
      <c r="AB220" s="843"/>
      <c r="AC220" s="843"/>
      <c r="AD220" s="843"/>
      <c r="AE220" s="843"/>
      <c r="AF220" s="843"/>
      <c r="AG220" s="843"/>
      <c r="AH220" s="843"/>
      <c r="AI220" s="843"/>
      <c r="AJ220" s="843"/>
      <c r="AK220" s="843"/>
      <c r="AL220" s="843"/>
    </row>
    <row r="221" spans="1:42" s="892" customFormat="1" ht="16.5" customHeight="1" outlineLevel="1">
      <c r="A221" s="851" t="s">
        <v>679</v>
      </c>
      <c r="B221" s="887"/>
      <c r="C221" s="887">
        <f>C219*C217</f>
        <v>4597.7872291252479</v>
      </c>
      <c r="D221" s="887">
        <f t="shared" ref="D221:O221" si="43">D219*D217</f>
        <v>7458.960302946105</v>
      </c>
      <c r="E221" s="887">
        <f t="shared" si="43"/>
        <v>11102.07357390295</v>
      </c>
      <c r="F221" s="887">
        <f t="shared" si="43"/>
        <v>13526.964821664524</v>
      </c>
      <c r="G221" s="887">
        <f t="shared" si="43"/>
        <v>12767.351230136988</v>
      </c>
      <c r="H221" s="887">
        <f t="shared" si="43"/>
        <v>10915.370049440542</v>
      </c>
      <c r="I221" s="887">
        <f t="shared" si="43"/>
        <v>29230.401875467007</v>
      </c>
      <c r="J221" s="888">
        <f>AVERAGE(E221:I221)</f>
        <v>15508.432310122404</v>
      </c>
      <c r="K221" s="889">
        <f t="shared" si="43"/>
        <v>33597.673198318764</v>
      </c>
      <c r="L221" s="887">
        <f t="shared" si="43"/>
        <v>38328.595648767034</v>
      </c>
      <c r="M221" s="887">
        <f t="shared" si="43"/>
        <v>41977.126369486803</v>
      </c>
      <c r="N221" s="887">
        <f t="shared" si="43"/>
        <v>44756.212609546194</v>
      </c>
      <c r="O221" s="890">
        <f t="shared" si="43"/>
        <v>47690.462346619162</v>
      </c>
      <c r="P221" s="891">
        <f>AVERAGE(K221:O221)</f>
        <v>41270.014034547596</v>
      </c>
      <c r="R221" s="842"/>
      <c r="V221" s="843"/>
      <c r="W221" s="843"/>
      <c r="X221" s="843"/>
      <c r="Y221" s="843"/>
      <c r="Z221" s="843"/>
      <c r="AA221" s="843"/>
      <c r="AB221" s="843"/>
      <c r="AC221" s="843"/>
      <c r="AD221" s="843"/>
      <c r="AE221" s="843"/>
      <c r="AF221" s="843"/>
      <c r="AG221" s="843"/>
      <c r="AH221" s="843"/>
      <c r="AI221" s="843"/>
      <c r="AJ221" s="843"/>
      <c r="AK221" s="843"/>
      <c r="AL221" s="843"/>
      <c r="AM221" s="900"/>
    </row>
    <row r="222" spans="1:42" s="842" customFormat="1" ht="16.7" customHeight="1" outlineLevel="1">
      <c r="A222" s="1020" t="s">
        <v>677</v>
      </c>
      <c r="B222" s="1021"/>
      <c r="C222" s="1021"/>
      <c r="D222" s="1021">
        <f t="shared" ref="D222:I222" si="44">D221/C221-1</f>
        <v>0.6222934927689574</v>
      </c>
      <c r="E222" s="1021">
        <f t="shared" si="44"/>
        <v>0.48842105641960654</v>
      </c>
      <c r="F222" s="1021">
        <f t="shared" si="44"/>
        <v>0.21841786866388957</v>
      </c>
      <c r="G222" s="1022">
        <f t="shared" si="44"/>
        <v>-5.6155508759138106E-2</v>
      </c>
      <c r="H222" s="1023">
        <f t="shared" si="44"/>
        <v>-0.14505602198245271</v>
      </c>
      <c r="I222" s="1024">
        <f t="shared" si="44"/>
        <v>1.6779121315236751</v>
      </c>
      <c r="J222" s="1025">
        <f>RATE((COUNT(E216:I216)-1),,-E221,I221)</f>
        <v>0.27381885002599549</v>
      </c>
      <c r="K222" s="1026">
        <f>K221/I221-1</f>
        <v>0.14940852819807438</v>
      </c>
      <c r="L222" s="1023">
        <f>L221/K221-1</f>
        <v>0.14081101457600353</v>
      </c>
      <c r="M222" s="1023">
        <f>M221/L221-1</f>
        <v>9.5190827082576313E-2</v>
      </c>
      <c r="N222" s="1023">
        <f>N221/M221-1</f>
        <v>6.6204775800934978E-2</v>
      </c>
      <c r="O222" s="1023">
        <f>O221/N221-1</f>
        <v>6.5560724779627932E-2</v>
      </c>
      <c r="P222" s="1027">
        <f>RATE(COUNT(K216:O216)-1,,-K221,O221)</f>
        <v>9.1517197957976124E-2</v>
      </c>
      <c r="V222" s="843"/>
      <c r="W222" s="843"/>
      <c r="X222" s="843"/>
      <c r="Y222" s="843"/>
      <c r="Z222" s="843"/>
      <c r="AA222" s="843"/>
      <c r="AB222" s="843"/>
      <c r="AC222" s="843"/>
      <c r="AD222" s="843"/>
      <c r="AE222" s="843"/>
      <c r="AF222" s="843"/>
      <c r="AG222" s="843"/>
      <c r="AH222" s="843"/>
      <c r="AI222" s="843"/>
      <c r="AJ222" s="843"/>
      <c r="AK222" s="843"/>
      <c r="AL222" s="843"/>
      <c r="AM222" s="900"/>
      <c r="AO222" s="901"/>
      <c r="AP222" s="902"/>
    </row>
    <row r="223" spans="1:42" outlineLevel="1">
      <c r="A223" s="919" t="s">
        <v>681</v>
      </c>
    </row>
    <row r="224" spans="1:42" outlineLevel="2"/>
    <row r="225" outlineLevel="2"/>
    <row r="226" outlineLevel="2"/>
    <row r="227" outlineLevel="2"/>
    <row r="228" outlineLevel="2"/>
    <row r="229" outlineLevel="2"/>
    <row r="230" outlineLevel="2"/>
    <row r="231" outlineLevel="2"/>
    <row r="232" outlineLevel="2"/>
    <row r="233" outlineLevel="2"/>
    <row r="234" outlineLevel="2"/>
    <row r="235" outlineLevel="2"/>
    <row r="236" outlineLevel="2"/>
    <row r="237" outlineLevel="2"/>
    <row r="238" outlineLevel="2"/>
    <row r="239" outlineLevel="2"/>
    <row r="240" outlineLevel="2"/>
    <row r="241" spans="1:41" outlineLevel="2"/>
    <row r="242" spans="1:41" outlineLevel="2"/>
    <row r="243" spans="1:41" outlineLevel="2"/>
    <row r="244" spans="1:41" outlineLevel="2"/>
    <row r="245" spans="1:41" outlineLevel="2"/>
    <row r="246" spans="1:41" outlineLevel="2"/>
    <row r="247" spans="1:41" outlineLevel="2"/>
    <row r="248" spans="1:41" outlineLevel="1"/>
    <row r="250" spans="1:41">
      <c r="A250" s="940" t="s">
        <v>709</v>
      </c>
      <c r="B250" s="939"/>
      <c r="C250" s="939"/>
      <c r="D250" s="939"/>
      <c r="E250" s="939"/>
      <c r="F250" s="939"/>
      <c r="G250" s="939"/>
      <c r="H250" s="939"/>
      <c r="I250" s="940"/>
      <c r="J250" s="939"/>
      <c r="K250" s="939"/>
      <c r="L250" s="939"/>
      <c r="M250" s="939"/>
      <c r="N250" s="939"/>
      <c r="O250" s="939"/>
      <c r="P250" s="939"/>
      <c r="Q250" s="939"/>
      <c r="R250" s="939"/>
      <c r="S250" s="939"/>
      <c r="T250" s="939"/>
      <c r="U250" s="939"/>
      <c r="V250" s="939"/>
      <c r="W250" s="939"/>
      <c r="X250" s="939"/>
      <c r="Y250" s="939"/>
      <c r="Z250" s="939"/>
      <c r="AA250" s="939"/>
      <c r="AB250" s="939"/>
      <c r="AC250" s="939"/>
      <c r="AD250" s="939"/>
      <c r="AE250" s="939"/>
      <c r="AF250" s="939"/>
      <c r="AG250" s="939"/>
      <c r="AH250" s="939"/>
      <c r="AI250" s="939"/>
      <c r="AJ250" s="939"/>
      <c r="AK250" s="939"/>
      <c r="AL250" s="939"/>
      <c r="AM250" s="939"/>
      <c r="AN250" s="939"/>
      <c r="AO250" s="939"/>
    </row>
    <row r="251" spans="1:41" ht="13.5" thickBot="1">
      <c r="A251" s="939"/>
      <c r="B251" s="939"/>
      <c r="C251" s="939"/>
      <c r="D251" s="939"/>
      <c r="E251" s="939"/>
      <c r="F251" s="939"/>
      <c r="G251" s="939"/>
      <c r="H251" s="939"/>
      <c r="I251" s="940"/>
      <c r="J251" s="939"/>
      <c r="K251" s="939"/>
      <c r="L251" s="939"/>
      <c r="M251" s="939"/>
      <c r="N251" s="939"/>
      <c r="O251" s="939"/>
      <c r="P251" s="939"/>
      <c r="Q251" s="939"/>
      <c r="R251" s="939"/>
      <c r="S251" s="939"/>
      <c r="T251" s="939"/>
      <c r="U251" s="939"/>
      <c r="V251" s="939"/>
      <c r="W251" s="939"/>
      <c r="X251" s="939"/>
      <c r="Y251" s="939"/>
      <c r="Z251" s="939"/>
      <c r="AA251" s="939"/>
      <c r="AB251" s="939"/>
      <c r="AC251" s="939"/>
      <c r="AD251" s="939"/>
      <c r="AE251" s="939"/>
      <c r="AF251" s="939"/>
      <c r="AG251" s="939"/>
      <c r="AH251" s="939"/>
      <c r="AI251" s="939"/>
      <c r="AJ251" s="939"/>
      <c r="AK251" s="939"/>
      <c r="AL251" s="939"/>
      <c r="AM251" s="939"/>
      <c r="AN251" s="939"/>
      <c r="AO251" s="939"/>
    </row>
    <row r="252" spans="1:41" outlineLevel="1">
      <c r="A252" s="941"/>
      <c r="B252" s="942">
        <v>2014</v>
      </c>
      <c r="C252" s="942">
        <v>2014</v>
      </c>
      <c r="D252" s="942">
        <v>2014</v>
      </c>
      <c r="E252" s="942">
        <v>2014</v>
      </c>
      <c r="F252" s="943">
        <v>2014</v>
      </c>
      <c r="G252" s="942">
        <v>2015</v>
      </c>
      <c r="H252" s="942">
        <v>2015</v>
      </c>
      <c r="I252" s="942">
        <v>2015</v>
      </c>
      <c r="J252" s="942">
        <v>2015</v>
      </c>
      <c r="K252" s="943">
        <v>2015</v>
      </c>
      <c r="L252" s="942">
        <v>2016</v>
      </c>
      <c r="M252" s="942">
        <v>2016</v>
      </c>
      <c r="N252" s="942">
        <v>2016</v>
      </c>
      <c r="O252" s="942">
        <v>2016</v>
      </c>
      <c r="P252" s="943">
        <v>2016</v>
      </c>
      <c r="Q252" s="942">
        <v>2017</v>
      </c>
      <c r="R252" s="942">
        <v>2017</v>
      </c>
      <c r="S252" s="942">
        <v>2017</v>
      </c>
      <c r="T252" s="942">
        <v>2017</v>
      </c>
      <c r="U252" s="943">
        <v>2017</v>
      </c>
      <c r="V252" s="942">
        <v>2018</v>
      </c>
      <c r="W252" s="942">
        <v>2018</v>
      </c>
      <c r="X252" s="942">
        <v>2018</v>
      </c>
      <c r="Y252" s="942">
        <v>2018</v>
      </c>
      <c r="Z252" s="943">
        <v>2018</v>
      </c>
      <c r="AA252" s="942">
        <v>2019</v>
      </c>
      <c r="AB252" s="942">
        <v>2019</v>
      </c>
      <c r="AC252" s="942">
        <v>2019</v>
      </c>
      <c r="AD252" s="942">
        <v>2019</v>
      </c>
      <c r="AE252" s="943">
        <v>2019</v>
      </c>
      <c r="AF252" s="942">
        <v>2020</v>
      </c>
      <c r="AG252" s="942">
        <v>2020</v>
      </c>
      <c r="AH252" s="942">
        <v>2020</v>
      </c>
      <c r="AI252" s="942">
        <v>2020</v>
      </c>
      <c r="AJ252" s="943">
        <v>2020</v>
      </c>
      <c r="AK252" s="942">
        <v>2021</v>
      </c>
      <c r="AL252" s="942">
        <v>2021</v>
      </c>
      <c r="AM252" s="942">
        <v>2021</v>
      </c>
      <c r="AN252" s="942">
        <v>2021</v>
      </c>
      <c r="AO252" s="943">
        <v>2021</v>
      </c>
    </row>
    <row r="253" spans="1:41" ht="13.5" outlineLevel="1" thickBot="1">
      <c r="A253" s="944" t="s">
        <v>695</v>
      </c>
      <c r="B253" s="945" t="s">
        <v>696</v>
      </c>
      <c r="C253" s="945" t="s">
        <v>697</v>
      </c>
      <c r="D253" s="945" t="s">
        <v>698</v>
      </c>
      <c r="E253" s="945" t="s">
        <v>699</v>
      </c>
      <c r="F253" s="946" t="s">
        <v>59</v>
      </c>
      <c r="G253" s="945" t="s">
        <v>696</v>
      </c>
      <c r="H253" s="945" t="s">
        <v>697</v>
      </c>
      <c r="I253" s="945" t="s">
        <v>698</v>
      </c>
      <c r="J253" s="945" t="s">
        <v>699</v>
      </c>
      <c r="K253" s="946" t="s">
        <v>59</v>
      </c>
      <c r="L253" s="945" t="s">
        <v>696</v>
      </c>
      <c r="M253" s="945" t="s">
        <v>697</v>
      </c>
      <c r="N253" s="945" t="s">
        <v>698</v>
      </c>
      <c r="O253" s="945" t="s">
        <v>699</v>
      </c>
      <c r="P253" s="946" t="s">
        <v>59</v>
      </c>
      <c r="Q253" s="945" t="s">
        <v>696</v>
      </c>
      <c r="R253" s="945" t="s">
        <v>697</v>
      </c>
      <c r="S253" s="945" t="s">
        <v>698</v>
      </c>
      <c r="T253" s="945" t="s">
        <v>699</v>
      </c>
      <c r="U253" s="946" t="s">
        <v>59</v>
      </c>
      <c r="V253" s="945" t="s">
        <v>696</v>
      </c>
      <c r="W253" s="945" t="s">
        <v>697</v>
      </c>
      <c r="X253" s="945" t="s">
        <v>698</v>
      </c>
      <c r="Y253" s="945" t="s">
        <v>699</v>
      </c>
      <c r="Z253" s="946" t="s">
        <v>59</v>
      </c>
      <c r="AA253" s="945" t="s">
        <v>696</v>
      </c>
      <c r="AB253" s="945" t="s">
        <v>697</v>
      </c>
      <c r="AC253" s="945" t="s">
        <v>698</v>
      </c>
      <c r="AD253" s="945" t="s">
        <v>699</v>
      </c>
      <c r="AE253" s="946" t="s">
        <v>59</v>
      </c>
      <c r="AF253" s="945" t="s">
        <v>696</v>
      </c>
      <c r="AG253" s="945" t="s">
        <v>697</v>
      </c>
      <c r="AH253" s="945" t="s">
        <v>698</v>
      </c>
      <c r="AI253" s="945" t="s">
        <v>699</v>
      </c>
      <c r="AJ253" s="946" t="s">
        <v>59</v>
      </c>
      <c r="AK253" s="945" t="s">
        <v>696</v>
      </c>
      <c r="AL253" s="945" t="s">
        <v>697</v>
      </c>
      <c r="AM253" s="945" t="s">
        <v>698</v>
      </c>
      <c r="AN253" s="945" t="s">
        <v>699</v>
      </c>
      <c r="AO253" s="946" t="s">
        <v>59</v>
      </c>
    </row>
    <row r="254" spans="1:41" outlineLevel="2">
      <c r="A254" s="947"/>
      <c r="B254" s="948"/>
      <c r="C254" s="948"/>
      <c r="D254" s="948"/>
      <c r="E254" s="948">
        <v>16652</v>
      </c>
      <c r="F254" s="949">
        <v>66065</v>
      </c>
      <c r="G254" s="948">
        <v>16290</v>
      </c>
      <c r="H254" s="948">
        <v>16471</v>
      </c>
      <c r="I254" s="948">
        <v>16652</v>
      </c>
      <c r="J254" s="948">
        <v>16652</v>
      </c>
      <c r="K254" s="949">
        <v>66065</v>
      </c>
      <c r="L254" s="948">
        <v>16471</v>
      </c>
      <c r="M254" s="948">
        <v>16471</v>
      </c>
      <c r="N254" s="948">
        <v>16652</v>
      </c>
      <c r="O254" s="948">
        <v>16652</v>
      </c>
      <c r="P254" s="949">
        <v>66246</v>
      </c>
      <c r="Q254" s="948">
        <v>16290</v>
      </c>
      <c r="R254" s="950">
        <v>16471</v>
      </c>
      <c r="S254" s="950">
        <v>16652</v>
      </c>
      <c r="T254" s="950">
        <v>16652</v>
      </c>
      <c r="U254" s="951">
        <v>66065</v>
      </c>
      <c r="V254" s="950">
        <v>16290</v>
      </c>
      <c r="W254" s="950">
        <v>16471</v>
      </c>
      <c r="X254" s="950">
        <v>16652</v>
      </c>
      <c r="Y254" s="950">
        <v>16652</v>
      </c>
      <c r="Z254" s="951">
        <v>66065</v>
      </c>
      <c r="AA254" s="950">
        <v>16290</v>
      </c>
      <c r="AB254" s="950">
        <v>16471</v>
      </c>
      <c r="AC254" s="950">
        <v>16652</v>
      </c>
      <c r="AD254" s="950">
        <v>16652</v>
      </c>
      <c r="AE254" s="951">
        <v>66065</v>
      </c>
      <c r="AF254" s="950">
        <v>16471</v>
      </c>
      <c r="AG254" s="950">
        <v>16471</v>
      </c>
      <c r="AH254" s="950">
        <v>16652</v>
      </c>
      <c r="AI254" s="950">
        <v>16652</v>
      </c>
      <c r="AJ254" s="951">
        <v>66246</v>
      </c>
      <c r="AK254" s="950">
        <v>16290</v>
      </c>
      <c r="AL254" s="950">
        <v>16471</v>
      </c>
      <c r="AM254" s="950">
        <v>16652</v>
      </c>
      <c r="AN254" s="952">
        <v>16652</v>
      </c>
      <c r="AO254" s="951">
        <v>66065</v>
      </c>
    </row>
    <row r="255" spans="1:41" outlineLevel="2">
      <c r="A255" s="953"/>
      <c r="B255" s="948"/>
      <c r="C255" s="948">
        <v>10374.427490786837</v>
      </c>
      <c r="D255" s="948">
        <v>10464.532668834734</v>
      </c>
      <c r="E255" s="948">
        <v>10500.398276771582</v>
      </c>
      <c r="F255" s="949">
        <v>31339.358436393155</v>
      </c>
      <c r="G255" s="948">
        <v>10256</v>
      </c>
      <c r="H255" s="948">
        <v>10374</v>
      </c>
      <c r="I255" s="948">
        <v>10488</v>
      </c>
      <c r="J255" s="948">
        <v>10488</v>
      </c>
      <c r="K255" s="949">
        <v>41606</v>
      </c>
      <c r="L255" s="948">
        <v>10374</v>
      </c>
      <c r="M255" s="948">
        <v>10374</v>
      </c>
      <c r="N255" s="948">
        <v>10488</v>
      </c>
      <c r="O255" s="948">
        <v>10488</v>
      </c>
      <c r="P255" s="949">
        <v>41724</v>
      </c>
      <c r="Q255" s="948">
        <v>10260</v>
      </c>
      <c r="R255" s="948">
        <v>10374</v>
      </c>
      <c r="S255" s="948">
        <v>10488</v>
      </c>
      <c r="T255" s="948">
        <v>10488</v>
      </c>
      <c r="U255" s="949">
        <v>41610</v>
      </c>
      <c r="V255" s="948">
        <v>10260</v>
      </c>
      <c r="W255" s="948">
        <v>10374</v>
      </c>
      <c r="X255" s="948">
        <v>10488</v>
      </c>
      <c r="Y255" s="948">
        <v>10488</v>
      </c>
      <c r="Z255" s="949">
        <v>41610</v>
      </c>
      <c r="AA255" s="948">
        <v>10260</v>
      </c>
      <c r="AB255" s="948">
        <v>10374</v>
      </c>
      <c r="AC255" s="948">
        <v>10488</v>
      </c>
      <c r="AD255" s="948">
        <v>10488</v>
      </c>
      <c r="AE255" s="949">
        <v>41610</v>
      </c>
      <c r="AF255" s="948">
        <v>10374</v>
      </c>
      <c r="AG255" s="948">
        <v>10374</v>
      </c>
      <c r="AH255" s="948">
        <v>10488</v>
      </c>
      <c r="AI255" s="948">
        <v>10488</v>
      </c>
      <c r="AJ255" s="949">
        <v>41724</v>
      </c>
      <c r="AK255" s="948">
        <v>10260</v>
      </c>
      <c r="AL255" s="948">
        <v>10374</v>
      </c>
      <c r="AM255" s="948">
        <v>10488</v>
      </c>
      <c r="AN255" s="954">
        <v>10488</v>
      </c>
      <c r="AO255" s="949">
        <v>41610</v>
      </c>
    </row>
    <row r="256" spans="1:41" outlineLevel="2">
      <c r="A256" s="953"/>
      <c r="B256" s="948">
        <v>35250.968794094566</v>
      </c>
      <c r="C256" s="948">
        <v>39290.69082672707</v>
      </c>
      <c r="D256" s="948">
        <v>39106.85809045683</v>
      </c>
      <c r="E256" s="948">
        <v>39351.708356965442</v>
      </c>
      <c r="F256" s="949">
        <v>153000.22606824391</v>
      </c>
      <c r="G256" s="948">
        <v>38520</v>
      </c>
      <c r="H256" s="948">
        <v>38948</v>
      </c>
      <c r="I256" s="948">
        <v>39376</v>
      </c>
      <c r="J256" s="948">
        <v>39376</v>
      </c>
      <c r="K256" s="949">
        <v>156220</v>
      </c>
      <c r="L256" s="948">
        <v>38948</v>
      </c>
      <c r="M256" s="948">
        <v>38948</v>
      </c>
      <c r="N256" s="948">
        <v>39376</v>
      </c>
      <c r="O256" s="948">
        <v>39376</v>
      </c>
      <c r="P256" s="949">
        <v>156648</v>
      </c>
      <c r="Q256" s="948">
        <v>38520</v>
      </c>
      <c r="R256" s="948">
        <v>39039</v>
      </c>
      <c r="S256" s="948">
        <v>39560</v>
      </c>
      <c r="T256" s="948">
        <v>39652</v>
      </c>
      <c r="U256" s="949">
        <v>156771</v>
      </c>
      <c r="V256" s="948">
        <v>38520</v>
      </c>
      <c r="W256" s="948">
        <v>38948</v>
      </c>
      <c r="X256" s="948">
        <v>39376</v>
      </c>
      <c r="Y256" s="948">
        <v>39376</v>
      </c>
      <c r="Z256" s="949">
        <v>156220</v>
      </c>
      <c r="AA256" s="948">
        <v>38520</v>
      </c>
      <c r="AB256" s="948">
        <v>38948</v>
      </c>
      <c r="AC256" s="948">
        <v>39376</v>
      </c>
      <c r="AD256" s="948">
        <v>39376</v>
      </c>
      <c r="AE256" s="949">
        <v>156220</v>
      </c>
      <c r="AF256" s="948">
        <v>38948</v>
      </c>
      <c r="AG256" s="948">
        <v>38948</v>
      </c>
      <c r="AH256" s="948">
        <v>39376</v>
      </c>
      <c r="AI256" s="948">
        <v>39376</v>
      </c>
      <c r="AJ256" s="949">
        <v>156648</v>
      </c>
      <c r="AK256" s="948">
        <v>38520</v>
      </c>
      <c r="AL256" s="948">
        <v>38948</v>
      </c>
      <c r="AM256" s="948">
        <v>39376</v>
      </c>
      <c r="AN256" s="954">
        <v>39376</v>
      </c>
      <c r="AO256" s="949">
        <v>156220</v>
      </c>
    </row>
    <row r="257" spans="1:41" outlineLevel="2">
      <c r="A257" s="953"/>
      <c r="B257" s="948">
        <v>13090.440174314368</v>
      </c>
      <c r="C257" s="948">
        <v>15480.000000000002</v>
      </c>
      <c r="D257" s="948">
        <v>15585.050896752302</v>
      </c>
      <c r="E257" s="948">
        <v>15883.386345218802</v>
      </c>
      <c r="F257" s="949"/>
      <c r="G257" s="948"/>
      <c r="H257" s="948"/>
      <c r="I257" s="948"/>
      <c r="J257" s="948"/>
      <c r="K257" s="949"/>
      <c r="L257" s="948"/>
      <c r="M257" s="948"/>
      <c r="N257" s="948"/>
      <c r="O257" s="948"/>
      <c r="P257" s="949"/>
      <c r="Q257" s="948">
        <v>10710</v>
      </c>
      <c r="R257" s="948">
        <v>10829</v>
      </c>
      <c r="S257" s="948">
        <v>10948</v>
      </c>
      <c r="T257" s="948">
        <v>10948</v>
      </c>
      <c r="U257" s="949">
        <v>43435</v>
      </c>
      <c r="V257" s="948">
        <v>10800</v>
      </c>
      <c r="W257" s="948">
        <v>10920</v>
      </c>
      <c r="X257" s="948">
        <v>11040</v>
      </c>
      <c r="Y257" s="948">
        <v>11040</v>
      </c>
      <c r="Z257" s="949">
        <v>43800</v>
      </c>
      <c r="AA257" s="948">
        <v>10800</v>
      </c>
      <c r="AB257" s="948">
        <v>10920</v>
      </c>
      <c r="AC257" s="948">
        <v>11040</v>
      </c>
      <c r="AD257" s="948">
        <v>11040</v>
      </c>
      <c r="AE257" s="949">
        <v>43800</v>
      </c>
      <c r="AF257" s="948">
        <v>10920</v>
      </c>
      <c r="AG257" s="948">
        <v>10920</v>
      </c>
      <c r="AH257" s="948">
        <v>11040</v>
      </c>
      <c r="AI257" s="948">
        <v>11040</v>
      </c>
      <c r="AJ257" s="949">
        <v>43920</v>
      </c>
      <c r="AK257" s="948">
        <v>10800</v>
      </c>
      <c r="AL257" s="948">
        <v>10920</v>
      </c>
      <c r="AM257" s="948">
        <v>11040</v>
      </c>
      <c r="AN257" s="954">
        <v>11040</v>
      </c>
      <c r="AO257" s="949">
        <v>43800</v>
      </c>
    </row>
    <row r="258" spans="1:41" outlineLevel="2">
      <c r="A258" s="955"/>
      <c r="B258" s="956"/>
      <c r="C258" s="957"/>
      <c r="D258" s="957"/>
      <c r="E258" s="957"/>
      <c r="F258" s="958"/>
      <c r="G258" s="957"/>
      <c r="H258" s="957"/>
      <c r="I258" s="957"/>
      <c r="J258" s="957"/>
      <c r="K258" s="958"/>
      <c r="L258" s="957"/>
      <c r="M258" s="957"/>
      <c r="N258" s="957"/>
      <c r="O258" s="957"/>
      <c r="P258" s="958"/>
      <c r="Q258" s="957"/>
      <c r="R258" s="957"/>
      <c r="S258" s="957"/>
      <c r="T258" s="957"/>
      <c r="U258" s="958"/>
      <c r="V258" s="957"/>
      <c r="W258" s="957"/>
      <c r="X258" s="957"/>
      <c r="Y258" s="957"/>
      <c r="Z258" s="958"/>
      <c r="AA258" s="957"/>
      <c r="AB258" s="957"/>
      <c r="AC258" s="957"/>
      <c r="AD258" s="957">
        <v>4784</v>
      </c>
      <c r="AE258" s="958">
        <v>14196</v>
      </c>
      <c r="AF258" s="957">
        <v>4732</v>
      </c>
      <c r="AG258" s="957">
        <v>4732</v>
      </c>
      <c r="AH258" s="957">
        <v>4784</v>
      </c>
      <c r="AI258" s="957">
        <v>4784</v>
      </c>
      <c r="AJ258" s="958">
        <v>19032</v>
      </c>
      <c r="AK258" s="957">
        <v>4680</v>
      </c>
      <c r="AL258" s="957">
        <v>4732</v>
      </c>
      <c r="AM258" s="957">
        <v>4784</v>
      </c>
      <c r="AN258" s="959">
        <v>4784</v>
      </c>
      <c r="AO258" s="958">
        <v>18980</v>
      </c>
    </row>
    <row r="259" spans="1:41" ht="13.5" outlineLevel="1" thickBot="1">
      <c r="A259" s="960" t="s">
        <v>700</v>
      </c>
      <c r="B259" s="961">
        <v>48341.408968408934</v>
      </c>
      <c r="C259" s="961">
        <v>65145.118317513909</v>
      </c>
      <c r="D259" s="961">
        <v>65156.441656043869</v>
      </c>
      <c r="E259" s="961">
        <v>82387.492978955823</v>
      </c>
      <c r="F259" s="962">
        <v>250404.58450463705</v>
      </c>
      <c r="G259" s="961">
        <v>65066</v>
      </c>
      <c r="H259" s="961">
        <v>65793</v>
      </c>
      <c r="I259" s="961">
        <v>66516</v>
      </c>
      <c r="J259" s="961">
        <v>66516</v>
      </c>
      <c r="K259" s="964">
        <v>263891</v>
      </c>
      <c r="L259" s="961">
        <v>65793</v>
      </c>
      <c r="M259" s="961">
        <v>65793</v>
      </c>
      <c r="N259" s="961">
        <v>66516</v>
      </c>
      <c r="O259" s="961">
        <v>66516</v>
      </c>
      <c r="P259" s="962">
        <v>264618</v>
      </c>
      <c r="Q259" s="961">
        <v>75780</v>
      </c>
      <c r="R259" s="961">
        <v>76713</v>
      </c>
      <c r="S259" s="961">
        <v>77648</v>
      </c>
      <c r="T259" s="961">
        <v>77740</v>
      </c>
      <c r="U259" s="962">
        <v>307881</v>
      </c>
      <c r="V259" s="961">
        <v>75870</v>
      </c>
      <c r="W259" s="961">
        <v>76713</v>
      </c>
      <c r="X259" s="961">
        <v>77556</v>
      </c>
      <c r="Y259" s="961">
        <v>77556</v>
      </c>
      <c r="Z259" s="964">
        <v>307695</v>
      </c>
      <c r="AA259" s="961">
        <v>75870</v>
      </c>
      <c r="AB259" s="961">
        <v>76713</v>
      </c>
      <c r="AC259" s="961">
        <v>77556</v>
      </c>
      <c r="AD259" s="961">
        <v>82340</v>
      </c>
      <c r="AE259" s="964">
        <v>321891</v>
      </c>
      <c r="AF259" s="961">
        <v>81445</v>
      </c>
      <c r="AG259" s="961">
        <v>81445</v>
      </c>
      <c r="AH259" s="961">
        <v>82340</v>
      </c>
      <c r="AI259" s="961">
        <v>82340</v>
      </c>
      <c r="AJ259" s="964">
        <v>327570</v>
      </c>
      <c r="AK259" s="961">
        <v>80550</v>
      </c>
      <c r="AL259" s="961">
        <v>81445</v>
      </c>
      <c r="AM259" s="961">
        <v>82340</v>
      </c>
      <c r="AN259" s="963">
        <v>82340</v>
      </c>
      <c r="AO259" s="964">
        <v>326675</v>
      </c>
    </row>
    <row r="260" spans="1:41" ht="13.5" outlineLevel="2" thickTop="1">
      <c r="A260" s="953"/>
      <c r="B260" s="948"/>
      <c r="C260" s="948"/>
      <c r="D260" s="948"/>
      <c r="E260" s="948"/>
      <c r="F260" s="949"/>
      <c r="G260" s="948"/>
      <c r="H260" s="948"/>
      <c r="I260" s="948"/>
      <c r="J260" s="948"/>
      <c r="K260" s="949"/>
      <c r="L260" s="948"/>
      <c r="M260" s="948"/>
      <c r="N260" s="948"/>
      <c r="O260" s="948"/>
      <c r="P260" s="949"/>
      <c r="Q260" s="948">
        <v>4590</v>
      </c>
      <c r="R260" s="948">
        <v>4641</v>
      </c>
      <c r="S260" s="948">
        <v>4692</v>
      </c>
      <c r="T260" s="948">
        <v>4692</v>
      </c>
      <c r="U260" s="949">
        <v>18615</v>
      </c>
      <c r="V260" s="948">
        <v>4680</v>
      </c>
      <c r="W260" s="948">
        <v>4732</v>
      </c>
      <c r="X260" s="948">
        <v>4784</v>
      </c>
      <c r="Y260" s="948">
        <v>4784</v>
      </c>
      <c r="Z260" s="949">
        <v>18980</v>
      </c>
      <c r="AA260" s="948">
        <v>4680</v>
      </c>
      <c r="AB260" s="948">
        <v>4732</v>
      </c>
      <c r="AC260" s="997"/>
      <c r="AD260" s="997"/>
      <c r="AE260" s="997"/>
      <c r="AF260" s="997"/>
      <c r="AG260" s="997"/>
      <c r="AH260" s="997"/>
      <c r="AI260" s="997"/>
      <c r="AJ260" s="997"/>
      <c r="AK260" s="997"/>
      <c r="AL260" s="997"/>
      <c r="AM260" s="997"/>
      <c r="AN260" s="998">
        <v>0</v>
      </c>
      <c r="AO260" s="999">
        <v>0</v>
      </c>
    </row>
    <row r="261" spans="1:41" outlineLevel="2">
      <c r="A261" s="953"/>
      <c r="B261" s="948">
        <v>25740.833316792825</v>
      </c>
      <c r="C261" s="948">
        <v>27479.933200170275</v>
      </c>
      <c r="D261" s="948">
        <v>27618.082780164001</v>
      </c>
      <c r="E261" s="948">
        <v>27826.825733157562</v>
      </c>
      <c r="F261" s="949">
        <v>108665.67503028466</v>
      </c>
      <c r="G261" s="948">
        <v>27180</v>
      </c>
      <c r="H261" s="948">
        <v>27482</v>
      </c>
      <c r="I261" s="948">
        <v>27784</v>
      </c>
      <c r="J261" s="948">
        <v>27784</v>
      </c>
      <c r="K261" s="949">
        <v>110230</v>
      </c>
      <c r="L261" s="948">
        <v>27482</v>
      </c>
      <c r="M261" s="948">
        <v>27482</v>
      </c>
      <c r="N261" s="948">
        <v>27784</v>
      </c>
      <c r="O261" s="948">
        <v>27784</v>
      </c>
      <c r="P261" s="949">
        <v>110532</v>
      </c>
      <c r="Q261" s="948">
        <v>27180</v>
      </c>
      <c r="R261" s="948">
        <v>27482</v>
      </c>
      <c r="S261" s="948">
        <v>27784</v>
      </c>
      <c r="T261" s="948">
        <v>27784</v>
      </c>
      <c r="U261" s="949">
        <v>110230</v>
      </c>
      <c r="V261" s="948">
        <v>27180</v>
      </c>
      <c r="W261" s="948">
        <v>27482</v>
      </c>
      <c r="X261" s="948">
        <v>27784</v>
      </c>
      <c r="Y261" s="948">
        <v>27784</v>
      </c>
      <c r="Z261" s="949">
        <v>110230</v>
      </c>
      <c r="AA261" s="948">
        <v>27180</v>
      </c>
      <c r="AB261" s="948">
        <v>27482</v>
      </c>
      <c r="AC261" s="948">
        <v>27784</v>
      </c>
      <c r="AD261" s="948">
        <v>27784</v>
      </c>
      <c r="AE261" s="949">
        <v>110230</v>
      </c>
      <c r="AF261" s="948">
        <v>27482</v>
      </c>
      <c r="AG261" s="948">
        <v>27482</v>
      </c>
      <c r="AH261" s="948">
        <v>27784</v>
      </c>
      <c r="AI261" s="948">
        <v>27784</v>
      </c>
      <c r="AJ261" s="949">
        <v>110532</v>
      </c>
      <c r="AK261" s="948">
        <v>27180</v>
      </c>
      <c r="AL261" s="948">
        <v>27482</v>
      </c>
      <c r="AM261" s="948">
        <v>27784</v>
      </c>
      <c r="AN261" s="954">
        <v>27784</v>
      </c>
      <c r="AO261" s="1000">
        <v>110230</v>
      </c>
    </row>
    <row r="262" spans="1:41" outlineLevel="2">
      <c r="A262" s="953"/>
      <c r="B262" s="948">
        <v>3312</v>
      </c>
      <c r="C262" s="948"/>
      <c r="D262" s="948"/>
      <c r="E262" s="948"/>
      <c r="F262" s="949">
        <v>17520</v>
      </c>
      <c r="G262" s="948">
        <v>4320</v>
      </c>
      <c r="H262" s="948">
        <v>4368</v>
      </c>
      <c r="I262" s="948">
        <v>4416</v>
      </c>
      <c r="J262" s="948">
        <v>4416</v>
      </c>
      <c r="K262" s="949">
        <v>17520</v>
      </c>
      <c r="L262" s="948">
        <v>4368</v>
      </c>
      <c r="M262" s="948">
        <v>4368</v>
      </c>
      <c r="N262" s="948">
        <v>4416</v>
      </c>
      <c r="O262" s="948">
        <v>4416</v>
      </c>
      <c r="P262" s="949">
        <v>17568</v>
      </c>
      <c r="Q262" s="948">
        <v>4320</v>
      </c>
      <c r="R262" s="948">
        <v>4368</v>
      </c>
      <c r="S262" s="948">
        <v>4416</v>
      </c>
      <c r="T262" s="948">
        <v>4416</v>
      </c>
      <c r="U262" s="949">
        <v>17520</v>
      </c>
      <c r="V262" s="948">
        <v>4320</v>
      </c>
      <c r="W262" s="948">
        <v>4368</v>
      </c>
      <c r="X262" s="948">
        <v>4416</v>
      </c>
      <c r="Y262" s="948">
        <v>4416</v>
      </c>
      <c r="Z262" s="949">
        <v>17520</v>
      </c>
      <c r="AA262" s="948">
        <v>4320</v>
      </c>
      <c r="AB262" s="948">
        <v>4368</v>
      </c>
      <c r="AC262" s="948">
        <v>4416</v>
      </c>
      <c r="AD262" s="948">
        <v>4416</v>
      </c>
      <c r="AE262" s="949">
        <v>17520</v>
      </c>
      <c r="AF262" s="948">
        <v>4368</v>
      </c>
      <c r="AG262" s="948">
        <v>4368</v>
      </c>
      <c r="AH262" s="948">
        <v>4416</v>
      </c>
      <c r="AI262" s="948">
        <v>4416</v>
      </c>
      <c r="AJ262" s="949">
        <v>17568</v>
      </c>
      <c r="AK262" s="948">
        <v>4320</v>
      </c>
      <c r="AL262" s="948">
        <v>4368</v>
      </c>
      <c r="AM262" s="948">
        <v>4416</v>
      </c>
      <c r="AN262" s="954">
        <v>4416</v>
      </c>
      <c r="AO262" s="1000">
        <v>17520</v>
      </c>
    </row>
    <row r="263" spans="1:41" outlineLevel="2">
      <c r="A263" s="953"/>
      <c r="B263" s="948">
        <v>17620.087808508</v>
      </c>
      <c r="C263" s="948">
        <v>18665.099999999999</v>
      </c>
      <c r="D263" s="948">
        <v>18687.831296807253</v>
      </c>
      <c r="E263" s="948">
        <v>18809.420640452667</v>
      </c>
      <c r="F263" s="949">
        <v>73782.439745767915</v>
      </c>
      <c r="G263" s="948">
        <v>18360</v>
      </c>
      <c r="H263" s="948">
        <v>18564</v>
      </c>
      <c r="I263" s="948">
        <v>18768</v>
      </c>
      <c r="J263" s="948">
        <v>18768</v>
      </c>
      <c r="K263" s="949">
        <v>74460</v>
      </c>
      <c r="L263" s="948">
        <v>18564</v>
      </c>
      <c r="M263" s="948">
        <v>18564</v>
      </c>
      <c r="N263" s="948">
        <v>18768</v>
      </c>
      <c r="O263" s="948">
        <v>6324</v>
      </c>
      <c r="P263" s="949">
        <v>62220</v>
      </c>
      <c r="Q263" s="948">
        <v>18360</v>
      </c>
      <c r="R263" s="948">
        <v>18564</v>
      </c>
      <c r="S263" s="948">
        <v>18768</v>
      </c>
      <c r="T263" s="948">
        <v>18768</v>
      </c>
      <c r="U263" s="949">
        <v>74460</v>
      </c>
      <c r="V263" s="948">
        <v>18360</v>
      </c>
      <c r="W263" s="948">
        <v>18564</v>
      </c>
      <c r="X263" s="948">
        <v>18768</v>
      </c>
      <c r="Y263" s="948">
        <v>18768</v>
      </c>
      <c r="Z263" s="949">
        <v>74460</v>
      </c>
      <c r="AA263" s="948">
        <v>17544</v>
      </c>
      <c r="AB263" s="948">
        <v>18382</v>
      </c>
      <c r="AC263" s="948">
        <v>18584</v>
      </c>
      <c r="AD263" s="948">
        <v>18584</v>
      </c>
      <c r="AE263" s="949">
        <v>73094</v>
      </c>
      <c r="AF263" s="948">
        <v>17748</v>
      </c>
      <c r="AG263" s="948">
        <v>18564</v>
      </c>
      <c r="AH263" s="948">
        <v>18584</v>
      </c>
      <c r="AI263" s="948">
        <v>18584</v>
      </c>
      <c r="AJ263" s="949">
        <v>73480</v>
      </c>
      <c r="AK263" s="948">
        <v>18180</v>
      </c>
      <c r="AL263" s="948">
        <v>18382</v>
      </c>
      <c r="AM263" s="948">
        <v>18584</v>
      </c>
      <c r="AN263" s="954">
        <v>18584</v>
      </c>
      <c r="AO263" s="1000">
        <v>73730</v>
      </c>
    </row>
    <row r="264" spans="1:41" outlineLevel="2">
      <c r="A264" s="953"/>
      <c r="B264" s="948">
        <v>13605.484040141533</v>
      </c>
      <c r="C264" s="948">
        <v>13948.758512614148</v>
      </c>
      <c r="D264" s="948">
        <v>14065.559437232379</v>
      </c>
      <c r="E264" s="948">
        <v>14048.408574954672</v>
      </c>
      <c r="F264" s="949">
        <v>55668.210564942732</v>
      </c>
      <c r="G264" s="948">
        <v>13770</v>
      </c>
      <c r="H264" s="948">
        <v>13923</v>
      </c>
      <c r="I264" s="948">
        <v>14076</v>
      </c>
      <c r="J264" s="948">
        <v>14076</v>
      </c>
      <c r="K264" s="949">
        <v>55845</v>
      </c>
      <c r="L264" s="948">
        <v>13923</v>
      </c>
      <c r="M264" s="948">
        <v>13923</v>
      </c>
      <c r="N264" s="948">
        <v>14076</v>
      </c>
      <c r="O264" s="948">
        <v>14076</v>
      </c>
      <c r="P264" s="949">
        <v>55998</v>
      </c>
      <c r="Q264" s="948">
        <v>13770</v>
      </c>
      <c r="R264" s="948">
        <v>13923</v>
      </c>
      <c r="S264" s="948">
        <v>14076</v>
      </c>
      <c r="T264" s="948">
        <v>14076</v>
      </c>
      <c r="U264" s="949">
        <v>55845</v>
      </c>
      <c r="V264" s="948">
        <v>13770</v>
      </c>
      <c r="W264" s="948">
        <v>13923</v>
      </c>
      <c r="X264" s="948">
        <v>14076</v>
      </c>
      <c r="Y264" s="948">
        <v>14076</v>
      </c>
      <c r="Z264" s="949">
        <v>55845</v>
      </c>
      <c r="AA264" s="948">
        <v>13770</v>
      </c>
      <c r="AB264" s="948">
        <v>13923</v>
      </c>
      <c r="AC264" s="948">
        <v>14076</v>
      </c>
      <c r="AD264" s="948">
        <v>14076</v>
      </c>
      <c r="AE264" s="949">
        <v>55845</v>
      </c>
      <c r="AF264" s="948">
        <v>13923</v>
      </c>
      <c r="AG264" s="948">
        <v>13923</v>
      </c>
      <c r="AH264" s="948">
        <v>14076</v>
      </c>
      <c r="AI264" s="948">
        <v>14076</v>
      </c>
      <c r="AJ264" s="949">
        <v>55998</v>
      </c>
      <c r="AK264" s="948">
        <v>13770</v>
      </c>
      <c r="AL264" s="948">
        <v>13923</v>
      </c>
      <c r="AM264" s="948">
        <v>14076</v>
      </c>
      <c r="AN264" s="954">
        <v>14076</v>
      </c>
      <c r="AO264" s="1000">
        <v>55845</v>
      </c>
    </row>
    <row r="265" spans="1:41" outlineLevel="2">
      <c r="A265" s="955"/>
      <c r="B265" s="948"/>
      <c r="C265" s="948"/>
      <c r="D265" s="948"/>
      <c r="E265" s="948"/>
      <c r="F265" s="949">
        <v>38402</v>
      </c>
      <c r="G265" s="948">
        <v>18990</v>
      </c>
      <c r="H265" s="948">
        <v>19201</v>
      </c>
      <c r="I265" s="948">
        <v>19412</v>
      </c>
      <c r="J265" s="948">
        <v>6541</v>
      </c>
      <c r="K265" s="949">
        <v>64144</v>
      </c>
      <c r="L265" s="948">
        <v>19201</v>
      </c>
      <c r="M265" s="948">
        <v>19201</v>
      </c>
      <c r="N265" s="948">
        <v>19412</v>
      </c>
      <c r="O265" s="948">
        <v>19412</v>
      </c>
      <c r="P265" s="949">
        <v>77226</v>
      </c>
      <c r="Q265" s="948">
        <v>18990</v>
      </c>
      <c r="R265" s="948">
        <v>19201</v>
      </c>
      <c r="S265" s="948">
        <v>19412</v>
      </c>
      <c r="T265" s="948">
        <v>19412</v>
      </c>
      <c r="U265" s="949">
        <v>77015</v>
      </c>
      <c r="V265" s="948">
        <v>18990</v>
      </c>
      <c r="W265" s="948">
        <v>19201</v>
      </c>
      <c r="X265" s="948">
        <v>19412</v>
      </c>
      <c r="Y265" s="948">
        <v>19412</v>
      </c>
      <c r="Z265" s="949">
        <v>77015</v>
      </c>
      <c r="AA265" s="948">
        <v>18990</v>
      </c>
      <c r="AB265" s="948">
        <v>19201</v>
      </c>
      <c r="AC265" s="948">
        <v>19412</v>
      </c>
      <c r="AD265" s="948">
        <v>19412</v>
      </c>
      <c r="AE265" s="949">
        <v>77015</v>
      </c>
      <c r="AF265" s="948">
        <v>19201</v>
      </c>
      <c r="AG265" s="948">
        <v>19201</v>
      </c>
      <c r="AH265" s="948">
        <v>19412</v>
      </c>
      <c r="AI265" s="948">
        <v>19412</v>
      </c>
      <c r="AJ265" s="949">
        <v>77226</v>
      </c>
      <c r="AK265" s="948">
        <v>18990</v>
      </c>
      <c r="AL265" s="948">
        <v>19201</v>
      </c>
      <c r="AM265" s="948">
        <v>19412</v>
      </c>
      <c r="AN265" s="954">
        <v>19412</v>
      </c>
      <c r="AO265" s="1000">
        <v>77015</v>
      </c>
    </row>
    <row r="266" spans="1:41" outlineLevel="2">
      <c r="A266" s="996"/>
      <c r="B266" s="997"/>
      <c r="C266" s="997"/>
      <c r="D266" s="997"/>
      <c r="E266" s="997"/>
      <c r="F266" s="1001"/>
      <c r="G266" s="997"/>
      <c r="H266" s="997"/>
      <c r="I266" s="997"/>
      <c r="J266" s="997"/>
      <c r="K266" s="1001"/>
      <c r="L266" s="997"/>
      <c r="M266" s="997"/>
      <c r="N266" s="997"/>
      <c r="O266" s="997"/>
      <c r="P266" s="1001"/>
      <c r="Q266" s="997"/>
      <c r="R266" s="997"/>
      <c r="S266" s="997"/>
      <c r="T266" s="997"/>
      <c r="U266" s="1001"/>
      <c r="V266" s="997"/>
      <c r="W266" s="997"/>
      <c r="X266" s="997"/>
      <c r="Y266" s="997"/>
      <c r="Z266" s="1001"/>
      <c r="AA266" s="997"/>
      <c r="AB266" s="997"/>
      <c r="AC266" s="997"/>
      <c r="AD266" s="997"/>
      <c r="AE266" s="997"/>
      <c r="AF266" s="957">
        <v>10920</v>
      </c>
      <c r="AG266" s="957">
        <v>10920</v>
      </c>
      <c r="AH266" s="957">
        <v>11040</v>
      </c>
      <c r="AI266" s="957">
        <v>11040</v>
      </c>
      <c r="AJ266" s="958">
        <v>43920</v>
      </c>
      <c r="AK266" s="957">
        <v>10800</v>
      </c>
      <c r="AL266" s="957">
        <v>10920</v>
      </c>
      <c r="AM266" s="957">
        <v>11040</v>
      </c>
      <c r="AN266" s="959">
        <v>11040</v>
      </c>
      <c r="AO266" s="1002">
        <v>43800</v>
      </c>
    </row>
    <row r="267" spans="1:41" outlineLevel="2">
      <c r="A267" s="996"/>
      <c r="B267" s="957"/>
      <c r="C267" s="957"/>
      <c r="D267" s="957"/>
      <c r="E267" s="957"/>
      <c r="F267" s="958"/>
      <c r="G267" s="957">
        <v>14580</v>
      </c>
      <c r="H267" s="957">
        <v>14742</v>
      </c>
      <c r="I267" s="957">
        <v>14904</v>
      </c>
      <c r="J267" s="957">
        <v>14904</v>
      </c>
      <c r="K267" s="958">
        <v>59130</v>
      </c>
      <c r="L267" s="957">
        <v>14742</v>
      </c>
      <c r="M267" s="957">
        <v>14742</v>
      </c>
      <c r="N267" s="957">
        <v>14904</v>
      </c>
      <c r="O267" s="957">
        <v>14904</v>
      </c>
      <c r="P267" s="958">
        <v>59292</v>
      </c>
      <c r="Q267" s="957">
        <v>14580</v>
      </c>
      <c r="R267" s="957">
        <v>14742</v>
      </c>
      <c r="S267" s="957">
        <v>14904</v>
      </c>
      <c r="T267" s="957">
        <v>14904</v>
      </c>
      <c r="U267" s="958">
        <v>59130</v>
      </c>
      <c r="V267" s="957">
        <v>14580</v>
      </c>
      <c r="W267" s="957">
        <v>14742</v>
      </c>
      <c r="X267" s="957">
        <v>14904</v>
      </c>
      <c r="Y267" s="957">
        <v>14904</v>
      </c>
      <c r="Z267" s="958">
        <v>59130</v>
      </c>
      <c r="AA267" s="957">
        <v>14580</v>
      </c>
      <c r="AB267" s="957">
        <v>14742</v>
      </c>
      <c r="AC267" s="957">
        <v>14904</v>
      </c>
      <c r="AD267" s="957">
        <v>14904</v>
      </c>
      <c r="AE267" s="958">
        <v>59130</v>
      </c>
      <c r="AF267" s="957">
        <v>14742</v>
      </c>
      <c r="AG267" s="957">
        <v>14742</v>
      </c>
      <c r="AH267" s="957">
        <v>14904</v>
      </c>
      <c r="AI267" s="957">
        <v>14904</v>
      </c>
      <c r="AJ267" s="958">
        <v>59292</v>
      </c>
      <c r="AK267" s="957">
        <v>14580</v>
      </c>
      <c r="AL267" s="957">
        <v>14742</v>
      </c>
      <c r="AM267" s="957">
        <v>14904</v>
      </c>
      <c r="AN267" s="959">
        <v>14904</v>
      </c>
      <c r="AO267" s="1002">
        <v>59130</v>
      </c>
    </row>
    <row r="268" spans="1:41" outlineLevel="2">
      <c r="A268" s="996"/>
      <c r="B268" s="997"/>
      <c r="C268" s="997"/>
      <c r="D268" s="997"/>
      <c r="E268" s="997"/>
      <c r="F268" s="1001"/>
      <c r="G268" s="997"/>
      <c r="H268" s="997"/>
      <c r="I268" s="997"/>
      <c r="J268" s="997"/>
      <c r="K268" s="1001"/>
      <c r="L268" s="997"/>
      <c r="M268" s="997"/>
      <c r="N268" s="997"/>
      <c r="O268" s="997"/>
      <c r="P268" s="1001"/>
      <c r="Q268" s="997"/>
      <c r="R268" s="997"/>
      <c r="S268" s="997"/>
      <c r="T268" s="997"/>
      <c r="U268" s="1001"/>
      <c r="V268" s="997"/>
      <c r="W268" s="997"/>
      <c r="X268" s="997"/>
      <c r="Y268" s="997"/>
      <c r="Z268" s="1001"/>
      <c r="AA268" s="997"/>
      <c r="AB268" s="997"/>
      <c r="AC268" s="997"/>
      <c r="AD268" s="948">
        <v>8464</v>
      </c>
      <c r="AE268" s="949">
        <v>33580</v>
      </c>
      <c r="AF268" s="948">
        <v>8372</v>
      </c>
      <c r="AG268" s="948">
        <v>8372</v>
      </c>
      <c r="AH268" s="948">
        <v>8464</v>
      </c>
      <c r="AI268" s="948">
        <v>8464</v>
      </c>
      <c r="AJ268" s="949">
        <v>33672</v>
      </c>
      <c r="AK268" s="948">
        <v>8280</v>
      </c>
      <c r="AL268" s="948">
        <v>8372</v>
      </c>
      <c r="AM268" s="948">
        <v>4324</v>
      </c>
      <c r="AN268" s="954">
        <v>8464</v>
      </c>
      <c r="AO268" s="1000">
        <v>29440</v>
      </c>
    </row>
    <row r="269" spans="1:41" outlineLevel="2">
      <c r="A269" s="996"/>
      <c r="B269" s="997"/>
      <c r="C269" s="997"/>
      <c r="D269" s="997"/>
      <c r="E269" s="997"/>
      <c r="F269" s="1001"/>
      <c r="G269" s="997"/>
      <c r="H269" s="997"/>
      <c r="I269" s="997"/>
      <c r="J269" s="997"/>
      <c r="K269" s="1001"/>
      <c r="L269" s="997"/>
      <c r="M269" s="997"/>
      <c r="N269" s="997"/>
      <c r="O269" s="997"/>
      <c r="P269" s="1001"/>
      <c r="Q269" s="997"/>
      <c r="R269" s="997"/>
      <c r="S269" s="997"/>
      <c r="T269" s="997"/>
      <c r="U269" s="1001"/>
      <c r="V269" s="997"/>
      <c r="W269" s="997"/>
      <c r="X269" s="997"/>
      <c r="Y269" s="997"/>
      <c r="Z269" s="1001"/>
      <c r="AA269" s="997"/>
      <c r="AB269" s="997"/>
      <c r="AC269" s="997"/>
      <c r="AD269" s="948">
        <v>7176</v>
      </c>
      <c r="AE269" s="949">
        <v>28470</v>
      </c>
      <c r="AF269" s="948">
        <v>7098</v>
      </c>
      <c r="AG269" s="948">
        <v>7098</v>
      </c>
      <c r="AH269" s="948">
        <v>7176</v>
      </c>
      <c r="AI269" s="948">
        <v>7176</v>
      </c>
      <c r="AJ269" s="949">
        <v>28548</v>
      </c>
      <c r="AK269" s="948">
        <v>7020</v>
      </c>
      <c r="AL269" s="948">
        <v>7098</v>
      </c>
      <c r="AM269" s="948">
        <v>7176</v>
      </c>
      <c r="AN269" s="954">
        <v>7176</v>
      </c>
      <c r="AO269" s="1000">
        <v>28470</v>
      </c>
    </row>
    <row r="270" spans="1:41" ht="13.5" outlineLevel="1" thickBot="1">
      <c r="A270" s="960" t="s">
        <v>701</v>
      </c>
      <c r="B270" s="961">
        <v>60278.40516544236</v>
      </c>
      <c r="C270" s="961">
        <v>60093.791712784427</v>
      </c>
      <c r="D270" s="961">
        <v>60371.473514203637</v>
      </c>
      <c r="E270" s="961">
        <v>60684.654948564901</v>
      </c>
      <c r="F270" s="964">
        <v>294038.32534099533</v>
      </c>
      <c r="G270" s="961">
        <v>97200</v>
      </c>
      <c r="H270" s="961">
        <v>98280</v>
      </c>
      <c r="I270" s="961">
        <v>99360</v>
      </c>
      <c r="J270" s="961">
        <v>86489</v>
      </c>
      <c r="K270" s="962">
        <v>381329</v>
      </c>
      <c r="L270" s="961">
        <v>98280</v>
      </c>
      <c r="M270" s="961">
        <v>98280</v>
      </c>
      <c r="N270" s="961">
        <v>99360</v>
      </c>
      <c r="O270" s="961">
        <v>86916</v>
      </c>
      <c r="P270" s="962">
        <v>382836</v>
      </c>
      <c r="Q270" s="961">
        <v>101790</v>
      </c>
      <c r="R270" s="961">
        <v>102921</v>
      </c>
      <c r="S270" s="961">
        <v>104052</v>
      </c>
      <c r="T270" s="961">
        <v>104052</v>
      </c>
      <c r="U270" s="962">
        <v>412815</v>
      </c>
      <c r="V270" s="961">
        <v>101880</v>
      </c>
      <c r="W270" s="961">
        <v>103012</v>
      </c>
      <c r="X270" s="961">
        <v>104144</v>
      </c>
      <c r="Y270" s="961">
        <v>104144</v>
      </c>
      <c r="Z270" s="962">
        <v>413180</v>
      </c>
      <c r="AA270" s="961">
        <v>101064</v>
      </c>
      <c r="AB270" s="961">
        <v>102830</v>
      </c>
      <c r="AC270" s="961">
        <v>99176</v>
      </c>
      <c r="AD270" s="961">
        <v>114816</v>
      </c>
      <c r="AE270" s="962">
        <v>454884</v>
      </c>
      <c r="AF270" s="961">
        <v>123854</v>
      </c>
      <c r="AG270" s="961">
        <v>124670</v>
      </c>
      <c r="AH270" s="961">
        <v>125856</v>
      </c>
      <c r="AI270" s="961">
        <v>125856</v>
      </c>
      <c r="AJ270" s="962">
        <v>500236</v>
      </c>
      <c r="AK270" s="961">
        <v>123120</v>
      </c>
      <c r="AL270" s="961">
        <v>124488</v>
      </c>
      <c r="AM270" s="961">
        <v>121716</v>
      </c>
      <c r="AN270" s="963">
        <v>125856</v>
      </c>
      <c r="AO270" s="1003">
        <v>495180</v>
      </c>
    </row>
    <row r="271" spans="1:41" ht="13.5" outlineLevel="2" thickTop="1">
      <c r="A271" s="953"/>
      <c r="B271" s="948">
        <v>16379.552907856827</v>
      </c>
      <c r="C271" s="948">
        <v>17611.24867948447</v>
      </c>
      <c r="D271" s="948"/>
      <c r="E271" s="948">
        <v>18042</v>
      </c>
      <c r="F271" s="949">
        <v>52032.801587341295</v>
      </c>
      <c r="G271" s="948">
        <v>17460</v>
      </c>
      <c r="H271" s="948">
        <v>17654</v>
      </c>
      <c r="I271" s="948">
        <v>17848</v>
      </c>
      <c r="J271" s="948">
        <v>17848</v>
      </c>
      <c r="K271" s="949">
        <v>70810</v>
      </c>
      <c r="L271" s="948">
        <v>17654</v>
      </c>
      <c r="M271" s="948">
        <v>17654</v>
      </c>
      <c r="N271" s="948">
        <v>17848</v>
      </c>
      <c r="O271" s="948">
        <v>17847</v>
      </c>
      <c r="P271" s="949">
        <v>71003</v>
      </c>
      <c r="Q271" s="948">
        <v>8280</v>
      </c>
      <c r="R271" s="948">
        <v>8372</v>
      </c>
      <c r="S271" s="948">
        <v>8464</v>
      </c>
      <c r="T271" s="948">
        <v>8464</v>
      </c>
      <c r="U271" s="949">
        <v>33580</v>
      </c>
      <c r="V271" s="948">
        <v>8280</v>
      </c>
      <c r="W271" s="948">
        <v>8372</v>
      </c>
      <c r="X271" s="948">
        <v>8464</v>
      </c>
      <c r="Y271" s="948">
        <v>8464</v>
      </c>
      <c r="Z271" s="949">
        <v>33580</v>
      </c>
      <c r="AA271" s="948">
        <v>8280</v>
      </c>
      <c r="AB271" s="948">
        <v>8372</v>
      </c>
      <c r="AC271" s="948">
        <v>8464</v>
      </c>
      <c r="AD271" s="997"/>
      <c r="AE271" s="1001"/>
      <c r="AF271" s="997"/>
      <c r="AG271" s="997"/>
      <c r="AH271" s="997"/>
      <c r="AI271" s="997"/>
      <c r="AJ271" s="1001"/>
      <c r="AK271" s="997"/>
      <c r="AL271" s="997"/>
      <c r="AM271" s="997"/>
      <c r="AN271" s="998">
        <v>0</v>
      </c>
      <c r="AO271" s="999">
        <v>0</v>
      </c>
    </row>
    <row r="272" spans="1:41" outlineLevel="2">
      <c r="A272" s="953"/>
      <c r="B272" s="997"/>
      <c r="C272" s="997"/>
      <c r="D272" s="997"/>
      <c r="E272" s="997"/>
      <c r="F272" s="1001"/>
      <c r="G272" s="997"/>
      <c r="H272" s="997"/>
      <c r="I272" s="997"/>
      <c r="J272" s="997"/>
      <c r="K272" s="1001"/>
      <c r="L272" s="997"/>
      <c r="M272" s="997"/>
      <c r="N272" s="997"/>
      <c r="O272" s="997"/>
      <c r="P272" s="1001"/>
      <c r="Q272" s="997"/>
      <c r="R272" s="997"/>
      <c r="S272" s="997"/>
      <c r="T272" s="997"/>
      <c r="U272" s="1001"/>
      <c r="V272" s="948">
        <v>7020</v>
      </c>
      <c r="W272" s="948">
        <v>7098</v>
      </c>
      <c r="X272" s="948">
        <v>7176</v>
      </c>
      <c r="Y272" s="948">
        <v>7176</v>
      </c>
      <c r="Z272" s="949">
        <v>28470</v>
      </c>
      <c r="AA272" s="948">
        <v>7020</v>
      </c>
      <c r="AB272" s="948">
        <v>7098</v>
      </c>
      <c r="AC272" s="948">
        <v>7176</v>
      </c>
      <c r="AD272" s="997"/>
      <c r="AE272" s="1001"/>
      <c r="AF272" s="997"/>
      <c r="AG272" s="997"/>
      <c r="AH272" s="997"/>
      <c r="AI272" s="997"/>
      <c r="AJ272" s="1001"/>
      <c r="AK272" s="997"/>
      <c r="AL272" s="997"/>
      <c r="AM272" s="997"/>
      <c r="AN272" s="998">
        <v>0</v>
      </c>
      <c r="AO272" s="999">
        <v>0</v>
      </c>
    </row>
    <row r="273" spans="1:41" outlineLevel="2">
      <c r="A273" s="953"/>
      <c r="B273" s="948"/>
      <c r="C273" s="948"/>
      <c r="D273" s="948"/>
      <c r="E273" s="948"/>
      <c r="F273" s="949"/>
      <c r="G273" s="948">
        <v>13320</v>
      </c>
      <c r="H273" s="948">
        <v>13468</v>
      </c>
      <c r="I273" s="948">
        <v>13616</v>
      </c>
      <c r="J273" s="948">
        <v>13616</v>
      </c>
      <c r="K273" s="949">
        <v>54020</v>
      </c>
      <c r="L273" s="948">
        <v>13468</v>
      </c>
      <c r="M273" s="948">
        <v>13468</v>
      </c>
      <c r="N273" s="948">
        <v>13616</v>
      </c>
      <c r="O273" s="948">
        <v>13616</v>
      </c>
      <c r="P273" s="949">
        <v>54168</v>
      </c>
      <c r="Q273" s="948">
        <v>13320</v>
      </c>
      <c r="R273" s="948">
        <v>13468</v>
      </c>
      <c r="S273" s="948">
        <v>13616</v>
      </c>
      <c r="T273" s="948">
        <v>13616</v>
      </c>
      <c r="U273" s="949">
        <v>54020</v>
      </c>
      <c r="V273" s="948">
        <v>13320</v>
      </c>
      <c r="W273" s="948">
        <v>13468</v>
      </c>
      <c r="X273" s="948">
        <v>13616</v>
      </c>
      <c r="Y273" s="948">
        <v>13616</v>
      </c>
      <c r="Z273" s="949">
        <v>54020</v>
      </c>
      <c r="AA273" s="948">
        <v>13320</v>
      </c>
      <c r="AB273" s="948">
        <v>13468</v>
      </c>
      <c r="AC273" s="948">
        <v>13616</v>
      </c>
      <c r="AD273" s="948">
        <v>13616</v>
      </c>
      <c r="AE273" s="949">
        <v>54020</v>
      </c>
      <c r="AF273" s="948">
        <v>13468</v>
      </c>
      <c r="AG273" s="948">
        <v>13468</v>
      </c>
      <c r="AH273" s="948">
        <v>13616</v>
      </c>
      <c r="AI273" s="948">
        <v>13616</v>
      </c>
      <c r="AJ273" s="949">
        <v>54168</v>
      </c>
      <c r="AK273" s="948">
        <v>13320</v>
      </c>
      <c r="AL273" s="948">
        <v>13468</v>
      </c>
      <c r="AM273" s="948">
        <v>13616</v>
      </c>
      <c r="AN273" s="954">
        <v>13616</v>
      </c>
      <c r="AO273" s="1000">
        <v>54020</v>
      </c>
    </row>
    <row r="274" spans="1:41" outlineLevel="2">
      <c r="A274" s="953"/>
      <c r="B274" s="957">
        <v>15533.63008386356</v>
      </c>
      <c r="C274" s="957">
        <v>15802.688946015425</v>
      </c>
      <c r="D274" s="957">
        <v>15985.724261414503</v>
      </c>
      <c r="E274" s="957">
        <v>16073.48365517696</v>
      </c>
      <c r="F274" s="958">
        <v>63395.526946470454</v>
      </c>
      <c r="G274" s="957">
        <v>15660</v>
      </c>
      <c r="H274" s="957">
        <v>15834</v>
      </c>
      <c r="I274" s="957">
        <v>16008</v>
      </c>
      <c r="J274" s="957">
        <v>16008</v>
      </c>
      <c r="K274" s="958">
        <v>47502</v>
      </c>
      <c r="L274" s="957">
        <v>15834</v>
      </c>
      <c r="M274" s="957">
        <v>15834</v>
      </c>
      <c r="N274" s="957">
        <v>16008</v>
      </c>
      <c r="O274" s="957">
        <v>16008</v>
      </c>
      <c r="P274" s="958">
        <v>63684</v>
      </c>
      <c r="Q274" s="957">
        <v>15660</v>
      </c>
      <c r="R274" s="957">
        <v>15834</v>
      </c>
      <c r="S274" s="957">
        <v>16008</v>
      </c>
      <c r="T274" s="957">
        <v>16008</v>
      </c>
      <c r="U274" s="958">
        <v>63510</v>
      </c>
      <c r="V274" s="957">
        <v>15660</v>
      </c>
      <c r="W274" s="957">
        <v>15834</v>
      </c>
      <c r="X274" s="957">
        <v>16008</v>
      </c>
      <c r="Y274" s="957">
        <v>16008</v>
      </c>
      <c r="Z274" s="958">
        <v>63510</v>
      </c>
      <c r="AA274" s="957">
        <v>15660</v>
      </c>
      <c r="AB274" s="957">
        <v>15834</v>
      </c>
      <c r="AC274" s="957">
        <v>16008</v>
      </c>
      <c r="AD274" s="957">
        <v>16008</v>
      </c>
      <c r="AE274" s="958">
        <v>63510</v>
      </c>
      <c r="AF274" s="957">
        <v>15834</v>
      </c>
      <c r="AG274" s="957">
        <v>15834</v>
      </c>
      <c r="AH274" s="957">
        <v>16008</v>
      </c>
      <c r="AI274" s="957">
        <v>16008</v>
      </c>
      <c r="AJ274" s="958">
        <v>63684</v>
      </c>
      <c r="AK274" s="957">
        <v>15660</v>
      </c>
      <c r="AL274" s="957">
        <v>15834</v>
      </c>
      <c r="AM274" s="957">
        <v>16008</v>
      </c>
      <c r="AN274" s="959">
        <v>16008</v>
      </c>
      <c r="AO274" s="1002">
        <v>63510</v>
      </c>
    </row>
    <row r="275" spans="1:41" ht="13.5" outlineLevel="1" thickBot="1">
      <c r="A275" s="960" t="s">
        <v>702</v>
      </c>
      <c r="B275" s="961">
        <v>31913.182991720387</v>
      </c>
      <c r="C275" s="961">
        <v>33413.937625499893</v>
      </c>
      <c r="D275" s="961">
        <v>15985.724261414503</v>
      </c>
      <c r="E275" s="961">
        <v>34115.483655176962</v>
      </c>
      <c r="F275" s="964">
        <v>115428.32853381176</v>
      </c>
      <c r="G275" s="961">
        <v>46440</v>
      </c>
      <c r="H275" s="961">
        <v>46956</v>
      </c>
      <c r="I275" s="961">
        <v>47472</v>
      </c>
      <c r="J275" s="961">
        <v>47472</v>
      </c>
      <c r="K275" s="962">
        <v>172332</v>
      </c>
      <c r="L275" s="961">
        <v>46956</v>
      </c>
      <c r="M275" s="961">
        <v>46956</v>
      </c>
      <c r="N275" s="961">
        <v>47472</v>
      </c>
      <c r="O275" s="961">
        <v>47471</v>
      </c>
      <c r="P275" s="962">
        <v>188855</v>
      </c>
      <c r="Q275" s="961">
        <v>37260</v>
      </c>
      <c r="R275" s="961">
        <v>37674</v>
      </c>
      <c r="S275" s="961">
        <v>38088</v>
      </c>
      <c r="T275" s="961">
        <v>38088</v>
      </c>
      <c r="U275" s="962">
        <v>151110</v>
      </c>
      <c r="V275" s="961">
        <v>44280</v>
      </c>
      <c r="W275" s="961">
        <v>44772</v>
      </c>
      <c r="X275" s="961">
        <v>45264</v>
      </c>
      <c r="Y275" s="961">
        <v>45264</v>
      </c>
      <c r="Z275" s="962">
        <v>179580</v>
      </c>
      <c r="AA275" s="961">
        <v>44280</v>
      </c>
      <c r="AB275" s="961">
        <v>44772</v>
      </c>
      <c r="AC275" s="961">
        <v>45264</v>
      </c>
      <c r="AD275" s="961">
        <v>29624</v>
      </c>
      <c r="AE275" s="962">
        <v>117530</v>
      </c>
      <c r="AF275" s="961">
        <v>29302</v>
      </c>
      <c r="AG275" s="961">
        <v>29302</v>
      </c>
      <c r="AH275" s="961">
        <v>29624</v>
      </c>
      <c r="AI275" s="961">
        <v>29624</v>
      </c>
      <c r="AJ275" s="962">
        <v>117852</v>
      </c>
      <c r="AK275" s="961">
        <v>28980</v>
      </c>
      <c r="AL275" s="961">
        <v>29302</v>
      </c>
      <c r="AM275" s="961">
        <v>29624</v>
      </c>
      <c r="AN275" s="963">
        <v>29624</v>
      </c>
      <c r="AO275" s="1003">
        <v>117530</v>
      </c>
    </row>
    <row r="276" spans="1:41" ht="13.5" outlineLevel="2" thickTop="1">
      <c r="A276" s="953"/>
      <c r="B276" s="948"/>
      <c r="C276" s="948"/>
      <c r="D276" s="948"/>
      <c r="E276" s="948"/>
      <c r="F276" s="949"/>
      <c r="G276" s="948">
        <v>13680</v>
      </c>
      <c r="H276" s="948">
        <v>13832</v>
      </c>
      <c r="I276" s="948">
        <v>13984</v>
      </c>
      <c r="J276" s="948"/>
      <c r="K276" s="949">
        <v>41496</v>
      </c>
      <c r="L276" s="948">
        <v>13832</v>
      </c>
      <c r="M276" s="948">
        <v>13832</v>
      </c>
      <c r="N276" s="948">
        <v>13984</v>
      </c>
      <c r="O276" s="948">
        <v>13984</v>
      </c>
      <c r="P276" s="949">
        <v>55632</v>
      </c>
      <c r="Q276" s="948">
        <v>14400</v>
      </c>
      <c r="R276" s="948">
        <v>14560</v>
      </c>
      <c r="S276" s="948">
        <v>14720</v>
      </c>
      <c r="T276" s="948">
        <v>14720</v>
      </c>
      <c r="U276" s="949">
        <v>58400</v>
      </c>
      <c r="V276" s="948">
        <v>14400</v>
      </c>
      <c r="W276" s="948">
        <v>14560</v>
      </c>
      <c r="X276" s="948">
        <v>14720</v>
      </c>
      <c r="Y276" s="948">
        <v>14720</v>
      </c>
      <c r="Z276" s="949">
        <v>58400</v>
      </c>
      <c r="AA276" s="948">
        <v>14400</v>
      </c>
      <c r="AB276" s="948">
        <v>14560</v>
      </c>
      <c r="AC276" s="948">
        <v>14720</v>
      </c>
      <c r="AD276" s="948">
        <v>14720</v>
      </c>
      <c r="AE276" s="949">
        <v>58400</v>
      </c>
      <c r="AF276" s="948">
        <v>14560</v>
      </c>
      <c r="AG276" s="948">
        <v>14560</v>
      </c>
      <c r="AH276" s="948">
        <v>14720</v>
      </c>
      <c r="AI276" s="948">
        <v>14720</v>
      </c>
      <c r="AJ276" s="949">
        <v>58560</v>
      </c>
      <c r="AK276" s="948">
        <v>14400</v>
      </c>
      <c r="AL276" s="948">
        <v>14560</v>
      </c>
      <c r="AM276" s="948">
        <v>14720</v>
      </c>
      <c r="AN276" s="954">
        <v>14720</v>
      </c>
      <c r="AO276" s="1000">
        <v>58400</v>
      </c>
    </row>
    <row r="277" spans="1:41" outlineLevel="2">
      <c r="A277" s="953"/>
      <c r="B277" s="948"/>
      <c r="C277" s="948"/>
      <c r="D277" s="948"/>
      <c r="E277" s="948"/>
      <c r="F277" s="949"/>
      <c r="G277" s="948">
        <v>24390</v>
      </c>
      <c r="H277" s="948">
        <v>11687</v>
      </c>
      <c r="I277" s="948">
        <v>6099</v>
      </c>
      <c r="J277" s="948">
        <v>11335</v>
      </c>
      <c r="K277" s="949">
        <v>53511</v>
      </c>
      <c r="L277" s="948">
        <v>31395</v>
      </c>
      <c r="M277" s="948">
        <v>31395</v>
      </c>
      <c r="N277" s="948">
        <v>31770</v>
      </c>
      <c r="O277" s="948">
        <v>31740</v>
      </c>
      <c r="P277" s="949">
        <v>126300</v>
      </c>
      <c r="Q277" s="948">
        <v>32760</v>
      </c>
      <c r="R277" s="948">
        <v>33124</v>
      </c>
      <c r="S277" s="948">
        <v>33488</v>
      </c>
      <c r="T277" s="948">
        <v>33488</v>
      </c>
      <c r="U277" s="949">
        <v>132860</v>
      </c>
      <c r="V277" s="948">
        <v>32760</v>
      </c>
      <c r="W277" s="948">
        <v>33124</v>
      </c>
      <c r="X277" s="948">
        <v>33488</v>
      </c>
      <c r="Y277" s="948">
        <v>33488</v>
      </c>
      <c r="Z277" s="949">
        <v>132860</v>
      </c>
      <c r="AA277" s="948">
        <v>32760</v>
      </c>
      <c r="AB277" s="948">
        <v>33124</v>
      </c>
      <c r="AC277" s="948">
        <v>33488</v>
      </c>
      <c r="AD277" s="948">
        <v>33488</v>
      </c>
      <c r="AE277" s="949">
        <v>132860</v>
      </c>
      <c r="AF277" s="948">
        <v>22204</v>
      </c>
      <c r="AG277" s="948">
        <v>22204</v>
      </c>
      <c r="AH277" s="948">
        <v>22448</v>
      </c>
      <c r="AI277" s="948">
        <v>22448</v>
      </c>
      <c r="AJ277" s="949">
        <v>89304</v>
      </c>
      <c r="AK277" s="948">
        <v>21960</v>
      </c>
      <c r="AL277" s="948">
        <v>22204</v>
      </c>
      <c r="AM277" s="948">
        <v>22448</v>
      </c>
      <c r="AN277" s="954">
        <v>22448</v>
      </c>
      <c r="AO277" s="1000">
        <v>89060</v>
      </c>
    </row>
    <row r="278" spans="1:41" outlineLevel="2">
      <c r="A278" s="953"/>
      <c r="B278" s="948"/>
      <c r="C278" s="948"/>
      <c r="D278" s="948"/>
      <c r="E278" s="948"/>
      <c r="F278" s="949"/>
      <c r="G278" s="948"/>
      <c r="H278" s="948"/>
      <c r="I278" s="948"/>
      <c r="J278" s="948"/>
      <c r="K278" s="949"/>
      <c r="L278" s="948"/>
      <c r="M278" s="948"/>
      <c r="N278" s="948"/>
      <c r="O278" s="948"/>
      <c r="P278" s="949"/>
      <c r="Q278" s="948">
        <v>19350</v>
      </c>
      <c r="R278" s="948">
        <v>19565</v>
      </c>
      <c r="S278" s="948">
        <v>16284</v>
      </c>
      <c r="T278" s="948">
        <v>16284</v>
      </c>
      <c r="U278" s="949">
        <v>71483</v>
      </c>
      <c r="V278" s="948">
        <v>15930</v>
      </c>
      <c r="W278" s="948">
        <v>16107</v>
      </c>
      <c r="X278" s="948">
        <v>16560</v>
      </c>
      <c r="Y278" s="948">
        <v>16560</v>
      </c>
      <c r="Z278" s="949">
        <v>65157</v>
      </c>
      <c r="AA278" s="948">
        <v>16200</v>
      </c>
      <c r="AB278" s="948">
        <v>16380</v>
      </c>
      <c r="AC278" s="948">
        <v>16560</v>
      </c>
      <c r="AD278" s="948">
        <v>16560</v>
      </c>
      <c r="AE278" s="949">
        <v>65700</v>
      </c>
      <c r="AF278" s="948">
        <v>16380</v>
      </c>
      <c r="AG278" s="948">
        <v>16380</v>
      </c>
      <c r="AH278" s="948">
        <v>16560</v>
      </c>
      <c r="AI278" s="948">
        <v>16281</v>
      </c>
      <c r="AJ278" s="949">
        <v>65601</v>
      </c>
      <c r="AK278" s="948">
        <v>15390</v>
      </c>
      <c r="AL278" s="948">
        <v>15561</v>
      </c>
      <c r="AM278" s="948">
        <v>15732</v>
      </c>
      <c r="AN278" s="954">
        <v>16281</v>
      </c>
      <c r="AO278" s="1000">
        <v>62964</v>
      </c>
    </row>
    <row r="279" spans="1:41" outlineLevel="2">
      <c r="A279" s="953"/>
      <c r="B279" s="957"/>
      <c r="C279" s="957"/>
      <c r="D279" s="957"/>
      <c r="E279" s="957"/>
      <c r="F279" s="958"/>
      <c r="G279" s="957"/>
      <c r="H279" s="957"/>
      <c r="I279" s="957"/>
      <c r="J279" s="957"/>
      <c r="K279" s="958"/>
      <c r="L279" s="957"/>
      <c r="M279" s="957"/>
      <c r="N279" s="957"/>
      <c r="O279" s="957">
        <v>4309</v>
      </c>
      <c r="P279" s="958">
        <v>4309</v>
      </c>
      <c r="Q279" s="957">
        <v>12510</v>
      </c>
      <c r="R279" s="957">
        <v>12649</v>
      </c>
      <c r="S279" s="957">
        <v>12788</v>
      </c>
      <c r="T279" s="957">
        <v>12788</v>
      </c>
      <c r="U279" s="958">
        <v>50735</v>
      </c>
      <c r="V279" s="957">
        <v>12510</v>
      </c>
      <c r="W279" s="957">
        <v>12649</v>
      </c>
      <c r="X279" s="957">
        <v>12788</v>
      </c>
      <c r="Y279" s="957">
        <v>12788</v>
      </c>
      <c r="Z279" s="958">
        <v>50735</v>
      </c>
      <c r="AA279" s="957">
        <v>12510</v>
      </c>
      <c r="AB279" s="957">
        <v>12649</v>
      </c>
      <c r="AC279" s="957">
        <v>12788</v>
      </c>
      <c r="AD279" s="957">
        <v>12788</v>
      </c>
      <c r="AE279" s="958">
        <v>50735</v>
      </c>
      <c r="AF279" s="957">
        <v>12649</v>
      </c>
      <c r="AG279" s="957">
        <v>12649</v>
      </c>
      <c r="AH279" s="957">
        <v>12788</v>
      </c>
      <c r="AI279" s="957">
        <v>12788</v>
      </c>
      <c r="AJ279" s="958">
        <v>50874</v>
      </c>
      <c r="AK279" s="957">
        <v>12510</v>
      </c>
      <c r="AL279" s="957">
        <v>12649</v>
      </c>
      <c r="AM279" s="957">
        <v>12788</v>
      </c>
      <c r="AN279" s="959">
        <v>12788</v>
      </c>
      <c r="AO279" s="1002">
        <v>50735</v>
      </c>
    </row>
    <row r="280" spans="1:41" ht="13.5" outlineLevel="1" thickBot="1">
      <c r="A280" s="960" t="s">
        <v>708</v>
      </c>
      <c r="B280" s="961"/>
      <c r="C280" s="961"/>
      <c r="D280" s="961"/>
      <c r="E280" s="961"/>
      <c r="F280" s="962"/>
      <c r="G280" s="961">
        <v>38070</v>
      </c>
      <c r="H280" s="961">
        <v>25519</v>
      </c>
      <c r="I280" s="961">
        <v>20083</v>
      </c>
      <c r="J280" s="961">
        <v>11335</v>
      </c>
      <c r="K280" s="962">
        <v>95007</v>
      </c>
      <c r="L280" s="961">
        <v>45227</v>
      </c>
      <c r="M280" s="961">
        <v>45227</v>
      </c>
      <c r="N280" s="961">
        <v>45754</v>
      </c>
      <c r="O280" s="961">
        <v>50033</v>
      </c>
      <c r="P280" s="962">
        <v>186241</v>
      </c>
      <c r="Q280" s="961">
        <v>79020</v>
      </c>
      <c r="R280" s="961">
        <v>79898</v>
      </c>
      <c r="S280" s="961">
        <v>77280</v>
      </c>
      <c r="T280" s="961">
        <v>77280</v>
      </c>
      <c r="U280" s="962">
        <v>313478</v>
      </c>
      <c r="V280" s="961">
        <v>75600</v>
      </c>
      <c r="W280" s="961">
        <v>76440</v>
      </c>
      <c r="X280" s="961">
        <v>77556</v>
      </c>
      <c r="Y280" s="961">
        <v>77556</v>
      </c>
      <c r="Z280" s="962">
        <v>307152</v>
      </c>
      <c r="AA280" s="961">
        <v>75870</v>
      </c>
      <c r="AB280" s="961">
        <v>76713</v>
      </c>
      <c r="AC280" s="961">
        <v>77556</v>
      </c>
      <c r="AD280" s="961">
        <v>77556</v>
      </c>
      <c r="AE280" s="962">
        <v>307695</v>
      </c>
      <c r="AF280" s="961">
        <v>65793</v>
      </c>
      <c r="AG280" s="961">
        <v>65793</v>
      </c>
      <c r="AH280" s="961">
        <v>66516</v>
      </c>
      <c r="AI280" s="961">
        <v>66237</v>
      </c>
      <c r="AJ280" s="962">
        <v>264339</v>
      </c>
      <c r="AK280" s="961">
        <v>64260</v>
      </c>
      <c r="AL280" s="961">
        <v>64974</v>
      </c>
      <c r="AM280" s="961">
        <v>65688</v>
      </c>
      <c r="AN280" s="963">
        <v>66237</v>
      </c>
      <c r="AO280" s="1003">
        <v>261159</v>
      </c>
    </row>
    <row r="281" spans="1:41" s="932" customFormat="1" ht="13.5" outlineLevel="1" thickTop="1">
      <c r="A281" s="965" t="s">
        <v>175</v>
      </c>
      <c r="B281" s="966">
        <f>B259+B270+B275+B280</f>
        <v>140532.99712557168</v>
      </c>
      <c r="C281" s="966">
        <f t="shared" ref="C281:AO281" si="45">C259+C270+C275+C280</f>
        <v>158652.84765579825</v>
      </c>
      <c r="D281" s="966">
        <f t="shared" si="45"/>
        <v>141513.63943166201</v>
      </c>
      <c r="E281" s="966">
        <f t="shared" si="45"/>
        <v>177187.63158269771</v>
      </c>
      <c r="F281" s="966">
        <f t="shared" si="45"/>
        <v>659871.23837944411</v>
      </c>
      <c r="G281" s="966">
        <f t="shared" si="45"/>
        <v>246776</v>
      </c>
      <c r="H281" s="966">
        <f t="shared" si="45"/>
        <v>236548</v>
      </c>
      <c r="I281" s="966">
        <f t="shared" si="45"/>
        <v>233431</v>
      </c>
      <c r="J281" s="966">
        <f t="shared" si="45"/>
        <v>211812</v>
      </c>
      <c r="K281" s="966">
        <f t="shared" si="45"/>
        <v>912559</v>
      </c>
      <c r="L281" s="966">
        <f t="shared" si="45"/>
        <v>256256</v>
      </c>
      <c r="M281" s="966">
        <f t="shared" si="45"/>
        <v>256256</v>
      </c>
      <c r="N281" s="966">
        <f t="shared" si="45"/>
        <v>259102</v>
      </c>
      <c r="O281" s="966">
        <f t="shared" si="45"/>
        <v>250936</v>
      </c>
      <c r="P281" s="966">
        <f t="shared" si="45"/>
        <v>1022550</v>
      </c>
      <c r="Q281" s="966">
        <f t="shared" si="45"/>
        <v>293850</v>
      </c>
      <c r="R281" s="966">
        <f t="shared" si="45"/>
        <v>297206</v>
      </c>
      <c r="S281" s="966">
        <f t="shared" si="45"/>
        <v>297068</v>
      </c>
      <c r="T281" s="966">
        <f t="shared" si="45"/>
        <v>297160</v>
      </c>
      <c r="U281" s="966">
        <f t="shared" si="45"/>
        <v>1185284</v>
      </c>
      <c r="V281" s="966">
        <f t="shared" si="45"/>
        <v>297630</v>
      </c>
      <c r="W281" s="966">
        <f t="shared" si="45"/>
        <v>300937</v>
      </c>
      <c r="X281" s="966">
        <f t="shared" si="45"/>
        <v>304520</v>
      </c>
      <c r="Y281" s="966">
        <f t="shared" si="45"/>
        <v>304520</v>
      </c>
      <c r="Z281" s="966">
        <f t="shared" si="45"/>
        <v>1207607</v>
      </c>
      <c r="AA281" s="966">
        <f t="shared" si="45"/>
        <v>297084</v>
      </c>
      <c r="AB281" s="966">
        <f t="shared" si="45"/>
        <v>301028</v>
      </c>
      <c r="AC281" s="966">
        <f t="shared" si="45"/>
        <v>299552</v>
      </c>
      <c r="AD281" s="966">
        <f t="shared" si="45"/>
        <v>304336</v>
      </c>
      <c r="AE281" s="966">
        <f t="shared" si="45"/>
        <v>1202000</v>
      </c>
      <c r="AF281" s="966">
        <f t="shared" si="45"/>
        <v>300394</v>
      </c>
      <c r="AG281" s="966">
        <f t="shared" si="45"/>
        <v>301210</v>
      </c>
      <c r="AH281" s="966">
        <f t="shared" si="45"/>
        <v>304336</v>
      </c>
      <c r="AI281" s="966">
        <f t="shared" si="45"/>
        <v>304057</v>
      </c>
      <c r="AJ281" s="966">
        <f t="shared" si="45"/>
        <v>1209997</v>
      </c>
      <c r="AK281" s="966">
        <f t="shared" si="45"/>
        <v>296910</v>
      </c>
      <c r="AL281" s="966">
        <f t="shared" si="45"/>
        <v>300209</v>
      </c>
      <c r="AM281" s="966">
        <f t="shared" si="45"/>
        <v>299368</v>
      </c>
      <c r="AN281" s="966">
        <f t="shared" si="45"/>
        <v>304057</v>
      </c>
      <c r="AO281" s="966">
        <f t="shared" si="45"/>
        <v>1200544</v>
      </c>
    </row>
    <row r="282" spans="1:41" s="932" customFormat="1" outlineLevel="1">
      <c r="A282" s="1006" t="s">
        <v>407</v>
      </c>
      <c r="B282" s="1006"/>
      <c r="C282" s="1006"/>
      <c r="D282" s="1006"/>
      <c r="E282" s="1006"/>
      <c r="F282" s="1006"/>
      <c r="G282" s="1007">
        <v>810</v>
      </c>
      <c r="H282" s="1007">
        <v>1001</v>
      </c>
      <c r="I282" s="1007">
        <v>1012</v>
      </c>
      <c r="J282" s="1007">
        <v>1201</v>
      </c>
      <c r="K282" s="1007">
        <v>4024</v>
      </c>
      <c r="L282" s="1007">
        <v>1001</v>
      </c>
      <c r="M282" s="1007">
        <v>1001</v>
      </c>
      <c r="N282" s="1007">
        <v>1012</v>
      </c>
      <c r="O282" s="1007">
        <v>1012</v>
      </c>
      <c r="P282" s="1007">
        <v>4026</v>
      </c>
      <c r="Q282" s="1007">
        <v>900</v>
      </c>
      <c r="R282" s="1007">
        <v>910</v>
      </c>
      <c r="S282" s="1007">
        <v>920</v>
      </c>
      <c r="T282" s="1007">
        <v>920</v>
      </c>
      <c r="U282" s="1007">
        <v>3650</v>
      </c>
      <c r="V282" s="1007">
        <v>990</v>
      </c>
      <c r="W282" s="1007">
        <v>1001</v>
      </c>
      <c r="X282" s="1007">
        <v>1012</v>
      </c>
      <c r="Y282" s="1007">
        <v>1012</v>
      </c>
      <c r="Z282" s="1007">
        <v>4015</v>
      </c>
      <c r="AA282" s="1007">
        <v>900</v>
      </c>
      <c r="AB282" s="1007">
        <v>910</v>
      </c>
      <c r="AC282" s="1007">
        <v>920</v>
      </c>
      <c r="AD282" s="1007">
        <v>920</v>
      </c>
      <c r="AE282" s="1007">
        <v>3650</v>
      </c>
      <c r="AF282" s="1007">
        <v>910</v>
      </c>
      <c r="AG282" s="1007">
        <v>1001</v>
      </c>
      <c r="AH282" s="1007">
        <v>920</v>
      </c>
      <c r="AI282" s="1007">
        <v>1012</v>
      </c>
      <c r="AJ282" s="1007">
        <v>3843</v>
      </c>
      <c r="AK282" s="1007">
        <v>990</v>
      </c>
      <c r="AL282" s="1007">
        <v>1001</v>
      </c>
      <c r="AM282" s="1007">
        <v>1012</v>
      </c>
      <c r="AN282" s="969">
        <f>AI282</f>
        <v>1012</v>
      </c>
      <c r="AO282" s="1008">
        <f>AK282+AL282+AM282+AN282</f>
        <v>4015</v>
      </c>
    </row>
    <row r="283" spans="1:41" ht="15.75" outlineLevel="1" thickBot="1">
      <c r="A283" s="967"/>
      <c r="H283" s="920"/>
      <c r="I283" s="843"/>
      <c r="Q283" s="967"/>
      <c r="R283" s="967"/>
      <c r="S283" s="967"/>
      <c r="T283" s="967"/>
      <c r="U283" s="967"/>
      <c r="V283" s="968"/>
      <c r="W283" s="967"/>
      <c r="X283" s="967"/>
      <c r="Y283" s="967"/>
      <c r="Z283" s="967"/>
      <c r="AA283" s="967"/>
      <c r="AB283" s="967"/>
      <c r="AC283" s="967"/>
      <c r="AD283" s="967"/>
      <c r="AE283" s="967"/>
      <c r="AF283" s="967"/>
      <c r="AG283" s="967"/>
      <c r="AH283" s="967"/>
      <c r="AI283" s="967"/>
      <c r="AJ283" s="967"/>
    </row>
    <row r="284" spans="1:41" outlineLevel="1">
      <c r="A284" s="941"/>
      <c r="B284" s="942">
        <f t="shared" ref="B284:AO284" si="46">B$252</f>
        <v>2014</v>
      </c>
      <c r="C284" s="942">
        <f t="shared" si="46"/>
        <v>2014</v>
      </c>
      <c r="D284" s="942">
        <f t="shared" si="46"/>
        <v>2014</v>
      </c>
      <c r="E284" s="942">
        <f t="shared" si="46"/>
        <v>2014</v>
      </c>
      <c r="F284" s="943">
        <f t="shared" si="46"/>
        <v>2014</v>
      </c>
      <c r="G284" s="942">
        <f t="shared" si="46"/>
        <v>2015</v>
      </c>
      <c r="H284" s="942">
        <f t="shared" si="46"/>
        <v>2015</v>
      </c>
      <c r="I284" s="942">
        <f t="shared" si="46"/>
        <v>2015</v>
      </c>
      <c r="J284" s="942">
        <f t="shared" si="46"/>
        <v>2015</v>
      </c>
      <c r="K284" s="943">
        <f t="shared" si="46"/>
        <v>2015</v>
      </c>
      <c r="L284" s="942">
        <f t="shared" si="46"/>
        <v>2016</v>
      </c>
      <c r="M284" s="942">
        <f t="shared" si="46"/>
        <v>2016</v>
      </c>
      <c r="N284" s="942">
        <f t="shared" si="46"/>
        <v>2016</v>
      </c>
      <c r="O284" s="942">
        <f t="shared" si="46"/>
        <v>2016</v>
      </c>
      <c r="P284" s="943">
        <f t="shared" si="46"/>
        <v>2016</v>
      </c>
      <c r="Q284" s="942">
        <f t="shared" si="46"/>
        <v>2017</v>
      </c>
      <c r="R284" s="942">
        <f t="shared" si="46"/>
        <v>2017</v>
      </c>
      <c r="S284" s="942">
        <f t="shared" si="46"/>
        <v>2017</v>
      </c>
      <c r="T284" s="942">
        <f t="shared" si="46"/>
        <v>2017</v>
      </c>
      <c r="U284" s="943">
        <f t="shared" si="46"/>
        <v>2017</v>
      </c>
      <c r="V284" s="942">
        <f t="shared" si="46"/>
        <v>2018</v>
      </c>
      <c r="W284" s="942">
        <f t="shared" si="46"/>
        <v>2018</v>
      </c>
      <c r="X284" s="942">
        <f t="shared" si="46"/>
        <v>2018</v>
      </c>
      <c r="Y284" s="942">
        <f t="shared" si="46"/>
        <v>2018</v>
      </c>
      <c r="Z284" s="943">
        <f t="shared" si="46"/>
        <v>2018</v>
      </c>
      <c r="AA284" s="942">
        <f t="shared" si="46"/>
        <v>2019</v>
      </c>
      <c r="AB284" s="942">
        <f t="shared" si="46"/>
        <v>2019</v>
      </c>
      <c r="AC284" s="942">
        <f t="shared" si="46"/>
        <v>2019</v>
      </c>
      <c r="AD284" s="942">
        <f t="shared" si="46"/>
        <v>2019</v>
      </c>
      <c r="AE284" s="943">
        <f t="shared" si="46"/>
        <v>2019</v>
      </c>
      <c r="AF284" s="942">
        <f t="shared" si="46"/>
        <v>2020</v>
      </c>
      <c r="AG284" s="942">
        <f t="shared" si="46"/>
        <v>2020</v>
      </c>
      <c r="AH284" s="942">
        <f t="shared" si="46"/>
        <v>2020</v>
      </c>
      <c r="AI284" s="942">
        <f t="shared" si="46"/>
        <v>2020</v>
      </c>
      <c r="AJ284" s="943">
        <f t="shared" si="46"/>
        <v>2020</v>
      </c>
      <c r="AK284" s="942">
        <f t="shared" si="46"/>
        <v>2021</v>
      </c>
      <c r="AL284" s="942">
        <f t="shared" si="46"/>
        <v>2021</v>
      </c>
      <c r="AM284" s="942">
        <f t="shared" si="46"/>
        <v>2021</v>
      </c>
      <c r="AN284" s="942">
        <f t="shared" si="46"/>
        <v>2021</v>
      </c>
      <c r="AO284" s="943">
        <f t="shared" si="46"/>
        <v>2021</v>
      </c>
    </row>
    <row r="285" spans="1:41" ht="13.5" outlineLevel="1" thickBot="1">
      <c r="A285" s="944" t="s">
        <v>703</v>
      </c>
      <c r="B285" s="945" t="str">
        <f t="shared" ref="B285:AO285" si="47">B$253</f>
        <v>1 квартал</v>
      </c>
      <c r="C285" s="945" t="str">
        <f t="shared" si="47"/>
        <v>2 квартал</v>
      </c>
      <c r="D285" s="945" t="str">
        <f t="shared" si="47"/>
        <v>3 квартал</v>
      </c>
      <c r="E285" s="945" t="str">
        <f t="shared" si="47"/>
        <v>4 квартал</v>
      </c>
      <c r="F285" s="946" t="str">
        <f t="shared" si="47"/>
        <v>ГОД</v>
      </c>
      <c r="G285" s="945" t="str">
        <f t="shared" si="47"/>
        <v>1 квартал</v>
      </c>
      <c r="H285" s="945" t="str">
        <f t="shared" si="47"/>
        <v>2 квартал</v>
      </c>
      <c r="I285" s="945" t="str">
        <f t="shared" si="47"/>
        <v>3 квартал</v>
      </c>
      <c r="J285" s="945" t="str">
        <f t="shared" si="47"/>
        <v>4 квартал</v>
      </c>
      <c r="K285" s="946" t="str">
        <f t="shared" si="47"/>
        <v>ГОД</v>
      </c>
      <c r="L285" s="945" t="str">
        <f t="shared" si="47"/>
        <v>1 квартал</v>
      </c>
      <c r="M285" s="945" t="str">
        <f t="shared" si="47"/>
        <v>2 квартал</v>
      </c>
      <c r="N285" s="945" t="str">
        <f t="shared" si="47"/>
        <v>3 квартал</v>
      </c>
      <c r="O285" s="945" t="str">
        <f t="shared" si="47"/>
        <v>4 квартал</v>
      </c>
      <c r="P285" s="946" t="str">
        <f t="shared" si="47"/>
        <v>ГОД</v>
      </c>
      <c r="Q285" s="945" t="str">
        <f t="shared" si="47"/>
        <v>1 квартал</v>
      </c>
      <c r="R285" s="945" t="str">
        <f t="shared" si="47"/>
        <v>2 квартал</v>
      </c>
      <c r="S285" s="945" t="str">
        <f t="shared" si="47"/>
        <v>3 квартал</v>
      </c>
      <c r="T285" s="945" t="str">
        <f t="shared" si="47"/>
        <v>4 квартал</v>
      </c>
      <c r="U285" s="946" t="str">
        <f t="shared" si="47"/>
        <v>ГОД</v>
      </c>
      <c r="V285" s="945" t="str">
        <f t="shared" si="47"/>
        <v>1 квартал</v>
      </c>
      <c r="W285" s="945" t="str">
        <f t="shared" si="47"/>
        <v>2 квартал</v>
      </c>
      <c r="X285" s="945" t="str">
        <f t="shared" si="47"/>
        <v>3 квартал</v>
      </c>
      <c r="Y285" s="945" t="str">
        <f t="shared" si="47"/>
        <v>4 квартал</v>
      </c>
      <c r="Z285" s="946" t="str">
        <f t="shared" si="47"/>
        <v>ГОД</v>
      </c>
      <c r="AA285" s="945" t="str">
        <f t="shared" si="47"/>
        <v>1 квартал</v>
      </c>
      <c r="AB285" s="945" t="str">
        <f t="shared" si="47"/>
        <v>2 квартал</v>
      </c>
      <c r="AC285" s="945" t="str">
        <f t="shared" si="47"/>
        <v>3 квартал</v>
      </c>
      <c r="AD285" s="945" t="str">
        <f t="shared" si="47"/>
        <v>4 квартал</v>
      </c>
      <c r="AE285" s="946" t="str">
        <f t="shared" si="47"/>
        <v>ГОД</v>
      </c>
      <c r="AF285" s="945" t="str">
        <f t="shared" si="47"/>
        <v>1 квартал</v>
      </c>
      <c r="AG285" s="945" t="str">
        <f t="shared" si="47"/>
        <v>2 квартал</v>
      </c>
      <c r="AH285" s="945" t="str">
        <f t="shared" si="47"/>
        <v>3 квартал</v>
      </c>
      <c r="AI285" s="945" t="str">
        <f t="shared" si="47"/>
        <v>4 квартал</v>
      </c>
      <c r="AJ285" s="946" t="str">
        <f t="shared" si="47"/>
        <v>ГОД</v>
      </c>
      <c r="AK285" s="945" t="str">
        <f t="shared" si="47"/>
        <v>1 квартал</v>
      </c>
      <c r="AL285" s="945" t="str">
        <f t="shared" si="47"/>
        <v>2 квартал</v>
      </c>
      <c r="AM285" s="945" t="str">
        <f t="shared" si="47"/>
        <v>3 квартал</v>
      </c>
      <c r="AN285" s="945" t="str">
        <f t="shared" si="47"/>
        <v>4 квартал</v>
      </c>
      <c r="AO285" s="946" t="str">
        <f t="shared" si="47"/>
        <v>ГОД</v>
      </c>
    </row>
    <row r="286" spans="1:41" outlineLevel="2">
      <c r="A286" s="947"/>
      <c r="B286" s="948"/>
      <c r="C286" s="948"/>
      <c r="D286" s="948"/>
      <c r="E286" s="948">
        <v>4184</v>
      </c>
      <c r="F286" s="949">
        <v>20744.41</v>
      </c>
      <c r="G286" s="948">
        <v>10013</v>
      </c>
      <c r="H286" s="948">
        <v>3579</v>
      </c>
      <c r="I286" s="948">
        <v>5388</v>
      </c>
      <c r="J286" s="948">
        <v>5926</v>
      </c>
      <c r="K286" s="949">
        <v>24906</v>
      </c>
      <c r="L286" s="948">
        <v>10860</v>
      </c>
      <c r="M286" s="948">
        <v>4200</v>
      </c>
      <c r="N286" s="948">
        <v>8938</v>
      </c>
      <c r="O286" s="948">
        <v>6574.0001900000007</v>
      </c>
      <c r="P286" s="949">
        <v>30572.000189999999</v>
      </c>
      <c r="Q286" s="948">
        <v>10918.000000002001</v>
      </c>
      <c r="R286" s="948">
        <v>7681</v>
      </c>
      <c r="S286" s="948">
        <v>8280</v>
      </c>
      <c r="T286" s="948">
        <v>7559</v>
      </c>
      <c r="U286" s="949">
        <v>34438.000000002001</v>
      </c>
      <c r="V286" s="948">
        <v>13009.000110000001</v>
      </c>
      <c r="W286" s="948">
        <v>7355</v>
      </c>
      <c r="X286" s="948">
        <v>10623.01</v>
      </c>
      <c r="Y286" s="948">
        <v>7524</v>
      </c>
      <c r="Z286" s="949">
        <v>38511.010110000003</v>
      </c>
      <c r="AA286" s="948">
        <v>12816</v>
      </c>
      <c r="AB286" s="948">
        <v>9183</v>
      </c>
      <c r="AC286" s="948">
        <v>12161</v>
      </c>
      <c r="AD286" s="948">
        <v>9897</v>
      </c>
      <c r="AE286" s="949">
        <v>44057</v>
      </c>
      <c r="AF286" s="948">
        <v>13612</v>
      </c>
      <c r="AG286" s="948">
        <v>229</v>
      </c>
      <c r="AH286" s="948">
        <v>12280</v>
      </c>
      <c r="AI286" s="948">
        <v>10539</v>
      </c>
      <c r="AJ286" s="949">
        <v>36660</v>
      </c>
      <c r="AK286" s="948">
        <v>14609</v>
      </c>
      <c r="AL286" s="948">
        <v>9753</v>
      </c>
      <c r="AM286" s="948">
        <v>10258</v>
      </c>
      <c r="AN286" s="954">
        <v>10539</v>
      </c>
      <c r="AO286" s="1000">
        <v>45159</v>
      </c>
    </row>
    <row r="287" spans="1:41" outlineLevel="2">
      <c r="A287" s="953"/>
      <c r="B287" s="948"/>
      <c r="C287" s="948">
        <v>1009</v>
      </c>
      <c r="D287" s="948">
        <v>1558</v>
      </c>
      <c r="E287" s="948">
        <v>2253</v>
      </c>
      <c r="F287" s="949">
        <v>4820</v>
      </c>
      <c r="G287" s="948">
        <v>4848</v>
      </c>
      <c r="H287" s="948">
        <v>824</v>
      </c>
      <c r="I287" s="948">
        <v>4063</v>
      </c>
      <c r="J287" s="948">
        <v>3818</v>
      </c>
      <c r="K287" s="949">
        <v>13553</v>
      </c>
      <c r="L287" s="948">
        <v>6776</v>
      </c>
      <c r="M287" s="948">
        <v>3242</v>
      </c>
      <c r="N287" s="948">
        <v>6779</v>
      </c>
      <c r="O287" s="948">
        <v>3995</v>
      </c>
      <c r="P287" s="949">
        <v>20792</v>
      </c>
      <c r="Q287" s="948">
        <v>6685</v>
      </c>
      <c r="R287" s="948">
        <v>4086</v>
      </c>
      <c r="S287" s="948">
        <v>7456</v>
      </c>
      <c r="T287" s="948">
        <v>4361</v>
      </c>
      <c r="U287" s="949">
        <v>22588</v>
      </c>
      <c r="V287" s="948">
        <v>7013</v>
      </c>
      <c r="W287" s="948">
        <v>4703</v>
      </c>
      <c r="X287" s="948">
        <v>7318</v>
      </c>
      <c r="Y287" s="948">
        <v>4470</v>
      </c>
      <c r="Z287" s="949">
        <v>23504</v>
      </c>
      <c r="AA287" s="948">
        <v>6351</v>
      </c>
      <c r="AB287" s="948">
        <v>4479</v>
      </c>
      <c r="AC287" s="948">
        <v>7704</v>
      </c>
      <c r="AD287" s="948">
        <v>5545</v>
      </c>
      <c r="AE287" s="949">
        <v>24079</v>
      </c>
      <c r="AF287" s="948">
        <v>6176</v>
      </c>
      <c r="AG287" s="948">
        <v>288</v>
      </c>
      <c r="AH287" s="948">
        <v>9207</v>
      </c>
      <c r="AI287" s="948">
        <v>7305</v>
      </c>
      <c r="AJ287" s="949">
        <v>22976</v>
      </c>
      <c r="AK287" s="948">
        <v>8134</v>
      </c>
      <c r="AL287" s="948">
        <v>5268</v>
      </c>
      <c r="AM287" s="948">
        <v>5289</v>
      </c>
      <c r="AN287" s="954">
        <v>7305</v>
      </c>
      <c r="AO287" s="1000">
        <v>25996</v>
      </c>
    </row>
    <row r="288" spans="1:41" outlineLevel="2">
      <c r="A288" s="955"/>
      <c r="B288" s="948">
        <v>12697</v>
      </c>
      <c r="C288" s="948">
        <v>2702</v>
      </c>
      <c r="D288" s="948">
        <v>4325</v>
      </c>
      <c r="E288" s="948">
        <v>8425</v>
      </c>
      <c r="F288" s="949">
        <v>28149</v>
      </c>
      <c r="G288" s="948">
        <v>24840</v>
      </c>
      <c r="H288" s="948">
        <v>6551</v>
      </c>
      <c r="I288" s="948">
        <v>14889</v>
      </c>
      <c r="J288" s="948">
        <v>7461</v>
      </c>
      <c r="K288" s="949">
        <v>59177</v>
      </c>
      <c r="L288" s="948">
        <v>25818</v>
      </c>
      <c r="M288" s="948">
        <v>12062</v>
      </c>
      <c r="N288" s="948">
        <v>26954</v>
      </c>
      <c r="O288" s="948">
        <v>12999</v>
      </c>
      <c r="P288" s="949">
        <v>77833</v>
      </c>
      <c r="Q288" s="948">
        <v>22397</v>
      </c>
      <c r="R288" s="948">
        <v>18522</v>
      </c>
      <c r="S288" s="948">
        <v>27138</v>
      </c>
      <c r="T288" s="948">
        <v>19533</v>
      </c>
      <c r="U288" s="949">
        <v>87590</v>
      </c>
      <c r="V288" s="948">
        <v>24983</v>
      </c>
      <c r="W288" s="948">
        <v>18740</v>
      </c>
      <c r="X288" s="948">
        <v>31055</v>
      </c>
      <c r="Y288" s="948">
        <v>23539</v>
      </c>
      <c r="Z288" s="949">
        <v>98317</v>
      </c>
      <c r="AA288" s="948">
        <v>28669</v>
      </c>
      <c r="AB288" s="948">
        <v>23545</v>
      </c>
      <c r="AC288" s="948">
        <v>31594</v>
      </c>
      <c r="AD288" s="948">
        <v>24835</v>
      </c>
      <c r="AE288" s="949">
        <v>108643</v>
      </c>
      <c r="AF288" s="948">
        <v>23740</v>
      </c>
      <c r="AG288" s="948">
        <v>519</v>
      </c>
      <c r="AH288" s="948">
        <v>29238</v>
      </c>
      <c r="AI288" s="948">
        <v>22283</v>
      </c>
      <c r="AJ288" s="949">
        <v>75780</v>
      </c>
      <c r="AK288" s="948">
        <v>25057</v>
      </c>
      <c r="AL288" s="948">
        <v>21536</v>
      </c>
      <c r="AM288" s="948">
        <v>23382</v>
      </c>
      <c r="AN288" s="954">
        <v>22283</v>
      </c>
      <c r="AO288" s="1000">
        <v>92258</v>
      </c>
    </row>
    <row r="289" spans="1:41" outlineLevel="2">
      <c r="A289" s="953"/>
      <c r="B289" s="948">
        <v>1876.01</v>
      </c>
      <c r="C289" s="948">
        <v>16</v>
      </c>
      <c r="D289" s="948">
        <v>268</v>
      </c>
      <c r="E289" s="948">
        <v>1307</v>
      </c>
      <c r="F289" s="949"/>
      <c r="G289" s="948"/>
      <c r="H289" s="948"/>
      <c r="I289" s="948"/>
      <c r="J289" s="948"/>
      <c r="K289" s="949"/>
      <c r="L289" s="948"/>
      <c r="M289" s="948"/>
      <c r="N289" s="948"/>
      <c r="O289" s="948"/>
      <c r="P289" s="949"/>
      <c r="Q289" s="948"/>
      <c r="R289" s="948">
        <v>3379</v>
      </c>
      <c r="S289" s="948">
        <v>6344</v>
      </c>
      <c r="T289" s="948">
        <v>5598</v>
      </c>
      <c r="U289" s="949">
        <v>21234</v>
      </c>
      <c r="V289" s="948">
        <v>7035</v>
      </c>
      <c r="W289" s="948">
        <v>4745</v>
      </c>
      <c r="X289" s="948">
        <v>6287</v>
      </c>
      <c r="Y289" s="948">
        <v>2876</v>
      </c>
      <c r="Z289" s="949">
        <v>20943</v>
      </c>
      <c r="AA289" s="948">
        <v>6388</v>
      </c>
      <c r="AB289" s="948">
        <v>3932</v>
      </c>
      <c r="AC289" s="948">
        <v>7758</v>
      </c>
      <c r="AD289" s="948">
        <v>5431</v>
      </c>
      <c r="AE289" s="949">
        <v>23509</v>
      </c>
      <c r="AF289" s="948">
        <v>7035</v>
      </c>
      <c r="AG289" s="948">
        <v>0</v>
      </c>
      <c r="AH289" s="948">
        <v>7960</v>
      </c>
      <c r="AI289" s="948">
        <v>5704</v>
      </c>
      <c r="AJ289" s="949">
        <v>20699</v>
      </c>
      <c r="AK289" s="948">
        <v>7061</v>
      </c>
      <c r="AL289" s="948">
        <v>6382</v>
      </c>
      <c r="AM289" s="948">
        <v>5403</v>
      </c>
      <c r="AN289" s="954">
        <v>5704</v>
      </c>
      <c r="AO289" s="1000">
        <v>24550</v>
      </c>
    </row>
    <row r="290" spans="1:41" outlineLevel="2">
      <c r="A290" s="955"/>
      <c r="B290" s="997"/>
      <c r="C290" s="997"/>
      <c r="D290" s="997"/>
      <c r="E290" s="997"/>
      <c r="F290" s="1001"/>
      <c r="G290" s="997"/>
      <c r="H290" s="997"/>
      <c r="I290" s="997"/>
      <c r="J290" s="997"/>
      <c r="K290" s="1001"/>
      <c r="L290" s="997"/>
      <c r="M290" s="997"/>
      <c r="N290" s="997"/>
      <c r="O290" s="997"/>
      <c r="P290" s="1001"/>
      <c r="Q290" s="997"/>
      <c r="R290" s="997"/>
      <c r="S290" s="997"/>
      <c r="T290" s="997"/>
      <c r="U290" s="1001"/>
      <c r="V290" s="997"/>
      <c r="W290" s="997"/>
      <c r="X290" s="997"/>
      <c r="Y290" s="997"/>
      <c r="Z290" s="1001"/>
      <c r="AA290" s="997"/>
      <c r="AB290" s="997"/>
      <c r="AC290" s="997"/>
      <c r="AD290" s="948">
        <v>126</v>
      </c>
      <c r="AE290" s="949">
        <v>2430</v>
      </c>
      <c r="AF290" s="948">
        <v>2860</v>
      </c>
      <c r="AG290" s="948">
        <v>0</v>
      </c>
      <c r="AH290" s="948">
        <v>3551</v>
      </c>
      <c r="AI290" s="948">
        <v>2468</v>
      </c>
      <c r="AJ290" s="949">
        <v>8879</v>
      </c>
      <c r="AK290" s="948">
        <v>3234</v>
      </c>
      <c r="AL290" s="948">
        <v>2647</v>
      </c>
      <c r="AM290" s="948">
        <v>2407</v>
      </c>
      <c r="AN290" s="954">
        <v>2468</v>
      </c>
      <c r="AO290" s="1000">
        <v>10756</v>
      </c>
    </row>
    <row r="291" spans="1:41" ht="13.5" outlineLevel="1" thickBot="1">
      <c r="A291" s="960" t="s">
        <v>700</v>
      </c>
      <c r="B291" s="961">
        <v>14573.01</v>
      </c>
      <c r="C291" s="961">
        <v>3727</v>
      </c>
      <c r="D291" s="961">
        <v>6151</v>
      </c>
      <c r="E291" s="961">
        <v>16169</v>
      </c>
      <c r="F291" s="962">
        <v>53713.41</v>
      </c>
      <c r="G291" s="961">
        <v>39701</v>
      </c>
      <c r="H291" s="961">
        <v>10954</v>
      </c>
      <c r="I291" s="961">
        <v>24340</v>
      </c>
      <c r="J291" s="961">
        <v>17205</v>
      </c>
      <c r="K291" s="962">
        <v>97636</v>
      </c>
      <c r="L291" s="961">
        <v>43454</v>
      </c>
      <c r="M291" s="961">
        <v>19504</v>
      </c>
      <c r="N291" s="961">
        <v>42671</v>
      </c>
      <c r="O291" s="961">
        <v>23568.000189999999</v>
      </c>
      <c r="P291" s="962">
        <v>129197.00018999999</v>
      </c>
      <c r="Q291" s="961">
        <v>40000.000000002001</v>
      </c>
      <c r="R291" s="961">
        <v>33668</v>
      </c>
      <c r="S291" s="961">
        <v>49218</v>
      </c>
      <c r="T291" s="961">
        <v>37051</v>
      </c>
      <c r="U291" s="962">
        <v>165850.00000000201</v>
      </c>
      <c r="V291" s="961">
        <v>52040.000110000001</v>
      </c>
      <c r="W291" s="961">
        <v>35543</v>
      </c>
      <c r="X291" s="961">
        <v>55283.01</v>
      </c>
      <c r="Y291" s="961">
        <v>38409</v>
      </c>
      <c r="Z291" s="962">
        <v>181275.01011</v>
      </c>
      <c r="AA291" s="961">
        <v>54224</v>
      </c>
      <c r="AB291" s="961">
        <v>41139</v>
      </c>
      <c r="AC291" s="961">
        <v>59217</v>
      </c>
      <c r="AD291" s="961">
        <v>45834</v>
      </c>
      <c r="AE291" s="962">
        <v>202718</v>
      </c>
      <c r="AF291" s="961">
        <v>53423</v>
      </c>
      <c r="AG291" s="961">
        <v>1036</v>
      </c>
      <c r="AH291" s="961">
        <v>62236</v>
      </c>
      <c r="AI291" s="961">
        <v>48299</v>
      </c>
      <c r="AJ291" s="962">
        <v>164994</v>
      </c>
      <c r="AK291" s="961">
        <v>58095</v>
      </c>
      <c r="AL291" s="961">
        <v>45586</v>
      </c>
      <c r="AM291" s="961">
        <v>46739</v>
      </c>
      <c r="AN291" s="963">
        <v>48299</v>
      </c>
      <c r="AO291" s="1003">
        <v>198719</v>
      </c>
    </row>
    <row r="292" spans="1:41" ht="13.5" outlineLevel="2" thickTop="1">
      <c r="A292" s="953"/>
      <c r="B292" s="948"/>
      <c r="C292" s="948"/>
      <c r="D292" s="948"/>
      <c r="E292" s="948"/>
      <c r="F292" s="949"/>
      <c r="G292" s="948"/>
      <c r="H292" s="948"/>
      <c r="I292" s="948"/>
      <c r="J292" s="948"/>
      <c r="K292" s="949"/>
      <c r="L292" s="948"/>
      <c r="M292" s="948"/>
      <c r="N292" s="948"/>
      <c r="O292" s="948"/>
      <c r="P292" s="949"/>
      <c r="Q292" s="948">
        <v>3277</v>
      </c>
      <c r="R292" s="948">
        <v>194</v>
      </c>
      <c r="S292" s="948">
        <v>113</v>
      </c>
      <c r="T292" s="948">
        <v>623</v>
      </c>
      <c r="U292" s="949">
        <v>4207</v>
      </c>
      <c r="V292" s="948">
        <v>2688</v>
      </c>
      <c r="W292" s="948">
        <v>200</v>
      </c>
      <c r="X292" s="948">
        <v>154</v>
      </c>
      <c r="Y292" s="948">
        <v>1206</v>
      </c>
      <c r="Z292" s="949">
        <v>4248</v>
      </c>
      <c r="AA292" s="948">
        <v>2107</v>
      </c>
      <c r="AB292" s="948">
        <v>197</v>
      </c>
      <c r="AC292" s="997"/>
      <c r="AD292" s="997"/>
      <c r="AE292" s="997"/>
      <c r="AF292" s="997"/>
      <c r="AG292" s="997"/>
      <c r="AH292" s="997"/>
      <c r="AI292" s="997"/>
      <c r="AJ292" s="997"/>
      <c r="AK292" s="997"/>
      <c r="AL292" s="997"/>
      <c r="AM292" s="997"/>
      <c r="AN292" s="998">
        <v>0</v>
      </c>
      <c r="AO292" s="999">
        <v>0</v>
      </c>
    </row>
    <row r="293" spans="1:41" outlineLevel="2">
      <c r="A293" s="953"/>
      <c r="B293" s="948">
        <v>7256</v>
      </c>
      <c r="C293" s="948">
        <v>996</v>
      </c>
      <c r="D293" s="948">
        <v>3022</v>
      </c>
      <c r="E293" s="948">
        <v>4785</v>
      </c>
      <c r="F293" s="949">
        <v>16059</v>
      </c>
      <c r="G293" s="948">
        <v>17168</v>
      </c>
      <c r="H293" s="948">
        <v>5268</v>
      </c>
      <c r="I293" s="948">
        <v>6318</v>
      </c>
      <c r="J293" s="948">
        <v>7148</v>
      </c>
      <c r="K293" s="949">
        <v>35902</v>
      </c>
      <c r="L293" s="948">
        <v>23250</v>
      </c>
      <c r="M293" s="948">
        <v>7895</v>
      </c>
      <c r="N293" s="948">
        <v>17429</v>
      </c>
      <c r="O293" s="948">
        <v>14391</v>
      </c>
      <c r="P293" s="949">
        <v>62965</v>
      </c>
      <c r="Q293" s="948">
        <v>23306</v>
      </c>
      <c r="R293" s="948">
        <v>8608</v>
      </c>
      <c r="S293" s="948">
        <v>16363</v>
      </c>
      <c r="T293" s="948">
        <v>10636</v>
      </c>
      <c r="U293" s="949">
        <v>58913</v>
      </c>
      <c r="V293" s="948">
        <v>18223</v>
      </c>
      <c r="W293" s="948">
        <v>10330</v>
      </c>
      <c r="X293" s="948">
        <v>20980</v>
      </c>
      <c r="Y293" s="948">
        <v>12539</v>
      </c>
      <c r="Z293" s="949">
        <v>62072</v>
      </c>
      <c r="AA293" s="948">
        <v>20430</v>
      </c>
      <c r="AB293" s="948">
        <v>13013</v>
      </c>
      <c r="AC293" s="948">
        <v>19563</v>
      </c>
      <c r="AD293" s="948">
        <v>13113</v>
      </c>
      <c r="AE293" s="949">
        <v>66119</v>
      </c>
      <c r="AF293" s="948">
        <v>19654</v>
      </c>
      <c r="AG293" s="948">
        <v>0</v>
      </c>
      <c r="AH293" s="948">
        <v>21013</v>
      </c>
      <c r="AI293" s="948">
        <v>17367</v>
      </c>
      <c r="AJ293" s="949">
        <v>58034</v>
      </c>
      <c r="AK293" s="948">
        <v>18485</v>
      </c>
      <c r="AL293" s="948">
        <v>15904</v>
      </c>
      <c r="AM293" s="948">
        <v>16069</v>
      </c>
      <c r="AN293" s="954">
        <v>17367</v>
      </c>
      <c r="AO293" s="1000">
        <v>67825</v>
      </c>
    </row>
    <row r="294" spans="1:41" outlineLevel="2">
      <c r="A294" s="953"/>
      <c r="B294" s="948">
        <v>901</v>
      </c>
      <c r="C294" s="948"/>
      <c r="D294" s="948"/>
      <c r="E294" s="948"/>
      <c r="F294" s="949">
        <v>1198</v>
      </c>
      <c r="G294" s="948">
        <v>2301</v>
      </c>
      <c r="H294" s="948">
        <v>93</v>
      </c>
      <c r="I294" s="948"/>
      <c r="J294" s="948">
        <v>199</v>
      </c>
      <c r="K294" s="949">
        <v>2593</v>
      </c>
      <c r="L294" s="948">
        <v>1800</v>
      </c>
      <c r="M294" s="948">
        <v>381</v>
      </c>
      <c r="N294" s="948"/>
      <c r="O294" s="948"/>
      <c r="P294" s="949">
        <v>2181</v>
      </c>
      <c r="Q294" s="948">
        <v>3292</v>
      </c>
      <c r="R294" s="948">
        <v>362</v>
      </c>
      <c r="S294" s="948">
        <v>251</v>
      </c>
      <c r="T294" s="948">
        <v>877</v>
      </c>
      <c r="U294" s="949">
        <v>4782</v>
      </c>
      <c r="V294" s="948">
        <v>2761</v>
      </c>
      <c r="W294" s="948">
        <v>180</v>
      </c>
      <c r="X294" s="948">
        <v>202</v>
      </c>
      <c r="Y294" s="948">
        <v>520</v>
      </c>
      <c r="Z294" s="949">
        <v>3663</v>
      </c>
      <c r="AA294" s="948">
        <v>1765</v>
      </c>
      <c r="AB294" s="948">
        <v>197</v>
      </c>
      <c r="AC294" s="948">
        <v>0</v>
      </c>
      <c r="AD294" s="948">
        <v>193</v>
      </c>
      <c r="AE294" s="949">
        <v>2155</v>
      </c>
      <c r="AF294" s="948">
        <v>2414</v>
      </c>
      <c r="AG294" s="948">
        <v>0</v>
      </c>
      <c r="AH294" s="948">
        <v>0</v>
      </c>
      <c r="AI294" s="948">
        <v>295</v>
      </c>
      <c r="AJ294" s="949">
        <v>2709</v>
      </c>
      <c r="AK294" s="948">
        <v>2884</v>
      </c>
      <c r="AL294" s="948">
        <v>2737</v>
      </c>
      <c r="AM294" s="948">
        <v>2594</v>
      </c>
      <c r="AN294" s="954">
        <v>295</v>
      </c>
      <c r="AO294" s="1000">
        <v>8510</v>
      </c>
    </row>
    <row r="295" spans="1:41" outlineLevel="2">
      <c r="A295" s="953"/>
      <c r="B295" s="948">
        <v>7221</v>
      </c>
      <c r="C295" s="948">
        <v>3345</v>
      </c>
      <c r="D295" s="948">
        <v>1666</v>
      </c>
      <c r="E295" s="948">
        <v>2418</v>
      </c>
      <c r="F295" s="949">
        <v>14650</v>
      </c>
      <c r="G295" s="948">
        <v>12754</v>
      </c>
      <c r="H295" s="948">
        <v>1760</v>
      </c>
      <c r="I295" s="948"/>
      <c r="J295" s="948">
        <v>776</v>
      </c>
      <c r="K295" s="949">
        <v>15290</v>
      </c>
      <c r="L295" s="948">
        <v>14450</v>
      </c>
      <c r="M295" s="948">
        <v>232</v>
      </c>
      <c r="N295" s="948"/>
      <c r="O295" s="948">
        <v>1386</v>
      </c>
      <c r="P295" s="949">
        <v>16068</v>
      </c>
      <c r="Q295" s="948">
        <v>14287</v>
      </c>
      <c r="R295" s="948">
        <v>3871</v>
      </c>
      <c r="S295" s="948">
        <v>2044</v>
      </c>
      <c r="T295" s="948">
        <v>3943</v>
      </c>
      <c r="U295" s="949">
        <v>24145</v>
      </c>
      <c r="V295" s="948">
        <v>11727</v>
      </c>
      <c r="W295" s="948">
        <v>3357</v>
      </c>
      <c r="X295" s="948">
        <v>3155</v>
      </c>
      <c r="Y295" s="948">
        <v>623</v>
      </c>
      <c r="Z295" s="949">
        <v>18862</v>
      </c>
      <c r="AA295" s="948">
        <v>10709</v>
      </c>
      <c r="AB295" s="948">
        <v>6098</v>
      </c>
      <c r="AC295" s="948">
        <v>11706</v>
      </c>
      <c r="AD295" s="948">
        <v>7731</v>
      </c>
      <c r="AE295" s="949">
        <v>36244</v>
      </c>
      <c r="AF295" s="948">
        <v>12076</v>
      </c>
      <c r="AG295" s="948">
        <v>0</v>
      </c>
      <c r="AH295" s="948">
        <v>13694</v>
      </c>
      <c r="AI295" s="948">
        <v>7078</v>
      </c>
      <c r="AJ295" s="949">
        <v>32848</v>
      </c>
      <c r="AK295" s="948">
        <v>12848</v>
      </c>
      <c r="AL295" s="948">
        <v>9127</v>
      </c>
      <c r="AM295" s="948">
        <v>10788</v>
      </c>
      <c r="AN295" s="954">
        <v>7078</v>
      </c>
      <c r="AO295" s="1000">
        <v>39841</v>
      </c>
    </row>
    <row r="296" spans="1:41" outlineLevel="2">
      <c r="A296" s="953"/>
      <c r="B296" s="948">
        <v>7306</v>
      </c>
      <c r="C296" s="948">
        <v>1689</v>
      </c>
      <c r="D296" s="948">
        <v>2424</v>
      </c>
      <c r="E296" s="948">
        <v>4320</v>
      </c>
      <c r="F296" s="949">
        <v>15739</v>
      </c>
      <c r="G296" s="948">
        <v>12711</v>
      </c>
      <c r="H296" s="948">
        <v>3741</v>
      </c>
      <c r="I296" s="948">
        <v>8110</v>
      </c>
      <c r="J296" s="948">
        <v>5682</v>
      </c>
      <c r="K296" s="949">
        <v>30244</v>
      </c>
      <c r="L296" s="948">
        <v>10404</v>
      </c>
      <c r="M296" s="948">
        <v>7375</v>
      </c>
      <c r="N296" s="948">
        <v>10883</v>
      </c>
      <c r="O296" s="948">
        <v>7999</v>
      </c>
      <c r="P296" s="949">
        <v>36661</v>
      </c>
      <c r="Q296" s="948">
        <v>11122</v>
      </c>
      <c r="R296" s="948">
        <v>7561</v>
      </c>
      <c r="S296" s="948">
        <v>11237</v>
      </c>
      <c r="T296" s="948">
        <v>8868</v>
      </c>
      <c r="U296" s="949">
        <v>38788</v>
      </c>
      <c r="V296" s="948">
        <v>10508</v>
      </c>
      <c r="W296" s="948">
        <v>6958</v>
      </c>
      <c r="X296" s="948">
        <v>11072</v>
      </c>
      <c r="Y296" s="948">
        <v>7548</v>
      </c>
      <c r="Z296" s="949">
        <v>36086</v>
      </c>
      <c r="AA296" s="948">
        <v>11340</v>
      </c>
      <c r="AB296" s="948">
        <v>7431</v>
      </c>
      <c r="AC296" s="948">
        <v>11315</v>
      </c>
      <c r="AD296" s="948">
        <v>8337</v>
      </c>
      <c r="AE296" s="949">
        <v>38423</v>
      </c>
      <c r="AF296" s="948">
        <v>11083</v>
      </c>
      <c r="AG296" s="948">
        <v>0</v>
      </c>
      <c r="AH296" s="948">
        <v>11575</v>
      </c>
      <c r="AI296" s="948">
        <v>6982</v>
      </c>
      <c r="AJ296" s="949">
        <v>29640</v>
      </c>
      <c r="AK296" s="948">
        <v>11058</v>
      </c>
      <c r="AL296" s="948">
        <v>8582</v>
      </c>
      <c r="AM296" s="948">
        <v>8311</v>
      </c>
      <c r="AN296" s="954">
        <v>6982</v>
      </c>
      <c r="AO296" s="1000">
        <v>34933</v>
      </c>
    </row>
    <row r="297" spans="1:41" outlineLevel="2">
      <c r="A297" s="953"/>
      <c r="B297" s="948"/>
      <c r="C297" s="948"/>
      <c r="D297" s="948"/>
      <c r="E297" s="948"/>
      <c r="F297" s="949">
        <v>17397.040266146611</v>
      </c>
      <c r="G297" s="948">
        <v>11527</v>
      </c>
      <c r="H297" s="948">
        <v>1935</v>
      </c>
      <c r="I297" s="948"/>
      <c r="J297" s="948">
        <v>1210</v>
      </c>
      <c r="K297" s="949">
        <v>14672</v>
      </c>
      <c r="L297" s="948">
        <v>13732</v>
      </c>
      <c r="M297" s="948">
        <v>4083</v>
      </c>
      <c r="N297" s="948">
        <v>12025</v>
      </c>
      <c r="O297" s="948">
        <v>7238</v>
      </c>
      <c r="P297" s="949">
        <v>37078</v>
      </c>
      <c r="Q297" s="948">
        <v>12499.000110000001</v>
      </c>
      <c r="R297" s="948">
        <v>8923.0000018000028</v>
      </c>
      <c r="S297" s="948">
        <v>13915</v>
      </c>
      <c r="T297" s="948">
        <v>9443</v>
      </c>
      <c r="U297" s="949">
        <v>44780.000111800007</v>
      </c>
      <c r="V297" s="948">
        <v>15496.000200000002</v>
      </c>
      <c r="W297" s="948">
        <v>7985.0010000000002</v>
      </c>
      <c r="X297" s="948">
        <v>12577.011</v>
      </c>
      <c r="Y297" s="948">
        <v>7401</v>
      </c>
      <c r="Z297" s="949">
        <v>43459.012200000005</v>
      </c>
      <c r="AA297" s="948">
        <v>15236</v>
      </c>
      <c r="AB297" s="948">
        <v>10158</v>
      </c>
      <c r="AC297" s="948">
        <v>14532</v>
      </c>
      <c r="AD297" s="948">
        <v>9660</v>
      </c>
      <c r="AE297" s="949">
        <v>49586</v>
      </c>
      <c r="AF297" s="948">
        <v>15491</v>
      </c>
      <c r="AG297" s="948">
        <v>34</v>
      </c>
      <c r="AH297" s="948">
        <v>15651</v>
      </c>
      <c r="AI297" s="948">
        <v>10148</v>
      </c>
      <c r="AJ297" s="949">
        <v>41324</v>
      </c>
      <c r="AK297" s="948">
        <v>16450</v>
      </c>
      <c r="AL297" s="948">
        <v>12248</v>
      </c>
      <c r="AM297" s="948">
        <v>11346</v>
      </c>
      <c r="AN297" s="954">
        <v>10148</v>
      </c>
      <c r="AO297" s="1000">
        <v>50192</v>
      </c>
    </row>
    <row r="298" spans="1:41" outlineLevel="2">
      <c r="A298" s="953"/>
      <c r="B298" s="997"/>
      <c r="C298" s="997"/>
      <c r="D298" s="997"/>
      <c r="E298" s="997"/>
      <c r="F298" s="1001"/>
      <c r="G298" s="997"/>
      <c r="H298" s="997"/>
      <c r="I298" s="997"/>
      <c r="J298" s="997"/>
      <c r="K298" s="1001"/>
      <c r="L298" s="997"/>
      <c r="M298" s="997"/>
      <c r="N298" s="997"/>
      <c r="O298" s="997"/>
      <c r="P298" s="1001"/>
      <c r="Q298" s="997"/>
      <c r="R298" s="997"/>
      <c r="S298" s="997"/>
      <c r="T298" s="997"/>
      <c r="U298" s="1001"/>
      <c r="V298" s="997"/>
      <c r="W298" s="997"/>
      <c r="X298" s="997"/>
      <c r="Y298" s="997"/>
      <c r="Z298" s="1001"/>
      <c r="AA298" s="997"/>
      <c r="AB298" s="997"/>
      <c r="AC298" s="997"/>
      <c r="AD298" s="997"/>
      <c r="AE298" s="997"/>
      <c r="AF298" s="957">
        <v>7712</v>
      </c>
      <c r="AG298" s="957">
        <v>5</v>
      </c>
      <c r="AH298" s="957">
        <v>8251</v>
      </c>
      <c r="AI298" s="957">
        <v>6509</v>
      </c>
      <c r="AJ298" s="958">
        <v>22477</v>
      </c>
      <c r="AK298" s="957">
        <v>8199</v>
      </c>
      <c r="AL298" s="957">
        <v>4602</v>
      </c>
      <c r="AM298" s="957">
        <v>4218</v>
      </c>
      <c r="AN298" s="959">
        <v>6509</v>
      </c>
      <c r="AO298" s="1002">
        <v>23528</v>
      </c>
    </row>
    <row r="299" spans="1:41" outlineLevel="2">
      <c r="A299" s="953"/>
      <c r="B299" s="957"/>
      <c r="C299" s="957"/>
      <c r="D299" s="957"/>
      <c r="E299" s="957"/>
      <c r="F299" s="958"/>
      <c r="G299" s="957">
        <v>10572</v>
      </c>
      <c r="H299" s="957">
        <v>4860</v>
      </c>
      <c r="I299" s="957">
        <v>8467</v>
      </c>
      <c r="J299" s="957">
        <v>6870</v>
      </c>
      <c r="K299" s="958">
        <v>30769</v>
      </c>
      <c r="L299" s="957">
        <v>10775</v>
      </c>
      <c r="M299" s="957">
        <v>8329</v>
      </c>
      <c r="N299" s="957">
        <v>11561</v>
      </c>
      <c r="O299" s="957">
        <v>6193</v>
      </c>
      <c r="P299" s="958">
        <v>36858</v>
      </c>
      <c r="Q299" s="957">
        <v>13020</v>
      </c>
      <c r="R299" s="957">
        <v>7404</v>
      </c>
      <c r="S299" s="957">
        <v>10960</v>
      </c>
      <c r="T299" s="957">
        <v>8265</v>
      </c>
      <c r="U299" s="958">
        <v>39649</v>
      </c>
      <c r="V299" s="957">
        <v>11103</v>
      </c>
      <c r="W299" s="957">
        <v>6773</v>
      </c>
      <c r="X299" s="957">
        <v>12498</v>
      </c>
      <c r="Y299" s="957">
        <v>7459</v>
      </c>
      <c r="Z299" s="958">
        <v>37833</v>
      </c>
      <c r="AA299" s="957">
        <v>11411</v>
      </c>
      <c r="AB299" s="957">
        <v>8331</v>
      </c>
      <c r="AC299" s="957">
        <v>12530</v>
      </c>
      <c r="AD299" s="957">
        <v>8068</v>
      </c>
      <c r="AE299" s="958">
        <v>40340</v>
      </c>
      <c r="AF299" s="957">
        <v>11131</v>
      </c>
      <c r="AG299" s="957">
        <v>58</v>
      </c>
      <c r="AH299" s="957">
        <v>9792</v>
      </c>
      <c r="AI299" s="957">
        <v>6259</v>
      </c>
      <c r="AJ299" s="958">
        <v>27240</v>
      </c>
      <c r="AK299" s="957">
        <v>10432</v>
      </c>
      <c r="AL299" s="957">
        <v>8571</v>
      </c>
      <c r="AM299" s="957">
        <v>7294</v>
      </c>
      <c r="AN299" s="959">
        <v>6259</v>
      </c>
      <c r="AO299" s="1002">
        <v>32556</v>
      </c>
    </row>
    <row r="300" spans="1:41" outlineLevel="2">
      <c r="A300" s="953"/>
      <c r="B300" s="997"/>
      <c r="C300" s="997"/>
      <c r="D300" s="997"/>
      <c r="E300" s="997"/>
      <c r="F300" s="1001"/>
      <c r="G300" s="997"/>
      <c r="H300" s="997"/>
      <c r="I300" s="997"/>
      <c r="J300" s="997"/>
      <c r="K300" s="1001"/>
      <c r="L300" s="997"/>
      <c r="M300" s="997"/>
      <c r="N300" s="997"/>
      <c r="O300" s="997"/>
      <c r="P300" s="1001"/>
      <c r="Q300" s="997"/>
      <c r="R300" s="997"/>
      <c r="S300" s="997"/>
      <c r="T300" s="997"/>
      <c r="U300" s="1001"/>
      <c r="V300" s="997"/>
      <c r="W300" s="997"/>
      <c r="X300" s="997"/>
      <c r="Y300" s="997"/>
      <c r="Z300" s="1001"/>
      <c r="AA300" s="997"/>
      <c r="AB300" s="997"/>
      <c r="AC300" s="997"/>
      <c r="AD300" s="948">
        <v>203</v>
      </c>
      <c r="AE300" s="949">
        <v>5375</v>
      </c>
      <c r="AF300" s="948">
        <v>4463</v>
      </c>
      <c r="AG300" s="948">
        <v>0</v>
      </c>
      <c r="AH300" s="948">
        <v>0</v>
      </c>
      <c r="AI300" s="948">
        <v>320</v>
      </c>
      <c r="AJ300" s="949">
        <v>4783</v>
      </c>
      <c r="AK300" s="948">
        <v>5892</v>
      </c>
      <c r="AL300" s="948">
        <v>4952</v>
      </c>
      <c r="AM300" s="948">
        <v>1780</v>
      </c>
      <c r="AN300" s="954">
        <v>320</v>
      </c>
      <c r="AO300" s="1000">
        <v>12944</v>
      </c>
    </row>
    <row r="301" spans="1:41" outlineLevel="2">
      <c r="A301" s="953"/>
      <c r="B301" s="997"/>
      <c r="C301" s="997"/>
      <c r="D301" s="997"/>
      <c r="E301" s="997"/>
      <c r="F301" s="1001"/>
      <c r="G301" s="997"/>
      <c r="H301" s="997"/>
      <c r="I301" s="997"/>
      <c r="J301" s="997"/>
      <c r="K301" s="1001"/>
      <c r="L301" s="997"/>
      <c r="M301" s="997"/>
      <c r="N301" s="997"/>
      <c r="O301" s="997"/>
      <c r="P301" s="1001"/>
      <c r="Q301" s="997"/>
      <c r="R301" s="997"/>
      <c r="S301" s="997"/>
      <c r="T301" s="997"/>
      <c r="U301" s="1001"/>
      <c r="V301" s="997"/>
      <c r="W301" s="997"/>
      <c r="X301" s="997"/>
      <c r="Y301" s="997"/>
      <c r="Z301" s="1001"/>
      <c r="AA301" s="997"/>
      <c r="AB301" s="997"/>
      <c r="AC301" s="997"/>
      <c r="AD301" s="948">
        <v>271</v>
      </c>
      <c r="AE301" s="949">
        <v>7337</v>
      </c>
      <c r="AF301" s="948">
        <v>3852</v>
      </c>
      <c r="AG301" s="948">
        <v>0</v>
      </c>
      <c r="AH301" s="948">
        <v>5232</v>
      </c>
      <c r="AI301" s="948">
        <v>4154</v>
      </c>
      <c r="AJ301" s="949">
        <v>13238</v>
      </c>
      <c r="AK301" s="948">
        <v>5101</v>
      </c>
      <c r="AL301" s="948">
        <v>4873</v>
      </c>
      <c r="AM301" s="948">
        <v>4457</v>
      </c>
      <c r="AN301" s="954">
        <v>4154</v>
      </c>
      <c r="AO301" s="1000">
        <v>18585</v>
      </c>
    </row>
    <row r="302" spans="1:41" ht="13.5" outlineLevel="1" thickBot="1">
      <c r="A302" s="960" t="s">
        <v>701</v>
      </c>
      <c r="B302" s="961">
        <v>22684</v>
      </c>
      <c r="C302" s="961">
        <v>6030</v>
      </c>
      <c r="D302" s="961">
        <v>7112</v>
      </c>
      <c r="E302" s="961">
        <v>11523</v>
      </c>
      <c r="F302" s="962">
        <v>65043.040266146607</v>
      </c>
      <c r="G302" s="961">
        <v>67033</v>
      </c>
      <c r="H302" s="961">
        <v>17657</v>
      </c>
      <c r="I302" s="961">
        <v>22895</v>
      </c>
      <c r="J302" s="961">
        <v>21885</v>
      </c>
      <c r="K302" s="962">
        <v>129470</v>
      </c>
      <c r="L302" s="961">
        <v>74411</v>
      </c>
      <c r="M302" s="961">
        <v>28295</v>
      </c>
      <c r="N302" s="961">
        <v>51898</v>
      </c>
      <c r="O302" s="961">
        <v>37207</v>
      </c>
      <c r="P302" s="962">
        <v>191811</v>
      </c>
      <c r="Q302" s="961">
        <v>80803.000109999994</v>
      </c>
      <c r="R302" s="961">
        <v>36923.000001799999</v>
      </c>
      <c r="S302" s="961">
        <v>54883</v>
      </c>
      <c r="T302" s="961">
        <v>42655</v>
      </c>
      <c r="U302" s="962">
        <v>215264.00011180001</v>
      </c>
      <c r="V302" s="961">
        <v>72506.000200000009</v>
      </c>
      <c r="W302" s="961">
        <v>35783.001000000004</v>
      </c>
      <c r="X302" s="961">
        <v>60638.010999999999</v>
      </c>
      <c r="Y302" s="961">
        <v>37296</v>
      </c>
      <c r="Z302" s="962">
        <v>206223.0122</v>
      </c>
      <c r="AA302" s="961">
        <v>72998</v>
      </c>
      <c r="AB302" s="961">
        <v>45425</v>
      </c>
      <c r="AC302" s="961">
        <v>69646</v>
      </c>
      <c r="AD302" s="961">
        <v>47576</v>
      </c>
      <c r="AE302" s="962">
        <v>245579</v>
      </c>
      <c r="AF302" s="961">
        <v>87876</v>
      </c>
      <c r="AG302" s="961">
        <v>97</v>
      </c>
      <c r="AH302" s="961">
        <v>85208</v>
      </c>
      <c r="AI302" s="961">
        <v>59112</v>
      </c>
      <c r="AJ302" s="962">
        <v>232293</v>
      </c>
      <c r="AK302" s="961">
        <v>91349</v>
      </c>
      <c r="AL302" s="961">
        <v>71596</v>
      </c>
      <c r="AM302" s="961">
        <v>66857</v>
      </c>
      <c r="AN302" s="963">
        <v>59112</v>
      </c>
      <c r="AO302" s="1003">
        <v>288914</v>
      </c>
    </row>
    <row r="303" spans="1:41" ht="13.5" outlineLevel="2" thickTop="1">
      <c r="A303" s="953"/>
      <c r="B303" s="948">
        <v>3320</v>
      </c>
      <c r="C303" s="948">
        <v>462</v>
      </c>
      <c r="D303" s="948"/>
      <c r="E303" s="948">
        <v>143</v>
      </c>
      <c r="F303" s="949">
        <v>3925</v>
      </c>
      <c r="G303" s="948">
        <v>6389</v>
      </c>
      <c r="H303" s="948">
        <v>366</v>
      </c>
      <c r="I303" s="948"/>
      <c r="J303" s="948">
        <v>456</v>
      </c>
      <c r="K303" s="949">
        <v>7211</v>
      </c>
      <c r="L303" s="948">
        <v>7006</v>
      </c>
      <c r="M303" s="948">
        <v>360</v>
      </c>
      <c r="N303" s="948"/>
      <c r="O303" s="948">
        <v>597</v>
      </c>
      <c r="P303" s="949">
        <v>7963</v>
      </c>
      <c r="Q303" s="948">
        <v>6773</v>
      </c>
      <c r="R303" s="948">
        <v>396</v>
      </c>
      <c r="S303" s="948">
        <v>503</v>
      </c>
      <c r="T303" s="948">
        <v>713</v>
      </c>
      <c r="U303" s="949">
        <v>8385</v>
      </c>
      <c r="V303" s="948">
        <v>4460</v>
      </c>
      <c r="W303" s="948">
        <v>689</v>
      </c>
      <c r="X303" s="948">
        <v>509</v>
      </c>
      <c r="Y303" s="948">
        <v>505</v>
      </c>
      <c r="Z303" s="949">
        <v>6163</v>
      </c>
      <c r="AA303" s="948">
        <v>4411</v>
      </c>
      <c r="AB303" s="948">
        <v>588</v>
      </c>
      <c r="AC303" s="948">
        <v>173</v>
      </c>
      <c r="AD303" s="997"/>
      <c r="AE303" s="1001"/>
      <c r="AF303" s="997"/>
      <c r="AG303" s="997"/>
      <c r="AH303" s="997"/>
      <c r="AI303" s="997"/>
      <c r="AJ303" s="1001"/>
      <c r="AK303" s="997"/>
      <c r="AL303" s="997"/>
      <c r="AM303" s="997"/>
      <c r="AN303" s="998">
        <v>0</v>
      </c>
      <c r="AO303" s="999">
        <v>0</v>
      </c>
    </row>
    <row r="304" spans="1:41" outlineLevel="2">
      <c r="A304" s="953"/>
      <c r="B304" s="997"/>
      <c r="C304" s="997"/>
      <c r="D304" s="997"/>
      <c r="E304" s="997"/>
      <c r="F304" s="1001"/>
      <c r="G304" s="997"/>
      <c r="H304" s="997"/>
      <c r="I304" s="997"/>
      <c r="J304" s="997"/>
      <c r="K304" s="1001"/>
      <c r="L304" s="997"/>
      <c r="M304" s="997"/>
      <c r="N304" s="997"/>
      <c r="O304" s="997"/>
      <c r="P304" s="1001"/>
      <c r="Q304" s="997"/>
      <c r="R304" s="997"/>
      <c r="S304" s="997"/>
      <c r="T304" s="997"/>
      <c r="U304" s="1001"/>
      <c r="V304" s="948">
        <v>3652</v>
      </c>
      <c r="W304" s="948">
        <v>417</v>
      </c>
      <c r="X304" s="948">
        <v>2869</v>
      </c>
      <c r="Y304" s="948">
        <v>460</v>
      </c>
      <c r="Z304" s="949">
        <v>7398</v>
      </c>
      <c r="AA304" s="948">
        <v>3690</v>
      </c>
      <c r="AB304" s="948">
        <v>326</v>
      </c>
      <c r="AC304" s="948">
        <v>3050</v>
      </c>
      <c r="AD304" s="997"/>
      <c r="AE304" s="1001"/>
      <c r="AF304" s="997"/>
      <c r="AG304" s="997"/>
      <c r="AH304" s="997"/>
      <c r="AI304" s="997"/>
      <c r="AJ304" s="1001"/>
      <c r="AK304" s="997"/>
      <c r="AL304" s="997"/>
      <c r="AM304" s="997"/>
      <c r="AN304" s="998">
        <v>0</v>
      </c>
      <c r="AO304" s="999">
        <v>0</v>
      </c>
    </row>
    <row r="305" spans="1:41" outlineLevel="2">
      <c r="A305" s="953"/>
      <c r="B305" s="948"/>
      <c r="C305" s="948"/>
      <c r="D305" s="948"/>
      <c r="E305" s="948"/>
      <c r="F305" s="949"/>
      <c r="G305" s="948">
        <v>9677</v>
      </c>
      <c r="H305" s="948">
        <v>150</v>
      </c>
      <c r="I305" s="948">
        <v>9900</v>
      </c>
      <c r="J305" s="948">
        <v>5012</v>
      </c>
      <c r="K305" s="949">
        <v>24739</v>
      </c>
      <c r="L305" s="948">
        <v>10977</v>
      </c>
      <c r="M305" s="948">
        <v>7837</v>
      </c>
      <c r="N305" s="948">
        <v>12074</v>
      </c>
      <c r="O305" s="948">
        <v>6564</v>
      </c>
      <c r="P305" s="949">
        <v>37452</v>
      </c>
      <c r="Q305" s="948">
        <v>12351</v>
      </c>
      <c r="R305" s="948">
        <v>8533</v>
      </c>
      <c r="S305" s="948">
        <v>11355</v>
      </c>
      <c r="T305" s="948">
        <v>8103</v>
      </c>
      <c r="U305" s="949">
        <v>40342</v>
      </c>
      <c r="V305" s="948">
        <v>10685</v>
      </c>
      <c r="W305" s="948">
        <v>8263</v>
      </c>
      <c r="X305" s="948">
        <v>12832</v>
      </c>
      <c r="Y305" s="948">
        <v>7962</v>
      </c>
      <c r="Z305" s="949">
        <v>39742</v>
      </c>
      <c r="AA305" s="948">
        <v>11238</v>
      </c>
      <c r="AB305" s="948">
        <v>9846</v>
      </c>
      <c r="AC305" s="948">
        <v>11998</v>
      </c>
      <c r="AD305" s="948">
        <v>7653</v>
      </c>
      <c r="AE305" s="949">
        <v>40735</v>
      </c>
      <c r="AF305" s="948">
        <v>10640</v>
      </c>
      <c r="AG305" s="948">
        <v>64</v>
      </c>
      <c r="AH305" s="948">
        <v>8853</v>
      </c>
      <c r="AI305" s="948">
        <v>5914</v>
      </c>
      <c r="AJ305" s="949">
        <v>25471</v>
      </c>
      <c r="AK305" s="948">
        <v>10056</v>
      </c>
      <c r="AL305" s="948">
        <v>9071</v>
      </c>
      <c r="AM305" s="948">
        <v>7311</v>
      </c>
      <c r="AN305" s="954">
        <v>5914</v>
      </c>
      <c r="AO305" s="1000">
        <v>32352</v>
      </c>
    </row>
    <row r="306" spans="1:41" outlineLevel="2">
      <c r="A306" s="955"/>
      <c r="B306" s="957">
        <v>10290.8058</v>
      </c>
      <c r="C306" s="957">
        <v>614.72460000000001</v>
      </c>
      <c r="D306" s="957">
        <v>1785.6054000000001</v>
      </c>
      <c r="E306" s="957">
        <v>4019</v>
      </c>
      <c r="F306" s="958">
        <v>16710.1358</v>
      </c>
      <c r="G306" s="957">
        <v>11892</v>
      </c>
      <c r="H306" s="957">
        <v>2646.7835999999998</v>
      </c>
      <c r="I306" s="957">
        <v>7249.7970000000005</v>
      </c>
      <c r="J306" s="957">
        <v>6523</v>
      </c>
      <c r="K306" s="958">
        <v>21788.580600000001</v>
      </c>
      <c r="L306" s="957">
        <v>10898.955</v>
      </c>
      <c r="M306" s="957">
        <v>6104</v>
      </c>
      <c r="N306" s="957">
        <v>11072</v>
      </c>
      <c r="O306" s="957">
        <v>5709.7366000000002</v>
      </c>
      <c r="P306" s="958">
        <v>33784.691600000006</v>
      </c>
      <c r="Q306" s="957">
        <v>12449</v>
      </c>
      <c r="R306" s="957">
        <v>9256</v>
      </c>
      <c r="S306" s="957">
        <v>12651</v>
      </c>
      <c r="T306" s="957">
        <v>8126</v>
      </c>
      <c r="U306" s="958">
        <v>42482</v>
      </c>
      <c r="V306" s="957">
        <v>11938</v>
      </c>
      <c r="W306" s="957">
        <v>8687</v>
      </c>
      <c r="X306" s="957">
        <v>14046</v>
      </c>
      <c r="Y306" s="957">
        <v>8418</v>
      </c>
      <c r="Z306" s="958">
        <v>43089</v>
      </c>
      <c r="AA306" s="957">
        <v>12647</v>
      </c>
      <c r="AB306" s="957">
        <v>9291</v>
      </c>
      <c r="AC306" s="957">
        <v>12561</v>
      </c>
      <c r="AD306" s="957">
        <v>8226</v>
      </c>
      <c r="AE306" s="958">
        <v>42725</v>
      </c>
      <c r="AF306" s="957">
        <v>12324</v>
      </c>
      <c r="AG306" s="957">
        <v>1</v>
      </c>
      <c r="AH306" s="957">
        <v>10656</v>
      </c>
      <c r="AI306" s="957">
        <v>8835</v>
      </c>
      <c r="AJ306" s="958">
        <v>31816</v>
      </c>
      <c r="AK306" s="957">
        <v>11900</v>
      </c>
      <c r="AL306" s="957">
        <v>10074</v>
      </c>
      <c r="AM306" s="957">
        <v>7525</v>
      </c>
      <c r="AN306" s="959">
        <v>8835</v>
      </c>
      <c r="AO306" s="1002">
        <v>38334</v>
      </c>
    </row>
    <row r="307" spans="1:41" ht="13.5" outlineLevel="1" thickBot="1">
      <c r="A307" s="960" t="s">
        <v>702</v>
      </c>
      <c r="B307" s="961">
        <v>13610.8058</v>
      </c>
      <c r="C307" s="961">
        <v>1076.7246</v>
      </c>
      <c r="D307" s="961">
        <v>1785.6054000000001</v>
      </c>
      <c r="E307" s="961">
        <v>4162</v>
      </c>
      <c r="F307" s="962">
        <v>20635.1358</v>
      </c>
      <c r="G307" s="961">
        <v>27958</v>
      </c>
      <c r="H307" s="961">
        <v>3162.7835999999998</v>
      </c>
      <c r="I307" s="961">
        <v>17149.796999999999</v>
      </c>
      <c r="J307" s="961">
        <v>11991</v>
      </c>
      <c r="K307" s="962">
        <v>53738.580600000001</v>
      </c>
      <c r="L307" s="961">
        <v>28881.955000000002</v>
      </c>
      <c r="M307" s="961">
        <v>14301</v>
      </c>
      <c r="N307" s="961">
        <v>23146</v>
      </c>
      <c r="O307" s="961">
        <v>12870.7366</v>
      </c>
      <c r="P307" s="962">
        <v>79199.691600000006</v>
      </c>
      <c r="Q307" s="961">
        <v>31573</v>
      </c>
      <c r="R307" s="961">
        <v>18185</v>
      </c>
      <c r="S307" s="961">
        <v>24509</v>
      </c>
      <c r="T307" s="961">
        <v>16942</v>
      </c>
      <c r="U307" s="962">
        <v>91209</v>
      </c>
      <c r="V307" s="961">
        <v>30735</v>
      </c>
      <c r="W307" s="961">
        <v>18056</v>
      </c>
      <c r="X307" s="961">
        <v>30256</v>
      </c>
      <c r="Y307" s="961">
        <v>17345</v>
      </c>
      <c r="Z307" s="962">
        <v>96392</v>
      </c>
      <c r="AA307" s="961">
        <v>31986</v>
      </c>
      <c r="AB307" s="961">
        <v>20051</v>
      </c>
      <c r="AC307" s="961">
        <v>27782</v>
      </c>
      <c r="AD307" s="961">
        <v>15879</v>
      </c>
      <c r="AE307" s="962">
        <v>83460</v>
      </c>
      <c r="AF307" s="961">
        <v>22964</v>
      </c>
      <c r="AG307" s="961">
        <v>65</v>
      </c>
      <c r="AH307" s="961">
        <v>19509</v>
      </c>
      <c r="AI307" s="961">
        <v>14749</v>
      </c>
      <c r="AJ307" s="962">
        <v>57287</v>
      </c>
      <c r="AK307" s="961">
        <v>21956</v>
      </c>
      <c r="AL307" s="961">
        <v>19145</v>
      </c>
      <c r="AM307" s="961">
        <v>14836</v>
      </c>
      <c r="AN307" s="963">
        <v>14749</v>
      </c>
      <c r="AO307" s="1003">
        <v>70686</v>
      </c>
    </row>
    <row r="308" spans="1:41" ht="13.5" outlineLevel="2" thickTop="1">
      <c r="A308" s="953"/>
      <c r="B308" s="948"/>
      <c r="C308" s="948"/>
      <c r="D308" s="948"/>
      <c r="E308" s="948">
        <v>525</v>
      </c>
      <c r="F308" s="949"/>
      <c r="G308" s="948">
        <v>8954</v>
      </c>
      <c r="H308" s="948">
        <v>2665</v>
      </c>
      <c r="I308" s="948">
        <v>4033</v>
      </c>
      <c r="J308" s="948"/>
      <c r="K308" s="949">
        <v>15652</v>
      </c>
      <c r="L308" s="948">
        <v>10866</v>
      </c>
      <c r="M308" s="948">
        <v>5135</v>
      </c>
      <c r="N308" s="948">
        <v>9898</v>
      </c>
      <c r="O308" s="948">
        <v>2436</v>
      </c>
      <c r="P308" s="949">
        <v>28335</v>
      </c>
      <c r="Q308" s="948">
        <v>11591</v>
      </c>
      <c r="R308" s="948">
        <v>3342</v>
      </c>
      <c r="S308" s="948">
        <v>9956</v>
      </c>
      <c r="T308" s="948">
        <v>2788</v>
      </c>
      <c r="U308" s="949">
        <v>27677</v>
      </c>
      <c r="V308" s="948">
        <v>12377</v>
      </c>
      <c r="W308" s="948">
        <v>6465</v>
      </c>
      <c r="X308" s="948">
        <v>12538</v>
      </c>
      <c r="Y308" s="948">
        <v>3403</v>
      </c>
      <c r="Z308" s="949">
        <v>34783</v>
      </c>
      <c r="AA308" s="948">
        <v>12349</v>
      </c>
      <c r="AB308" s="948">
        <v>6914</v>
      </c>
      <c r="AC308" s="948">
        <v>12641</v>
      </c>
      <c r="AD308" s="948">
        <v>3319</v>
      </c>
      <c r="AE308" s="949">
        <v>35223</v>
      </c>
      <c r="AF308" s="948">
        <v>11663</v>
      </c>
      <c r="AG308" s="948">
        <v>18</v>
      </c>
      <c r="AH308" s="948">
        <v>11963</v>
      </c>
      <c r="AI308" s="948">
        <v>3106</v>
      </c>
      <c r="AJ308" s="949">
        <v>26750</v>
      </c>
      <c r="AK308" s="948">
        <v>12611</v>
      </c>
      <c r="AL308" s="948">
        <v>9439</v>
      </c>
      <c r="AM308" s="948">
        <v>9284</v>
      </c>
      <c r="AN308" s="954">
        <v>3106</v>
      </c>
      <c r="AO308" s="1000">
        <v>34440</v>
      </c>
    </row>
    <row r="309" spans="1:41" outlineLevel="2">
      <c r="A309" s="953"/>
      <c r="B309" s="948"/>
      <c r="C309" s="948"/>
      <c r="D309" s="948"/>
      <c r="E309" s="948">
        <v>1256</v>
      </c>
      <c r="F309" s="949"/>
      <c r="G309" s="948">
        <v>19509</v>
      </c>
      <c r="H309" s="948">
        <v>2371</v>
      </c>
      <c r="I309" s="948">
        <v>2564</v>
      </c>
      <c r="J309" s="948">
        <v>2810</v>
      </c>
      <c r="K309" s="949">
        <v>27254</v>
      </c>
      <c r="L309" s="948">
        <v>21163</v>
      </c>
      <c r="M309" s="948">
        <v>4506</v>
      </c>
      <c r="N309" s="948">
        <v>11746</v>
      </c>
      <c r="O309" s="948">
        <v>4190</v>
      </c>
      <c r="P309" s="949">
        <v>41605</v>
      </c>
      <c r="Q309" s="948">
        <v>21516</v>
      </c>
      <c r="R309" s="948">
        <v>7387</v>
      </c>
      <c r="S309" s="948">
        <v>13949</v>
      </c>
      <c r="T309" s="948">
        <v>4073</v>
      </c>
      <c r="U309" s="949">
        <v>46925</v>
      </c>
      <c r="V309" s="948">
        <v>25267</v>
      </c>
      <c r="W309" s="948">
        <v>7920</v>
      </c>
      <c r="X309" s="948">
        <v>15866</v>
      </c>
      <c r="Y309" s="948">
        <v>5280</v>
      </c>
      <c r="Z309" s="949">
        <v>54333</v>
      </c>
      <c r="AA309" s="948">
        <v>25215</v>
      </c>
      <c r="AB309" s="948">
        <v>6899</v>
      </c>
      <c r="AC309" s="948">
        <v>9330</v>
      </c>
      <c r="AD309" s="948">
        <v>2417</v>
      </c>
      <c r="AE309" s="949">
        <v>43861</v>
      </c>
      <c r="AF309" s="948">
        <v>14572</v>
      </c>
      <c r="AG309" s="948">
        <v>6</v>
      </c>
      <c r="AH309" s="948">
        <v>1117</v>
      </c>
      <c r="AI309" s="948">
        <v>1995</v>
      </c>
      <c r="AJ309" s="949">
        <v>17690</v>
      </c>
      <c r="AK309" s="948">
        <v>15457</v>
      </c>
      <c r="AL309" s="948">
        <v>5532</v>
      </c>
      <c r="AM309" s="948">
        <v>8734</v>
      </c>
      <c r="AN309" s="954">
        <v>1995</v>
      </c>
      <c r="AO309" s="1000">
        <v>31718</v>
      </c>
    </row>
    <row r="310" spans="1:41" outlineLevel="2">
      <c r="A310" s="953"/>
      <c r="B310" s="948"/>
      <c r="C310" s="948"/>
      <c r="D310" s="948"/>
      <c r="E310" s="948"/>
      <c r="F310" s="949"/>
      <c r="G310" s="948"/>
      <c r="H310" s="948"/>
      <c r="I310" s="948"/>
      <c r="J310" s="948"/>
      <c r="K310" s="949"/>
      <c r="L310" s="948"/>
      <c r="M310" s="948"/>
      <c r="N310" s="948"/>
      <c r="O310" s="948"/>
      <c r="P310" s="949"/>
      <c r="Q310" s="948">
        <v>8211</v>
      </c>
      <c r="R310" s="948">
        <v>844</v>
      </c>
      <c r="S310" s="948">
        <v>5810</v>
      </c>
      <c r="T310" s="948">
        <v>2960</v>
      </c>
      <c r="U310" s="949">
        <v>17825</v>
      </c>
      <c r="V310" s="948">
        <v>12836</v>
      </c>
      <c r="W310" s="948">
        <v>5930</v>
      </c>
      <c r="X310" s="948">
        <v>8842</v>
      </c>
      <c r="Y310" s="948">
        <v>2094</v>
      </c>
      <c r="Z310" s="949">
        <v>29702</v>
      </c>
      <c r="AA310" s="948">
        <v>12297</v>
      </c>
      <c r="AB310" s="948">
        <v>4090</v>
      </c>
      <c r="AC310" s="948">
        <v>9150</v>
      </c>
      <c r="AD310" s="948">
        <v>3544</v>
      </c>
      <c r="AE310" s="949">
        <v>29081</v>
      </c>
      <c r="AF310" s="948">
        <v>10960</v>
      </c>
      <c r="AG310" s="948">
        <v>0</v>
      </c>
      <c r="AH310" s="948">
        <v>0</v>
      </c>
      <c r="AI310" s="948">
        <v>756</v>
      </c>
      <c r="AJ310" s="949">
        <v>11716</v>
      </c>
      <c r="AK310" s="948">
        <v>11071</v>
      </c>
      <c r="AL310" s="948">
        <v>4802</v>
      </c>
      <c r="AM310" s="948">
        <v>5297</v>
      </c>
      <c r="AN310" s="954">
        <v>756</v>
      </c>
      <c r="AO310" s="1000">
        <v>21926</v>
      </c>
    </row>
    <row r="311" spans="1:41" outlineLevel="2">
      <c r="A311" s="953"/>
      <c r="B311" s="957"/>
      <c r="C311" s="957"/>
      <c r="D311" s="957"/>
      <c r="E311" s="957"/>
      <c r="F311" s="958"/>
      <c r="G311" s="957"/>
      <c r="H311" s="957"/>
      <c r="I311" s="957"/>
      <c r="J311" s="957"/>
      <c r="K311" s="958"/>
      <c r="L311" s="957"/>
      <c r="M311" s="957"/>
      <c r="N311" s="957"/>
      <c r="O311" s="957">
        <v>1288</v>
      </c>
      <c r="P311" s="958">
        <v>1288</v>
      </c>
      <c r="Q311" s="957">
        <v>10134</v>
      </c>
      <c r="R311" s="957">
        <v>5246</v>
      </c>
      <c r="S311" s="957">
        <v>10371</v>
      </c>
      <c r="T311" s="957">
        <v>1567</v>
      </c>
      <c r="U311" s="958">
        <v>27318</v>
      </c>
      <c r="V311" s="957">
        <v>9471</v>
      </c>
      <c r="W311" s="957">
        <v>4849</v>
      </c>
      <c r="X311" s="957">
        <v>9207</v>
      </c>
      <c r="Y311" s="957">
        <v>3634</v>
      </c>
      <c r="Z311" s="958">
        <v>27161</v>
      </c>
      <c r="AA311" s="957">
        <v>9254</v>
      </c>
      <c r="AB311" s="957">
        <v>4463</v>
      </c>
      <c r="AC311" s="957">
        <v>7902</v>
      </c>
      <c r="AD311" s="957">
        <v>3116</v>
      </c>
      <c r="AE311" s="958">
        <v>24735</v>
      </c>
      <c r="AF311" s="957">
        <v>8474</v>
      </c>
      <c r="AG311" s="957">
        <v>6</v>
      </c>
      <c r="AH311" s="957">
        <v>9827</v>
      </c>
      <c r="AI311" s="957">
        <v>3649</v>
      </c>
      <c r="AJ311" s="958">
        <v>21956</v>
      </c>
      <c r="AK311" s="957">
        <v>8550</v>
      </c>
      <c r="AL311" s="957">
        <v>3983</v>
      </c>
      <c r="AM311" s="957">
        <v>4301</v>
      </c>
      <c r="AN311" s="959">
        <v>3649</v>
      </c>
      <c r="AO311" s="1002">
        <v>20483</v>
      </c>
    </row>
    <row r="312" spans="1:41" ht="13.5" outlineLevel="1" thickBot="1">
      <c r="A312" s="960" t="s">
        <v>708</v>
      </c>
      <c r="B312" s="961"/>
      <c r="C312" s="961"/>
      <c r="D312" s="961"/>
      <c r="E312" s="961">
        <v>1781</v>
      </c>
      <c r="F312" s="962">
        <f>E312</f>
        <v>1781</v>
      </c>
      <c r="G312" s="961">
        <v>28463</v>
      </c>
      <c r="H312" s="961">
        <v>5036</v>
      </c>
      <c r="I312" s="961">
        <v>6597</v>
      </c>
      <c r="J312" s="961">
        <v>2810</v>
      </c>
      <c r="K312" s="962">
        <v>42906</v>
      </c>
      <c r="L312" s="961">
        <v>32029</v>
      </c>
      <c r="M312" s="961">
        <v>9641</v>
      </c>
      <c r="N312" s="961">
        <v>21644</v>
      </c>
      <c r="O312" s="961">
        <v>7914</v>
      </c>
      <c r="P312" s="962">
        <v>71228</v>
      </c>
      <c r="Q312" s="961">
        <v>51452</v>
      </c>
      <c r="R312" s="961">
        <v>16819</v>
      </c>
      <c r="S312" s="961">
        <v>40086</v>
      </c>
      <c r="T312" s="961">
        <v>11388</v>
      </c>
      <c r="U312" s="962">
        <v>119745</v>
      </c>
      <c r="V312" s="961">
        <v>59951</v>
      </c>
      <c r="W312" s="961">
        <v>25164</v>
      </c>
      <c r="X312" s="961">
        <v>46453</v>
      </c>
      <c r="Y312" s="961">
        <v>14411</v>
      </c>
      <c r="Z312" s="962">
        <v>145979</v>
      </c>
      <c r="AA312" s="961">
        <v>59115</v>
      </c>
      <c r="AB312" s="961">
        <v>22366</v>
      </c>
      <c r="AC312" s="961">
        <v>39023</v>
      </c>
      <c r="AD312" s="961">
        <v>12396</v>
      </c>
      <c r="AE312" s="962">
        <v>132900</v>
      </c>
      <c r="AF312" s="961">
        <v>45669</v>
      </c>
      <c r="AG312" s="961">
        <v>30</v>
      </c>
      <c r="AH312" s="961">
        <v>22907</v>
      </c>
      <c r="AI312" s="961">
        <v>9506</v>
      </c>
      <c r="AJ312" s="962">
        <v>78112</v>
      </c>
      <c r="AK312" s="961">
        <v>47689</v>
      </c>
      <c r="AL312" s="961">
        <v>23756</v>
      </c>
      <c r="AM312" s="961">
        <v>27616</v>
      </c>
      <c r="AN312" s="963">
        <v>9506</v>
      </c>
      <c r="AO312" s="1003">
        <v>108567</v>
      </c>
    </row>
    <row r="313" spans="1:41" ht="13.5" outlineLevel="1" thickTop="1">
      <c r="A313" s="965" t="s">
        <v>175</v>
      </c>
      <c r="B313" s="966">
        <f>B291+B302+B307+B312</f>
        <v>50867.815800000004</v>
      </c>
      <c r="C313" s="966">
        <f t="shared" ref="C313:AO313" si="48">C291+C302+C307+C312</f>
        <v>10833.7246</v>
      </c>
      <c r="D313" s="966">
        <f t="shared" si="48"/>
        <v>15048.6054</v>
      </c>
      <c r="E313" s="966">
        <f t="shared" si="48"/>
        <v>33635</v>
      </c>
      <c r="F313" s="966">
        <f t="shared" si="48"/>
        <v>141172.58606614661</v>
      </c>
      <c r="G313" s="966">
        <f t="shared" si="48"/>
        <v>163155</v>
      </c>
      <c r="H313" s="966">
        <f t="shared" si="48"/>
        <v>36809.783599999995</v>
      </c>
      <c r="I313" s="966">
        <f t="shared" si="48"/>
        <v>70981.796999999991</v>
      </c>
      <c r="J313" s="966">
        <f t="shared" si="48"/>
        <v>53891</v>
      </c>
      <c r="K313" s="966">
        <f t="shared" si="48"/>
        <v>323750.58059999999</v>
      </c>
      <c r="L313" s="966">
        <f t="shared" si="48"/>
        <v>178775.95500000002</v>
      </c>
      <c r="M313" s="966">
        <f t="shared" si="48"/>
        <v>71741</v>
      </c>
      <c r="N313" s="966">
        <f t="shared" si="48"/>
        <v>139359</v>
      </c>
      <c r="O313" s="966">
        <f t="shared" si="48"/>
        <v>81559.736789999995</v>
      </c>
      <c r="P313" s="966">
        <f t="shared" si="48"/>
        <v>471435.69179000001</v>
      </c>
      <c r="Q313" s="966">
        <f t="shared" si="48"/>
        <v>203828.000110002</v>
      </c>
      <c r="R313" s="966">
        <f t="shared" si="48"/>
        <v>105595.0000018</v>
      </c>
      <c r="S313" s="966">
        <f t="shared" si="48"/>
        <v>168696</v>
      </c>
      <c r="T313" s="966">
        <f t="shared" si="48"/>
        <v>108036</v>
      </c>
      <c r="U313" s="966">
        <f t="shared" si="48"/>
        <v>592068.00011180202</v>
      </c>
      <c r="V313" s="966">
        <f t="shared" si="48"/>
        <v>215232.00031</v>
      </c>
      <c r="W313" s="966">
        <f t="shared" si="48"/>
        <v>114546.001</v>
      </c>
      <c r="X313" s="966">
        <f t="shared" si="48"/>
        <v>192630.02100000001</v>
      </c>
      <c r="Y313" s="966">
        <f t="shared" si="48"/>
        <v>107461</v>
      </c>
      <c r="Z313" s="966">
        <f t="shared" si="48"/>
        <v>629869.02231000003</v>
      </c>
      <c r="AA313" s="966">
        <f t="shared" si="48"/>
        <v>218323</v>
      </c>
      <c r="AB313" s="966">
        <f t="shared" si="48"/>
        <v>128981</v>
      </c>
      <c r="AC313" s="966">
        <f t="shared" si="48"/>
        <v>195668</v>
      </c>
      <c r="AD313" s="966">
        <f t="shared" si="48"/>
        <v>121685</v>
      </c>
      <c r="AE313" s="966">
        <f t="shared" si="48"/>
        <v>664657</v>
      </c>
      <c r="AF313" s="966">
        <f t="shared" si="48"/>
        <v>209932</v>
      </c>
      <c r="AG313" s="966">
        <f t="shared" si="48"/>
        <v>1228</v>
      </c>
      <c r="AH313" s="966">
        <f t="shared" si="48"/>
        <v>189860</v>
      </c>
      <c r="AI313" s="966">
        <f t="shared" si="48"/>
        <v>131666</v>
      </c>
      <c r="AJ313" s="966">
        <f t="shared" si="48"/>
        <v>532686</v>
      </c>
      <c r="AK313" s="966">
        <f t="shared" si="48"/>
        <v>219089</v>
      </c>
      <c r="AL313" s="966">
        <f t="shared" si="48"/>
        <v>160083</v>
      </c>
      <c r="AM313" s="966">
        <f t="shared" si="48"/>
        <v>156048</v>
      </c>
      <c r="AN313" s="966">
        <f t="shared" si="48"/>
        <v>131666</v>
      </c>
      <c r="AO313" s="966">
        <f t="shared" si="48"/>
        <v>666886</v>
      </c>
    </row>
    <row r="314" spans="1:41" s="932" customFormat="1" outlineLevel="1">
      <c r="A314" s="1006" t="s">
        <v>407</v>
      </c>
      <c r="B314" s="1006"/>
      <c r="C314" s="1006"/>
      <c r="D314" s="1006"/>
      <c r="E314" s="1006"/>
      <c r="F314" s="1006"/>
      <c r="G314" s="1007">
        <v>303.01199999999994</v>
      </c>
      <c r="H314" s="1007">
        <v>0</v>
      </c>
      <c r="I314" s="1007">
        <v>0</v>
      </c>
      <c r="J314" s="1007">
        <v>158.31200000000001</v>
      </c>
      <c r="K314" s="1007">
        <v>461.32399999999996</v>
      </c>
      <c r="L314" s="1007">
        <v>402</v>
      </c>
      <c r="M314" s="1007">
        <v>54</v>
      </c>
      <c r="N314" s="1007">
        <v>25</v>
      </c>
      <c r="O314" s="1007">
        <v>23</v>
      </c>
      <c r="P314" s="1007">
        <v>504</v>
      </c>
      <c r="Q314" s="1007">
        <v>445</v>
      </c>
      <c r="R314" s="1007">
        <v>106</v>
      </c>
      <c r="S314" s="1007">
        <v>262</v>
      </c>
      <c r="T314" s="1007">
        <v>240.75</v>
      </c>
      <c r="U314" s="1007">
        <v>1053.75</v>
      </c>
      <c r="V314" s="1007">
        <v>588</v>
      </c>
      <c r="W314" s="1007">
        <v>125</v>
      </c>
      <c r="X314" s="1007">
        <v>215.5</v>
      </c>
      <c r="Y314" s="1007">
        <v>253.25</v>
      </c>
      <c r="Z314" s="1007">
        <v>1181.75</v>
      </c>
      <c r="AA314" s="1007">
        <v>597</v>
      </c>
      <c r="AB314" s="1007">
        <v>78.25</v>
      </c>
      <c r="AC314" s="1007">
        <v>89</v>
      </c>
      <c r="AD314" s="1007">
        <v>139.80000000000001</v>
      </c>
      <c r="AE314" s="1007">
        <v>904.05</v>
      </c>
      <c r="AF314" s="1007">
        <v>435.75</v>
      </c>
      <c r="AG314" s="1007">
        <v>0</v>
      </c>
      <c r="AH314" s="1007">
        <v>0</v>
      </c>
      <c r="AI314" s="1007">
        <v>84</v>
      </c>
      <c r="AJ314" s="1007">
        <v>519.75</v>
      </c>
      <c r="AK314" s="1007">
        <v>729</v>
      </c>
      <c r="AL314" s="1007">
        <v>233</v>
      </c>
      <c r="AM314" s="1007">
        <v>226.25</v>
      </c>
      <c r="AN314" s="969">
        <f>AI314</f>
        <v>84</v>
      </c>
      <c r="AO314" s="1008">
        <f>AK314+AL314+AM314+AN314</f>
        <v>1272.25</v>
      </c>
    </row>
    <row r="315" spans="1:41" ht="13.5" outlineLevel="1" thickBot="1">
      <c r="A315" s="970"/>
      <c r="B315" s="971"/>
      <c r="C315" s="971"/>
      <c r="D315" s="971"/>
      <c r="E315" s="971"/>
      <c r="F315" s="971"/>
      <c r="G315" s="971"/>
      <c r="H315" s="971"/>
      <c r="I315" s="971"/>
      <c r="J315" s="971"/>
      <c r="K315" s="971"/>
      <c r="L315" s="971"/>
      <c r="M315" s="971"/>
      <c r="N315" s="971"/>
      <c r="O315" s="971"/>
      <c r="P315" s="971"/>
      <c r="Q315" s="971"/>
      <c r="R315" s="971"/>
      <c r="S315" s="971"/>
      <c r="T315" s="971"/>
      <c r="U315" s="971"/>
      <c r="V315" s="971"/>
      <c r="W315" s="971"/>
      <c r="X315" s="971"/>
      <c r="Y315" s="971"/>
      <c r="Z315" s="971"/>
      <c r="AA315" s="971"/>
      <c r="AB315" s="971"/>
      <c r="AC315" s="971"/>
      <c r="AD315" s="971"/>
      <c r="AE315" s="971"/>
      <c r="AF315" s="971"/>
      <c r="AG315" s="971"/>
      <c r="AH315" s="971"/>
      <c r="AI315" s="971"/>
      <c r="AJ315" s="971"/>
      <c r="AK315" s="971"/>
      <c r="AL315" s="971"/>
      <c r="AM315" s="971"/>
      <c r="AN315" s="971"/>
      <c r="AO315" s="971"/>
    </row>
    <row r="316" spans="1:41" outlineLevel="1">
      <c r="A316" s="941"/>
      <c r="B316" s="942">
        <f t="shared" ref="B316:AO316" si="49">B$252</f>
        <v>2014</v>
      </c>
      <c r="C316" s="942">
        <f t="shared" si="49"/>
        <v>2014</v>
      </c>
      <c r="D316" s="942">
        <f t="shared" si="49"/>
        <v>2014</v>
      </c>
      <c r="E316" s="942">
        <f t="shared" si="49"/>
        <v>2014</v>
      </c>
      <c r="F316" s="972">
        <f t="shared" si="49"/>
        <v>2014</v>
      </c>
      <c r="G316" s="942">
        <f t="shared" si="49"/>
        <v>2015</v>
      </c>
      <c r="H316" s="942">
        <f t="shared" si="49"/>
        <v>2015</v>
      </c>
      <c r="I316" s="942">
        <f t="shared" si="49"/>
        <v>2015</v>
      </c>
      <c r="J316" s="942">
        <f t="shared" si="49"/>
        <v>2015</v>
      </c>
      <c r="K316" s="972">
        <f t="shared" si="49"/>
        <v>2015</v>
      </c>
      <c r="L316" s="942">
        <f t="shared" si="49"/>
        <v>2016</v>
      </c>
      <c r="M316" s="942">
        <f t="shared" si="49"/>
        <v>2016</v>
      </c>
      <c r="N316" s="942">
        <f t="shared" si="49"/>
        <v>2016</v>
      </c>
      <c r="O316" s="942">
        <f t="shared" si="49"/>
        <v>2016</v>
      </c>
      <c r="P316" s="972">
        <f t="shared" si="49"/>
        <v>2016</v>
      </c>
      <c r="Q316" s="942">
        <f t="shared" si="49"/>
        <v>2017</v>
      </c>
      <c r="R316" s="942">
        <f t="shared" si="49"/>
        <v>2017</v>
      </c>
      <c r="S316" s="942">
        <f t="shared" si="49"/>
        <v>2017</v>
      </c>
      <c r="T316" s="942">
        <f t="shared" si="49"/>
        <v>2017</v>
      </c>
      <c r="U316" s="972">
        <f t="shared" si="49"/>
        <v>2017</v>
      </c>
      <c r="V316" s="942">
        <f t="shared" si="49"/>
        <v>2018</v>
      </c>
      <c r="W316" s="942">
        <f t="shared" si="49"/>
        <v>2018</v>
      </c>
      <c r="X316" s="942">
        <f t="shared" si="49"/>
        <v>2018</v>
      </c>
      <c r="Y316" s="942">
        <f t="shared" si="49"/>
        <v>2018</v>
      </c>
      <c r="Z316" s="972">
        <f t="shared" si="49"/>
        <v>2018</v>
      </c>
      <c r="AA316" s="942">
        <f t="shared" si="49"/>
        <v>2019</v>
      </c>
      <c r="AB316" s="942">
        <f t="shared" si="49"/>
        <v>2019</v>
      </c>
      <c r="AC316" s="942">
        <f t="shared" si="49"/>
        <v>2019</v>
      </c>
      <c r="AD316" s="942">
        <f t="shared" si="49"/>
        <v>2019</v>
      </c>
      <c r="AE316" s="972">
        <f t="shared" si="49"/>
        <v>2019</v>
      </c>
      <c r="AF316" s="942">
        <f t="shared" si="49"/>
        <v>2020</v>
      </c>
      <c r="AG316" s="942">
        <f t="shared" si="49"/>
        <v>2020</v>
      </c>
      <c r="AH316" s="942">
        <f t="shared" si="49"/>
        <v>2020</v>
      </c>
      <c r="AI316" s="942">
        <f t="shared" si="49"/>
        <v>2020</v>
      </c>
      <c r="AJ316" s="972">
        <f t="shared" si="49"/>
        <v>2020</v>
      </c>
      <c r="AK316" s="942">
        <f t="shared" si="49"/>
        <v>2021</v>
      </c>
      <c r="AL316" s="942">
        <f t="shared" si="49"/>
        <v>2021</v>
      </c>
      <c r="AM316" s="942">
        <f t="shared" si="49"/>
        <v>2021</v>
      </c>
      <c r="AN316" s="942">
        <f t="shared" si="49"/>
        <v>2021</v>
      </c>
      <c r="AO316" s="972">
        <f t="shared" si="49"/>
        <v>2021</v>
      </c>
    </row>
    <row r="317" spans="1:41" ht="13.5" outlineLevel="1" thickBot="1">
      <c r="A317" s="944" t="s">
        <v>1029</v>
      </c>
      <c r="B317" s="945" t="str">
        <f t="shared" ref="B317:AO317" si="50">B$253</f>
        <v>1 квартал</v>
      </c>
      <c r="C317" s="945" t="str">
        <f t="shared" si="50"/>
        <v>2 квартал</v>
      </c>
      <c r="D317" s="945" t="str">
        <f t="shared" si="50"/>
        <v>3 квартал</v>
      </c>
      <c r="E317" s="945" t="str">
        <f t="shared" si="50"/>
        <v>4 квартал</v>
      </c>
      <c r="F317" s="973" t="str">
        <f t="shared" si="50"/>
        <v>ГОД</v>
      </c>
      <c r="G317" s="945" t="str">
        <f t="shared" si="50"/>
        <v>1 квартал</v>
      </c>
      <c r="H317" s="945" t="str">
        <f t="shared" si="50"/>
        <v>2 квартал</v>
      </c>
      <c r="I317" s="945" t="str">
        <f t="shared" si="50"/>
        <v>3 квартал</v>
      </c>
      <c r="J317" s="945" t="str">
        <f t="shared" si="50"/>
        <v>4 квартал</v>
      </c>
      <c r="K317" s="973" t="str">
        <f t="shared" si="50"/>
        <v>ГОД</v>
      </c>
      <c r="L317" s="945" t="str">
        <f t="shared" si="50"/>
        <v>1 квартал</v>
      </c>
      <c r="M317" s="945" t="str">
        <f t="shared" si="50"/>
        <v>2 квартал</v>
      </c>
      <c r="N317" s="945" t="str">
        <f t="shared" si="50"/>
        <v>3 квартал</v>
      </c>
      <c r="O317" s="945" t="str">
        <f t="shared" si="50"/>
        <v>4 квартал</v>
      </c>
      <c r="P317" s="973" t="str">
        <f t="shared" si="50"/>
        <v>ГОД</v>
      </c>
      <c r="Q317" s="945" t="str">
        <f t="shared" si="50"/>
        <v>1 квартал</v>
      </c>
      <c r="R317" s="945" t="str">
        <f t="shared" si="50"/>
        <v>2 квартал</v>
      </c>
      <c r="S317" s="945" t="str">
        <f t="shared" si="50"/>
        <v>3 квартал</v>
      </c>
      <c r="T317" s="945" t="str">
        <f t="shared" si="50"/>
        <v>4 квартал</v>
      </c>
      <c r="U317" s="973" t="str">
        <f t="shared" si="50"/>
        <v>ГОД</v>
      </c>
      <c r="V317" s="945" t="str">
        <f t="shared" si="50"/>
        <v>1 квартал</v>
      </c>
      <c r="W317" s="945" t="str">
        <f t="shared" si="50"/>
        <v>2 квартал</v>
      </c>
      <c r="X317" s="945" t="str">
        <f t="shared" si="50"/>
        <v>3 квартал</v>
      </c>
      <c r="Y317" s="945" t="str">
        <f t="shared" si="50"/>
        <v>4 квартал</v>
      </c>
      <c r="Z317" s="973" t="str">
        <f t="shared" si="50"/>
        <v>ГОД</v>
      </c>
      <c r="AA317" s="945" t="str">
        <f t="shared" si="50"/>
        <v>1 квартал</v>
      </c>
      <c r="AB317" s="945" t="str">
        <f t="shared" si="50"/>
        <v>2 квартал</v>
      </c>
      <c r="AC317" s="945" t="str">
        <f t="shared" si="50"/>
        <v>3 квартал</v>
      </c>
      <c r="AD317" s="945" t="str">
        <f t="shared" si="50"/>
        <v>4 квартал</v>
      </c>
      <c r="AE317" s="973" t="str">
        <f t="shared" si="50"/>
        <v>ГОД</v>
      </c>
      <c r="AF317" s="945" t="str">
        <f t="shared" si="50"/>
        <v>1 квартал</v>
      </c>
      <c r="AG317" s="945" t="str">
        <f t="shared" si="50"/>
        <v>2 квартал</v>
      </c>
      <c r="AH317" s="945" t="str">
        <f t="shared" si="50"/>
        <v>3 квартал</v>
      </c>
      <c r="AI317" s="945" t="str">
        <f t="shared" si="50"/>
        <v>4 квартал</v>
      </c>
      <c r="AJ317" s="973" t="str">
        <f t="shared" si="50"/>
        <v>ГОД</v>
      </c>
      <c r="AK317" s="945" t="str">
        <f t="shared" si="50"/>
        <v>1 квартал</v>
      </c>
      <c r="AL317" s="945" t="str">
        <f t="shared" si="50"/>
        <v>2 квартал</v>
      </c>
      <c r="AM317" s="945" t="str">
        <f t="shared" si="50"/>
        <v>3 квартал</v>
      </c>
      <c r="AN317" s="945" t="str">
        <f t="shared" si="50"/>
        <v>4 квартал</v>
      </c>
      <c r="AO317" s="973" t="str">
        <f t="shared" si="50"/>
        <v>ГОД</v>
      </c>
    </row>
    <row r="318" spans="1:41" outlineLevel="1">
      <c r="A318" s="974" t="str">
        <f>A291</f>
        <v>Гостиницы 5*</v>
      </c>
      <c r="B318" s="975">
        <f t="shared" ref="B318:AO318" si="51">B291/B259</f>
        <v>0.30146018312216444</v>
      </c>
      <c r="C318" s="975">
        <f t="shared" si="51"/>
        <v>5.7210733455648914E-2</v>
      </c>
      <c r="D318" s="975">
        <f t="shared" si="51"/>
        <v>9.4403559243929902E-2</v>
      </c>
      <c r="E318" s="975">
        <f t="shared" si="51"/>
        <v>0.19625551664898985</v>
      </c>
      <c r="F318" s="976">
        <f t="shared" si="51"/>
        <v>0.21450649598232627</v>
      </c>
      <c r="G318" s="975">
        <f t="shared" si="51"/>
        <v>0.61016506316663077</v>
      </c>
      <c r="H318" s="975">
        <f t="shared" si="51"/>
        <v>0.16649187603544449</v>
      </c>
      <c r="I318" s="975">
        <f t="shared" si="51"/>
        <v>0.36592699500871972</v>
      </c>
      <c r="J318" s="975">
        <f t="shared" si="51"/>
        <v>0.25865957062962297</v>
      </c>
      <c r="K318" s="976">
        <f t="shared" si="51"/>
        <v>0.369986092742837</v>
      </c>
      <c r="L318" s="975">
        <f t="shared" si="51"/>
        <v>0.66046539905461066</v>
      </c>
      <c r="M318" s="975">
        <f t="shared" si="51"/>
        <v>0.29644491055279437</v>
      </c>
      <c r="N318" s="975">
        <f t="shared" si="51"/>
        <v>0.64151482350111255</v>
      </c>
      <c r="O318" s="975">
        <f t="shared" si="51"/>
        <v>0.3543207677851945</v>
      </c>
      <c r="P318" s="976">
        <f t="shared" si="51"/>
        <v>0.48823965183774343</v>
      </c>
      <c r="Q318" s="975">
        <f t="shared" si="51"/>
        <v>0.52784375824758512</v>
      </c>
      <c r="R318" s="975">
        <f t="shared" si="51"/>
        <v>0.43888258834878052</v>
      </c>
      <c r="S318" s="975">
        <f t="shared" si="51"/>
        <v>0.63386049866062233</v>
      </c>
      <c r="T318" s="975">
        <f t="shared" si="51"/>
        <v>0.47660149215333164</v>
      </c>
      <c r="U318" s="976">
        <f t="shared" si="51"/>
        <v>0.53868215316957524</v>
      </c>
      <c r="V318" s="975">
        <f t="shared" si="51"/>
        <v>0.68591011084750231</v>
      </c>
      <c r="W318" s="975">
        <f t="shared" si="51"/>
        <v>0.46332433876917861</v>
      </c>
      <c r="X318" s="975">
        <f t="shared" si="51"/>
        <v>0.71281409562122855</v>
      </c>
      <c r="Y318" s="975">
        <f t="shared" si="51"/>
        <v>0.49524214760946927</v>
      </c>
      <c r="Z318" s="976">
        <f t="shared" si="51"/>
        <v>0.58913862789450588</v>
      </c>
      <c r="AA318" s="975">
        <f t="shared" si="51"/>
        <v>0.71469619085277447</v>
      </c>
      <c r="AB318" s="975">
        <f t="shared" si="51"/>
        <v>0.5362715576238708</v>
      </c>
      <c r="AC318" s="975">
        <f t="shared" si="51"/>
        <v>0.76353860436329879</v>
      </c>
      <c r="AD318" s="975">
        <f t="shared" si="51"/>
        <v>0.55664318678649505</v>
      </c>
      <c r="AE318" s="976">
        <f t="shared" si="51"/>
        <v>0.62977218996492601</v>
      </c>
      <c r="AF318" s="975">
        <f t="shared" si="51"/>
        <v>0.6559395911351219</v>
      </c>
      <c r="AG318" s="1819">
        <f t="shared" si="51"/>
        <v>1.2720240653201547E-2</v>
      </c>
      <c r="AH318" s="975">
        <f t="shared" si="51"/>
        <v>0.75584163225649748</v>
      </c>
      <c r="AI318" s="975">
        <f t="shared" si="51"/>
        <v>0.58658003400534364</v>
      </c>
      <c r="AJ318" s="976">
        <f t="shared" si="51"/>
        <v>0.50369081417712247</v>
      </c>
      <c r="AK318" s="975">
        <f t="shared" si="51"/>
        <v>0.7212290502793296</v>
      </c>
      <c r="AL318" s="975">
        <f t="shared" si="51"/>
        <v>0.55971514519000554</v>
      </c>
      <c r="AM318" s="975">
        <f t="shared" si="51"/>
        <v>0.56763419965994655</v>
      </c>
      <c r="AN318" s="975">
        <f t="shared" si="51"/>
        <v>0.58658003400534364</v>
      </c>
      <c r="AO318" s="976">
        <f t="shared" si="51"/>
        <v>0.60830795132777227</v>
      </c>
    </row>
    <row r="319" spans="1:41" outlineLevel="1">
      <c r="A319" s="974" t="str">
        <f>A302</f>
        <v>Гостиницы 4*</v>
      </c>
      <c r="B319" s="975">
        <f t="shared" ref="B319:AO319" si="52">B302/B270</f>
        <v>0.3763205071159505</v>
      </c>
      <c r="C319" s="975">
        <f t="shared" si="52"/>
        <v>0.10034314407751325</v>
      </c>
      <c r="D319" s="975">
        <f t="shared" si="52"/>
        <v>0.1178039823448529</v>
      </c>
      <c r="E319" s="975">
        <f t="shared" si="52"/>
        <v>0.18988325812788528</v>
      </c>
      <c r="F319" s="976">
        <f t="shared" si="52"/>
        <v>0.22120599479920311</v>
      </c>
      <c r="G319" s="975">
        <f t="shared" si="52"/>
        <v>0.68963991769547328</v>
      </c>
      <c r="H319" s="975">
        <f t="shared" si="52"/>
        <v>0.17966015466015467</v>
      </c>
      <c r="I319" s="975">
        <f t="shared" si="52"/>
        <v>0.23042471819645732</v>
      </c>
      <c r="J319" s="975">
        <f t="shared" si="52"/>
        <v>0.25303795858432865</v>
      </c>
      <c r="K319" s="976">
        <f t="shared" si="52"/>
        <v>0.33952308898615108</v>
      </c>
      <c r="L319" s="975">
        <f t="shared" si="52"/>
        <v>0.75713268213268214</v>
      </c>
      <c r="M319" s="975">
        <f t="shared" si="52"/>
        <v>0.28790191290191292</v>
      </c>
      <c r="N319" s="975">
        <f t="shared" si="52"/>
        <v>0.52232286634460545</v>
      </c>
      <c r="O319" s="975">
        <f t="shared" si="52"/>
        <v>0.42807998527313729</v>
      </c>
      <c r="P319" s="976">
        <f t="shared" si="52"/>
        <v>0.50102654922734535</v>
      </c>
      <c r="Q319" s="975">
        <f t="shared" si="52"/>
        <v>0.79382061214264654</v>
      </c>
      <c r="R319" s="975">
        <f t="shared" si="52"/>
        <v>0.35875088661983462</v>
      </c>
      <c r="S319" s="975">
        <f t="shared" si="52"/>
        <v>0.52745742513358707</v>
      </c>
      <c r="T319" s="975">
        <f t="shared" si="52"/>
        <v>0.40993926113866141</v>
      </c>
      <c r="U319" s="976">
        <f t="shared" si="52"/>
        <v>0.52145392030764393</v>
      </c>
      <c r="V319" s="975">
        <f t="shared" si="52"/>
        <v>0.71168041028661178</v>
      </c>
      <c r="W319" s="975">
        <f t="shared" si="52"/>
        <v>0.34736730672154703</v>
      </c>
      <c r="X319" s="975">
        <f t="shared" si="52"/>
        <v>0.58225160354893224</v>
      </c>
      <c r="Y319" s="975">
        <f t="shared" si="52"/>
        <v>0.35811952680903364</v>
      </c>
      <c r="Z319" s="976">
        <f t="shared" si="52"/>
        <v>0.49911179679558543</v>
      </c>
      <c r="AA319" s="975">
        <f t="shared" si="52"/>
        <v>0.7222947835035225</v>
      </c>
      <c r="AB319" s="975">
        <f t="shared" si="52"/>
        <v>0.44174851696975592</v>
      </c>
      <c r="AC319" s="975">
        <f t="shared" si="52"/>
        <v>0.70224651125272242</v>
      </c>
      <c r="AD319" s="975">
        <f t="shared" si="52"/>
        <v>0.41436733556298772</v>
      </c>
      <c r="AE319" s="976">
        <f t="shared" si="52"/>
        <v>0.5398717035551921</v>
      </c>
      <c r="AF319" s="975">
        <f t="shared" si="52"/>
        <v>0.70951281347392903</v>
      </c>
      <c r="AG319" s="1819">
        <f t="shared" si="52"/>
        <v>7.7805406272559558E-4</v>
      </c>
      <c r="AH319" s="975">
        <f t="shared" si="52"/>
        <v>0.67702771421306895</v>
      </c>
      <c r="AI319" s="975">
        <f t="shared" si="52"/>
        <v>0.4696796338672769</v>
      </c>
      <c r="AJ319" s="976">
        <f t="shared" si="52"/>
        <v>0.46436681886149739</v>
      </c>
      <c r="AK319" s="975">
        <f t="shared" si="52"/>
        <v>0.74195094217024038</v>
      </c>
      <c r="AL319" s="975">
        <f t="shared" si="52"/>
        <v>0.57512370670265411</v>
      </c>
      <c r="AM319" s="975">
        <f t="shared" si="52"/>
        <v>0.54928686450425579</v>
      </c>
      <c r="AN319" s="975">
        <f t="shared" si="52"/>
        <v>0.4696796338672769</v>
      </c>
      <c r="AO319" s="976">
        <f t="shared" si="52"/>
        <v>0.58345248192576438</v>
      </c>
    </row>
    <row r="320" spans="1:41" ht="12" customHeight="1" outlineLevel="1">
      <c r="A320" s="974" t="str">
        <f>A307</f>
        <v>Гостиницы 3*</v>
      </c>
      <c r="B320" s="975">
        <f t="shared" ref="B320:AO320" si="53">B307/B275</f>
        <v>0.42649477501292216</v>
      </c>
      <c r="C320" s="975">
        <f t="shared" si="53"/>
        <v>3.2223816662011608E-2</v>
      </c>
      <c r="D320" s="975">
        <f t="shared" si="53"/>
        <v>0.11170000000000001</v>
      </c>
      <c r="E320" s="975">
        <f t="shared" si="53"/>
        <v>0.12199739104001898</v>
      </c>
      <c r="F320" s="976">
        <f t="shared" si="53"/>
        <v>0.17877011702508946</v>
      </c>
      <c r="G320" s="975">
        <f t="shared" si="53"/>
        <v>0.60202411714039616</v>
      </c>
      <c r="H320" s="975">
        <f t="shared" si="53"/>
        <v>6.7356325070278555E-2</v>
      </c>
      <c r="I320" s="975">
        <f t="shared" si="53"/>
        <v>0.36126131193124367</v>
      </c>
      <c r="J320" s="975">
        <f t="shared" si="53"/>
        <v>0.25259100101112236</v>
      </c>
      <c r="K320" s="976">
        <f t="shared" si="53"/>
        <v>0.31183170043868813</v>
      </c>
      <c r="L320" s="975">
        <f t="shared" si="53"/>
        <v>0.61508550557969166</v>
      </c>
      <c r="M320" s="975">
        <f t="shared" si="53"/>
        <v>0.30456171735241505</v>
      </c>
      <c r="N320" s="975">
        <f t="shared" si="53"/>
        <v>0.4875716211661611</v>
      </c>
      <c r="O320" s="975">
        <f t="shared" si="53"/>
        <v>0.2711284068167934</v>
      </c>
      <c r="P320" s="976">
        <f t="shared" si="53"/>
        <v>0.41936772444467979</v>
      </c>
      <c r="Q320" s="975">
        <f t="shared" si="53"/>
        <v>0.84736983360171769</v>
      </c>
      <c r="R320" s="975">
        <f t="shared" si="53"/>
        <v>0.4826936348675479</v>
      </c>
      <c r="S320" s="975">
        <f t="shared" si="53"/>
        <v>0.64348351186725483</v>
      </c>
      <c r="T320" s="975">
        <f t="shared" si="53"/>
        <v>0.44481201428271372</v>
      </c>
      <c r="U320" s="976">
        <f t="shared" si="53"/>
        <v>0.60359340877506451</v>
      </c>
      <c r="V320" s="975">
        <f t="shared" si="53"/>
        <v>0.69410569105691056</v>
      </c>
      <c r="W320" s="975">
        <f t="shared" si="53"/>
        <v>0.40328776914142767</v>
      </c>
      <c r="X320" s="975">
        <f t="shared" si="53"/>
        <v>0.66843407564510426</v>
      </c>
      <c r="Y320" s="975">
        <f t="shared" si="53"/>
        <v>0.38319635913750444</v>
      </c>
      <c r="Z320" s="976">
        <f t="shared" si="53"/>
        <v>0.53676355941641607</v>
      </c>
      <c r="AA320" s="975">
        <f t="shared" si="53"/>
        <v>0.72235772357723582</v>
      </c>
      <c r="AB320" s="975">
        <f t="shared" si="53"/>
        <v>0.44784686857857592</v>
      </c>
      <c r="AC320" s="975">
        <f t="shared" si="53"/>
        <v>0.61377695298692114</v>
      </c>
      <c r="AD320" s="975">
        <f t="shared" si="53"/>
        <v>0.5360180934377532</v>
      </c>
      <c r="AE320" s="976">
        <f t="shared" si="53"/>
        <v>0.7101165659831532</v>
      </c>
      <c r="AF320" s="975">
        <f t="shared" si="53"/>
        <v>0.78370077127841098</v>
      </c>
      <c r="AG320" s="1819">
        <f t="shared" si="53"/>
        <v>2.2182786157941437E-3</v>
      </c>
      <c r="AH320" s="975">
        <f t="shared" si="53"/>
        <v>0.65855387523629494</v>
      </c>
      <c r="AI320" s="975">
        <f t="shared" si="53"/>
        <v>0.4978733459357278</v>
      </c>
      <c r="AJ320" s="976">
        <f t="shared" si="53"/>
        <v>0.4860927264704884</v>
      </c>
      <c r="AK320" s="975">
        <f t="shared" si="53"/>
        <v>0.75762594893029678</v>
      </c>
      <c r="AL320" s="975">
        <f t="shared" si="53"/>
        <v>0.65336837075967513</v>
      </c>
      <c r="AM320" s="975">
        <f t="shared" si="53"/>
        <v>0.50081015392924655</v>
      </c>
      <c r="AN320" s="975">
        <f t="shared" si="53"/>
        <v>0.4978733459357278</v>
      </c>
      <c r="AO320" s="976">
        <f t="shared" si="53"/>
        <v>0.60142942227516383</v>
      </c>
    </row>
    <row r="321" spans="1:43" ht="12" customHeight="1" outlineLevel="1">
      <c r="A321" s="974" t="str">
        <f>A312</f>
        <v>Гостиницы 2*</v>
      </c>
      <c r="B321" s="975" t="str">
        <f>IFERROR(B312/B280,"-")</f>
        <v>-</v>
      </c>
      <c r="C321" s="975" t="str">
        <f t="shared" ref="C321:AO321" si="54">IFERROR(C312/C280,"-")</f>
        <v>-</v>
      </c>
      <c r="D321" s="975" t="str">
        <f t="shared" si="54"/>
        <v>-</v>
      </c>
      <c r="E321" s="975" t="str">
        <f t="shared" si="54"/>
        <v>-</v>
      </c>
      <c r="F321" s="976" t="str">
        <f t="shared" si="54"/>
        <v>-</v>
      </c>
      <c r="G321" s="975">
        <f t="shared" si="54"/>
        <v>0.74764906750722349</v>
      </c>
      <c r="H321" s="975">
        <f t="shared" si="54"/>
        <v>0.1973431560797837</v>
      </c>
      <c r="I321" s="975">
        <f t="shared" si="54"/>
        <v>0.32848677986356623</v>
      </c>
      <c r="J321" s="975">
        <f t="shared" si="54"/>
        <v>0.24790471989413321</v>
      </c>
      <c r="K321" s="976">
        <f t="shared" si="54"/>
        <v>0.45160882882313935</v>
      </c>
      <c r="L321" s="975">
        <f t="shared" si="54"/>
        <v>0.70818316492360756</v>
      </c>
      <c r="M321" s="975">
        <f t="shared" si="54"/>
        <v>0.21316912463793752</v>
      </c>
      <c r="N321" s="975">
        <f t="shared" si="54"/>
        <v>0.473051536477685</v>
      </c>
      <c r="O321" s="975">
        <f t="shared" si="54"/>
        <v>0.15817560410129314</v>
      </c>
      <c r="P321" s="976">
        <f t="shared" si="54"/>
        <v>0.3824506956040829</v>
      </c>
      <c r="Q321" s="975">
        <f t="shared" si="54"/>
        <v>0.65112629713996462</v>
      </c>
      <c r="R321" s="975">
        <f t="shared" si="54"/>
        <v>0.21050589501614558</v>
      </c>
      <c r="S321" s="975">
        <f t="shared" si="54"/>
        <v>0.51871118012422357</v>
      </c>
      <c r="T321" s="975">
        <f t="shared" si="54"/>
        <v>0.14736024844720497</v>
      </c>
      <c r="U321" s="976">
        <f t="shared" si="54"/>
        <v>0.38198852870057864</v>
      </c>
      <c r="V321" s="975">
        <f t="shared" si="54"/>
        <v>0.79300264550264554</v>
      </c>
      <c r="W321" s="975">
        <f t="shared" si="54"/>
        <v>0.32919937205651489</v>
      </c>
      <c r="X321" s="975">
        <f t="shared" si="54"/>
        <v>0.59896075094125534</v>
      </c>
      <c r="Y321" s="975">
        <f t="shared" si="54"/>
        <v>0.18581412140904638</v>
      </c>
      <c r="Z321" s="976">
        <f t="shared" si="54"/>
        <v>0.47526631765380006</v>
      </c>
      <c r="AA321" s="975">
        <f t="shared" si="54"/>
        <v>0.77916172400158168</v>
      </c>
      <c r="AB321" s="975">
        <f t="shared" si="54"/>
        <v>0.29155423461473284</v>
      </c>
      <c r="AC321" s="975">
        <f t="shared" si="54"/>
        <v>0.50315900768476973</v>
      </c>
      <c r="AD321" s="975">
        <f t="shared" si="54"/>
        <v>0.15983289494043015</v>
      </c>
      <c r="AE321" s="976">
        <f t="shared" si="54"/>
        <v>0.43192122068931899</v>
      </c>
      <c r="AF321" s="975">
        <f t="shared" si="54"/>
        <v>0.69413159454653228</v>
      </c>
      <c r="AG321" s="1819">
        <f t="shared" si="54"/>
        <v>4.5597555970999955E-4</v>
      </c>
      <c r="AH321" s="975">
        <f t="shared" si="54"/>
        <v>0.34438330627217512</v>
      </c>
      <c r="AI321" s="975">
        <f t="shared" si="54"/>
        <v>0.14351495387774205</v>
      </c>
      <c r="AJ321" s="976">
        <f t="shared" si="54"/>
        <v>0.29549933986282767</v>
      </c>
      <c r="AK321" s="975">
        <f t="shared" si="54"/>
        <v>0.7421257391845627</v>
      </c>
      <c r="AL321" s="975">
        <f t="shared" si="54"/>
        <v>0.36562317234586145</v>
      </c>
      <c r="AM321" s="975">
        <f t="shared" si="54"/>
        <v>0.42041164291803679</v>
      </c>
      <c r="AN321" s="975">
        <f t="shared" si="54"/>
        <v>0.14351495387774205</v>
      </c>
      <c r="AO321" s="976">
        <f t="shared" si="54"/>
        <v>0.41571226723949778</v>
      </c>
    </row>
    <row r="322" spans="1:43" ht="13.5" outlineLevel="1" thickBot="1">
      <c r="A322" s="965" t="str">
        <f>A313</f>
        <v>ВСЕГО</v>
      </c>
      <c r="B322" s="977">
        <f t="shared" ref="B322:AO322" si="55">B313/B281</f>
        <v>0.36196350209871092</v>
      </c>
      <c r="C322" s="977">
        <f t="shared" si="55"/>
        <v>6.8285724209023124E-2</v>
      </c>
      <c r="D322" s="977">
        <f t="shared" si="55"/>
        <v>0.10634031786926859</v>
      </c>
      <c r="E322" s="977">
        <f t="shared" si="55"/>
        <v>0.1898270195247897</v>
      </c>
      <c r="F322" s="978">
        <f t="shared" si="55"/>
        <v>0.21393959587153349</v>
      </c>
      <c r="G322" s="979">
        <f t="shared" si="55"/>
        <v>0.66114614062955879</v>
      </c>
      <c r="H322" s="979">
        <f t="shared" si="55"/>
        <v>0.15561232223481067</v>
      </c>
      <c r="I322" s="979">
        <f t="shared" si="55"/>
        <v>0.30408042205191255</v>
      </c>
      <c r="J322" s="979">
        <f t="shared" si="55"/>
        <v>0.25442845542273335</v>
      </c>
      <c r="K322" s="978">
        <f t="shared" si="55"/>
        <v>0.35477221812507465</v>
      </c>
      <c r="L322" s="979">
        <f t="shared" si="55"/>
        <v>0.69764592829045957</v>
      </c>
      <c r="M322" s="979">
        <f t="shared" si="55"/>
        <v>0.2799583229270729</v>
      </c>
      <c r="N322" s="979">
        <f t="shared" si="55"/>
        <v>0.53785381818743194</v>
      </c>
      <c r="O322" s="979">
        <f t="shared" si="55"/>
        <v>0.32502206455032356</v>
      </c>
      <c r="P322" s="978">
        <f t="shared" si="55"/>
        <v>0.46103925655469169</v>
      </c>
      <c r="Q322" s="979">
        <f t="shared" si="55"/>
        <v>0.69364641861494636</v>
      </c>
      <c r="R322" s="979">
        <f t="shared" si="55"/>
        <v>0.35529228885621422</v>
      </c>
      <c r="S322" s="979">
        <f t="shared" si="55"/>
        <v>0.56786998263023958</v>
      </c>
      <c r="T322" s="979">
        <f t="shared" si="55"/>
        <v>0.36356171759321576</v>
      </c>
      <c r="U322" s="978">
        <f t="shared" si="55"/>
        <v>0.49951572797051341</v>
      </c>
      <c r="V322" s="979">
        <f t="shared" si="55"/>
        <v>0.72315290901454832</v>
      </c>
      <c r="W322" s="979">
        <f t="shared" si="55"/>
        <v>0.38063116532696212</v>
      </c>
      <c r="X322" s="979">
        <f t="shared" si="55"/>
        <v>0.63256935833442796</v>
      </c>
      <c r="Y322" s="979">
        <f t="shared" si="55"/>
        <v>0.35288650991724679</v>
      </c>
      <c r="Z322" s="978">
        <f t="shared" si="55"/>
        <v>0.52158444122135761</v>
      </c>
      <c r="AA322" s="979">
        <f t="shared" si="55"/>
        <v>0.73488642942736737</v>
      </c>
      <c r="AB322" s="979">
        <f t="shared" si="55"/>
        <v>0.42846844811778306</v>
      </c>
      <c r="AC322" s="979">
        <f t="shared" si="55"/>
        <v>0.65320211515863691</v>
      </c>
      <c r="AD322" s="979">
        <f t="shared" si="55"/>
        <v>0.39983767940697124</v>
      </c>
      <c r="AE322" s="978">
        <f t="shared" si="55"/>
        <v>0.552959234608985</v>
      </c>
      <c r="AF322" s="979">
        <f t="shared" si="55"/>
        <v>0.69885550310592093</v>
      </c>
      <c r="AG322" s="1820">
        <f t="shared" si="55"/>
        <v>4.0768898774941071E-3</v>
      </c>
      <c r="AH322" s="979">
        <f t="shared" si="55"/>
        <v>0.62384995531254928</v>
      </c>
      <c r="AI322" s="979">
        <f t="shared" si="55"/>
        <v>0.43303064885860215</v>
      </c>
      <c r="AJ322" s="978">
        <f t="shared" si="55"/>
        <v>0.44023745513418627</v>
      </c>
      <c r="AK322" s="979">
        <f t="shared" si="55"/>
        <v>0.7378970058266815</v>
      </c>
      <c r="AL322" s="979">
        <f t="shared" si="55"/>
        <v>0.53323851050434867</v>
      </c>
      <c r="AM322" s="979">
        <f t="shared" si="55"/>
        <v>0.52125811710002401</v>
      </c>
      <c r="AN322" s="979">
        <f t="shared" si="55"/>
        <v>0.43303064885860215</v>
      </c>
      <c r="AO322" s="978">
        <f t="shared" si="55"/>
        <v>0.55548651278087269</v>
      </c>
    </row>
    <row r="323" spans="1:43" s="932" customFormat="1" ht="13.5" outlineLevel="1" thickBot="1">
      <c r="A323" s="1006" t="s">
        <v>407</v>
      </c>
      <c r="B323" s="1006"/>
      <c r="C323" s="1006"/>
      <c r="D323" s="1006"/>
      <c r="E323" s="1006"/>
      <c r="F323" s="1006"/>
      <c r="G323" s="1010">
        <f>G314/G282</f>
        <v>0.3740888888888888</v>
      </c>
      <c r="H323" s="1010">
        <f t="shared" ref="H323:AO323" si="56">H314/H282</f>
        <v>0</v>
      </c>
      <c r="I323" s="1010">
        <f t="shared" si="56"/>
        <v>0</v>
      </c>
      <c r="J323" s="1010">
        <f t="shared" si="56"/>
        <v>0.13181681931723566</v>
      </c>
      <c r="K323" s="1011">
        <f t="shared" si="56"/>
        <v>0.1146431411530815</v>
      </c>
      <c r="L323" s="1010">
        <f t="shared" si="56"/>
        <v>0.4015984015984016</v>
      </c>
      <c r="M323" s="1010">
        <f t="shared" si="56"/>
        <v>5.3946053946053944E-2</v>
      </c>
      <c r="N323" s="1010">
        <f t="shared" si="56"/>
        <v>2.4703557312252964E-2</v>
      </c>
      <c r="O323" s="1010">
        <f t="shared" si="56"/>
        <v>2.2727272727272728E-2</v>
      </c>
      <c r="P323" s="1011">
        <f t="shared" si="56"/>
        <v>0.12518628912071536</v>
      </c>
      <c r="Q323" s="1010">
        <f t="shared" si="56"/>
        <v>0.49444444444444446</v>
      </c>
      <c r="R323" s="1010">
        <f t="shared" si="56"/>
        <v>0.11648351648351649</v>
      </c>
      <c r="S323" s="1010">
        <f t="shared" si="56"/>
        <v>0.2847826086956522</v>
      </c>
      <c r="T323" s="1010">
        <f t="shared" si="56"/>
        <v>0.26168478260869565</v>
      </c>
      <c r="U323" s="1011">
        <f t="shared" si="56"/>
        <v>0.28869863013698632</v>
      </c>
      <c r="V323" s="1010">
        <f t="shared" si="56"/>
        <v>0.59393939393939399</v>
      </c>
      <c r="W323" s="1010">
        <f t="shared" si="56"/>
        <v>0.12487512487512488</v>
      </c>
      <c r="X323" s="1010">
        <f t="shared" si="56"/>
        <v>0.21294466403162055</v>
      </c>
      <c r="Y323" s="1010">
        <f t="shared" si="56"/>
        <v>0.25024703557312256</v>
      </c>
      <c r="Z323" s="1011">
        <f t="shared" si="56"/>
        <v>0.29433374844333748</v>
      </c>
      <c r="AA323" s="1010">
        <f t="shared" si="56"/>
        <v>0.66333333333333333</v>
      </c>
      <c r="AB323" s="1010">
        <f t="shared" si="56"/>
        <v>8.5989010989010989E-2</v>
      </c>
      <c r="AC323" s="1010">
        <f t="shared" si="56"/>
        <v>9.6739130434782605E-2</v>
      </c>
      <c r="AD323" s="1010">
        <f t="shared" si="56"/>
        <v>0.15195652173913043</v>
      </c>
      <c r="AE323" s="1011">
        <f t="shared" si="56"/>
        <v>0.24768493150684931</v>
      </c>
      <c r="AF323" s="1010">
        <f t="shared" si="56"/>
        <v>0.47884615384615387</v>
      </c>
      <c r="AG323" s="1821">
        <f t="shared" si="56"/>
        <v>0</v>
      </c>
      <c r="AH323" s="1010">
        <f t="shared" si="56"/>
        <v>0</v>
      </c>
      <c r="AI323" s="1010">
        <f t="shared" si="56"/>
        <v>8.3003952569169967E-2</v>
      </c>
      <c r="AJ323" s="1011">
        <f t="shared" si="56"/>
        <v>0.13524590163934427</v>
      </c>
      <c r="AK323" s="1010">
        <f t="shared" si="56"/>
        <v>0.73636363636363633</v>
      </c>
      <c r="AL323" s="1010">
        <f t="shared" si="56"/>
        <v>0.23276723276723277</v>
      </c>
      <c r="AM323" s="1010">
        <f t="shared" si="56"/>
        <v>0.22356719367588934</v>
      </c>
      <c r="AN323" s="1010">
        <f t="shared" si="56"/>
        <v>8.3003952569169967E-2</v>
      </c>
      <c r="AO323" s="1011">
        <f t="shared" si="56"/>
        <v>0.31687422166874224</v>
      </c>
    </row>
    <row r="324" spans="1:43" ht="13.5" outlineLevel="1" thickBot="1">
      <c r="H324" s="920"/>
      <c r="I324" s="843"/>
      <c r="Q324" s="980"/>
      <c r="R324" s="980"/>
      <c r="S324" s="980"/>
      <c r="T324" s="980"/>
      <c r="U324" s="981"/>
      <c r="V324" s="980"/>
      <c r="W324" s="980"/>
      <c r="X324" s="980"/>
      <c r="Y324" s="980"/>
      <c r="Z324" s="980"/>
      <c r="AA324" s="980"/>
      <c r="AB324" s="980"/>
      <c r="AC324" s="980"/>
      <c r="AD324" s="980"/>
      <c r="AE324" s="980"/>
      <c r="AF324" s="980"/>
      <c r="AG324" s="980"/>
      <c r="AH324" s="980"/>
      <c r="AI324" s="980"/>
      <c r="AJ324" s="980"/>
    </row>
    <row r="325" spans="1:43" outlineLevel="1">
      <c r="A325" s="941"/>
      <c r="B325" s="942">
        <f t="shared" ref="B325:AO325" si="57">B$252</f>
        <v>2014</v>
      </c>
      <c r="C325" s="942">
        <f t="shared" si="57"/>
        <v>2014</v>
      </c>
      <c r="D325" s="942">
        <f t="shared" si="57"/>
        <v>2014</v>
      </c>
      <c r="E325" s="942">
        <f t="shared" si="57"/>
        <v>2014</v>
      </c>
      <c r="F325" s="972">
        <f t="shared" si="57"/>
        <v>2014</v>
      </c>
      <c r="G325" s="942">
        <f t="shared" si="57"/>
        <v>2015</v>
      </c>
      <c r="H325" s="942">
        <f t="shared" si="57"/>
        <v>2015</v>
      </c>
      <c r="I325" s="942">
        <f t="shared" si="57"/>
        <v>2015</v>
      </c>
      <c r="J325" s="942">
        <f t="shared" si="57"/>
        <v>2015</v>
      </c>
      <c r="K325" s="972">
        <f t="shared" si="57"/>
        <v>2015</v>
      </c>
      <c r="L325" s="942">
        <f t="shared" si="57"/>
        <v>2016</v>
      </c>
      <c r="M325" s="942">
        <f t="shared" si="57"/>
        <v>2016</v>
      </c>
      <c r="N325" s="942">
        <f t="shared" si="57"/>
        <v>2016</v>
      </c>
      <c r="O325" s="942">
        <f t="shared" si="57"/>
        <v>2016</v>
      </c>
      <c r="P325" s="972">
        <f t="shared" si="57"/>
        <v>2016</v>
      </c>
      <c r="Q325" s="942">
        <f t="shared" si="57"/>
        <v>2017</v>
      </c>
      <c r="R325" s="942">
        <f t="shared" si="57"/>
        <v>2017</v>
      </c>
      <c r="S325" s="942">
        <f t="shared" si="57"/>
        <v>2017</v>
      </c>
      <c r="T325" s="942">
        <f t="shared" si="57"/>
        <v>2017</v>
      </c>
      <c r="U325" s="972">
        <f t="shared" si="57"/>
        <v>2017</v>
      </c>
      <c r="V325" s="942">
        <f t="shared" si="57"/>
        <v>2018</v>
      </c>
      <c r="W325" s="942">
        <f t="shared" si="57"/>
        <v>2018</v>
      </c>
      <c r="X325" s="942">
        <f t="shared" si="57"/>
        <v>2018</v>
      </c>
      <c r="Y325" s="942">
        <f t="shared" si="57"/>
        <v>2018</v>
      </c>
      <c r="Z325" s="972">
        <f t="shared" si="57"/>
        <v>2018</v>
      </c>
      <c r="AA325" s="942">
        <f t="shared" si="57"/>
        <v>2019</v>
      </c>
      <c r="AB325" s="942">
        <f t="shared" si="57"/>
        <v>2019</v>
      </c>
      <c r="AC325" s="942">
        <f t="shared" si="57"/>
        <v>2019</v>
      </c>
      <c r="AD325" s="942">
        <f t="shared" si="57"/>
        <v>2019</v>
      </c>
      <c r="AE325" s="972">
        <f t="shared" si="57"/>
        <v>2019</v>
      </c>
      <c r="AF325" s="942">
        <f t="shared" si="57"/>
        <v>2020</v>
      </c>
      <c r="AG325" s="942">
        <f t="shared" si="57"/>
        <v>2020</v>
      </c>
      <c r="AH325" s="942">
        <f t="shared" si="57"/>
        <v>2020</v>
      </c>
      <c r="AI325" s="942">
        <f t="shared" si="57"/>
        <v>2020</v>
      </c>
      <c r="AJ325" s="972">
        <f t="shared" si="57"/>
        <v>2020</v>
      </c>
      <c r="AK325" s="942">
        <f t="shared" si="57"/>
        <v>2021</v>
      </c>
      <c r="AL325" s="942">
        <f t="shared" si="57"/>
        <v>2021</v>
      </c>
      <c r="AM325" s="942">
        <f t="shared" si="57"/>
        <v>2021</v>
      </c>
      <c r="AN325" s="942">
        <f t="shared" si="57"/>
        <v>2021</v>
      </c>
      <c r="AO325" s="972">
        <f t="shared" si="57"/>
        <v>2021</v>
      </c>
    </row>
    <row r="326" spans="1:43" ht="13.5" outlineLevel="1" thickBot="1">
      <c r="A326" s="1463" t="s">
        <v>1030</v>
      </c>
      <c r="B326" s="945" t="str">
        <f t="shared" ref="B326:AN326" si="58">B$253</f>
        <v>1 квартал</v>
      </c>
      <c r="C326" s="945" t="str">
        <f t="shared" si="58"/>
        <v>2 квартал</v>
      </c>
      <c r="D326" s="945" t="str">
        <f t="shared" si="58"/>
        <v>3 квартал</v>
      </c>
      <c r="E326" s="945" t="str">
        <f t="shared" si="58"/>
        <v>4 квартал</v>
      </c>
      <c r="F326" s="1462" t="s">
        <v>1031</v>
      </c>
      <c r="G326" s="945" t="str">
        <f t="shared" si="58"/>
        <v>1 квартал</v>
      </c>
      <c r="H326" s="945" t="str">
        <f t="shared" si="58"/>
        <v>2 квартал</v>
      </c>
      <c r="I326" s="945" t="str">
        <f t="shared" si="58"/>
        <v>3 квартал</v>
      </c>
      <c r="J326" s="945" t="str">
        <f t="shared" si="58"/>
        <v>4 квартал</v>
      </c>
      <c r="K326" s="1462" t="s">
        <v>1031</v>
      </c>
      <c r="L326" s="945" t="str">
        <f t="shared" si="58"/>
        <v>1 квартал</v>
      </c>
      <c r="M326" s="945" t="str">
        <f t="shared" si="58"/>
        <v>2 квартал</v>
      </c>
      <c r="N326" s="945" t="str">
        <f t="shared" si="58"/>
        <v>3 квартал</v>
      </c>
      <c r="O326" s="945" t="str">
        <f t="shared" si="58"/>
        <v>4 квартал</v>
      </c>
      <c r="P326" s="1462" t="s">
        <v>1031</v>
      </c>
      <c r="Q326" s="945" t="str">
        <f t="shared" si="58"/>
        <v>1 квартал</v>
      </c>
      <c r="R326" s="945" t="str">
        <f t="shared" si="58"/>
        <v>2 квартал</v>
      </c>
      <c r="S326" s="945" t="str">
        <f t="shared" si="58"/>
        <v>3 квартал</v>
      </c>
      <c r="T326" s="945" t="str">
        <f t="shared" si="58"/>
        <v>4 квартал</v>
      </c>
      <c r="U326" s="1462" t="s">
        <v>1031</v>
      </c>
      <c r="V326" s="945" t="str">
        <f t="shared" si="58"/>
        <v>1 квартал</v>
      </c>
      <c r="W326" s="945" t="str">
        <f t="shared" si="58"/>
        <v>2 квартал</v>
      </c>
      <c r="X326" s="945" t="str">
        <f t="shared" si="58"/>
        <v>3 квартал</v>
      </c>
      <c r="Y326" s="945" t="str">
        <f t="shared" si="58"/>
        <v>4 квартал</v>
      </c>
      <c r="Z326" s="1462" t="s">
        <v>1031</v>
      </c>
      <c r="AA326" s="945" t="str">
        <f t="shared" si="58"/>
        <v>1 квартал</v>
      </c>
      <c r="AB326" s="945" t="str">
        <f t="shared" si="58"/>
        <v>2 квартал</v>
      </c>
      <c r="AC326" s="945" t="str">
        <f t="shared" si="58"/>
        <v>3 квартал</v>
      </c>
      <c r="AD326" s="945" t="str">
        <f t="shared" si="58"/>
        <v>4 квартал</v>
      </c>
      <c r="AE326" s="1462" t="s">
        <v>1031</v>
      </c>
      <c r="AF326" s="945" t="str">
        <f t="shared" si="58"/>
        <v>1 квартал</v>
      </c>
      <c r="AG326" s="945" t="str">
        <f t="shared" si="58"/>
        <v>2 квартал</v>
      </c>
      <c r="AH326" s="945" t="str">
        <f t="shared" si="58"/>
        <v>3 квартал</v>
      </c>
      <c r="AI326" s="945" t="str">
        <f t="shared" si="58"/>
        <v>4 квартал</v>
      </c>
      <c r="AJ326" s="1462" t="s">
        <v>1031</v>
      </c>
      <c r="AK326" s="945" t="str">
        <f t="shared" si="58"/>
        <v>1 квартал</v>
      </c>
      <c r="AL326" s="945" t="str">
        <f t="shared" si="58"/>
        <v>2 квартал</v>
      </c>
      <c r="AM326" s="945" t="str">
        <f t="shared" si="58"/>
        <v>3 квартал</v>
      </c>
      <c r="AN326" s="945" t="str">
        <f t="shared" si="58"/>
        <v>4 квартал</v>
      </c>
      <c r="AO326" s="1462" t="s">
        <v>1031</v>
      </c>
    </row>
    <row r="327" spans="1:43" outlineLevel="1">
      <c r="A327" s="974" t="str">
        <f>A318</f>
        <v>Гостиницы 5*</v>
      </c>
      <c r="B327" s="975"/>
      <c r="C327" s="975"/>
      <c r="D327" s="975"/>
      <c r="E327" s="975"/>
      <c r="F327" s="976">
        <f>SUM(D291:E291)/SUM(D259:E259)</f>
        <v>0.15127697424645847</v>
      </c>
      <c r="G327" s="975"/>
      <c r="H327" s="975"/>
      <c r="I327" s="975"/>
      <c r="J327" s="975"/>
      <c r="K327" s="976">
        <f>SUM(I291:J291)/SUM(I259:J259)</f>
        <v>0.31229328281917135</v>
      </c>
      <c r="L327" s="975"/>
      <c r="M327" s="975"/>
      <c r="N327" s="975"/>
      <c r="O327" s="975"/>
      <c r="P327" s="976">
        <f>SUM(N291:O291)/SUM(N259:O259)</f>
        <v>0.49791779564315347</v>
      </c>
      <c r="Q327" s="975"/>
      <c r="R327" s="975"/>
      <c r="S327" s="975"/>
      <c r="T327" s="975"/>
      <c r="U327" s="976">
        <f>SUM(S291:T291)/SUM(S259:T259)</f>
        <v>0.55518444152701629</v>
      </c>
      <c r="V327" s="975"/>
      <c r="W327" s="975"/>
      <c r="X327" s="975"/>
      <c r="Y327" s="975"/>
      <c r="Z327" s="976">
        <f>SUM(X291:Y291)/SUM(X259:Y259)</f>
        <v>0.60402812161534902</v>
      </c>
      <c r="AA327" s="975"/>
      <c r="AB327" s="975"/>
      <c r="AC327" s="975"/>
      <c r="AD327" s="975"/>
      <c r="AE327" s="976">
        <f>SUM(AC291:AD291)/SUM(AC259:AD259)</f>
        <v>0.65699579726822432</v>
      </c>
      <c r="AF327" s="975"/>
      <c r="AG327" s="975"/>
      <c r="AH327" s="975"/>
      <c r="AI327" s="975"/>
      <c r="AJ327" s="976">
        <f>SUM(AH291:AI291)/SUM(AH259:AI259)</f>
        <v>0.67121083313092056</v>
      </c>
      <c r="AK327" s="975"/>
      <c r="AL327" s="975"/>
      <c r="AM327" s="975"/>
      <c r="AN327" s="975"/>
      <c r="AO327" s="976">
        <f>SUM(AM291:AN291)/SUM(AM259:AN259)</f>
        <v>0.57710711683264515</v>
      </c>
    </row>
    <row r="328" spans="1:43" outlineLevel="1">
      <c r="A328" s="974" t="str">
        <f>A319</f>
        <v>Гостиницы 4*</v>
      </c>
      <c r="B328" s="975"/>
      <c r="C328" s="975"/>
      <c r="D328" s="975"/>
      <c r="E328" s="975"/>
      <c r="F328" s="976">
        <f>SUM(D302:E302)/SUM(D270:E270)</f>
        <v>0.15393685752746747</v>
      </c>
      <c r="G328" s="975"/>
      <c r="H328" s="975"/>
      <c r="I328" s="975"/>
      <c r="J328" s="975"/>
      <c r="K328" s="976">
        <f>SUM(I302:J302)/SUM(I270:J270)</f>
        <v>0.24094829673552184</v>
      </c>
      <c r="L328" s="975"/>
      <c r="M328" s="975"/>
      <c r="N328" s="975"/>
      <c r="O328" s="975"/>
      <c r="P328" s="976">
        <f>SUM(N302:O302)/SUM(N270:O270)</f>
        <v>0.47834933110008804</v>
      </c>
      <c r="Q328" s="975"/>
      <c r="R328" s="975"/>
      <c r="S328" s="975"/>
      <c r="T328" s="975"/>
      <c r="U328" s="976">
        <f>SUM(S302:T302)/SUM(S270:T270)</f>
        <v>0.46869834313612424</v>
      </c>
      <c r="V328" s="975"/>
      <c r="W328" s="975"/>
      <c r="X328" s="975"/>
      <c r="Y328" s="975"/>
      <c r="Z328" s="976">
        <f>SUM(X302:Y302)/SUM(X270:Y270)</f>
        <v>0.47018556517898297</v>
      </c>
      <c r="AA328" s="975"/>
      <c r="AB328" s="975"/>
      <c r="AC328" s="975"/>
      <c r="AD328" s="975"/>
      <c r="AE328" s="976">
        <f>SUM(AC302:AD302)/SUM(AC270:AD270)</f>
        <v>0.54778683315264121</v>
      </c>
      <c r="AF328" s="975"/>
      <c r="AG328" s="975"/>
      <c r="AH328" s="975"/>
      <c r="AI328" s="975"/>
      <c r="AJ328" s="976">
        <f>SUM(AH302:AI302)/SUM(AH270:AI270)</f>
        <v>0.5733536740401729</v>
      </c>
      <c r="AK328" s="975"/>
      <c r="AL328" s="975"/>
      <c r="AM328" s="975"/>
      <c r="AN328" s="975"/>
      <c r="AO328" s="976">
        <f>SUM(AM302:AN302)/SUM(AM270:AN270)</f>
        <v>0.50881763688947057</v>
      </c>
    </row>
    <row r="329" spans="1:43" ht="12" customHeight="1" outlineLevel="1">
      <c r="A329" s="974" t="str">
        <f>A320</f>
        <v>Гостиницы 3*</v>
      </c>
      <c r="B329" s="975"/>
      <c r="C329" s="975"/>
      <c r="D329" s="975"/>
      <c r="E329" s="975"/>
      <c r="F329" s="976">
        <f>SUM(D307:E307)/SUM(D275:E275)</f>
        <v>0.11871181648757011</v>
      </c>
      <c r="G329" s="975"/>
      <c r="H329" s="975"/>
      <c r="I329" s="975"/>
      <c r="J329" s="975"/>
      <c r="K329" s="976">
        <f>SUM(I307:J307)/SUM(I275:J275)</f>
        <v>0.30692615647118299</v>
      </c>
      <c r="L329" s="975"/>
      <c r="M329" s="975"/>
      <c r="N329" s="975"/>
      <c r="O329" s="975"/>
      <c r="P329" s="976">
        <f>SUM(N307:O307)/SUM(N275:O275)</f>
        <v>0.3793511538502049</v>
      </c>
      <c r="Q329" s="975"/>
      <c r="R329" s="975"/>
      <c r="S329" s="975"/>
      <c r="T329" s="975"/>
      <c r="U329" s="976">
        <f>SUM(S307:T307)/SUM(S275:T275)</f>
        <v>0.54414776307498425</v>
      </c>
      <c r="V329" s="975"/>
      <c r="W329" s="975"/>
      <c r="X329" s="975"/>
      <c r="Y329" s="975"/>
      <c r="Z329" s="976">
        <f>SUM(X307:Y307)/SUM(X275:Y275)</f>
        <v>0.52581521739130432</v>
      </c>
      <c r="AA329" s="975"/>
      <c r="AB329" s="975"/>
      <c r="AC329" s="975"/>
      <c r="AD329" s="975"/>
      <c r="AE329" s="976">
        <f>SUM(AC307:AD307)/SUM(AC275:AD275)</f>
        <v>0.58301730584339284</v>
      </c>
      <c r="AF329" s="975"/>
      <c r="AG329" s="975"/>
      <c r="AH329" s="975"/>
      <c r="AI329" s="975"/>
      <c r="AJ329" s="976">
        <f>SUM(AH307:AI307)/SUM(AH275:AI275)</f>
        <v>0.5782136105860114</v>
      </c>
      <c r="AK329" s="975"/>
      <c r="AL329" s="975"/>
      <c r="AM329" s="975"/>
      <c r="AN329" s="975"/>
      <c r="AO329" s="976">
        <f>SUM(AM307:AN307)/SUM(AM275:AN275)</f>
        <v>0.4993417499324872</v>
      </c>
    </row>
    <row r="330" spans="1:43" ht="12" customHeight="1" outlineLevel="1">
      <c r="A330" s="974" t="str">
        <f>A321</f>
        <v>Гостиницы 2*</v>
      </c>
      <c r="B330" s="975"/>
      <c r="C330" s="975"/>
      <c r="D330" s="975"/>
      <c r="E330" s="975"/>
      <c r="F330" s="976" t="str">
        <f>IFERROR(SUM(D312:E312)/SUM(D280:E280),"-")</f>
        <v>-</v>
      </c>
      <c r="G330" s="975"/>
      <c r="H330" s="975"/>
      <c r="I330" s="975"/>
      <c r="J330" s="975"/>
      <c r="K330" s="976">
        <f>IFERROR(SUM(I312:J312)/SUM(I280:J280),"-")</f>
        <v>0.29941434846266474</v>
      </c>
      <c r="L330" s="975"/>
      <c r="M330" s="975"/>
      <c r="N330" s="975"/>
      <c r="O330" s="975"/>
      <c r="P330" s="976">
        <f>IFERROR(SUM(N312:O312)/SUM(N280:O280),"-")</f>
        <v>0.30858049630952006</v>
      </c>
      <c r="Q330" s="975"/>
      <c r="R330" s="975"/>
      <c r="S330" s="975"/>
      <c r="T330" s="975"/>
      <c r="U330" s="976">
        <f>IFERROR(SUM(S312:T312)/SUM(S280:T280),"-")</f>
        <v>0.33303571428571427</v>
      </c>
      <c r="V330" s="975"/>
      <c r="W330" s="975"/>
      <c r="X330" s="975"/>
      <c r="Y330" s="975"/>
      <c r="Z330" s="976">
        <f>IFERROR(SUM(X312:Y312)/SUM(X280:Y280),"-")</f>
        <v>0.39238743617515087</v>
      </c>
      <c r="AA330" s="975"/>
      <c r="AB330" s="975"/>
      <c r="AC330" s="975"/>
      <c r="AD330" s="975"/>
      <c r="AE330" s="976">
        <f>IFERROR(SUM(AC312:AD312)/SUM(AC280:AD280),"-")</f>
        <v>0.3314959513125999</v>
      </c>
      <c r="AF330" s="975"/>
      <c r="AG330" s="975"/>
      <c r="AH330" s="975"/>
      <c r="AI330" s="975"/>
      <c r="AJ330" s="976">
        <f>IFERROR(SUM(AH312:AI312)/SUM(AH280:AI280),"-")</f>
        <v>0.24416020730228319</v>
      </c>
      <c r="AK330" s="975"/>
      <c r="AL330" s="975"/>
      <c r="AM330" s="975"/>
      <c r="AN330" s="975"/>
      <c r="AO330" s="976">
        <f>IFERROR(SUM(AM312:AN312)/SUM(AM280:AN280),"-")</f>
        <v>0.28138715179079021</v>
      </c>
    </row>
    <row r="331" spans="1:43" ht="13.5" outlineLevel="1" thickBot="1">
      <c r="A331" s="965" t="str">
        <f>A322</f>
        <v>ВСЕГО</v>
      </c>
      <c r="B331" s="977"/>
      <c r="C331" s="977"/>
      <c r="D331" s="977"/>
      <c r="E331" s="977"/>
      <c r="F331" s="978"/>
      <c r="G331" s="979"/>
      <c r="H331" s="979"/>
      <c r="I331" s="979"/>
      <c r="J331" s="979"/>
      <c r="K331" s="978"/>
      <c r="L331" s="979"/>
      <c r="M331" s="979"/>
      <c r="N331" s="979"/>
      <c r="O331" s="979"/>
      <c r="P331" s="978"/>
      <c r="Q331" s="979"/>
      <c r="R331" s="979"/>
      <c r="S331" s="979"/>
      <c r="T331" s="979"/>
      <c r="U331" s="978"/>
      <c r="V331" s="979"/>
      <c r="W331" s="979"/>
      <c r="X331" s="979"/>
      <c r="Y331" s="979"/>
      <c r="Z331" s="978"/>
      <c r="AA331" s="979"/>
      <c r="AB331" s="979"/>
      <c r="AC331" s="979"/>
      <c r="AD331" s="979"/>
      <c r="AE331" s="978"/>
      <c r="AF331" s="979"/>
      <c r="AG331" s="979"/>
      <c r="AH331" s="979"/>
      <c r="AI331" s="979"/>
      <c r="AJ331" s="978"/>
      <c r="AK331" s="979"/>
      <c r="AL331" s="979"/>
      <c r="AM331" s="979"/>
      <c r="AN331" s="979"/>
      <c r="AO331" s="978"/>
    </row>
    <row r="332" spans="1:43" s="932" customFormat="1" ht="13.5" outlineLevel="1" thickBot="1">
      <c r="A332" s="1006" t="s">
        <v>407</v>
      </c>
      <c r="B332" s="1006"/>
      <c r="C332" s="1006"/>
      <c r="D332" s="1006"/>
      <c r="E332" s="1006"/>
      <c r="F332" s="1006"/>
      <c r="G332" s="1010"/>
      <c r="H332" s="1010"/>
      <c r="I332" s="1010"/>
      <c r="J332" s="1010"/>
      <c r="K332" s="1464">
        <f>IFERROR(SUM(I314:J314)/SUM(I282:J282),"-")</f>
        <v>7.1537279710799831E-2</v>
      </c>
      <c r="L332" s="1010"/>
      <c r="M332" s="1010"/>
      <c r="N332" s="1010"/>
      <c r="O332" s="1010"/>
      <c r="P332" s="1464">
        <f>IFERROR(SUM(N314:O314)/SUM(N282:O282),"-")</f>
        <v>2.3715415019762844E-2</v>
      </c>
      <c r="Q332" s="1010"/>
      <c r="R332" s="1010"/>
      <c r="S332" s="1010"/>
      <c r="T332" s="1010"/>
      <c r="U332" s="1464">
        <f>IFERROR(SUM(S314:T314)/SUM(S282:T282),"-")</f>
        <v>0.27323369565217392</v>
      </c>
      <c r="V332" s="1010"/>
      <c r="W332" s="1010"/>
      <c r="X332" s="1010"/>
      <c r="Y332" s="1010"/>
      <c r="Z332" s="1464">
        <f>IFERROR(SUM(X314:Y314)/SUM(X282:Y282),"-")</f>
        <v>0.23159584980237155</v>
      </c>
      <c r="AA332" s="1010"/>
      <c r="AB332" s="1010"/>
      <c r="AC332" s="1010"/>
      <c r="AD332" s="1010"/>
      <c r="AE332" s="1464">
        <f>IFERROR(SUM(AC314:AD314)/SUM(AC282:AD282),"-")</f>
        <v>0.12434782608695653</v>
      </c>
      <c r="AF332" s="1010"/>
      <c r="AG332" s="1010"/>
      <c r="AH332" s="1010"/>
      <c r="AI332" s="1010"/>
      <c r="AJ332" s="1464">
        <f>IFERROR(SUM(AH314:AI314)/SUM(AH282:AI282),"-")</f>
        <v>4.3478260869565216E-2</v>
      </c>
      <c r="AK332" s="1010"/>
      <c r="AL332" s="1010"/>
      <c r="AM332" s="1010"/>
      <c r="AN332" s="1010"/>
      <c r="AO332" s="1464">
        <f>IFERROR(SUM(AM314:AN314)/SUM(AM282:AN282),"-")</f>
        <v>0.15328557312252963</v>
      </c>
      <c r="AP332" s="843"/>
    </row>
    <row r="333" spans="1:43" ht="13.5" outlineLevel="1" thickBot="1">
      <c r="H333" s="920"/>
      <c r="I333" s="843"/>
      <c r="Q333" s="980"/>
      <c r="R333" s="980"/>
      <c r="S333" s="980"/>
      <c r="T333" s="980"/>
      <c r="U333" s="981"/>
      <c r="V333" s="980"/>
      <c r="W333" s="980"/>
      <c r="X333" s="980"/>
      <c r="Y333" s="980"/>
      <c r="Z333" s="980"/>
      <c r="AA333" s="980"/>
      <c r="AB333" s="980"/>
      <c r="AC333" s="980"/>
      <c r="AD333" s="980"/>
      <c r="AE333" s="980"/>
      <c r="AF333" s="980"/>
      <c r="AG333" s="980"/>
      <c r="AH333" s="980"/>
      <c r="AI333" s="980"/>
      <c r="AJ333" s="980"/>
      <c r="AQ333" s="843" t="s">
        <v>1033</v>
      </c>
    </row>
    <row r="334" spans="1:43" ht="25.5" outlineLevel="1">
      <c r="A334" s="1465" t="s">
        <v>1032</v>
      </c>
      <c r="B334" s="942">
        <f t="shared" ref="B334:AO334" si="59">B$252</f>
        <v>2014</v>
      </c>
      <c r="C334" s="942">
        <f t="shared" si="59"/>
        <v>2014</v>
      </c>
      <c r="D334" s="942">
        <f t="shared" si="59"/>
        <v>2014</v>
      </c>
      <c r="E334" s="942">
        <f t="shared" si="59"/>
        <v>2014</v>
      </c>
      <c r="F334" s="972">
        <f t="shared" si="59"/>
        <v>2014</v>
      </c>
      <c r="G334" s="942">
        <f t="shared" si="59"/>
        <v>2015</v>
      </c>
      <c r="H334" s="942">
        <f t="shared" si="59"/>
        <v>2015</v>
      </c>
      <c r="I334" s="942">
        <f t="shared" si="59"/>
        <v>2015</v>
      </c>
      <c r="J334" s="942">
        <f t="shared" si="59"/>
        <v>2015</v>
      </c>
      <c r="K334" s="972">
        <f t="shared" si="59"/>
        <v>2015</v>
      </c>
      <c r="L334" s="942">
        <f t="shared" si="59"/>
        <v>2016</v>
      </c>
      <c r="M334" s="942">
        <f t="shared" si="59"/>
        <v>2016</v>
      </c>
      <c r="N334" s="942">
        <f t="shared" si="59"/>
        <v>2016</v>
      </c>
      <c r="O334" s="942">
        <f t="shared" si="59"/>
        <v>2016</v>
      </c>
      <c r="P334" s="972">
        <f t="shared" si="59"/>
        <v>2016</v>
      </c>
      <c r="Q334" s="942">
        <f t="shared" si="59"/>
        <v>2017</v>
      </c>
      <c r="R334" s="942">
        <f t="shared" si="59"/>
        <v>2017</v>
      </c>
      <c r="S334" s="942">
        <f t="shared" si="59"/>
        <v>2017</v>
      </c>
      <c r="T334" s="942">
        <f t="shared" si="59"/>
        <v>2017</v>
      </c>
      <c r="U334" s="972">
        <f t="shared" si="59"/>
        <v>2017</v>
      </c>
      <c r="V334" s="942">
        <f t="shared" si="59"/>
        <v>2018</v>
      </c>
      <c r="W334" s="942">
        <f t="shared" si="59"/>
        <v>2018</v>
      </c>
      <c r="X334" s="942">
        <f t="shared" si="59"/>
        <v>2018</v>
      </c>
      <c r="Y334" s="942">
        <f t="shared" si="59"/>
        <v>2018</v>
      </c>
      <c r="Z334" s="972">
        <f t="shared" si="59"/>
        <v>2018</v>
      </c>
      <c r="AA334" s="942">
        <f t="shared" si="59"/>
        <v>2019</v>
      </c>
      <c r="AB334" s="942">
        <f t="shared" si="59"/>
        <v>2019</v>
      </c>
      <c r="AC334" s="942">
        <f t="shared" si="59"/>
        <v>2019</v>
      </c>
      <c r="AD334" s="942">
        <f t="shared" si="59"/>
        <v>2019</v>
      </c>
      <c r="AE334" s="972">
        <f t="shared" si="59"/>
        <v>2019</v>
      </c>
      <c r="AF334" s="942">
        <f t="shared" si="59"/>
        <v>2020</v>
      </c>
      <c r="AG334" s="942">
        <f t="shared" si="59"/>
        <v>2020</v>
      </c>
      <c r="AH334" s="942">
        <f t="shared" si="59"/>
        <v>2020</v>
      </c>
      <c r="AI334" s="942">
        <f t="shared" si="59"/>
        <v>2020</v>
      </c>
      <c r="AJ334" s="972">
        <f t="shared" si="59"/>
        <v>2020</v>
      </c>
      <c r="AK334" s="942">
        <f t="shared" si="59"/>
        <v>2021</v>
      </c>
      <c r="AL334" s="942">
        <f t="shared" si="59"/>
        <v>2021</v>
      </c>
      <c r="AM334" s="942">
        <f t="shared" si="59"/>
        <v>2021</v>
      </c>
      <c r="AN334" s="942">
        <f t="shared" si="59"/>
        <v>2021</v>
      </c>
      <c r="AO334" s="972">
        <f t="shared" si="59"/>
        <v>2021</v>
      </c>
      <c r="AQ334" s="1468" t="s">
        <v>484</v>
      </c>
    </row>
    <row r="335" spans="1:43" ht="13.5" outlineLevel="1" thickBot="1">
      <c r="A335" s="1463" t="s">
        <v>1030</v>
      </c>
      <c r="B335" s="945" t="str">
        <f t="shared" ref="B335:AN335" si="60">B$253</f>
        <v>1 квартал</v>
      </c>
      <c r="C335" s="945" t="str">
        <f t="shared" si="60"/>
        <v>2 квартал</v>
      </c>
      <c r="D335" s="945" t="str">
        <f t="shared" si="60"/>
        <v>3 квартал</v>
      </c>
      <c r="E335" s="945" t="str">
        <f t="shared" si="60"/>
        <v>4 квартал</v>
      </c>
      <c r="F335" s="1462" t="s">
        <v>1031</v>
      </c>
      <c r="G335" s="945" t="str">
        <f t="shared" si="60"/>
        <v>1 квартал</v>
      </c>
      <c r="H335" s="945" t="str">
        <f t="shared" si="60"/>
        <v>2 квартал</v>
      </c>
      <c r="I335" s="945" t="str">
        <f t="shared" si="60"/>
        <v>3 квартал</v>
      </c>
      <c r="J335" s="945" t="str">
        <f t="shared" si="60"/>
        <v>4 квартал</v>
      </c>
      <c r="K335" s="1462" t="s">
        <v>1031</v>
      </c>
      <c r="L335" s="945" t="str">
        <f t="shared" si="60"/>
        <v>1 квартал</v>
      </c>
      <c r="M335" s="945" t="str">
        <f t="shared" si="60"/>
        <v>2 квартал</v>
      </c>
      <c r="N335" s="945" t="str">
        <f t="shared" si="60"/>
        <v>3 квартал</v>
      </c>
      <c r="O335" s="945" t="str">
        <f t="shared" si="60"/>
        <v>4 квартал</v>
      </c>
      <c r="P335" s="1462" t="s">
        <v>1031</v>
      </c>
      <c r="Q335" s="945" t="str">
        <f t="shared" si="60"/>
        <v>1 квартал</v>
      </c>
      <c r="R335" s="945" t="str">
        <f t="shared" si="60"/>
        <v>2 квартал</v>
      </c>
      <c r="S335" s="945" t="str">
        <f t="shared" si="60"/>
        <v>3 квартал</v>
      </c>
      <c r="T335" s="945" t="str">
        <f t="shared" si="60"/>
        <v>4 квартал</v>
      </c>
      <c r="U335" s="1462" t="s">
        <v>1031</v>
      </c>
      <c r="V335" s="945" t="str">
        <f t="shared" si="60"/>
        <v>1 квартал</v>
      </c>
      <c r="W335" s="945" t="str">
        <f t="shared" si="60"/>
        <v>2 квартал</v>
      </c>
      <c r="X335" s="945" t="str">
        <f t="shared" si="60"/>
        <v>3 квартал</v>
      </c>
      <c r="Y335" s="945" t="str">
        <f t="shared" si="60"/>
        <v>4 квартал</v>
      </c>
      <c r="Z335" s="1462" t="s">
        <v>1031</v>
      </c>
      <c r="AA335" s="945" t="str">
        <f t="shared" si="60"/>
        <v>1 квартал</v>
      </c>
      <c r="AB335" s="945" t="str">
        <f t="shared" si="60"/>
        <v>2 квартал</v>
      </c>
      <c r="AC335" s="945" t="str">
        <f t="shared" si="60"/>
        <v>3 квартал</v>
      </c>
      <c r="AD335" s="945" t="str">
        <f t="shared" si="60"/>
        <v>4 квартал</v>
      </c>
      <c r="AE335" s="1462" t="s">
        <v>1031</v>
      </c>
      <c r="AF335" s="945" t="str">
        <f t="shared" si="60"/>
        <v>1 квартал</v>
      </c>
      <c r="AG335" s="945" t="str">
        <f t="shared" si="60"/>
        <v>2 квартал</v>
      </c>
      <c r="AH335" s="945" t="str">
        <f t="shared" si="60"/>
        <v>3 квартал</v>
      </c>
      <c r="AI335" s="945" t="str">
        <f t="shared" si="60"/>
        <v>4 квартал</v>
      </c>
      <c r="AJ335" s="1462" t="s">
        <v>1031</v>
      </c>
      <c r="AK335" s="945" t="str">
        <f t="shared" si="60"/>
        <v>1 квартал</v>
      </c>
      <c r="AL335" s="945" t="str">
        <f t="shared" si="60"/>
        <v>2 квартал</v>
      </c>
      <c r="AM335" s="945" t="str">
        <f t="shared" si="60"/>
        <v>3 квартал</v>
      </c>
      <c r="AN335" s="945" t="str">
        <f t="shared" si="60"/>
        <v>4 квартал</v>
      </c>
      <c r="AO335" s="1462" t="s">
        <v>1031</v>
      </c>
      <c r="AQ335" s="1462" t="s">
        <v>1031</v>
      </c>
    </row>
    <row r="336" spans="1:43" outlineLevel="1">
      <c r="A336" s="974" t="str">
        <f>A327</f>
        <v>Гостиницы 5*</v>
      </c>
      <c r="B336" s="975"/>
      <c r="C336" s="975"/>
      <c r="D336" s="975"/>
      <c r="E336" s="975"/>
      <c r="F336" s="1466">
        <f>F327/F318</f>
        <v>0.70523260171534652</v>
      </c>
      <c r="G336" s="975"/>
      <c r="H336" s="975"/>
      <c r="I336" s="975"/>
      <c r="J336" s="975"/>
      <c r="K336" s="1466">
        <f>K327/K318</f>
        <v>0.84406762563433513</v>
      </c>
      <c r="L336" s="975"/>
      <c r="M336" s="975"/>
      <c r="N336" s="975"/>
      <c r="O336" s="975"/>
      <c r="P336" s="1466">
        <f>P327/P318</f>
        <v>1.0198225272547639</v>
      </c>
      <c r="Q336" s="975"/>
      <c r="R336" s="975"/>
      <c r="S336" s="975"/>
      <c r="T336" s="975"/>
      <c r="U336" s="1466">
        <f>U327/U318</f>
        <v>1.030634555572971</v>
      </c>
      <c r="V336" s="975"/>
      <c r="W336" s="975"/>
      <c r="X336" s="975"/>
      <c r="Y336" s="975"/>
      <c r="Z336" s="1466">
        <f>Z327/Z318</f>
        <v>1.025273327899167</v>
      </c>
      <c r="AA336" s="975"/>
      <c r="AB336" s="975"/>
      <c r="AC336" s="975"/>
      <c r="AD336" s="975"/>
      <c r="AE336" s="1466">
        <f>AE327/AE318</f>
        <v>1.0432277063628588</v>
      </c>
      <c r="AF336" s="975"/>
      <c r="AG336" s="975"/>
      <c r="AH336" s="975"/>
      <c r="AI336" s="975"/>
      <c r="AJ336" s="1466">
        <f>AJ327/AJ318</f>
        <v>1.3325850189018731</v>
      </c>
      <c r="AK336" s="975"/>
      <c r="AL336" s="975"/>
      <c r="AM336" s="975"/>
      <c r="AN336" s="975"/>
      <c r="AO336" s="1466">
        <f>AO327/AO318</f>
        <v>0.9487088169289517</v>
      </c>
      <c r="AQ336" s="1466">
        <f>AVERAGE(AO336,AE336)</f>
        <v>0.99596826164590524</v>
      </c>
    </row>
    <row r="337" spans="1:43" outlineLevel="1">
      <c r="A337" s="974" t="str">
        <f>A328</f>
        <v>Гостиницы 4*</v>
      </c>
      <c r="B337" s="975"/>
      <c r="C337" s="975"/>
      <c r="D337" s="975"/>
      <c r="E337" s="975"/>
      <c r="F337" s="1466">
        <f>F328/F319</f>
        <v>0.69589821770970384</v>
      </c>
      <c r="G337" s="975"/>
      <c r="H337" s="975"/>
      <c r="I337" s="975"/>
      <c r="J337" s="975"/>
      <c r="K337" s="1466">
        <f>K328/K319</f>
        <v>0.70966689616019007</v>
      </c>
      <c r="L337" s="975"/>
      <c r="M337" s="975"/>
      <c r="N337" s="975"/>
      <c r="O337" s="975"/>
      <c r="P337" s="1466">
        <f>P328/P319</f>
        <v>0.95473849008155587</v>
      </c>
      <c r="Q337" s="975"/>
      <c r="R337" s="975"/>
      <c r="S337" s="975"/>
      <c r="T337" s="975"/>
      <c r="U337" s="1466">
        <f>U328/U319</f>
        <v>0.89882983880839307</v>
      </c>
      <c r="V337" s="975"/>
      <c r="W337" s="975"/>
      <c r="X337" s="975"/>
      <c r="Y337" s="975"/>
      <c r="Z337" s="1466">
        <f>Z328/Z319</f>
        <v>0.9420445843950882</v>
      </c>
      <c r="AA337" s="975"/>
      <c r="AB337" s="975"/>
      <c r="AC337" s="975"/>
      <c r="AD337" s="975"/>
      <c r="AE337" s="1466">
        <f>AE328/AE319</f>
        <v>1.0146611306822084</v>
      </c>
      <c r="AF337" s="975"/>
      <c r="AG337" s="975"/>
      <c r="AH337" s="975"/>
      <c r="AI337" s="975"/>
      <c r="AJ337" s="1466">
        <f>AJ328/AJ319</f>
        <v>1.2346999198734354</v>
      </c>
      <c r="AK337" s="975"/>
      <c r="AL337" s="975"/>
      <c r="AM337" s="975"/>
      <c r="AN337" s="975"/>
      <c r="AO337" s="1466">
        <f>AO328/AO319</f>
        <v>0.87208067949261037</v>
      </c>
      <c r="AQ337" s="1466">
        <f>AVERAGE(AO337,AE337)</f>
        <v>0.94337090508740939</v>
      </c>
    </row>
    <row r="338" spans="1:43" ht="12" customHeight="1" outlineLevel="1">
      <c r="A338" s="974" t="str">
        <f>A329</f>
        <v>Гостиницы 3*</v>
      </c>
      <c r="B338" s="975"/>
      <c r="C338" s="975"/>
      <c r="D338" s="975"/>
      <c r="E338" s="975"/>
      <c r="F338" s="1466">
        <f>F329/F320</f>
        <v>0.66404731653730198</v>
      </c>
      <c r="G338" s="975"/>
      <c r="H338" s="975"/>
      <c r="I338" s="975"/>
      <c r="J338" s="975"/>
      <c r="K338" s="1466">
        <f>K329/K320</f>
        <v>0.98426861681925226</v>
      </c>
      <c r="L338" s="975"/>
      <c r="M338" s="975"/>
      <c r="N338" s="975"/>
      <c r="O338" s="975"/>
      <c r="P338" s="1466">
        <f>P329/P320</f>
        <v>0.90457880217781617</v>
      </c>
      <c r="Q338" s="975"/>
      <c r="R338" s="975"/>
      <c r="S338" s="975"/>
      <c r="T338" s="975"/>
      <c r="U338" s="1466">
        <f>U329/U320</f>
        <v>0.90151375936871225</v>
      </c>
      <c r="V338" s="975"/>
      <c r="W338" s="975"/>
      <c r="X338" s="975"/>
      <c r="Y338" s="975"/>
      <c r="Z338" s="1466">
        <f>Z329/Z320</f>
        <v>0.97960304526444553</v>
      </c>
      <c r="AA338" s="975"/>
      <c r="AB338" s="975"/>
      <c r="AC338" s="975"/>
      <c r="AD338" s="975"/>
      <c r="AE338" s="1466">
        <f>AE329/AE320</f>
        <v>0.82101634262849221</v>
      </c>
      <c r="AF338" s="975"/>
      <c r="AG338" s="975"/>
      <c r="AH338" s="975"/>
      <c r="AI338" s="975"/>
      <c r="AJ338" s="1466">
        <f>AJ329/AJ320</f>
        <v>1.1895129861012554</v>
      </c>
      <c r="AK338" s="975"/>
      <c r="AL338" s="975"/>
      <c r="AM338" s="975"/>
      <c r="AN338" s="975"/>
      <c r="AO338" s="1466">
        <f>AO329/AO320</f>
        <v>0.83025826711888095</v>
      </c>
      <c r="AP338" s="1017"/>
      <c r="AQ338" s="1466">
        <f>AVERAGE(AO338,AE338)</f>
        <v>0.82563730487368658</v>
      </c>
    </row>
    <row r="339" spans="1:43" ht="12" customHeight="1" outlineLevel="1">
      <c r="A339" s="974" t="str">
        <f>A330</f>
        <v>Гостиницы 2*</v>
      </c>
      <c r="B339" s="975"/>
      <c r="C339" s="975"/>
      <c r="D339" s="975"/>
      <c r="E339" s="975"/>
      <c r="F339" s="976" t="str">
        <f>IFERROR(SUM(D322:E322)/SUM(D290:E290),"-")</f>
        <v>-</v>
      </c>
      <c r="G339" s="975"/>
      <c r="H339" s="975"/>
      <c r="I339" s="975"/>
      <c r="J339" s="975"/>
      <c r="K339" s="1466">
        <f>K330/K321</f>
        <v>0.66299489592113892</v>
      </c>
      <c r="L339" s="975"/>
      <c r="M339" s="975"/>
      <c r="N339" s="975"/>
      <c r="O339" s="975"/>
      <c r="P339" s="1466">
        <f>P330/P321</f>
        <v>0.80685039890466281</v>
      </c>
      <c r="Q339" s="975"/>
      <c r="R339" s="975"/>
      <c r="S339" s="975"/>
      <c r="T339" s="975"/>
      <c r="U339" s="1466">
        <f>U330/U321</f>
        <v>0.87184742279725369</v>
      </c>
      <c r="V339" s="975"/>
      <c r="W339" s="975"/>
      <c r="X339" s="975"/>
      <c r="Y339" s="975"/>
      <c r="Z339" s="1466">
        <f>Z330/Z321</f>
        <v>0.82561591596099404</v>
      </c>
      <c r="AA339" s="975"/>
      <c r="AB339" s="975"/>
      <c r="AC339" s="975"/>
      <c r="AD339" s="975"/>
      <c r="AE339" s="1466">
        <f>AE330/AE321</f>
        <v>0.76749169856381061</v>
      </c>
      <c r="AF339" s="975"/>
      <c r="AG339" s="975"/>
      <c r="AH339" s="975"/>
      <c r="AI339" s="975"/>
      <c r="AJ339" s="1466">
        <f>AJ330/AJ321</f>
        <v>0.82626312267101387</v>
      </c>
      <c r="AK339" s="975"/>
      <c r="AL339" s="975"/>
      <c r="AM339" s="975"/>
      <c r="AN339" s="975"/>
      <c r="AO339" s="1466">
        <f>AO330/AO321</f>
        <v>0.6768795966963348</v>
      </c>
      <c r="AQ339" s="1466">
        <f>AVERAGE(AO339,AE339)</f>
        <v>0.72218564763007276</v>
      </c>
    </row>
    <row r="340" spans="1:43" ht="13.5" outlineLevel="1" thickBot="1">
      <c r="A340" s="965" t="str">
        <f>A331</f>
        <v>ВСЕГО</v>
      </c>
      <c r="B340" s="977"/>
      <c r="C340" s="977"/>
      <c r="D340" s="977"/>
      <c r="E340" s="977"/>
      <c r="F340" s="978"/>
      <c r="G340" s="979"/>
      <c r="H340" s="979"/>
      <c r="I340" s="979"/>
      <c r="J340" s="979"/>
      <c r="K340" s="978"/>
      <c r="L340" s="979"/>
      <c r="M340" s="979"/>
      <c r="N340" s="979"/>
      <c r="O340" s="979"/>
      <c r="P340" s="978"/>
      <c r="Q340" s="979"/>
      <c r="R340" s="979"/>
      <c r="S340" s="979"/>
      <c r="T340" s="979"/>
      <c r="U340" s="978"/>
      <c r="V340" s="979"/>
      <c r="W340" s="979"/>
      <c r="X340" s="979"/>
      <c r="Y340" s="979"/>
      <c r="Z340" s="978"/>
      <c r="AA340" s="979"/>
      <c r="AB340" s="979"/>
      <c r="AC340" s="979"/>
      <c r="AD340" s="979"/>
      <c r="AE340" s="978"/>
      <c r="AF340" s="979"/>
      <c r="AG340" s="979"/>
      <c r="AH340" s="979"/>
      <c r="AI340" s="979"/>
      <c r="AJ340" s="978"/>
      <c r="AK340" s="979"/>
      <c r="AL340" s="979"/>
      <c r="AM340" s="979"/>
      <c r="AN340" s="979"/>
      <c r="AO340" s="978"/>
      <c r="AQ340" s="978"/>
    </row>
    <row r="341" spans="1:43" s="932" customFormat="1" ht="13.5" outlineLevel="1" thickBot="1">
      <c r="A341" s="1006" t="s">
        <v>407</v>
      </c>
      <c r="B341" s="1006"/>
      <c r="C341" s="1006"/>
      <c r="D341" s="1006"/>
      <c r="E341" s="1006"/>
      <c r="F341" s="1006"/>
      <c r="G341" s="1010"/>
      <c r="H341" s="1010"/>
      <c r="I341" s="1010"/>
      <c r="J341" s="1010"/>
      <c r="K341" s="1467">
        <f>K332/K323</f>
        <v>0.62399964787493944</v>
      </c>
      <c r="L341" s="1010"/>
      <c r="M341" s="1010"/>
      <c r="N341" s="1010"/>
      <c r="O341" s="1010"/>
      <c r="P341" s="1467">
        <f>P332/P323</f>
        <v>0.18944099378881984</v>
      </c>
      <c r="Q341" s="1010"/>
      <c r="R341" s="1010"/>
      <c r="S341" s="1010"/>
      <c r="T341" s="1010"/>
      <c r="U341" s="1467">
        <f>U332/U323</f>
        <v>0.94643225540254783</v>
      </c>
      <c r="V341" s="1010"/>
      <c r="W341" s="1010"/>
      <c r="X341" s="1010"/>
      <c r="Y341" s="1010"/>
      <c r="Z341" s="1467">
        <f>Z332/Z323</f>
        <v>0.78684775710304355</v>
      </c>
      <c r="AA341" s="1010"/>
      <c r="AB341" s="1010"/>
      <c r="AC341" s="1010"/>
      <c r="AD341" s="1010"/>
      <c r="AE341" s="1467">
        <f>AE332/AE323</f>
        <v>0.50204033539891746</v>
      </c>
      <c r="AF341" s="1010"/>
      <c r="AG341" s="1010"/>
      <c r="AH341" s="1010"/>
      <c r="AI341" s="1010"/>
      <c r="AJ341" s="1467">
        <f>AJ332/AJ323</f>
        <v>0.32147562582345185</v>
      </c>
      <c r="AK341" s="1010"/>
      <c r="AL341" s="1010"/>
      <c r="AM341" s="1010"/>
      <c r="AN341" s="1010"/>
      <c r="AO341" s="1467">
        <f>AO332/AO323</f>
        <v>0.48374264184472898</v>
      </c>
      <c r="AP341" s="843"/>
      <c r="AQ341" s="1466">
        <f>AVERAGE(AO341,AE341)</f>
        <v>0.49289148862182319</v>
      </c>
    </row>
    <row r="342" spans="1:43" ht="13.5" outlineLevel="1" thickBot="1">
      <c r="H342" s="920"/>
      <c r="I342" s="843"/>
      <c r="Q342" s="980"/>
      <c r="R342" s="980"/>
      <c r="S342" s="980"/>
      <c r="T342" s="980"/>
      <c r="U342" s="981"/>
      <c r="V342" s="980"/>
      <c r="W342" s="980"/>
      <c r="X342" s="980"/>
      <c r="Y342" s="980"/>
      <c r="Z342" s="980"/>
      <c r="AA342" s="980"/>
      <c r="AB342" s="980"/>
      <c r="AC342" s="980"/>
      <c r="AD342" s="980"/>
      <c r="AE342" s="980"/>
      <c r="AF342" s="980"/>
      <c r="AG342" s="980"/>
      <c r="AH342" s="980"/>
      <c r="AI342" s="980"/>
      <c r="AJ342" s="980"/>
    </row>
    <row r="343" spans="1:43" ht="13.5" outlineLevel="1" thickTop="1">
      <c r="A343" s="982"/>
      <c r="B343" s="942">
        <f t="shared" ref="B343:AO343" si="61">B$252</f>
        <v>2014</v>
      </c>
      <c r="C343" s="942">
        <f t="shared" si="61"/>
        <v>2014</v>
      </c>
      <c r="D343" s="942">
        <f t="shared" si="61"/>
        <v>2014</v>
      </c>
      <c r="E343" s="942">
        <f t="shared" si="61"/>
        <v>2014</v>
      </c>
      <c r="F343" s="943">
        <f t="shared" si="61"/>
        <v>2014</v>
      </c>
      <c r="G343" s="942">
        <f t="shared" si="61"/>
        <v>2015</v>
      </c>
      <c r="H343" s="942">
        <f t="shared" si="61"/>
        <v>2015</v>
      </c>
      <c r="I343" s="942">
        <f t="shared" si="61"/>
        <v>2015</v>
      </c>
      <c r="J343" s="942">
        <f t="shared" si="61"/>
        <v>2015</v>
      </c>
      <c r="K343" s="943">
        <f t="shared" si="61"/>
        <v>2015</v>
      </c>
      <c r="L343" s="942">
        <f t="shared" si="61"/>
        <v>2016</v>
      </c>
      <c r="M343" s="942">
        <f t="shared" si="61"/>
        <v>2016</v>
      </c>
      <c r="N343" s="942">
        <f t="shared" si="61"/>
        <v>2016</v>
      </c>
      <c r="O343" s="942">
        <f t="shared" si="61"/>
        <v>2016</v>
      </c>
      <c r="P343" s="943">
        <f t="shared" si="61"/>
        <v>2016</v>
      </c>
      <c r="Q343" s="942">
        <f t="shared" si="61"/>
        <v>2017</v>
      </c>
      <c r="R343" s="942">
        <f t="shared" si="61"/>
        <v>2017</v>
      </c>
      <c r="S343" s="942">
        <f t="shared" si="61"/>
        <v>2017</v>
      </c>
      <c r="T343" s="942">
        <f t="shared" si="61"/>
        <v>2017</v>
      </c>
      <c r="U343" s="943">
        <f t="shared" si="61"/>
        <v>2017</v>
      </c>
      <c r="V343" s="942">
        <f t="shared" si="61"/>
        <v>2018</v>
      </c>
      <c r="W343" s="942">
        <f t="shared" si="61"/>
        <v>2018</v>
      </c>
      <c r="X343" s="942">
        <f t="shared" si="61"/>
        <v>2018</v>
      </c>
      <c r="Y343" s="942">
        <f t="shared" si="61"/>
        <v>2018</v>
      </c>
      <c r="Z343" s="943">
        <f t="shared" si="61"/>
        <v>2018</v>
      </c>
      <c r="AA343" s="942">
        <f t="shared" si="61"/>
        <v>2019</v>
      </c>
      <c r="AB343" s="942">
        <f t="shared" si="61"/>
        <v>2019</v>
      </c>
      <c r="AC343" s="942">
        <f t="shared" si="61"/>
        <v>2019</v>
      </c>
      <c r="AD343" s="942">
        <f t="shared" si="61"/>
        <v>2019</v>
      </c>
      <c r="AE343" s="943">
        <f t="shared" si="61"/>
        <v>2019</v>
      </c>
      <c r="AF343" s="942">
        <f t="shared" si="61"/>
        <v>2020</v>
      </c>
      <c r="AG343" s="942">
        <f t="shared" si="61"/>
        <v>2020</v>
      </c>
      <c r="AH343" s="942">
        <f t="shared" si="61"/>
        <v>2020</v>
      </c>
      <c r="AI343" s="942">
        <f t="shared" si="61"/>
        <v>2020</v>
      </c>
      <c r="AJ343" s="943">
        <f t="shared" si="61"/>
        <v>2020</v>
      </c>
      <c r="AK343" s="942">
        <f t="shared" si="61"/>
        <v>2021</v>
      </c>
      <c r="AL343" s="942">
        <f t="shared" si="61"/>
        <v>2021</v>
      </c>
      <c r="AM343" s="942">
        <f t="shared" si="61"/>
        <v>2021</v>
      </c>
      <c r="AN343" s="942">
        <f t="shared" si="61"/>
        <v>2021</v>
      </c>
      <c r="AO343" s="943">
        <f t="shared" si="61"/>
        <v>2021</v>
      </c>
    </row>
    <row r="344" spans="1:43" ht="13.5" outlineLevel="1" thickBot="1">
      <c r="A344" s="983" t="s">
        <v>704</v>
      </c>
      <c r="B344" s="945" t="str">
        <f t="shared" ref="B344:AO344" si="62">B$253</f>
        <v>1 квартал</v>
      </c>
      <c r="C344" s="945" t="str">
        <f t="shared" si="62"/>
        <v>2 квартал</v>
      </c>
      <c r="D344" s="945" t="str">
        <f t="shared" si="62"/>
        <v>3 квартал</v>
      </c>
      <c r="E344" s="945" t="str">
        <f t="shared" si="62"/>
        <v>4 квартал</v>
      </c>
      <c r="F344" s="946" t="str">
        <f t="shared" si="62"/>
        <v>ГОД</v>
      </c>
      <c r="G344" s="945" t="str">
        <f t="shared" si="62"/>
        <v>1 квартал</v>
      </c>
      <c r="H344" s="945" t="str">
        <f t="shared" si="62"/>
        <v>2 квартал</v>
      </c>
      <c r="I344" s="945" t="str">
        <f t="shared" si="62"/>
        <v>3 квартал</v>
      </c>
      <c r="J344" s="945" t="str">
        <f t="shared" si="62"/>
        <v>4 квартал</v>
      </c>
      <c r="K344" s="946" t="str">
        <f t="shared" si="62"/>
        <v>ГОД</v>
      </c>
      <c r="L344" s="945" t="str">
        <f t="shared" si="62"/>
        <v>1 квартал</v>
      </c>
      <c r="M344" s="945" t="str">
        <f t="shared" si="62"/>
        <v>2 квартал</v>
      </c>
      <c r="N344" s="945" t="str">
        <f t="shared" si="62"/>
        <v>3 квартал</v>
      </c>
      <c r="O344" s="945" t="str">
        <f t="shared" si="62"/>
        <v>4 квартал</v>
      </c>
      <c r="P344" s="946" t="str">
        <f t="shared" si="62"/>
        <v>ГОД</v>
      </c>
      <c r="Q344" s="945" t="str">
        <f t="shared" si="62"/>
        <v>1 квартал</v>
      </c>
      <c r="R344" s="945" t="str">
        <f t="shared" si="62"/>
        <v>2 квартал</v>
      </c>
      <c r="S344" s="945" t="str">
        <f t="shared" si="62"/>
        <v>3 квартал</v>
      </c>
      <c r="T344" s="945" t="str">
        <f t="shared" si="62"/>
        <v>4 квартал</v>
      </c>
      <c r="U344" s="946" t="str">
        <f t="shared" si="62"/>
        <v>ГОД</v>
      </c>
      <c r="V344" s="945" t="str">
        <f t="shared" si="62"/>
        <v>1 квартал</v>
      </c>
      <c r="W344" s="945" t="str">
        <f t="shared" si="62"/>
        <v>2 квартал</v>
      </c>
      <c r="X344" s="945" t="str">
        <f t="shared" si="62"/>
        <v>3 квартал</v>
      </c>
      <c r="Y344" s="945" t="str">
        <f t="shared" si="62"/>
        <v>4 квартал</v>
      </c>
      <c r="Z344" s="946" t="str">
        <f t="shared" si="62"/>
        <v>ГОД</v>
      </c>
      <c r="AA344" s="945" t="str">
        <f t="shared" si="62"/>
        <v>1 квартал</v>
      </c>
      <c r="AB344" s="945" t="str">
        <f t="shared" si="62"/>
        <v>2 квартал</v>
      </c>
      <c r="AC344" s="945" t="str">
        <f t="shared" si="62"/>
        <v>3 квартал</v>
      </c>
      <c r="AD344" s="945" t="str">
        <f t="shared" si="62"/>
        <v>4 квартал</v>
      </c>
      <c r="AE344" s="946" t="str">
        <f t="shared" si="62"/>
        <v>ГОД</v>
      </c>
      <c r="AF344" s="945" t="str">
        <f t="shared" si="62"/>
        <v>1 квартал</v>
      </c>
      <c r="AG344" s="945" t="str">
        <f t="shared" si="62"/>
        <v>2 квартал</v>
      </c>
      <c r="AH344" s="945" t="str">
        <f t="shared" si="62"/>
        <v>3 квартал</v>
      </c>
      <c r="AI344" s="945" t="str">
        <f t="shared" si="62"/>
        <v>4 квартал</v>
      </c>
      <c r="AJ344" s="946" t="str">
        <f t="shared" si="62"/>
        <v>ГОД</v>
      </c>
      <c r="AK344" s="945" t="str">
        <f t="shared" si="62"/>
        <v>1 квартал</v>
      </c>
      <c r="AL344" s="945" t="str">
        <f t="shared" si="62"/>
        <v>2 квартал</v>
      </c>
      <c r="AM344" s="945" t="str">
        <f t="shared" si="62"/>
        <v>3 квартал</v>
      </c>
      <c r="AN344" s="945" t="str">
        <f t="shared" si="62"/>
        <v>4 квартал</v>
      </c>
      <c r="AO344" s="946" t="str">
        <f t="shared" si="62"/>
        <v>ГОД</v>
      </c>
    </row>
    <row r="345" spans="1:43" ht="13.5" outlineLevel="2" thickTop="1">
      <c r="A345" s="953"/>
      <c r="B345" s="948">
        <v>69205000</v>
      </c>
      <c r="C345" s="948">
        <v>10670000</v>
      </c>
      <c r="D345" s="948">
        <v>9163000</v>
      </c>
      <c r="E345" s="948">
        <v>20037000</v>
      </c>
      <c r="F345" s="949">
        <v>109074000</v>
      </c>
      <c r="G345" s="948">
        <v>89790000</v>
      </c>
      <c r="H345" s="948">
        <v>11278564.402329998</v>
      </c>
      <c r="I345" s="948">
        <v>19982411.549999997</v>
      </c>
      <c r="J345" s="948">
        <v>32890000</v>
      </c>
      <c r="K345" s="949">
        <v>153940975.95232999</v>
      </c>
      <c r="L345" s="948">
        <v>137651526</v>
      </c>
      <c r="M345" s="948">
        <v>18430761</v>
      </c>
      <c r="N345" s="948">
        <v>35615738.82</v>
      </c>
      <c r="O345" s="948">
        <v>40631000</v>
      </c>
      <c r="P345" s="949">
        <v>232329025.81999999</v>
      </c>
      <c r="Q345" s="948">
        <v>139906606.002</v>
      </c>
      <c r="R345" s="948">
        <v>31946406.084745765</v>
      </c>
      <c r="S345" s="948">
        <v>35302868.480000004</v>
      </c>
      <c r="T345" s="948">
        <v>43484376.54576271</v>
      </c>
      <c r="U345" s="949">
        <v>250640257.11250848</v>
      </c>
      <c r="V345" s="948">
        <v>164438929.05199999</v>
      </c>
      <c r="W345" s="948">
        <v>33778460</v>
      </c>
      <c r="X345" s="948">
        <v>48060598.780000001</v>
      </c>
      <c r="Y345" s="948">
        <v>45388362.659999996</v>
      </c>
      <c r="Z345" s="949">
        <v>291666350.49199998</v>
      </c>
      <c r="AA345" s="948">
        <v>165264306.84999999</v>
      </c>
      <c r="AB345" s="948">
        <v>40483165.799999997</v>
      </c>
      <c r="AC345" s="948">
        <v>54937664.480000004</v>
      </c>
      <c r="AD345" s="948">
        <v>59170177.43</v>
      </c>
      <c r="AE345" s="949">
        <v>319855314.56</v>
      </c>
      <c r="AF345" s="948">
        <v>173083193.34999999</v>
      </c>
      <c r="AG345" s="948">
        <v>1109807.21</v>
      </c>
      <c r="AH345" s="948">
        <v>100593584.13</v>
      </c>
      <c r="AI345" s="948">
        <v>89187243.859999985</v>
      </c>
      <c r="AJ345" s="949">
        <v>363973828.54999995</v>
      </c>
      <c r="AK345" s="948">
        <v>282125182.46000004</v>
      </c>
      <c r="AL345" s="948">
        <v>81801901.549999997</v>
      </c>
      <c r="AM345" s="948">
        <v>74714917.480000004</v>
      </c>
      <c r="AN345" s="954">
        <v>89187243.859999985</v>
      </c>
      <c r="AO345" s="1000">
        <v>527829245.35000002</v>
      </c>
    </row>
    <row r="346" spans="1:43" outlineLevel="2">
      <c r="A346" s="953"/>
      <c r="B346" s="948"/>
      <c r="C346" s="948">
        <v>3853938.55</v>
      </c>
      <c r="D346" s="948">
        <v>5263344.2699999996</v>
      </c>
      <c r="E346" s="948">
        <v>11601199.27</v>
      </c>
      <c r="F346" s="949">
        <v>20718482.09</v>
      </c>
      <c r="G346" s="948">
        <v>44590545</v>
      </c>
      <c r="H346" s="948">
        <v>3958753</v>
      </c>
      <c r="I346" s="948">
        <v>14139588</v>
      </c>
      <c r="J346" s="948">
        <v>25389214</v>
      </c>
      <c r="K346" s="949">
        <v>88078100</v>
      </c>
      <c r="L346" s="948">
        <v>82290890.728813589</v>
      </c>
      <c r="M346" s="948">
        <v>16824014.584745765</v>
      </c>
      <c r="N346" s="948">
        <v>34006976.101694919</v>
      </c>
      <c r="O346" s="948">
        <v>40880925.550847456</v>
      </c>
      <c r="P346" s="949">
        <v>174002806.96610171</v>
      </c>
      <c r="Q346" s="948">
        <v>88508555</v>
      </c>
      <c r="R346" s="948">
        <v>20181522</v>
      </c>
      <c r="S346" s="948">
        <v>33649054</v>
      </c>
      <c r="T346" s="948">
        <v>34548323</v>
      </c>
      <c r="U346" s="949">
        <v>176887454</v>
      </c>
      <c r="V346" s="948">
        <v>94263376.689999998</v>
      </c>
      <c r="W346" s="948">
        <v>23626379.920000002</v>
      </c>
      <c r="X346" s="948">
        <v>36991008.189999998</v>
      </c>
      <c r="Y346" s="948">
        <v>29477729.460000001</v>
      </c>
      <c r="Z346" s="949">
        <v>184358494.26000002</v>
      </c>
      <c r="AA346" s="948">
        <v>83041282.200000003</v>
      </c>
      <c r="AB346" s="948">
        <v>17386355.07</v>
      </c>
      <c r="AC346" s="948">
        <v>38128015.270000003</v>
      </c>
      <c r="AD346" s="948">
        <v>35322694.07</v>
      </c>
      <c r="AE346" s="949">
        <v>173878346.61000001</v>
      </c>
      <c r="AF346" s="948">
        <v>82385000.390000001</v>
      </c>
      <c r="AG346" s="948">
        <v>1751151</v>
      </c>
      <c r="AH346" s="948">
        <v>78246397</v>
      </c>
      <c r="AI346" s="948">
        <v>63092013</v>
      </c>
      <c r="AJ346" s="949">
        <v>225474561.38999999</v>
      </c>
      <c r="AK346" s="948">
        <v>182411342</v>
      </c>
      <c r="AL346" s="948">
        <v>78355413</v>
      </c>
      <c r="AM346" s="948">
        <v>70388874</v>
      </c>
      <c r="AN346" s="954">
        <v>63092013</v>
      </c>
      <c r="AO346" s="1000">
        <v>394247642</v>
      </c>
    </row>
    <row r="347" spans="1:43" outlineLevel="2">
      <c r="A347" s="955"/>
      <c r="B347" s="948">
        <v>100612669.29000001</v>
      </c>
      <c r="C347" s="948">
        <v>5968980.8100000005</v>
      </c>
      <c r="D347" s="948">
        <v>13738234.16</v>
      </c>
      <c r="E347" s="948">
        <v>39519438.170000002</v>
      </c>
      <c r="F347" s="949">
        <v>159839322.43000001</v>
      </c>
      <c r="G347" s="948">
        <v>152487441</v>
      </c>
      <c r="H347" s="948">
        <v>23373473.939999998</v>
      </c>
      <c r="I347" s="948">
        <v>40157915.049999997</v>
      </c>
      <c r="J347" s="948">
        <v>53544283.910000004</v>
      </c>
      <c r="K347" s="949">
        <v>269563113.90000004</v>
      </c>
      <c r="L347" s="948">
        <v>262390031.04237288</v>
      </c>
      <c r="M347" s="948">
        <v>45760276.355932206</v>
      </c>
      <c r="N347" s="948">
        <v>103606048.36440678</v>
      </c>
      <c r="O347" s="948">
        <v>59226049.906779662</v>
      </c>
      <c r="P347" s="949">
        <v>470982405.66949147</v>
      </c>
      <c r="Q347" s="948">
        <v>254513401</v>
      </c>
      <c r="R347" s="948">
        <v>79597055</v>
      </c>
      <c r="S347" s="948">
        <v>125645430</v>
      </c>
      <c r="T347" s="948">
        <v>98022450</v>
      </c>
      <c r="U347" s="949">
        <v>557778336</v>
      </c>
      <c r="V347" s="948">
        <v>272017338.62</v>
      </c>
      <c r="W347" s="948">
        <v>94075094.390000001</v>
      </c>
      <c r="X347" s="948">
        <v>180331167.82999998</v>
      </c>
      <c r="Y347" s="948">
        <v>125918767.43000001</v>
      </c>
      <c r="Z347" s="949">
        <v>672342368.26999998</v>
      </c>
      <c r="AA347" s="948">
        <v>295930772.36000001</v>
      </c>
      <c r="AB347" s="948">
        <v>116734420.19</v>
      </c>
      <c r="AC347" s="948">
        <v>190286848</v>
      </c>
      <c r="AD347" s="948">
        <v>148281115.19</v>
      </c>
      <c r="AE347" s="949">
        <v>751233155.74000001</v>
      </c>
      <c r="AF347" s="948">
        <v>279327981.46000004</v>
      </c>
      <c r="AG347" s="948">
        <v>3227835</v>
      </c>
      <c r="AH347" s="948">
        <v>251087425</v>
      </c>
      <c r="AI347" s="948">
        <v>177710571</v>
      </c>
      <c r="AJ347" s="949">
        <v>711353812.46000004</v>
      </c>
      <c r="AK347" s="948">
        <v>435486714</v>
      </c>
      <c r="AL347" s="948">
        <v>202782968</v>
      </c>
      <c r="AM347" s="948">
        <v>256218142</v>
      </c>
      <c r="AN347" s="954">
        <v>177710571</v>
      </c>
      <c r="AO347" s="1000">
        <v>1072198395</v>
      </c>
    </row>
    <row r="348" spans="1:43" outlineLevel="2">
      <c r="A348" s="953"/>
      <c r="B348" s="948">
        <v>27182269.360000003</v>
      </c>
      <c r="C348" s="948">
        <v>-1000615</v>
      </c>
      <c r="D348" s="948">
        <v>761327.76</v>
      </c>
      <c r="E348" s="948">
        <v>5637561</v>
      </c>
      <c r="F348" s="949"/>
      <c r="G348" s="948"/>
      <c r="H348" s="948"/>
      <c r="I348" s="948"/>
      <c r="J348" s="948"/>
      <c r="K348" s="949"/>
      <c r="L348" s="948"/>
      <c r="M348" s="948"/>
      <c r="N348" s="948"/>
      <c r="O348" s="948"/>
      <c r="P348" s="949"/>
      <c r="Q348" s="948">
        <v>54878120</v>
      </c>
      <c r="R348" s="948">
        <v>15180309</v>
      </c>
      <c r="S348" s="948">
        <v>21223189</v>
      </c>
      <c r="T348" s="948">
        <v>24859281</v>
      </c>
      <c r="U348" s="949">
        <v>116140899</v>
      </c>
      <c r="V348" s="948">
        <v>57133208.719999999</v>
      </c>
      <c r="W348" s="948">
        <v>14525454.710000001</v>
      </c>
      <c r="X348" s="948">
        <v>21145033.689999998</v>
      </c>
      <c r="Y348" s="948">
        <v>14573350.579999998</v>
      </c>
      <c r="Z348" s="949">
        <v>107377047.7</v>
      </c>
      <c r="AA348" s="948">
        <v>48686319.240000002</v>
      </c>
      <c r="AB348" s="948">
        <v>13247736.550000001</v>
      </c>
      <c r="AC348" s="948">
        <v>23736733.699999999</v>
      </c>
      <c r="AD348" s="948">
        <v>20783177.579999998</v>
      </c>
      <c r="AE348" s="949">
        <v>106453967.07000001</v>
      </c>
      <c r="AF348" s="948">
        <v>53535516.060000002</v>
      </c>
      <c r="AG348" s="948">
        <v>0</v>
      </c>
      <c r="AH348" s="948">
        <v>34962748</v>
      </c>
      <c r="AI348" s="948">
        <v>31068183</v>
      </c>
      <c r="AJ348" s="949">
        <v>119566447.06</v>
      </c>
      <c r="AK348" s="948">
        <v>89231629</v>
      </c>
      <c r="AL348" s="948">
        <v>38499986</v>
      </c>
      <c r="AM348" s="948">
        <v>37347919</v>
      </c>
      <c r="AN348" s="954">
        <v>31068183</v>
      </c>
      <c r="AO348" s="1000">
        <v>196147717</v>
      </c>
    </row>
    <row r="349" spans="1:43" outlineLevel="2">
      <c r="A349" s="955"/>
      <c r="B349" s="997"/>
      <c r="C349" s="997"/>
      <c r="D349" s="997"/>
      <c r="E349" s="997"/>
      <c r="F349" s="1001"/>
      <c r="G349" s="997"/>
      <c r="H349" s="997"/>
      <c r="I349" s="997"/>
      <c r="J349" s="997"/>
      <c r="K349" s="1001"/>
      <c r="L349" s="997"/>
      <c r="M349" s="997"/>
      <c r="N349" s="997"/>
      <c r="O349" s="997"/>
      <c r="P349" s="1001"/>
      <c r="Q349" s="997"/>
      <c r="R349" s="997"/>
      <c r="S349" s="997"/>
      <c r="T349" s="997"/>
      <c r="U349" s="1001"/>
      <c r="V349" s="997"/>
      <c r="W349" s="997"/>
      <c r="X349" s="997"/>
      <c r="Y349" s="997"/>
      <c r="Z349" s="1001"/>
      <c r="AA349" s="997"/>
      <c r="AB349" s="997"/>
      <c r="AC349" s="997"/>
      <c r="AD349" s="948">
        <v>1275846.6599999999</v>
      </c>
      <c r="AE349" s="949">
        <v>21812961.649999995</v>
      </c>
      <c r="AF349" s="948">
        <v>22142938.039999999</v>
      </c>
      <c r="AG349" s="948">
        <v>0</v>
      </c>
      <c r="AH349" s="948">
        <v>19938720</v>
      </c>
      <c r="AI349" s="948">
        <v>15049540</v>
      </c>
      <c r="AJ349" s="949">
        <v>57131198.039999999</v>
      </c>
      <c r="AK349" s="948">
        <v>48373361</v>
      </c>
      <c r="AL349" s="948">
        <v>19318455</v>
      </c>
      <c r="AM349" s="948">
        <v>17402467</v>
      </c>
      <c r="AN349" s="954">
        <v>15049540</v>
      </c>
      <c r="AO349" s="1000">
        <v>100143823</v>
      </c>
    </row>
    <row r="350" spans="1:43" ht="13.5" outlineLevel="1" thickBot="1">
      <c r="A350" s="960" t="s">
        <v>700</v>
      </c>
      <c r="B350" s="961">
        <v>196999938.65000004</v>
      </c>
      <c r="C350" s="961">
        <v>19492304.359999999</v>
      </c>
      <c r="D350" s="961">
        <v>28925906.190000001</v>
      </c>
      <c r="E350" s="961">
        <v>76795198.439999998</v>
      </c>
      <c r="F350" s="962">
        <v>289631804.51999998</v>
      </c>
      <c r="G350" s="961">
        <v>286867986</v>
      </c>
      <c r="H350" s="961">
        <v>38610791.342329994</v>
      </c>
      <c r="I350" s="961">
        <v>74279914.599999994</v>
      </c>
      <c r="J350" s="961">
        <v>111823497.91</v>
      </c>
      <c r="K350" s="962">
        <v>511582189.85233003</v>
      </c>
      <c r="L350" s="961">
        <v>482332447.77118647</v>
      </c>
      <c r="M350" s="961">
        <v>81015051.940677971</v>
      </c>
      <c r="N350" s="961">
        <v>173228763.2861017</v>
      </c>
      <c r="O350" s="961">
        <v>140737975.45762712</v>
      </c>
      <c r="P350" s="962">
        <v>877314238.45559311</v>
      </c>
      <c r="Q350" s="961">
        <v>537806682.00199997</v>
      </c>
      <c r="R350" s="961">
        <v>146905292.08474576</v>
      </c>
      <c r="S350" s="961">
        <v>215820541.48000002</v>
      </c>
      <c r="T350" s="961">
        <v>200914430.54576272</v>
      </c>
      <c r="U350" s="962">
        <v>1101446946.1125085</v>
      </c>
      <c r="V350" s="961">
        <v>587852853.08200002</v>
      </c>
      <c r="W350" s="961">
        <v>166005389.02000001</v>
      </c>
      <c r="X350" s="961">
        <v>286527808.49000001</v>
      </c>
      <c r="Y350" s="961">
        <v>215358210.13</v>
      </c>
      <c r="Z350" s="962">
        <v>1255744260.7219999</v>
      </c>
      <c r="AA350" s="961">
        <v>592922680.6500001</v>
      </c>
      <c r="AB350" s="961">
        <v>187851677.61000001</v>
      </c>
      <c r="AC350" s="961">
        <v>307089261.44999999</v>
      </c>
      <c r="AD350" s="961">
        <v>264833010.92999998</v>
      </c>
      <c r="AE350" s="962">
        <v>1373233745.6300001</v>
      </c>
      <c r="AF350" s="961">
        <v>610474629.29999995</v>
      </c>
      <c r="AG350" s="961">
        <v>6088793.21</v>
      </c>
      <c r="AH350" s="961">
        <v>484828874.13</v>
      </c>
      <c r="AI350" s="961">
        <v>376107550.86000001</v>
      </c>
      <c r="AJ350" s="962">
        <v>1477499847.5</v>
      </c>
      <c r="AK350" s="961">
        <v>1037628228.46</v>
      </c>
      <c r="AL350" s="961">
        <v>420758723.55000001</v>
      </c>
      <c r="AM350" s="961">
        <v>456072319.48000002</v>
      </c>
      <c r="AN350" s="963">
        <v>376107550.86000001</v>
      </c>
      <c r="AO350" s="1003">
        <v>2290566822.3499999</v>
      </c>
    </row>
    <row r="351" spans="1:43" ht="13.5" outlineLevel="2" thickTop="1">
      <c r="A351" s="953"/>
      <c r="B351" s="948"/>
      <c r="C351" s="948"/>
      <c r="D351" s="948"/>
      <c r="E351" s="948"/>
      <c r="F351" s="949"/>
      <c r="G351" s="948"/>
      <c r="H351" s="948"/>
      <c r="I351" s="948"/>
      <c r="J351" s="948"/>
      <c r="K351" s="949"/>
      <c r="L351" s="948"/>
      <c r="M351" s="948"/>
      <c r="N351" s="948"/>
      <c r="O351" s="948"/>
      <c r="P351" s="949"/>
      <c r="Q351" s="948">
        <v>27047880</v>
      </c>
      <c r="R351" s="948">
        <v>804428</v>
      </c>
      <c r="S351" s="948">
        <v>316736</v>
      </c>
      <c r="T351" s="948">
        <v>3634080</v>
      </c>
      <c r="U351" s="949">
        <v>31803124</v>
      </c>
      <c r="V351" s="948">
        <v>22514061.510000002</v>
      </c>
      <c r="W351" s="948">
        <v>1058961.1100000001</v>
      </c>
      <c r="X351" s="948">
        <v>498365.07</v>
      </c>
      <c r="Y351" s="948">
        <v>5614146.6399999997</v>
      </c>
      <c r="Z351" s="949">
        <v>29685534.330000002</v>
      </c>
      <c r="AA351" s="948">
        <v>19428894.159999996</v>
      </c>
      <c r="AB351" s="948">
        <v>1108220.83</v>
      </c>
      <c r="AC351" s="997"/>
      <c r="AD351" s="997"/>
      <c r="AE351" s="997"/>
      <c r="AF351" s="997"/>
      <c r="AG351" s="997"/>
      <c r="AH351" s="997"/>
      <c r="AI351" s="997"/>
      <c r="AJ351" s="997"/>
      <c r="AK351" s="997"/>
      <c r="AL351" s="997"/>
      <c r="AM351" s="997"/>
      <c r="AN351" s="998">
        <v>0</v>
      </c>
      <c r="AO351" s="999">
        <v>0</v>
      </c>
    </row>
    <row r="352" spans="1:43" outlineLevel="2">
      <c r="A352" s="953"/>
      <c r="B352" s="948">
        <v>34145492.18</v>
      </c>
      <c r="C352" s="948">
        <v>2859700.9899999998</v>
      </c>
      <c r="D352" s="948">
        <v>6613590.1600000001</v>
      </c>
      <c r="E352" s="948">
        <v>12773053.939999999</v>
      </c>
      <c r="F352" s="949">
        <v>56391837.269999996</v>
      </c>
      <c r="G352" s="948">
        <v>61106660.930000007</v>
      </c>
      <c r="H352" s="948">
        <v>11372547</v>
      </c>
      <c r="I352" s="948">
        <v>11568286.65</v>
      </c>
      <c r="J352" s="948">
        <v>23063773.810000002</v>
      </c>
      <c r="K352" s="949">
        <v>107111268.39000002</v>
      </c>
      <c r="L352" s="948">
        <v>127844276.17796609</v>
      </c>
      <c r="M352" s="948">
        <v>18376972.262711864</v>
      </c>
      <c r="N352" s="948">
        <v>36036598.93220339</v>
      </c>
      <c r="O352" s="948">
        <v>34855076.406779662</v>
      </c>
      <c r="P352" s="949">
        <v>217112923.779661</v>
      </c>
      <c r="Q352" s="948">
        <v>131586219</v>
      </c>
      <c r="R352" s="948">
        <v>19499246</v>
      </c>
      <c r="S352" s="948">
        <v>33830728</v>
      </c>
      <c r="T352" s="948">
        <v>32153654</v>
      </c>
      <c r="U352" s="949">
        <v>217069847</v>
      </c>
      <c r="V352" s="948">
        <v>116276983.38</v>
      </c>
      <c r="W352" s="948">
        <v>25929965.609999999</v>
      </c>
      <c r="X352" s="948">
        <v>51644091.980000004</v>
      </c>
      <c r="Y352" s="948">
        <v>40809432.890000001</v>
      </c>
      <c r="Z352" s="949">
        <v>234660473.86000001</v>
      </c>
      <c r="AA352" s="948">
        <v>125727063.94999999</v>
      </c>
      <c r="AB352" s="948">
        <v>32574434.050000001</v>
      </c>
      <c r="AC352" s="948">
        <v>50729966.399999999</v>
      </c>
      <c r="AD352" s="948">
        <v>43681342.480000004</v>
      </c>
      <c r="AE352" s="949">
        <v>252712806.88</v>
      </c>
      <c r="AF352" s="948">
        <v>134224221.18000001</v>
      </c>
      <c r="AG352" s="948">
        <v>8757</v>
      </c>
      <c r="AH352" s="948">
        <v>78695960</v>
      </c>
      <c r="AI352" s="948">
        <v>67918157</v>
      </c>
      <c r="AJ352" s="949">
        <v>280847095.18000001</v>
      </c>
      <c r="AK352" s="948">
        <v>195612049</v>
      </c>
      <c r="AL352" s="948">
        <v>60376406</v>
      </c>
      <c r="AM352" s="948">
        <v>65760959</v>
      </c>
      <c r="AN352" s="954">
        <v>67918157</v>
      </c>
      <c r="AO352" s="1000">
        <v>389667571</v>
      </c>
    </row>
    <row r="353" spans="1:41" outlineLevel="2">
      <c r="A353" s="953"/>
      <c r="B353" s="948">
        <v>5155999.5299999993</v>
      </c>
      <c r="C353" s="948"/>
      <c r="D353" s="948"/>
      <c r="E353" s="948"/>
      <c r="F353" s="949">
        <v>7149388.4600000009</v>
      </c>
      <c r="G353" s="948">
        <v>12792692</v>
      </c>
      <c r="H353" s="948">
        <v>-770635</v>
      </c>
      <c r="I353" s="948"/>
      <c r="J353" s="948">
        <v>1306806</v>
      </c>
      <c r="K353" s="949">
        <v>13328863</v>
      </c>
      <c r="L353" s="948">
        <v>13996072.906779662</v>
      </c>
      <c r="M353" s="948">
        <v>867355.99152542383</v>
      </c>
      <c r="N353" s="948"/>
      <c r="O353" s="948"/>
      <c r="P353" s="949">
        <v>14863428.898305086</v>
      </c>
      <c r="Q353" s="948">
        <v>17652145</v>
      </c>
      <c r="R353" s="948">
        <v>1145158</v>
      </c>
      <c r="S353" s="948">
        <v>656011</v>
      </c>
      <c r="T353" s="948">
        <v>3185623</v>
      </c>
      <c r="U353" s="949">
        <v>22638937</v>
      </c>
      <c r="V353" s="948">
        <v>15600322.299999999</v>
      </c>
      <c r="W353" s="948">
        <v>33665.699999999953</v>
      </c>
      <c r="X353" s="948">
        <v>548805.09</v>
      </c>
      <c r="Y353" s="948">
        <v>2286499.37</v>
      </c>
      <c r="Z353" s="949">
        <v>18469292.459999997</v>
      </c>
      <c r="AA353" s="948">
        <v>12500720.18</v>
      </c>
      <c r="AB353" s="948">
        <v>981250.84</v>
      </c>
      <c r="AC353" s="948">
        <v>0</v>
      </c>
      <c r="AD353" s="948">
        <v>1587182.51</v>
      </c>
      <c r="AE353" s="949">
        <v>15069153.529999999</v>
      </c>
      <c r="AF353" s="948">
        <v>14709018</v>
      </c>
      <c r="AG353" s="948">
        <v>0</v>
      </c>
      <c r="AH353" s="948">
        <v>0</v>
      </c>
      <c r="AI353" s="948">
        <v>2822190</v>
      </c>
      <c r="AJ353" s="949">
        <v>17531208</v>
      </c>
      <c r="AK353" s="948">
        <v>35431072</v>
      </c>
      <c r="AL353" s="948">
        <v>17919128</v>
      </c>
      <c r="AM353" s="948">
        <v>19162787</v>
      </c>
      <c r="AN353" s="954">
        <v>2822190</v>
      </c>
      <c r="AO353" s="1000">
        <v>75335177</v>
      </c>
    </row>
    <row r="354" spans="1:41" outlineLevel="2">
      <c r="A354" s="953"/>
      <c r="B354" s="948">
        <v>35129407.079999998</v>
      </c>
      <c r="C354" s="948">
        <v>5630741.3999999994</v>
      </c>
      <c r="D354" s="948">
        <v>3414130.2600000002</v>
      </c>
      <c r="E354" s="948">
        <v>7329118.0899999999</v>
      </c>
      <c r="F354" s="949">
        <v>51503396.829999998</v>
      </c>
      <c r="G354" s="948">
        <v>41197381.280000001</v>
      </c>
      <c r="H354" s="948">
        <v>3089589</v>
      </c>
      <c r="I354" s="948"/>
      <c r="J354" s="948">
        <v>4317821.07</v>
      </c>
      <c r="K354" s="949">
        <v>48604791.350000001</v>
      </c>
      <c r="L354" s="948">
        <v>60517871.135593221</v>
      </c>
      <c r="M354" s="948">
        <v>613668.64406779665</v>
      </c>
      <c r="N354" s="948"/>
      <c r="O354" s="948">
        <v>5688099.5423728814</v>
      </c>
      <c r="P354" s="949">
        <v>66819639.322033897</v>
      </c>
      <c r="Q354" s="948">
        <v>65745628</v>
      </c>
      <c r="R354" s="948">
        <v>7278029</v>
      </c>
      <c r="S354" s="948">
        <v>3708040</v>
      </c>
      <c r="T354" s="948">
        <v>12398337</v>
      </c>
      <c r="U354" s="949">
        <v>89130034</v>
      </c>
      <c r="V354" s="948">
        <v>66157326.259999998</v>
      </c>
      <c r="W354" s="948">
        <v>7617664.4499999993</v>
      </c>
      <c r="X354" s="948">
        <v>7155864.5800000001</v>
      </c>
      <c r="Y354" s="948">
        <v>4866675.12</v>
      </c>
      <c r="Z354" s="949">
        <v>85797530.409999996</v>
      </c>
      <c r="AA354" s="948">
        <v>67008507.890000001</v>
      </c>
      <c r="AB354" s="948">
        <v>16910478.93</v>
      </c>
      <c r="AC354" s="948">
        <v>33760108.730000004</v>
      </c>
      <c r="AD354" s="948">
        <v>28917487.170000002</v>
      </c>
      <c r="AE354" s="949">
        <v>146596582.72</v>
      </c>
      <c r="AF354" s="948">
        <v>88766768.370000005</v>
      </c>
      <c r="AG354" s="948">
        <v>-4135</v>
      </c>
      <c r="AH354" s="948">
        <v>52484859</v>
      </c>
      <c r="AI354" s="948">
        <v>31445939</v>
      </c>
      <c r="AJ354" s="949">
        <v>172693431.37</v>
      </c>
      <c r="AK354" s="948">
        <v>122053752</v>
      </c>
      <c r="AL354" s="948">
        <v>39010279</v>
      </c>
      <c r="AM354" s="948">
        <v>49431063</v>
      </c>
      <c r="AN354" s="954">
        <v>31445939</v>
      </c>
      <c r="AO354" s="1000">
        <v>241941033</v>
      </c>
    </row>
    <row r="355" spans="1:41" outlineLevel="2">
      <c r="A355" s="953"/>
      <c r="B355" s="948">
        <v>32809404.208499998</v>
      </c>
      <c r="C355" s="948">
        <v>4357031.0269999998</v>
      </c>
      <c r="D355" s="948">
        <v>4750000.2849000003</v>
      </c>
      <c r="E355" s="948">
        <v>13615385.1709</v>
      </c>
      <c r="F355" s="949">
        <v>55531820.691300005</v>
      </c>
      <c r="G355" s="948">
        <v>52248221.348061018</v>
      </c>
      <c r="H355" s="948">
        <v>7953383.1080338974</v>
      </c>
      <c r="I355" s="948">
        <v>14450245.226018645</v>
      </c>
      <c r="J355" s="948">
        <v>14729413</v>
      </c>
      <c r="K355" s="949">
        <v>89381262.682113558</v>
      </c>
      <c r="L355" s="948">
        <v>80138945.909999996</v>
      </c>
      <c r="M355" s="948">
        <v>18328721.785762712</v>
      </c>
      <c r="N355" s="948">
        <v>28520467.978474565</v>
      </c>
      <c r="O355" s="948">
        <v>27080485.120847471</v>
      </c>
      <c r="P355" s="949">
        <v>154068620.79508474</v>
      </c>
      <c r="Q355" s="948">
        <v>99774119.460338995</v>
      </c>
      <c r="R355" s="948">
        <v>20646634.601016954</v>
      </c>
      <c r="S355" s="948">
        <v>32041605.580016956</v>
      </c>
      <c r="T355" s="948">
        <v>31081102.706271186</v>
      </c>
      <c r="U355" s="949">
        <v>183543462.34764409</v>
      </c>
      <c r="V355" s="948">
        <v>98820233.870677978</v>
      </c>
      <c r="W355" s="948">
        <v>21666355.509999994</v>
      </c>
      <c r="X355" s="948">
        <v>33590388.81101694</v>
      </c>
      <c r="Y355" s="948">
        <v>32410711.380339015</v>
      </c>
      <c r="Z355" s="949">
        <v>186487689.57203394</v>
      </c>
      <c r="AA355" s="948">
        <v>107487361.52333334</v>
      </c>
      <c r="AB355" s="948">
        <v>22810481.640000015</v>
      </c>
      <c r="AC355" s="948">
        <v>33968834.549999937</v>
      </c>
      <c r="AD355" s="948">
        <v>32898311.095000006</v>
      </c>
      <c r="AE355" s="949">
        <v>197164988.80833331</v>
      </c>
      <c r="AF355" s="948">
        <v>104592321.57000001</v>
      </c>
      <c r="AG355" s="948">
        <v>0</v>
      </c>
      <c r="AH355" s="948">
        <v>52097700.471666679</v>
      </c>
      <c r="AI355" s="948">
        <v>37864956.174999982</v>
      </c>
      <c r="AJ355" s="949">
        <v>194554978.21666667</v>
      </c>
      <c r="AK355" s="948">
        <v>157358788.15000001</v>
      </c>
      <c r="AL355" s="948">
        <v>50862801.969999999</v>
      </c>
      <c r="AM355" s="948">
        <v>39130303.650000006</v>
      </c>
      <c r="AN355" s="954">
        <v>37864956.174999982</v>
      </c>
      <c r="AO355" s="1000">
        <v>285216849.94499999</v>
      </c>
    </row>
    <row r="356" spans="1:41" outlineLevel="2">
      <c r="A356" s="955"/>
      <c r="B356" s="948"/>
      <c r="C356" s="948"/>
      <c r="D356" s="948"/>
      <c r="E356" s="948"/>
      <c r="F356" s="949">
        <v>66726000</v>
      </c>
      <c r="G356" s="948">
        <v>71331378.339999989</v>
      </c>
      <c r="H356" s="948">
        <v>3627814.77568</v>
      </c>
      <c r="I356" s="948"/>
      <c r="J356" s="948">
        <v>6887000</v>
      </c>
      <c r="K356" s="949">
        <v>81846193.115679994</v>
      </c>
      <c r="L356" s="948">
        <v>115109769</v>
      </c>
      <c r="M356" s="948">
        <v>9651489</v>
      </c>
      <c r="N356" s="948">
        <v>29279665</v>
      </c>
      <c r="O356" s="948">
        <v>24717366.109999999</v>
      </c>
      <c r="P356" s="949">
        <v>178758289.11000001</v>
      </c>
      <c r="Q356" s="948">
        <v>97987993.002999991</v>
      </c>
      <c r="R356" s="948">
        <v>21882764.43023251</v>
      </c>
      <c r="S356" s="948">
        <v>33797854.519999996</v>
      </c>
      <c r="T356" s="948">
        <v>31365720.135593217</v>
      </c>
      <c r="U356" s="949">
        <v>185034332.0888257</v>
      </c>
      <c r="V356" s="948">
        <v>133657937.41999999</v>
      </c>
      <c r="W356" s="948">
        <v>22685756</v>
      </c>
      <c r="X356" s="948">
        <v>36848753.519999996</v>
      </c>
      <c r="Y356" s="948">
        <v>28128213.539999999</v>
      </c>
      <c r="Z356" s="949">
        <v>221320660.47999999</v>
      </c>
      <c r="AA356" s="948">
        <v>130227101.81999999</v>
      </c>
      <c r="AB356" s="948">
        <v>25081198.529999997</v>
      </c>
      <c r="AC356" s="948">
        <v>40086855.890000001</v>
      </c>
      <c r="AD356" s="948">
        <v>35678553.450000003</v>
      </c>
      <c r="AE356" s="949">
        <v>231073709.69</v>
      </c>
      <c r="AF356" s="948">
        <v>135537945.22999999</v>
      </c>
      <c r="AG356" s="948">
        <v>1321418.83</v>
      </c>
      <c r="AH356" s="948">
        <v>71308905.090000004</v>
      </c>
      <c r="AI356" s="948">
        <v>53041482.869999997</v>
      </c>
      <c r="AJ356" s="949">
        <v>261209752.01999998</v>
      </c>
      <c r="AK356" s="948">
        <v>198187424.16999999</v>
      </c>
      <c r="AL356" s="948">
        <v>58023889.309999995</v>
      </c>
      <c r="AM356" s="948">
        <v>48414923.259999998</v>
      </c>
      <c r="AN356" s="954">
        <v>53041482.869999997</v>
      </c>
      <c r="AO356" s="1000">
        <v>357667719.61000001</v>
      </c>
    </row>
    <row r="357" spans="1:41" outlineLevel="2">
      <c r="A357" s="996"/>
      <c r="B357" s="997"/>
      <c r="C357" s="997"/>
      <c r="D357" s="997"/>
      <c r="E357" s="997"/>
      <c r="F357" s="1001"/>
      <c r="G357" s="997"/>
      <c r="H357" s="997"/>
      <c r="I357" s="997"/>
      <c r="J357" s="997"/>
      <c r="K357" s="1001"/>
      <c r="L357" s="997"/>
      <c r="M357" s="997"/>
      <c r="N357" s="997"/>
      <c r="O357" s="997"/>
      <c r="P357" s="1001"/>
      <c r="Q357" s="997"/>
      <c r="R357" s="997"/>
      <c r="S357" s="997"/>
      <c r="T357" s="997"/>
      <c r="U357" s="1001"/>
      <c r="V357" s="997"/>
      <c r="W357" s="997"/>
      <c r="X357" s="997"/>
      <c r="Y357" s="997"/>
      <c r="Z357" s="1001"/>
      <c r="AA357" s="997"/>
      <c r="AB357" s="997"/>
      <c r="AC357" s="997"/>
      <c r="AD357" s="997"/>
      <c r="AE357" s="997"/>
      <c r="AF357" s="957">
        <v>66997204.609999999</v>
      </c>
      <c r="AG357" s="957">
        <v>32826.33</v>
      </c>
      <c r="AH357" s="957">
        <v>32524278.380000003</v>
      </c>
      <c r="AI357" s="957">
        <v>27049674.91</v>
      </c>
      <c r="AJ357" s="958">
        <v>126603984.23</v>
      </c>
      <c r="AK357" s="957">
        <v>111357274.08634235</v>
      </c>
      <c r="AL357" s="957">
        <v>26359044.78522402</v>
      </c>
      <c r="AM357" s="957">
        <v>22608584.149070077</v>
      </c>
      <c r="AN357" s="959">
        <v>27049674.91</v>
      </c>
      <c r="AO357" s="1002">
        <v>187374577.93063644</v>
      </c>
    </row>
    <row r="358" spans="1:41" outlineLevel="2">
      <c r="A358" s="996"/>
      <c r="B358" s="957"/>
      <c r="C358" s="957"/>
      <c r="D358" s="957"/>
      <c r="E358" s="957"/>
      <c r="F358" s="958"/>
      <c r="G358" s="957">
        <v>50299620.890000001</v>
      </c>
      <c r="H358" s="957">
        <v>5737980.5360000003</v>
      </c>
      <c r="I358" s="957">
        <v>9944991.6999999993</v>
      </c>
      <c r="J358" s="957">
        <v>16402461</v>
      </c>
      <c r="K358" s="958">
        <v>82385054.126000002</v>
      </c>
      <c r="L358" s="957">
        <v>88227496.516271189</v>
      </c>
      <c r="M358" s="957">
        <v>14699981.357118636</v>
      </c>
      <c r="N358" s="957">
        <v>21647607.490338989</v>
      </c>
      <c r="O358" s="957">
        <v>16222399.168135583</v>
      </c>
      <c r="P358" s="958">
        <v>140797484.5318644</v>
      </c>
      <c r="Q358" s="957">
        <v>91328737.399491534</v>
      </c>
      <c r="R358" s="957">
        <v>15984543.694406778</v>
      </c>
      <c r="S358" s="957">
        <v>24556451.826101691</v>
      </c>
      <c r="T358" s="957">
        <v>21883241.155762687</v>
      </c>
      <c r="U358" s="958">
        <v>153752974.07576269</v>
      </c>
      <c r="V358" s="957">
        <v>88594330.316639096</v>
      </c>
      <c r="W358" s="957">
        <v>17172926.32621789</v>
      </c>
      <c r="X358" s="957">
        <v>30977221.888869137</v>
      </c>
      <c r="Y358" s="957">
        <v>24312339.297860861</v>
      </c>
      <c r="Z358" s="958">
        <v>161056817.82958698</v>
      </c>
      <c r="AA358" s="957">
        <v>91636984.964064583</v>
      </c>
      <c r="AB358" s="957">
        <v>19241006.139825359</v>
      </c>
      <c r="AC358" s="957">
        <v>30151048.987954021</v>
      </c>
      <c r="AD358" s="957">
        <v>26760279.559527516</v>
      </c>
      <c r="AE358" s="958">
        <v>167789319.65137148</v>
      </c>
      <c r="AF358" s="957">
        <v>93870702.211474106</v>
      </c>
      <c r="AG358" s="957">
        <v>218726.86073900759</v>
      </c>
      <c r="AH358" s="957">
        <v>43126923.673289806</v>
      </c>
      <c r="AI358" s="957">
        <v>30619082.997769296</v>
      </c>
      <c r="AJ358" s="958">
        <v>167835435.74327222</v>
      </c>
      <c r="AK358" s="957">
        <v>131137510.58730844</v>
      </c>
      <c r="AL358" s="957">
        <v>42267231.868790351</v>
      </c>
      <c r="AM358" s="957">
        <v>37115099.163333334</v>
      </c>
      <c r="AN358" s="959">
        <v>30619082.997769296</v>
      </c>
      <c r="AO358" s="1002">
        <v>241138924.61720142</v>
      </c>
    </row>
    <row r="359" spans="1:41" outlineLevel="2">
      <c r="A359" s="996"/>
      <c r="B359" s="997"/>
      <c r="C359" s="997"/>
      <c r="D359" s="997"/>
      <c r="E359" s="997"/>
      <c r="F359" s="1001"/>
      <c r="G359" s="997"/>
      <c r="H359" s="997"/>
      <c r="I359" s="997"/>
      <c r="J359" s="997"/>
      <c r="K359" s="1001"/>
      <c r="L359" s="997"/>
      <c r="M359" s="997"/>
      <c r="N359" s="997"/>
      <c r="O359" s="997"/>
      <c r="P359" s="1001"/>
      <c r="Q359" s="997"/>
      <c r="R359" s="997"/>
      <c r="S359" s="997"/>
      <c r="T359" s="997"/>
      <c r="U359" s="1001"/>
      <c r="V359" s="997"/>
      <c r="W359" s="997"/>
      <c r="X359" s="997"/>
      <c r="Y359" s="997"/>
      <c r="Z359" s="1001"/>
      <c r="AA359" s="997"/>
      <c r="AB359" s="997"/>
      <c r="AC359" s="997"/>
      <c r="AD359" s="948">
        <v>1868336.6099999999</v>
      </c>
      <c r="AE359" s="949">
        <v>28877069.18</v>
      </c>
      <c r="AF359" s="948">
        <v>25485320.830000002</v>
      </c>
      <c r="AG359" s="948">
        <v>375</v>
      </c>
      <c r="AH359" s="948">
        <v>0</v>
      </c>
      <c r="AI359" s="948">
        <v>2945088</v>
      </c>
      <c r="AJ359" s="949">
        <v>28430783.830000002</v>
      </c>
      <c r="AK359" s="948">
        <v>54249606</v>
      </c>
      <c r="AL359" s="948">
        <v>18223942</v>
      </c>
      <c r="AM359" s="948">
        <v>8412701</v>
      </c>
      <c r="AN359" s="954">
        <v>2945088</v>
      </c>
      <c r="AO359" s="1000">
        <v>83831337</v>
      </c>
    </row>
    <row r="360" spans="1:41" outlineLevel="2">
      <c r="A360" s="996"/>
      <c r="B360" s="997"/>
      <c r="C360" s="997"/>
      <c r="D360" s="997"/>
      <c r="E360" s="997"/>
      <c r="F360" s="1001"/>
      <c r="G360" s="997"/>
      <c r="H360" s="997"/>
      <c r="I360" s="997"/>
      <c r="J360" s="997"/>
      <c r="K360" s="1001"/>
      <c r="L360" s="997"/>
      <c r="M360" s="997"/>
      <c r="N360" s="997"/>
      <c r="O360" s="997"/>
      <c r="P360" s="1001"/>
      <c r="Q360" s="997"/>
      <c r="R360" s="997"/>
      <c r="S360" s="997"/>
      <c r="T360" s="997"/>
      <c r="U360" s="1001"/>
      <c r="V360" s="997"/>
      <c r="W360" s="997"/>
      <c r="X360" s="997"/>
      <c r="Y360" s="997"/>
      <c r="Z360" s="1001"/>
      <c r="AA360" s="997"/>
      <c r="AB360" s="997"/>
      <c r="AC360" s="997"/>
      <c r="AD360" s="948">
        <v>1640419.97</v>
      </c>
      <c r="AE360" s="949">
        <v>24232957.809999999</v>
      </c>
      <c r="AF360" s="948">
        <v>21993807.859999999</v>
      </c>
      <c r="AG360" s="948">
        <v>0</v>
      </c>
      <c r="AH360" s="948">
        <v>16822791</v>
      </c>
      <c r="AI360" s="948">
        <v>15425070</v>
      </c>
      <c r="AJ360" s="949">
        <v>54241668.859999999</v>
      </c>
      <c r="AK360" s="948">
        <v>47659093</v>
      </c>
      <c r="AL360" s="948">
        <v>19651362</v>
      </c>
      <c r="AM360" s="948">
        <v>19368091</v>
      </c>
      <c r="AN360" s="954">
        <v>15425070</v>
      </c>
      <c r="AO360" s="1000">
        <v>102103616</v>
      </c>
    </row>
    <row r="361" spans="1:41" ht="13.5" outlineLevel="1" thickBot="1">
      <c r="A361" s="960" t="s">
        <v>701</v>
      </c>
      <c r="B361" s="961">
        <v>107240302.99849999</v>
      </c>
      <c r="C361" s="961">
        <v>12847473.416999999</v>
      </c>
      <c r="D361" s="961">
        <v>14777720.7049</v>
      </c>
      <c r="E361" s="961">
        <v>33717557.200900003</v>
      </c>
      <c r="F361" s="964">
        <v>237302443.25130001</v>
      </c>
      <c r="G361" s="961">
        <v>288975954.78806102</v>
      </c>
      <c r="H361" s="961">
        <v>31010679.419713892</v>
      </c>
      <c r="I361" s="961">
        <v>35963523.576018646</v>
      </c>
      <c r="J361" s="961">
        <v>66707274.880000003</v>
      </c>
      <c r="K361" s="962">
        <v>422657432.66379356</v>
      </c>
      <c r="L361" s="961">
        <v>485834431.6466102</v>
      </c>
      <c r="M361" s="961">
        <v>62538189.041186437</v>
      </c>
      <c r="N361" s="961">
        <v>115484339.40101695</v>
      </c>
      <c r="O361" s="961">
        <v>108563426.34813561</v>
      </c>
      <c r="P361" s="962">
        <v>772420386.43694913</v>
      </c>
      <c r="Q361" s="961">
        <v>531122721.86283052</v>
      </c>
      <c r="R361" s="961">
        <v>87240803.725656241</v>
      </c>
      <c r="S361" s="961">
        <v>128907426.92611864</v>
      </c>
      <c r="T361" s="961">
        <v>135701757.99762708</v>
      </c>
      <c r="U361" s="962">
        <v>882972710.51223254</v>
      </c>
      <c r="V361" s="961">
        <v>541621195.05731702</v>
      </c>
      <c r="W361" s="961">
        <v>96165294.706217885</v>
      </c>
      <c r="X361" s="961">
        <v>161263490.93988609</v>
      </c>
      <c r="Y361" s="961">
        <v>138428018.23819986</v>
      </c>
      <c r="Z361" s="962">
        <v>937477998.94162107</v>
      </c>
      <c r="AA361" s="961">
        <v>554016634.48739791</v>
      </c>
      <c r="AB361" s="961">
        <v>118707070.95982538</v>
      </c>
      <c r="AC361" s="961">
        <v>188696814.55795395</v>
      </c>
      <c r="AD361" s="961">
        <v>173031912.84452751</v>
      </c>
      <c r="AE361" s="962">
        <v>1063516588.2697047</v>
      </c>
      <c r="AF361" s="961">
        <v>686177309.86147416</v>
      </c>
      <c r="AG361" s="961">
        <v>1577969.0207390077</v>
      </c>
      <c r="AH361" s="961">
        <v>347061417.6149565</v>
      </c>
      <c r="AI361" s="961">
        <v>269131640.95276928</v>
      </c>
      <c r="AJ361" s="962">
        <v>1303948337.4499388</v>
      </c>
      <c r="AK361" s="961">
        <v>1053046568.9936507</v>
      </c>
      <c r="AL361" s="961">
        <v>332694084.93401438</v>
      </c>
      <c r="AM361" s="961">
        <v>309404511.22240341</v>
      </c>
      <c r="AN361" s="963">
        <v>269131640.95276928</v>
      </c>
      <c r="AO361" s="1003">
        <v>1964276806.1028376</v>
      </c>
    </row>
    <row r="362" spans="1:41" ht="13.5" outlineLevel="2" thickTop="1">
      <c r="A362" s="953"/>
      <c r="B362" s="948">
        <v>21685771.400000002</v>
      </c>
      <c r="C362" s="948">
        <v>1471880.3699999999</v>
      </c>
      <c r="D362" s="948"/>
      <c r="E362" s="948">
        <v>1974033.49</v>
      </c>
      <c r="F362" s="949">
        <v>25131685.260000002</v>
      </c>
      <c r="G362" s="948">
        <v>19935372</v>
      </c>
      <c r="H362" s="948">
        <v>717627</v>
      </c>
      <c r="I362" s="948"/>
      <c r="J362" s="948">
        <v>2671680.69</v>
      </c>
      <c r="K362" s="949">
        <v>23324679.690000001</v>
      </c>
      <c r="L362" s="948">
        <v>32057899.991525423</v>
      </c>
      <c r="M362" s="948">
        <v>748347.45762711868</v>
      </c>
      <c r="N362" s="948"/>
      <c r="O362" s="948">
        <v>2455983.7881355933</v>
      </c>
      <c r="P362" s="949">
        <v>35262231.237288132</v>
      </c>
      <c r="Q362" s="948">
        <v>42024760</v>
      </c>
      <c r="R362" s="948">
        <v>939710</v>
      </c>
      <c r="S362" s="948">
        <v>1026831</v>
      </c>
      <c r="T362" s="948">
        <v>3386365</v>
      </c>
      <c r="U362" s="949">
        <v>47377666</v>
      </c>
      <c r="V362" s="948">
        <v>26176923.25</v>
      </c>
      <c r="W362" s="948">
        <v>1727778.83</v>
      </c>
      <c r="X362" s="948">
        <v>984932.21</v>
      </c>
      <c r="Y362" s="948">
        <v>2890500.82</v>
      </c>
      <c r="Z362" s="949">
        <v>31780135.109999999</v>
      </c>
      <c r="AA362" s="948">
        <v>24932296.73</v>
      </c>
      <c r="AB362" s="948">
        <v>1800410.8399999999</v>
      </c>
      <c r="AC362" s="948">
        <v>276025</v>
      </c>
      <c r="AD362" s="997"/>
      <c r="AE362" s="1001"/>
      <c r="AF362" s="997"/>
      <c r="AG362" s="997"/>
      <c r="AH362" s="997"/>
      <c r="AI362" s="997"/>
      <c r="AJ362" s="1001"/>
      <c r="AK362" s="997"/>
      <c r="AL362" s="997"/>
      <c r="AM362" s="997"/>
      <c r="AN362" s="998">
        <v>0</v>
      </c>
      <c r="AO362" s="999">
        <v>0</v>
      </c>
    </row>
    <row r="363" spans="1:41" outlineLevel="2">
      <c r="A363" s="953"/>
      <c r="B363" s="997"/>
      <c r="C363" s="997"/>
      <c r="D363" s="997"/>
      <c r="E363" s="997"/>
      <c r="F363" s="1001"/>
      <c r="G363" s="997"/>
      <c r="H363" s="997"/>
      <c r="I363" s="997"/>
      <c r="J363" s="997"/>
      <c r="K363" s="1001"/>
      <c r="L363" s="997"/>
      <c r="M363" s="997"/>
      <c r="N363" s="997"/>
      <c r="O363" s="997"/>
      <c r="P363" s="1001"/>
      <c r="Q363" s="997"/>
      <c r="R363" s="997"/>
      <c r="S363" s="997"/>
      <c r="T363" s="997"/>
      <c r="U363" s="1001"/>
      <c r="V363" s="948">
        <v>17008676.079999998</v>
      </c>
      <c r="W363" s="948">
        <v>1213002.0100000002</v>
      </c>
      <c r="X363" s="948">
        <v>4270316.0999999996</v>
      </c>
      <c r="Y363" s="948">
        <v>1934134.78</v>
      </c>
      <c r="Z363" s="949">
        <v>24426128.969999999</v>
      </c>
      <c r="AA363" s="948">
        <v>16209571.119999999</v>
      </c>
      <c r="AB363" s="948">
        <v>1354725.01</v>
      </c>
      <c r="AC363" s="948">
        <v>5028241.71</v>
      </c>
      <c r="AD363" s="997"/>
      <c r="AE363" s="1001"/>
      <c r="AF363" s="997"/>
      <c r="AG363" s="997"/>
      <c r="AH363" s="997"/>
      <c r="AI363" s="997"/>
      <c r="AJ363" s="1001"/>
      <c r="AK363" s="997"/>
      <c r="AL363" s="997"/>
      <c r="AM363" s="997"/>
      <c r="AN363" s="998">
        <v>0</v>
      </c>
      <c r="AO363" s="999">
        <v>0</v>
      </c>
    </row>
    <row r="364" spans="1:41" outlineLevel="2">
      <c r="A364" s="953"/>
      <c r="B364" s="948"/>
      <c r="C364" s="948"/>
      <c r="D364" s="948"/>
      <c r="E364" s="948"/>
      <c r="F364" s="949"/>
      <c r="G364" s="948">
        <v>39959231.410000004</v>
      </c>
      <c r="H364" s="948">
        <v>3094803.9781355956</v>
      </c>
      <c r="I364" s="948">
        <v>16274100.230000002</v>
      </c>
      <c r="J364" s="948">
        <v>10223445</v>
      </c>
      <c r="K364" s="949">
        <v>69551580.618135601</v>
      </c>
      <c r="L364" s="948">
        <v>73441506.94932203</v>
      </c>
      <c r="M364" s="948">
        <v>11466372.010338992</v>
      </c>
      <c r="N364" s="948">
        <v>20719363.565423697</v>
      </c>
      <c r="O364" s="948">
        <v>14903025.852033913</v>
      </c>
      <c r="P364" s="949">
        <v>120530268.37711863</v>
      </c>
      <c r="Q364" s="948">
        <v>72293591.218644083</v>
      </c>
      <c r="R364" s="948">
        <v>14202929.963559315</v>
      </c>
      <c r="S364" s="948">
        <v>20249182.308813542</v>
      </c>
      <c r="T364" s="948">
        <v>18353204.985593215</v>
      </c>
      <c r="U364" s="949">
        <v>125098908.47661015</v>
      </c>
      <c r="V364" s="948">
        <v>66252956.18553482</v>
      </c>
      <c r="W364" s="948">
        <v>14767469.984343432</v>
      </c>
      <c r="X364" s="948">
        <v>25145970.091607854</v>
      </c>
      <c r="Y364" s="948">
        <v>19518723.012477502</v>
      </c>
      <c r="Z364" s="949">
        <v>125685119.2739636</v>
      </c>
      <c r="AA364" s="948">
        <v>72529513.555388749</v>
      </c>
      <c r="AB364" s="948">
        <v>17261893.128954455</v>
      </c>
      <c r="AC364" s="948">
        <v>23503382.931009844</v>
      </c>
      <c r="AD364" s="948">
        <v>19081191.441318154</v>
      </c>
      <c r="AE364" s="949">
        <v>132375981.0566712</v>
      </c>
      <c r="AF364" s="948">
        <v>73012064.149999976</v>
      </c>
      <c r="AG364" s="948">
        <v>149503.33333332837</v>
      </c>
      <c r="AH364" s="948">
        <v>31546338.361318141</v>
      </c>
      <c r="AI364" s="948">
        <v>24429366.429999977</v>
      </c>
      <c r="AJ364" s="949">
        <v>129137272.27465142</v>
      </c>
      <c r="AK364" s="948">
        <v>101582767.66</v>
      </c>
      <c r="AL364" s="948">
        <v>32098155.782636207</v>
      </c>
      <c r="AM364" s="948">
        <v>28757473.269418791</v>
      </c>
      <c r="AN364" s="954">
        <v>24429366.429999977</v>
      </c>
      <c r="AO364" s="1000">
        <v>186867763.14205498</v>
      </c>
    </row>
    <row r="365" spans="1:41" outlineLevel="2">
      <c r="A365" s="953"/>
      <c r="B365" s="957">
        <v>37991834.977918997</v>
      </c>
      <c r="C365" s="957">
        <v>1266765.7999999998</v>
      </c>
      <c r="D365" s="957">
        <v>2827838.34</v>
      </c>
      <c r="E365" s="957">
        <v>7169347.0346300006</v>
      </c>
      <c r="F365" s="958">
        <v>49255786.152548999</v>
      </c>
      <c r="G365" s="957">
        <v>37818646</v>
      </c>
      <c r="H365" s="957">
        <v>4286759</v>
      </c>
      <c r="I365" s="957">
        <v>10381276</v>
      </c>
      <c r="J365" s="957">
        <v>13835099</v>
      </c>
      <c r="K365" s="958">
        <v>66321780</v>
      </c>
      <c r="L365" s="957">
        <v>75118889</v>
      </c>
      <c r="M365" s="957">
        <v>10830190</v>
      </c>
      <c r="N365" s="957">
        <v>22627356</v>
      </c>
      <c r="O365" s="957">
        <v>11853191.970000001</v>
      </c>
      <c r="P365" s="958">
        <v>120429626.97</v>
      </c>
      <c r="Q365" s="957">
        <v>62351383.196779661</v>
      </c>
      <c r="R365" s="957">
        <v>16249445.361186441</v>
      </c>
      <c r="S365" s="957">
        <v>22342180.140000001</v>
      </c>
      <c r="T365" s="957">
        <v>19055891.399999999</v>
      </c>
      <c r="U365" s="958">
        <v>119998900.0979661</v>
      </c>
      <c r="V365" s="957">
        <v>67244041.780000001</v>
      </c>
      <c r="W365" s="957">
        <v>15750653.109999999</v>
      </c>
      <c r="X365" s="957">
        <v>27392691.969999999</v>
      </c>
      <c r="Y365" s="957">
        <v>19577369.439999998</v>
      </c>
      <c r="Z365" s="958">
        <v>129964756.3</v>
      </c>
      <c r="AA365" s="957">
        <v>70014772.63000001</v>
      </c>
      <c r="AB365" s="957">
        <v>16792574.856666666</v>
      </c>
      <c r="AC365" s="957">
        <v>25155182.550000001</v>
      </c>
      <c r="AD365" s="957">
        <v>18645392.169999998</v>
      </c>
      <c r="AE365" s="958">
        <v>130607922.20666668</v>
      </c>
      <c r="AF365" s="957">
        <v>69834657.920000002</v>
      </c>
      <c r="AG365" s="957">
        <v>5602.5</v>
      </c>
      <c r="AH365" s="957">
        <v>33671594.289999999</v>
      </c>
      <c r="AI365" s="957">
        <v>27493416.68</v>
      </c>
      <c r="AJ365" s="958">
        <v>131005271.39</v>
      </c>
      <c r="AK365" s="957">
        <v>106953437.2</v>
      </c>
      <c r="AL365" s="957">
        <v>36120134.980000004</v>
      </c>
      <c r="AM365" s="957">
        <v>27055017.420000002</v>
      </c>
      <c r="AN365" s="959">
        <v>27493416.68</v>
      </c>
      <c r="AO365" s="1002">
        <v>197622006.28000003</v>
      </c>
    </row>
    <row r="366" spans="1:41" ht="13.5" outlineLevel="1" thickBot="1">
      <c r="A366" s="960" t="s">
        <v>702</v>
      </c>
      <c r="B366" s="961">
        <v>59677606.377919003</v>
      </c>
      <c r="C366" s="961">
        <v>2738646.17</v>
      </c>
      <c r="D366" s="961">
        <v>2827838.34</v>
      </c>
      <c r="E366" s="961">
        <v>9143380.5246300008</v>
      </c>
      <c r="F366" s="962">
        <v>74387471.412549004</v>
      </c>
      <c r="G366" s="961">
        <v>97713249.409999996</v>
      </c>
      <c r="H366" s="961">
        <v>8099189.9781355951</v>
      </c>
      <c r="I366" s="961">
        <v>26655376.230000004</v>
      </c>
      <c r="J366" s="961">
        <v>26730224.689999998</v>
      </c>
      <c r="K366" s="962">
        <v>159198040.3081356</v>
      </c>
      <c r="L366" s="961">
        <v>180618295.94084746</v>
      </c>
      <c r="M366" s="961">
        <v>23044909.46796611</v>
      </c>
      <c r="N366" s="961">
        <v>43346719.565423697</v>
      </c>
      <c r="O366" s="961">
        <v>29212201.610169508</v>
      </c>
      <c r="P366" s="962">
        <v>276222126.58440673</v>
      </c>
      <c r="Q366" s="961">
        <v>176669734.41542375</v>
      </c>
      <c r="R366" s="961">
        <v>31392085.324745756</v>
      </c>
      <c r="S366" s="961">
        <v>43618193.448813543</v>
      </c>
      <c r="T366" s="961">
        <v>40795461.385593213</v>
      </c>
      <c r="U366" s="962">
        <v>292475474.57457626</v>
      </c>
      <c r="V366" s="961">
        <v>176682597.29553482</v>
      </c>
      <c r="W366" s="961">
        <v>33458903.934343431</v>
      </c>
      <c r="X366" s="961">
        <v>57793910.371607855</v>
      </c>
      <c r="Y366" s="961">
        <v>43920728.052477501</v>
      </c>
      <c r="Z366" s="962">
        <v>311856139.65396363</v>
      </c>
      <c r="AA366" s="961">
        <v>183686154.03538877</v>
      </c>
      <c r="AB366" s="961">
        <v>37209603.835621119</v>
      </c>
      <c r="AC366" s="961">
        <v>53962832.191009849</v>
      </c>
      <c r="AD366" s="961">
        <v>37726583.611318156</v>
      </c>
      <c r="AE366" s="962">
        <v>262983903.26333788</v>
      </c>
      <c r="AF366" s="961">
        <v>142846722.06999999</v>
      </c>
      <c r="AG366" s="961">
        <v>155105.83333332837</v>
      </c>
      <c r="AH366" s="961">
        <v>65217932.65131814</v>
      </c>
      <c r="AI366" s="961">
        <v>51922783.109999977</v>
      </c>
      <c r="AJ366" s="962">
        <v>260142543.66465142</v>
      </c>
      <c r="AK366" s="961">
        <v>208536204.86000001</v>
      </c>
      <c r="AL366" s="961">
        <v>68218290.762636214</v>
      </c>
      <c r="AM366" s="961">
        <v>55812490.689418793</v>
      </c>
      <c r="AN366" s="963">
        <v>51922783.109999977</v>
      </c>
      <c r="AO366" s="1003">
        <v>384489769.42205495</v>
      </c>
    </row>
    <row r="367" spans="1:41" ht="13.5" outlineLevel="2" thickTop="1">
      <c r="A367" s="953"/>
      <c r="B367" s="948"/>
      <c r="C367" s="948"/>
      <c r="D367" s="948"/>
      <c r="E367" s="948">
        <v>716492.46609674999</v>
      </c>
      <c r="F367" s="949"/>
      <c r="G367" s="948">
        <v>22542822.023986302</v>
      </c>
      <c r="H367" s="948">
        <v>1701326.23</v>
      </c>
      <c r="I367" s="948">
        <v>2737083.4030000004</v>
      </c>
      <c r="J367" s="948"/>
      <c r="K367" s="949">
        <v>26981231.656986304</v>
      </c>
      <c r="L367" s="948">
        <v>38602483.054745764</v>
      </c>
      <c r="M367" s="948">
        <v>5042599.9057627097</v>
      </c>
      <c r="N367" s="948">
        <v>10488234.191525426</v>
      </c>
      <c r="O367" s="948">
        <v>6125514.8644067785</v>
      </c>
      <c r="P367" s="949">
        <v>60258832.016440675</v>
      </c>
      <c r="Q367" s="948">
        <v>46230251.157118678</v>
      </c>
      <c r="R367" s="948">
        <v>4373729.8305084752</v>
      </c>
      <c r="S367" s="948">
        <v>9192781.3559322041</v>
      </c>
      <c r="T367" s="948">
        <v>7259647.9716949156</v>
      </c>
      <c r="U367" s="949">
        <v>67056410.315254278</v>
      </c>
      <c r="V367" s="948">
        <v>52702697.12711864</v>
      </c>
      <c r="W367" s="948">
        <v>8375307.6440677978</v>
      </c>
      <c r="X367" s="948">
        <v>16407710.988305086</v>
      </c>
      <c r="Y367" s="948">
        <v>9195987.2118644081</v>
      </c>
      <c r="Z367" s="949">
        <v>86681702.971355945</v>
      </c>
      <c r="AA367" s="948">
        <v>60167971.274999999</v>
      </c>
      <c r="AB367" s="948">
        <v>10149292.433333334</v>
      </c>
      <c r="AC367" s="948">
        <v>19401636.236666668</v>
      </c>
      <c r="AD367" s="948">
        <v>9408117.0316666663</v>
      </c>
      <c r="AE367" s="949">
        <v>99127016.976666659</v>
      </c>
      <c r="AF367" s="948">
        <v>62942907.216666706</v>
      </c>
      <c r="AG367" s="948">
        <v>64150</v>
      </c>
      <c r="AH367" s="948">
        <v>24202570.539999999</v>
      </c>
      <c r="AI367" s="948">
        <v>11538784.51</v>
      </c>
      <c r="AJ367" s="949">
        <v>98748412.26666671</v>
      </c>
      <c r="AK367" s="948">
        <v>89563104.489999995</v>
      </c>
      <c r="AL367" s="948">
        <v>20776152.93</v>
      </c>
      <c r="AM367" s="948">
        <v>22195588.149999999</v>
      </c>
      <c r="AN367" s="954">
        <v>11538784.51</v>
      </c>
      <c r="AO367" s="1000">
        <v>144073630.07999998</v>
      </c>
    </row>
    <row r="368" spans="1:41" outlineLevel="2">
      <c r="A368" s="953"/>
      <c r="B368" s="948"/>
      <c r="C368" s="948"/>
      <c r="D368" s="948"/>
      <c r="E368" s="948">
        <v>3639888</v>
      </c>
      <c r="F368" s="949"/>
      <c r="G368" s="948">
        <v>50296032</v>
      </c>
      <c r="H368" s="948">
        <v>1603679</v>
      </c>
      <c r="I368" s="948">
        <v>1659427</v>
      </c>
      <c r="J368" s="948">
        <v>7087960</v>
      </c>
      <c r="K368" s="949">
        <v>60647098</v>
      </c>
      <c r="L368" s="948">
        <v>73651613.265084743</v>
      </c>
      <c r="M368" s="948">
        <v>7161153.4620338976</v>
      </c>
      <c r="N368" s="948">
        <v>15316030.686440678</v>
      </c>
      <c r="O368" s="948">
        <v>13966140.979661018</v>
      </c>
      <c r="P368" s="949">
        <v>110094938.39322034</v>
      </c>
      <c r="Q368" s="948">
        <v>106159480.55084746</v>
      </c>
      <c r="R368" s="948">
        <v>11252744.101694915</v>
      </c>
      <c r="S368" s="948">
        <v>22874288.19101695</v>
      </c>
      <c r="T368" s="948">
        <v>14762365.749491526</v>
      </c>
      <c r="U368" s="949">
        <v>155048878.59305084</v>
      </c>
      <c r="V368" s="948">
        <v>118751431.13118646</v>
      </c>
      <c r="W368" s="948">
        <v>13722363.259661019</v>
      </c>
      <c r="X368" s="948">
        <v>26721799.406779665</v>
      </c>
      <c r="Y368" s="948">
        <v>15472150.724406781</v>
      </c>
      <c r="Z368" s="949">
        <v>174667744.52203393</v>
      </c>
      <c r="AA368" s="948">
        <v>134430820.23666668</v>
      </c>
      <c r="AB368" s="948">
        <v>13580486.050000001</v>
      </c>
      <c r="AC368" s="948">
        <v>18560406.056666665</v>
      </c>
      <c r="AD368" s="948">
        <v>11637441.968333334</v>
      </c>
      <c r="AE368" s="949">
        <v>178209154.3116667</v>
      </c>
      <c r="AF368" s="948">
        <v>84677158.003333345</v>
      </c>
      <c r="AG368" s="948">
        <v>-1389986.9</v>
      </c>
      <c r="AH368" s="948">
        <v>5522033.7599999998</v>
      </c>
      <c r="AI368" s="948">
        <v>11132198.873333333</v>
      </c>
      <c r="AJ368" s="949">
        <v>99941403.736666679</v>
      </c>
      <c r="AK368" s="948">
        <v>119555074.73175672</v>
      </c>
      <c r="AL368" s="948">
        <v>20101045.140010152</v>
      </c>
      <c r="AM368" s="948">
        <v>22482150.807596602</v>
      </c>
      <c r="AN368" s="954">
        <v>11132198.873333333</v>
      </c>
      <c r="AO368" s="1000">
        <v>173270469.55269679</v>
      </c>
    </row>
    <row r="369" spans="1:41" outlineLevel="2">
      <c r="A369" s="953"/>
      <c r="B369" s="948"/>
      <c r="C369" s="948"/>
      <c r="D369" s="948"/>
      <c r="E369" s="948"/>
      <c r="F369" s="949"/>
      <c r="G369" s="948"/>
      <c r="H369" s="948"/>
      <c r="I369" s="948"/>
      <c r="J369" s="948"/>
      <c r="K369" s="949"/>
      <c r="L369" s="948"/>
      <c r="M369" s="948"/>
      <c r="N369" s="948"/>
      <c r="O369" s="948"/>
      <c r="P369" s="949"/>
      <c r="Q369" s="948">
        <v>20362243.34</v>
      </c>
      <c r="R369" s="948">
        <v>1727537.4300000002</v>
      </c>
      <c r="S369" s="948">
        <v>4125211.5303389831</v>
      </c>
      <c r="T369" s="948">
        <v>5234024.8398305085</v>
      </c>
      <c r="U369" s="949">
        <v>31449017.140169494</v>
      </c>
      <c r="V369" s="948">
        <v>47914973.630000003</v>
      </c>
      <c r="W369" s="948">
        <v>5354998.0683050845</v>
      </c>
      <c r="X369" s="948">
        <v>12227834.91881356</v>
      </c>
      <c r="Y369" s="948">
        <v>5614659.4508474572</v>
      </c>
      <c r="Z369" s="949">
        <v>71112466.067966104</v>
      </c>
      <c r="AA369" s="948">
        <v>57402350.248333335</v>
      </c>
      <c r="AB369" s="948">
        <v>7681830.9516666671</v>
      </c>
      <c r="AC369" s="948">
        <v>15896534.708333336</v>
      </c>
      <c r="AD369" s="948">
        <v>8376381.9399999995</v>
      </c>
      <c r="AE369" s="949">
        <v>89357097.848333329</v>
      </c>
      <c r="AF369" s="948">
        <v>55029846.706666656</v>
      </c>
      <c r="AG369" s="948">
        <v>-26583.25</v>
      </c>
      <c r="AH369" s="948">
        <v>58333.34</v>
      </c>
      <c r="AI369" s="948">
        <v>4469485.1500000004</v>
      </c>
      <c r="AJ369" s="949">
        <v>59531081.946666658</v>
      </c>
      <c r="AK369" s="948">
        <v>90627836.846666664</v>
      </c>
      <c r="AL369" s="948">
        <v>17714180.640000001</v>
      </c>
      <c r="AM369" s="948">
        <v>15380903.816666666</v>
      </c>
      <c r="AN369" s="954">
        <v>4469485.1500000004</v>
      </c>
      <c r="AO369" s="1000">
        <v>128192406.45333333</v>
      </c>
    </row>
    <row r="370" spans="1:41" outlineLevel="2">
      <c r="A370" s="953"/>
      <c r="B370" s="957"/>
      <c r="C370" s="957"/>
      <c r="D370" s="957"/>
      <c r="E370" s="957"/>
      <c r="F370" s="958"/>
      <c r="G370" s="957"/>
      <c r="H370" s="957"/>
      <c r="I370" s="957"/>
      <c r="J370" s="957"/>
      <c r="K370" s="958"/>
      <c r="L370" s="957"/>
      <c r="M370" s="957"/>
      <c r="N370" s="957"/>
      <c r="O370" s="957">
        <v>3499975.16</v>
      </c>
      <c r="P370" s="958">
        <v>3499975.16</v>
      </c>
      <c r="Q370" s="957">
        <v>47739571.385423705</v>
      </c>
      <c r="R370" s="957">
        <v>3138857.2354237279</v>
      </c>
      <c r="S370" s="957">
        <v>5316643.1967288135</v>
      </c>
      <c r="T370" s="957">
        <v>5653108.137966102</v>
      </c>
      <c r="U370" s="958">
        <v>61848179.955542348</v>
      </c>
      <c r="V370" s="957">
        <v>48666026.579999998</v>
      </c>
      <c r="W370" s="957">
        <v>7050602.3699999992</v>
      </c>
      <c r="X370" s="957">
        <v>14962097.7901695</v>
      </c>
      <c r="Y370" s="957">
        <v>8907916.3157627117</v>
      </c>
      <c r="Z370" s="958">
        <v>79586643.055932209</v>
      </c>
      <c r="AA370" s="957">
        <v>56631961.899999999</v>
      </c>
      <c r="AB370" s="957">
        <v>9574530.6516666673</v>
      </c>
      <c r="AC370" s="957">
        <v>17135587.628333334</v>
      </c>
      <c r="AD370" s="957">
        <v>8517079.8000000007</v>
      </c>
      <c r="AE370" s="958">
        <v>91859159.979999989</v>
      </c>
      <c r="AF370" s="957">
        <v>56598643.755000003</v>
      </c>
      <c r="AG370" s="957">
        <v>47473.33</v>
      </c>
      <c r="AH370" s="957">
        <v>31394976.643333331</v>
      </c>
      <c r="AI370" s="957">
        <v>16279797.66</v>
      </c>
      <c r="AJ370" s="958">
        <v>104320891.38833332</v>
      </c>
      <c r="AK370" s="957">
        <v>91025228.676666662</v>
      </c>
      <c r="AL370" s="957">
        <v>16756926.566666666</v>
      </c>
      <c r="AM370" s="957">
        <v>16395918.713333335</v>
      </c>
      <c r="AN370" s="959">
        <v>16279797.66</v>
      </c>
      <c r="AO370" s="1002">
        <v>140457871.61666667</v>
      </c>
    </row>
    <row r="371" spans="1:41" ht="13.5" outlineLevel="1" thickBot="1">
      <c r="A371" s="960" t="s">
        <v>708</v>
      </c>
      <c r="B371" s="961"/>
      <c r="C371" s="961"/>
      <c r="D371" s="961"/>
      <c r="E371" s="961">
        <v>4356380.4660967495</v>
      </c>
      <c r="F371" s="962">
        <f>E371</f>
        <v>4356380.4660967495</v>
      </c>
      <c r="G371" s="961">
        <v>72838854.02398631</v>
      </c>
      <c r="H371" s="961">
        <v>3305005.23</v>
      </c>
      <c r="I371" s="961">
        <v>4396510.4030000009</v>
      </c>
      <c r="J371" s="961">
        <v>7087960</v>
      </c>
      <c r="K371" s="962">
        <v>87628329.656986296</v>
      </c>
      <c r="L371" s="961">
        <v>112254096.31983051</v>
      </c>
      <c r="M371" s="961">
        <v>12203753.367796607</v>
      </c>
      <c r="N371" s="961">
        <v>25804264.877966106</v>
      </c>
      <c r="O371" s="961">
        <v>23591631.004067797</v>
      </c>
      <c r="P371" s="962">
        <v>173853745.56966099</v>
      </c>
      <c r="Q371" s="961">
        <v>220491546.43338984</v>
      </c>
      <c r="R371" s="961">
        <v>20492868.597627118</v>
      </c>
      <c r="S371" s="961">
        <v>41508924.274016947</v>
      </c>
      <c r="T371" s="961">
        <v>32909146.698983051</v>
      </c>
      <c r="U371" s="962">
        <v>315402486.00401694</v>
      </c>
      <c r="V371" s="961">
        <v>268035128.46830511</v>
      </c>
      <c r="W371" s="961">
        <v>34503271.3420339</v>
      </c>
      <c r="X371" s="961">
        <v>70319443.104067802</v>
      </c>
      <c r="Y371" s="961">
        <v>39190713.702881359</v>
      </c>
      <c r="Z371" s="962">
        <v>412048556.61728817</v>
      </c>
      <c r="AA371" s="961">
        <v>308633103.66000003</v>
      </c>
      <c r="AB371" s="961">
        <v>40986140.086666673</v>
      </c>
      <c r="AC371" s="961">
        <v>70994164.63000001</v>
      </c>
      <c r="AD371" s="961">
        <v>37939020.739999995</v>
      </c>
      <c r="AE371" s="962">
        <v>458552429.11666667</v>
      </c>
      <c r="AF371" s="961">
        <v>259248555.6816667</v>
      </c>
      <c r="AG371" s="961">
        <v>-1304946.8199999998</v>
      </c>
      <c r="AH371" s="961">
        <v>61177914.283333331</v>
      </c>
      <c r="AI371" s="961">
        <v>43420266.193333328</v>
      </c>
      <c r="AJ371" s="962">
        <v>362541789.33833337</v>
      </c>
      <c r="AK371" s="961">
        <v>390771244.74509007</v>
      </c>
      <c r="AL371" s="961">
        <v>75348305.276676819</v>
      </c>
      <c r="AM371" s="961">
        <v>76454561.487596601</v>
      </c>
      <c r="AN371" s="963">
        <v>43420266.193333328</v>
      </c>
      <c r="AO371" s="1003">
        <v>585994377.7026968</v>
      </c>
    </row>
    <row r="372" spans="1:41" s="932" customFormat="1" ht="13.5" outlineLevel="1" thickTop="1">
      <c r="A372" s="965" t="s">
        <v>175</v>
      </c>
      <c r="B372" s="966">
        <f>B350+B361+B366+B371</f>
        <v>363917848.02641904</v>
      </c>
      <c r="C372" s="966">
        <f t="shared" ref="C372:AO372" si="63">C350+C361+C366+C371</f>
        <v>35078423.946999997</v>
      </c>
      <c r="D372" s="966">
        <f t="shared" si="63"/>
        <v>46531465.234899998</v>
      </c>
      <c r="E372" s="966">
        <f t="shared" si="63"/>
        <v>124012516.63162674</v>
      </c>
      <c r="F372" s="966">
        <f t="shared" si="63"/>
        <v>605678099.64994574</v>
      </c>
      <c r="G372" s="966">
        <f t="shared" si="63"/>
        <v>746396044.22204733</v>
      </c>
      <c r="H372" s="966">
        <f t="shared" si="63"/>
        <v>81025665.970179498</v>
      </c>
      <c r="I372" s="966">
        <f t="shared" si="63"/>
        <v>141295324.80901864</v>
      </c>
      <c r="J372" s="966">
        <f t="shared" si="63"/>
        <v>212348957.47999999</v>
      </c>
      <c r="K372" s="966">
        <f t="shared" si="63"/>
        <v>1181065992.4812453</v>
      </c>
      <c r="L372" s="966">
        <f t="shared" si="63"/>
        <v>1261039271.6784744</v>
      </c>
      <c r="M372" s="966">
        <f t="shared" si="63"/>
        <v>178801903.8176271</v>
      </c>
      <c r="N372" s="966">
        <f t="shared" si="63"/>
        <v>357864087.13050848</v>
      </c>
      <c r="O372" s="966">
        <f t="shared" si="63"/>
        <v>302105234.42000002</v>
      </c>
      <c r="P372" s="966">
        <f t="shared" si="63"/>
        <v>2099810497.0466101</v>
      </c>
      <c r="Q372" s="966">
        <f t="shared" si="63"/>
        <v>1466090684.7136443</v>
      </c>
      <c r="R372" s="966">
        <f t="shared" si="63"/>
        <v>286031049.73277485</v>
      </c>
      <c r="S372" s="966">
        <f t="shared" si="63"/>
        <v>429855086.12894917</v>
      </c>
      <c r="T372" s="966">
        <f t="shared" si="63"/>
        <v>410320796.62796611</v>
      </c>
      <c r="U372" s="966">
        <f t="shared" si="63"/>
        <v>2592297617.2033343</v>
      </c>
      <c r="V372" s="966">
        <f t="shared" si="63"/>
        <v>1574191773.903157</v>
      </c>
      <c r="W372" s="966">
        <f t="shared" si="63"/>
        <v>330132859.00259525</v>
      </c>
      <c r="X372" s="966">
        <f t="shared" si="63"/>
        <v>575904652.90556169</v>
      </c>
      <c r="Y372" s="966">
        <f t="shared" si="63"/>
        <v>436897670.12355864</v>
      </c>
      <c r="Z372" s="966">
        <f t="shared" si="63"/>
        <v>2917126955.9348726</v>
      </c>
      <c r="AA372" s="966">
        <f t="shared" si="63"/>
        <v>1639258572.8327868</v>
      </c>
      <c r="AB372" s="966">
        <f t="shared" si="63"/>
        <v>384754492.49211323</v>
      </c>
      <c r="AC372" s="966">
        <f t="shared" si="63"/>
        <v>620743072.82896376</v>
      </c>
      <c r="AD372" s="966">
        <f t="shared" si="63"/>
        <v>513530528.12584567</v>
      </c>
      <c r="AE372" s="966">
        <f t="shared" si="63"/>
        <v>3158286666.2797098</v>
      </c>
      <c r="AF372" s="966">
        <f t="shared" si="63"/>
        <v>1698747216.9131408</v>
      </c>
      <c r="AG372" s="966">
        <f t="shared" si="63"/>
        <v>6516921.2440723367</v>
      </c>
      <c r="AH372" s="966">
        <f t="shared" si="63"/>
        <v>958286138.67960799</v>
      </c>
      <c r="AI372" s="966">
        <f t="shared" si="63"/>
        <v>740582241.1161027</v>
      </c>
      <c r="AJ372" s="966">
        <f t="shared" si="63"/>
        <v>3404132517.9529238</v>
      </c>
      <c r="AK372" s="966">
        <f t="shared" si="63"/>
        <v>2689982247.0587406</v>
      </c>
      <c r="AL372" s="966">
        <f t="shared" si="63"/>
        <v>897019404.52332735</v>
      </c>
      <c r="AM372" s="966">
        <f t="shared" si="63"/>
        <v>897743882.87941885</v>
      </c>
      <c r="AN372" s="966">
        <f t="shared" si="63"/>
        <v>740582241.1161027</v>
      </c>
      <c r="AO372" s="966">
        <f t="shared" si="63"/>
        <v>5225327775.577589</v>
      </c>
    </row>
    <row r="373" spans="1:41" s="932" customFormat="1" outlineLevel="1">
      <c r="A373" s="1006" t="s">
        <v>407</v>
      </c>
      <c r="B373" s="1006"/>
      <c r="C373" s="1006"/>
      <c r="D373" s="1006"/>
      <c r="E373" s="1006"/>
      <c r="F373" s="1006"/>
      <c r="G373" s="1012">
        <v>14004984.199999999</v>
      </c>
      <c r="H373" s="1012">
        <v>0</v>
      </c>
      <c r="I373" s="1012">
        <v>0</v>
      </c>
      <c r="J373" s="1012">
        <v>4496511.6099999994</v>
      </c>
      <c r="K373" s="1007">
        <v>18501495.809999999</v>
      </c>
      <c r="L373" s="1012">
        <v>32388273.658135593</v>
      </c>
      <c r="M373" s="1012">
        <v>-4425872.3915254241</v>
      </c>
      <c r="N373" s="1012">
        <v>0</v>
      </c>
      <c r="O373" s="1012">
        <v>2067372.9130508476</v>
      </c>
      <c r="P373" s="1007">
        <v>30029774.179661017</v>
      </c>
      <c r="Q373" s="1012">
        <v>22642372.18</v>
      </c>
      <c r="R373" s="1012">
        <v>1708156.9899999998</v>
      </c>
      <c r="S373" s="1012">
        <v>4502774.5698305089</v>
      </c>
      <c r="T373" s="1012">
        <v>11669264.804915255</v>
      </c>
      <c r="U373" s="1007">
        <v>40522568.544745766</v>
      </c>
      <c r="V373" s="1012">
        <v>39234003.350000001</v>
      </c>
      <c r="W373" s="1012">
        <v>1422505.2927118684</v>
      </c>
      <c r="X373" s="1012">
        <v>4214957.68</v>
      </c>
      <c r="Y373" s="1012">
        <v>9439297.4362711869</v>
      </c>
      <c r="Z373" s="1007">
        <v>54310763.758983061</v>
      </c>
      <c r="AA373" s="1012">
        <v>33396709.163333334</v>
      </c>
      <c r="AB373" s="1012">
        <v>3206950</v>
      </c>
      <c r="AC373" s="1012">
        <v>2439016.6633333336</v>
      </c>
      <c r="AD373" s="1012">
        <v>7558156.1633333331</v>
      </c>
      <c r="AE373" s="1007">
        <v>46600831.990000002</v>
      </c>
      <c r="AF373" s="1012">
        <v>30345649.850000001</v>
      </c>
      <c r="AG373" s="1012">
        <v>11368.08</v>
      </c>
      <c r="AH373" s="1012">
        <v>0</v>
      </c>
      <c r="AI373" s="1012">
        <v>11590749.17</v>
      </c>
      <c r="AJ373" s="1007">
        <v>41947767.100000001</v>
      </c>
      <c r="AK373" s="1012">
        <v>89937927.520000011</v>
      </c>
      <c r="AL373" s="1012">
        <v>8816564.3100000005</v>
      </c>
      <c r="AM373" s="1012">
        <v>7014822.5299999993</v>
      </c>
      <c r="AN373" s="1013">
        <f>AI373</f>
        <v>11590749.17</v>
      </c>
      <c r="AO373" s="1008">
        <f>AK373+AL373+AM373+AN373</f>
        <v>117360063.53000002</v>
      </c>
    </row>
    <row r="374" spans="1:41" ht="13.5" outlineLevel="1" thickBot="1">
      <c r="H374" s="920"/>
      <c r="I374" s="843"/>
      <c r="Q374" s="926"/>
      <c r="R374" s="926"/>
      <c r="S374" s="926"/>
      <c r="T374" s="926"/>
      <c r="U374" s="926"/>
      <c r="V374" s="926"/>
      <c r="W374" s="926"/>
      <c r="X374" s="926"/>
      <c r="Y374" s="926"/>
      <c r="Z374" s="926"/>
      <c r="AA374" s="926"/>
      <c r="AB374" s="926"/>
      <c r="AC374" s="926"/>
      <c r="AD374" s="926"/>
      <c r="AE374" s="926"/>
      <c r="AF374" s="926"/>
      <c r="AG374" s="926"/>
      <c r="AH374" s="926"/>
      <c r="AI374" s="926"/>
      <c r="AJ374" s="926"/>
    </row>
    <row r="375" spans="1:41" outlineLevel="1">
      <c r="A375" s="941"/>
      <c r="B375" s="942">
        <f t="shared" ref="B375:AO375" si="64">B$252</f>
        <v>2014</v>
      </c>
      <c r="C375" s="942">
        <f t="shared" si="64"/>
        <v>2014</v>
      </c>
      <c r="D375" s="942">
        <f t="shared" si="64"/>
        <v>2014</v>
      </c>
      <c r="E375" s="942">
        <f t="shared" si="64"/>
        <v>2014</v>
      </c>
      <c r="F375" s="972">
        <f t="shared" si="64"/>
        <v>2014</v>
      </c>
      <c r="G375" s="942">
        <f t="shared" si="64"/>
        <v>2015</v>
      </c>
      <c r="H375" s="942">
        <f t="shared" si="64"/>
        <v>2015</v>
      </c>
      <c r="I375" s="942">
        <f t="shared" si="64"/>
        <v>2015</v>
      </c>
      <c r="J375" s="942">
        <f t="shared" si="64"/>
        <v>2015</v>
      </c>
      <c r="K375" s="972">
        <f t="shared" si="64"/>
        <v>2015</v>
      </c>
      <c r="L375" s="942">
        <f t="shared" si="64"/>
        <v>2016</v>
      </c>
      <c r="M375" s="942">
        <f t="shared" si="64"/>
        <v>2016</v>
      </c>
      <c r="N375" s="942">
        <f t="shared" si="64"/>
        <v>2016</v>
      </c>
      <c r="O375" s="942">
        <f t="shared" si="64"/>
        <v>2016</v>
      </c>
      <c r="P375" s="972">
        <f t="shared" si="64"/>
        <v>2016</v>
      </c>
      <c r="Q375" s="942">
        <f t="shared" si="64"/>
        <v>2017</v>
      </c>
      <c r="R375" s="942">
        <f t="shared" si="64"/>
        <v>2017</v>
      </c>
      <c r="S375" s="942">
        <f t="shared" si="64"/>
        <v>2017</v>
      </c>
      <c r="T375" s="942">
        <f t="shared" si="64"/>
        <v>2017</v>
      </c>
      <c r="U375" s="972">
        <f t="shared" si="64"/>
        <v>2017</v>
      </c>
      <c r="V375" s="942">
        <f t="shared" si="64"/>
        <v>2018</v>
      </c>
      <c r="W375" s="942">
        <f t="shared" si="64"/>
        <v>2018</v>
      </c>
      <c r="X375" s="942">
        <f t="shared" si="64"/>
        <v>2018</v>
      </c>
      <c r="Y375" s="942">
        <f t="shared" si="64"/>
        <v>2018</v>
      </c>
      <c r="Z375" s="972">
        <f t="shared" si="64"/>
        <v>2018</v>
      </c>
      <c r="AA375" s="942">
        <f t="shared" si="64"/>
        <v>2019</v>
      </c>
      <c r="AB375" s="942">
        <f t="shared" si="64"/>
        <v>2019</v>
      </c>
      <c r="AC375" s="942">
        <f t="shared" si="64"/>
        <v>2019</v>
      </c>
      <c r="AD375" s="942">
        <f t="shared" si="64"/>
        <v>2019</v>
      </c>
      <c r="AE375" s="972">
        <f t="shared" si="64"/>
        <v>2019</v>
      </c>
      <c r="AF375" s="942">
        <f t="shared" si="64"/>
        <v>2020</v>
      </c>
      <c r="AG375" s="942">
        <f t="shared" si="64"/>
        <v>2020</v>
      </c>
      <c r="AH375" s="942">
        <f t="shared" si="64"/>
        <v>2020</v>
      </c>
      <c r="AI375" s="942">
        <f t="shared" si="64"/>
        <v>2020</v>
      </c>
      <c r="AJ375" s="972">
        <f t="shared" si="64"/>
        <v>2020</v>
      </c>
      <c r="AK375" s="942">
        <f t="shared" si="64"/>
        <v>2021</v>
      </c>
      <c r="AL375" s="942">
        <f t="shared" si="64"/>
        <v>2021</v>
      </c>
      <c r="AM375" s="942">
        <f t="shared" si="64"/>
        <v>2021</v>
      </c>
      <c r="AN375" s="942">
        <f t="shared" si="64"/>
        <v>2021</v>
      </c>
      <c r="AO375" s="972">
        <f t="shared" si="64"/>
        <v>2021</v>
      </c>
    </row>
    <row r="376" spans="1:41" ht="13.5" outlineLevel="1" thickBot="1">
      <c r="A376" s="944" t="s">
        <v>33</v>
      </c>
      <c r="B376" s="945" t="str">
        <f t="shared" ref="B376:AO376" si="65">B$253</f>
        <v>1 квартал</v>
      </c>
      <c r="C376" s="945" t="str">
        <f t="shared" si="65"/>
        <v>2 квартал</v>
      </c>
      <c r="D376" s="945" t="str">
        <f t="shared" si="65"/>
        <v>3 квартал</v>
      </c>
      <c r="E376" s="945" t="str">
        <f t="shared" si="65"/>
        <v>4 квартал</v>
      </c>
      <c r="F376" s="973" t="str">
        <f t="shared" si="65"/>
        <v>ГОД</v>
      </c>
      <c r="G376" s="945" t="str">
        <f t="shared" si="65"/>
        <v>1 квартал</v>
      </c>
      <c r="H376" s="945" t="str">
        <f t="shared" si="65"/>
        <v>2 квартал</v>
      </c>
      <c r="I376" s="945" t="str">
        <f t="shared" si="65"/>
        <v>3 квартал</v>
      </c>
      <c r="J376" s="945" t="str">
        <f t="shared" si="65"/>
        <v>4 квартал</v>
      </c>
      <c r="K376" s="973" t="str">
        <f t="shared" si="65"/>
        <v>ГОД</v>
      </c>
      <c r="L376" s="945" t="str">
        <f t="shared" si="65"/>
        <v>1 квартал</v>
      </c>
      <c r="M376" s="945" t="str">
        <f t="shared" si="65"/>
        <v>2 квартал</v>
      </c>
      <c r="N376" s="945" t="str">
        <f t="shared" si="65"/>
        <v>3 квартал</v>
      </c>
      <c r="O376" s="945" t="str">
        <f t="shared" si="65"/>
        <v>4 квартал</v>
      </c>
      <c r="P376" s="973" t="str">
        <f t="shared" si="65"/>
        <v>ГОД</v>
      </c>
      <c r="Q376" s="945" t="str">
        <f t="shared" si="65"/>
        <v>1 квартал</v>
      </c>
      <c r="R376" s="945" t="str">
        <f t="shared" si="65"/>
        <v>2 квартал</v>
      </c>
      <c r="S376" s="945" t="str">
        <f t="shared" si="65"/>
        <v>3 квартал</v>
      </c>
      <c r="T376" s="945" t="str">
        <f t="shared" si="65"/>
        <v>4 квартал</v>
      </c>
      <c r="U376" s="973" t="str">
        <f t="shared" si="65"/>
        <v>ГОД</v>
      </c>
      <c r="V376" s="945" t="str">
        <f t="shared" si="65"/>
        <v>1 квартал</v>
      </c>
      <c r="W376" s="945" t="str">
        <f t="shared" si="65"/>
        <v>2 квартал</v>
      </c>
      <c r="X376" s="945" t="str">
        <f t="shared" si="65"/>
        <v>3 квартал</v>
      </c>
      <c r="Y376" s="945" t="str">
        <f t="shared" si="65"/>
        <v>4 квартал</v>
      </c>
      <c r="Z376" s="973" t="str">
        <f t="shared" si="65"/>
        <v>ГОД</v>
      </c>
      <c r="AA376" s="945" t="str">
        <f t="shared" si="65"/>
        <v>1 квартал</v>
      </c>
      <c r="AB376" s="945" t="str">
        <f t="shared" si="65"/>
        <v>2 квартал</v>
      </c>
      <c r="AC376" s="945" t="str">
        <f t="shared" si="65"/>
        <v>3 квартал</v>
      </c>
      <c r="AD376" s="945" t="str">
        <f t="shared" si="65"/>
        <v>4 квартал</v>
      </c>
      <c r="AE376" s="973" t="str">
        <f t="shared" si="65"/>
        <v>ГОД</v>
      </c>
      <c r="AF376" s="945" t="str">
        <f t="shared" si="65"/>
        <v>1 квартал</v>
      </c>
      <c r="AG376" s="945" t="str">
        <f t="shared" si="65"/>
        <v>2 квартал</v>
      </c>
      <c r="AH376" s="945" t="str">
        <f t="shared" si="65"/>
        <v>3 квартал</v>
      </c>
      <c r="AI376" s="945" t="str">
        <f t="shared" si="65"/>
        <v>4 квартал</v>
      </c>
      <c r="AJ376" s="973" t="str">
        <f t="shared" si="65"/>
        <v>ГОД</v>
      </c>
      <c r="AK376" s="945" t="str">
        <f t="shared" si="65"/>
        <v>1 квартал</v>
      </c>
      <c r="AL376" s="945" t="str">
        <f t="shared" si="65"/>
        <v>2 квартал</v>
      </c>
      <c r="AM376" s="945" t="str">
        <f t="shared" si="65"/>
        <v>3 квартал</v>
      </c>
      <c r="AN376" s="945" t="str">
        <f t="shared" si="65"/>
        <v>4 квартал</v>
      </c>
      <c r="AO376" s="973" t="str">
        <f t="shared" si="65"/>
        <v>ГОД</v>
      </c>
    </row>
    <row r="377" spans="1:41" outlineLevel="1">
      <c r="A377" s="974" t="str">
        <f>A350</f>
        <v>Гостиницы 5*</v>
      </c>
      <c r="B377" s="984">
        <f t="shared" ref="B377:AO377" si="66">B350/B291</f>
        <v>13518.136517438747</v>
      </c>
      <c r="C377" s="984">
        <f t="shared" si="66"/>
        <v>5230.0253179500942</v>
      </c>
      <c r="D377" s="984">
        <f t="shared" si="66"/>
        <v>4702.6347244350518</v>
      </c>
      <c r="E377" s="984">
        <f t="shared" si="66"/>
        <v>4749.5329606036239</v>
      </c>
      <c r="F377" s="985">
        <f t="shared" si="66"/>
        <v>5392.1693766975504</v>
      </c>
      <c r="G377" s="984">
        <f t="shared" si="66"/>
        <v>7225.7118460492175</v>
      </c>
      <c r="H377" s="984">
        <f t="shared" si="66"/>
        <v>3524.8120633859771</v>
      </c>
      <c r="I377" s="984">
        <f t="shared" si="66"/>
        <v>3051.7631306491371</v>
      </c>
      <c r="J377" s="984">
        <f t="shared" si="66"/>
        <v>6499.4767747747746</v>
      </c>
      <c r="K377" s="985">
        <f t="shared" si="66"/>
        <v>5239.688125817629</v>
      </c>
      <c r="L377" s="984">
        <f t="shared" si="66"/>
        <v>11099.840009462569</v>
      </c>
      <c r="M377" s="984">
        <f t="shared" si="66"/>
        <v>4153.7659936770906</v>
      </c>
      <c r="N377" s="984">
        <f t="shared" si="66"/>
        <v>4059.6368326521924</v>
      </c>
      <c r="O377" s="984">
        <f t="shared" si="66"/>
        <v>5971.5705330545115</v>
      </c>
      <c r="P377" s="985">
        <f t="shared" si="66"/>
        <v>6790.5155473067889</v>
      </c>
      <c r="Q377" s="984">
        <f t="shared" si="66"/>
        <v>13445.167050049327</v>
      </c>
      <c r="R377" s="984">
        <f t="shared" si="66"/>
        <v>4363.3507213005159</v>
      </c>
      <c r="S377" s="984">
        <f t="shared" si="66"/>
        <v>4384.99210614003</v>
      </c>
      <c r="T377" s="984">
        <f t="shared" si="66"/>
        <v>5422.64528746222</v>
      </c>
      <c r="U377" s="985">
        <f t="shared" si="66"/>
        <v>6641.2236726710598</v>
      </c>
      <c r="V377" s="984">
        <f t="shared" si="66"/>
        <v>11296.173171395483</v>
      </c>
      <c r="W377" s="984">
        <f t="shared" si="66"/>
        <v>4670.5508544579807</v>
      </c>
      <c r="X377" s="984">
        <f t="shared" si="66"/>
        <v>5182.927060049733</v>
      </c>
      <c r="Y377" s="984">
        <f t="shared" si="66"/>
        <v>5606.972587935119</v>
      </c>
      <c r="Z377" s="985">
        <f t="shared" si="66"/>
        <v>6927.2883226430286</v>
      </c>
      <c r="AA377" s="984">
        <f t="shared" si="66"/>
        <v>10934.690923760698</v>
      </c>
      <c r="AB377" s="984">
        <f t="shared" si="66"/>
        <v>4566.2674739298482</v>
      </c>
      <c r="AC377" s="984">
        <f t="shared" si="66"/>
        <v>5185.8294315821468</v>
      </c>
      <c r="AD377" s="984">
        <f t="shared" si="66"/>
        <v>5778.0907389710692</v>
      </c>
      <c r="AE377" s="985">
        <f t="shared" si="66"/>
        <v>6774.1085923795627</v>
      </c>
      <c r="AF377" s="984">
        <f t="shared" si="66"/>
        <v>11427.187340658516</v>
      </c>
      <c r="AG377" s="984">
        <f t="shared" si="66"/>
        <v>5877.2135231660232</v>
      </c>
      <c r="AH377" s="984">
        <f t="shared" si="66"/>
        <v>7790.1676542515588</v>
      </c>
      <c r="AI377" s="984">
        <f t="shared" si="66"/>
        <v>7787.0670378268705</v>
      </c>
      <c r="AJ377" s="985">
        <f t="shared" si="66"/>
        <v>8954.8701619452822</v>
      </c>
      <c r="AK377" s="984">
        <f t="shared" si="66"/>
        <v>17860.886968930201</v>
      </c>
      <c r="AL377" s="984">
        <f t="shared" si="66"/>
        <v>9229.9987616812177</v>
      </c>
      <c r="AM377" s="984">
        <f t="shared" si="66"/>
        <v>9757.8536014891215</v>
      </c>
      <c r="AN377" s="984">
        <f t="shared" si="66"/>
        <v>7787.0670378268705</v>
      </c>
      <c r="AO377" s="985">
        <f t="shared" si="66"/>
        <v>11526.662384321578</v>
      </c>
    </row>
    <row r="378" spans="1:41" outlineLevel="1">
      <c r="A378" s="1005" t="str">
        <f>A361</f>
        <v>Гостиницы 4*</v>
      </c>
      <c r="B378" s="984">
        <f t="shared" ref="B378:AO378" si="67">B361/B302</f>
        <v>4727.5746340372061</v>
      </c>
      <c r="C378" s="984">
        <f t="shared" si="67"/>
        <v>2130.5926064676614</v>
      </c>
      <c r="D378" s="984">
        <f t="shared" si="67"/>
        <v>2077.8572419713159</v>
      </c>
      <c r="E378" s="984">
        <f t="shared" si="67"/>
        <v>2926.1092771760827</v>
      </c>
      <c r="F378" s="985">
        <f t="shared" si="67"/>
        <v>3648.3910081738663</v>
      </c>
      <c r="G378" s="984">
        <f t="shared" si="67"/>
        <v>4310.9506480100999</v>
      </c>
      <c r="H378" s="984">
        <f t="shared" si="67"/>
        <v>1756.2824613305711</v>
      </c>
      <c r="I378" s="984">
        <f t="shared" si="67"/>
        <v>1570.802514785702</v>
      </c>
      <c r="J378" s="984">
        <f t="shared" si="67"/>
        <v>3048.0820141649533</v>
      </c>
      <c r="K378" s="985">
        <f t="shared" si="67"/>
        <v>3264.5202183038045</v>
      </c>
      <c r="L378" s="984">
        <f t="shared" si="67"/>
        <v>6529.0673643226164</v>
      </c>
      <c r="M378" s="984">
        <f t="shared" si="67"/>
        <v>2210.2204997768663</v>
      </c>
      <c r="N378" s="984">
        <f t="shared" si="67"/>
        <v>2225.2175305602709</v>
      </c>
      <c r="O378" s="984">
        <f t="shared" si="67"/>
        <v>2917.822623380966</v>
      </c>
      <c r="P378" s="985">
        <f t="shared" si="67"/>
        <v>4026.9869112665547</v>
      </c>
      <c r="Q378" s="984">
        <f t="shared" si="67"/>
        <v>6573.0569550610035</v>
      </c>
      <c r="R378" s="984">
        <f t="shared" si="67"/>
        <v>2362.7766899061085</v>
      </c>
      <c r="S378" s="984">
        <f t="shared" si="67"/>
        <v>2348.7678684860275</v>
      </c>
      <c r="T378" s="984">
        <f t="shared" si="67"/>
        <v>3181.379861625298</v>
      </c>
      <c r="U378" s="985">
        <f t="shared" si="67"/>
        <v>4101.8131691952667</v>
      </c>
      <c r="V378" s="984">
        <f t="shared" si="67"/>
        <v>7470.0189441330813</v>
      </c>
      <c r="W378" s="984">
        <f t="shared" si="67"/>
        <v>2687.4575082793608</v>
      </c>
      <c r="X378" s="984">
        <f t="shared" si="67"/>
        <v>2659.4455899928198</v>
      </c>
      <c r="Y378" s="984">
        <f t="shared" si="67"/>
        <v>3711.6049506166842</v>
      </c>
      <c r="Z378" s="985">
        <f t="shared" si="67"/>
        <v>4545.9427099844343</v>
      </c>
      <c r="AA378" s="984">
        <f t="shared" si="67"/>
        <v>7589.4768964546683</v>
      </c>
      <c r="AB378" s="984">
        <f t="shared" si="67"/>
        <v>2613.2541763307736</v>
      </c>
      <c r="AC378" s="984">
        <f t="shared" si="67"/>
        <v>2709.3704528322364</v>
      </c>
      <c r="AD378" s="984">
        <f t="shared" si="67"/>
        <v>3636.9579797487709</v>
      </c>
      <c r="AE378" s="985">
        <f t="shared" si="67"/>
        <v>4330.64955989602</v>
      </c>
      <c r="AF378" s="984">
        <f t="shared" si="67"/>
        <v>7808.4722775442006</v>
      </c>
      <c r="AG378" s="984">
        <f t="shared" si="67"/>
        <v>16267.72186328874</v>
      </c>
      <c r="AH378" s="984">
        <f t="shared" si="67"/>
        <v>4073.1083655872276</v>
      </c>
      <c r="AI378" s="984">
        <f t="shared" si="67"/>
        <v>4552.9104234803299</v>
      </c>
      <c r="AJ378" s="985">
        <f t="shared" si="67"/>
        <v>5613.3776629082186</v>
      </c>
      <c r="AK378" s="984">
        <f t="shared" si="67"/>
        <v>11527.729575514244</v>
      </c>
      <c r="AL378" s="984">
        <f t="shared" si="67"/>
        <v>4646.8250312030614</v>
      </c>
      <c r="AM378" s="984">
        <f t="shared" si="67"/>
        <v>4627.8551419059095</v>
      </c>
      <c r="AN378" s="984">
        <f t="shared" si="67"/>
        <v>4552.9104234803299</v>
      </c>
      <c r="AO378" s="985">
        <f t="shared" si="67"/>
        <v>6798.8287383194911</v>
      </c>
    </row>
    <row r="379" spans="1:41" ht="12" customHeight="1" outlineLevel="1">
      <c r="A379" s="974" t="str">
        <f>A366</f>
        <v>Гостиницы 3*</v>
      </c>
      <c r="B379" s="984">
        <f t="shared" ref="B379:AO379" si="68">B366/B307</f>
        <v>4384.5755537794103</v>
      </c>
      <c r="C379" s="984">
        <f t="shared" si="68"/>
        <v>2543.4973529907274</v>
      </c>
      <c r="D379" s="984">
        <f t="shared" si="68"/>
        <v>1583.6860372398064</v>
      </c>
      <c r="E379" s="984">
        <f t="shared" si="68"/>
        <v>2196.8718223522346</v>
      </c>
      <c r="F379" s="985">
        <f t="shared" si="68"/>
        <v>3604.8937178571418</v>
      </c>
      <c r="G379" s="984">
        <f t="shared" si="68"/>
        <v>3495.0014096144214</v>
      </c>
      <c r="H379" s="984">
        <f t="shared" si="68"/>
        <v>2560.7790485999726</v>
      </c>
      <c r="I379" s="984">
        <f t="shared" si="68"/>
        <v>1554.2677403120285</v>
      </c>
      <c r="J379" s="984">
        <f t="shared" si="68"/>
        <v>2229.1906171295136</v>
      </c>
      <c r="K379" s="985">
        <f t="shared" si="68"/>
        <v>2962.4533906676274</v>
      </c>
      <c r="L379" s="984">
        <f t="shared" si="68"/>
        <v>6253.6727842989658</v>
      </c>
      <c r="M379" s="984">
        <f t="shared" si="68"/>
        <v>1611.4194439525984</v>
      </c>
      <c r="N379" s="984">
        <f t="shared" si="68"/>
        <v>1872.7520766190139</v>
      </c>
      <c r="O379" s="984">
        <f t="shared" si="68"/>
        <v>2269.6604334338958</v>
      </c>
      <c r="P379" s="985">
        <f t="shared" si="68"/>
        <v>3487.6666942022121</v>
      </c>
      <c r="Q379" s="984">
        <f t="shared" si="68"/>
        <v>5595.5954269604963</v>
      </c>
      <c r="R379" s="984">
        <f t="shared" si="68"/>
        <v>1726.262596906558</v>
      </c>
      <c r="S379" s="984">
        <f t="shared" si="68"/>
        <v>1779.6806662374452</v>
      </c>
      <c r="T379" s="984">
        <f t="shared" si="68"/>
        <v>2407.9483759646569</v>
      </c>
      <c r="U379" s="985">
        <f t="shared" si="68"/>
        <v>3206.6514770973945</v>
      </c>
      <c r="V379" s="984">
        <f t="shared" si="68"/>
        <v>5748.5797070289509</v>
      </c>
      <c r="W379" s="984">
        <f t="shared" si="68"/>
        <v>1853.0629117381166</v>
      </c>
      <c r="X379" s="984">
        <f t="shared" si="68"/>
        <v>1910.1636161953945</v>
      </c>
      <c r="Y379" s="984">
        <f t="shared" si="68"/>
        <v>2532.1838023913233</v>
      </c>
      <c r="Z379" s="985">
        <f t="shared" si="68"/>
        <v>3235.2906844340155</v>
      </c>
      <c r="AA379" s="984">
        <f t="shared" si="68"/>
        <v>5742.7047469326817</v>
      </c>
      <c r="AB379" s="984">
        <f t="shared" si="68"/>
        <v>1855.7480342936071</v>
      </c>
      <c r="AC379" s="984">
        <f t="shared" si="68"/>
        <v>1942.366719135046</v>
      </c>
      <c r="AD379" s="984">
        <f t="shared" si="68"/>
        <v>2375.8790611070067</v>
      </c>
      <c r="AE379" s="985">
        <f t="shared" si="68"/>
        <v>3151.0172928748848</v>
      </c>
      <c r="AF379" s="984">
        <f t="shared" si="68"/>
        <v>6220.4634240550422</v>
      </c>
      <c r="AG379" s="984">
        <f t="shared" si="68"/>
        <v>2386.2435897435134</v>
      </c>
      <c r="AH379" s="984">
        <f t="shared" si="68"/>
        <v>3342.9664591377386</v>
      </c>
      <c r="AI379" s="984">
        <f t="shared" si="68"/>
        <v>3520.4273584649791</v>
      </c>
      <c r="AJ379" s="985">
        <f t="shared" si="68"/>
        <v>4541.0397413837591</v>
      </c>
      <c r="AK379" s="984">
        <f t="shared" si="68"/>
        <v>9497.9142311896521</v>
      </c>
      <c r="AL379" s="984">
        <f t="shared" si="68"/>
        <v>3563.2431842588776</v>
      </c>
      <c r="AM379" s="984">
        <f t="shared" si="68"/>
        <v>3761.9635137111613</v>
      </c>
      <c r="AN379" s="984">
        <f t="shared" si="68"/>
        <v>3520.4273584649791</v>
      </c>
      <c r="AO379" s="985">
        <f t="shared" si="68"/>
        <v>5439.4048244638961</v>
      </c>
    </row>
    <row r="380" spans="1:41" ht="12" customHeight="1" outlineLevel="1">
      <c r="A380" s="974" t="str">
        <f>A371</f>
        <v>Гостиницы 2*</v>
      </c>
      <c r="B380" s="984" t="str">
        <f t="shared" ref="B380:AO380" si="69">IFERROR(B371/B312,"-")</f>
        <v>-</v>
      </c>
      <c r="C380" s="984" t="str">
        <f t="shared" si="69"/>
        <v>-</v>
      </c>
      <c r="D380" s="984" t="str">
        <f t="shared" si="69"/>
        <v>-</v>
      </c>
      <c r="E380" s="984">
        <f t="shared" si="69"/>
        <v>2446.0305817499998</v>
      </c>
      <c r="F380" s="985">
        <f t="shared" si="69"/>
        <v>2446.0305817499998</v>
      </c>
      <c r="G380" s="984">
        <f t="shared" si="69"/>
        <v>2559.071567437948</v>
      </c>
      <c r="H380" s="984">
        <f t="shared" si="69"/>
        <v>656.27585980937249</v>
      </c>
      <c r="I380" s="984">
        <f t="shared" si="69"/>
        <v>666.44086751553755</v>
      </c>
      <c r="J380" s="984">
        <f t="shared" si="69"/>
        <v>2522.4056939501779</v>
      </c>
      <c r="K380" s="985">
        <f t="shared" si="69"/>
        <v>2042.332765976467</v>
      </c>
      <c r="L380" s="984">
        <f t="shared" si="69"/>
        <v>3504.7643173321212</v>
      </c>
      <c r="M380" s="984">
        <f t="shared" si="69"/>
        <v>1265.818210537974</v>
      </c>
      <c r="N380" s="984">
        <f t="shared" si="69"/>
        <v>1192.2133098302581</v>
      </c>
      <c r="O380" s="984">
        <f t="shared" si="69"/>
        <v>2980.9996214389434</v>
      </c>
      <c r="P380" s="985">
        <f t="shared" si="69"/>
        <v>2440.8062218461978</v>
      </c>
      <c r="Q380" s="984">
        <f t="shared" si="69"/>
        <v>4285.3833948804677</v>
      </c>
      <c r="R380" s="984">
        <f t="shared" si="69"/>
        <v>1218.4356143425364</v>
      </c>
      <c r="S380" s="984">
        <f t="shared" si="69"/>
        <v>1035.4967887546013</v>
      </c>
      <c r="T380" s="984">
        <f t="shared" si="69"/>
        <v>2889.8091586743108</v>
      </c>
      <c r="U380" s="985">
        <f t="shared" si="69"/>
        <v>2633.9511963256664</v>
      </c>
      <c r="V380" s="984">
        <f t="shared" si="69"/>
        <v>4470.9033788978513</v>
      </c>
      <c r="W380" s="984">
        <f t="shared" si="69"/>
        <v>1371.1362002079916</v>
      </c>
      <c r="X380" s="984">
        <f t="shared" si="69"/>
        <v>1513.776141563899</v>
      </c>
      <c r="Y380" s="984">
        <f t="shared" si="69"/>
        <v>2719.4999446867919</v>
      </c>
      <c r="Z380" s="985">
        <f t="shared" si="69"/>
        <v>2822.6563863109636</v>
      </c>
      <c r="AA380" s="984">
        <f t="shared" si="69"/>
        <v>5220.8932362344585</v>
      </c>
      <c r="AB380" s="984">
        <f t="shared" si="69"/>
        <v>1832.5199001460553</v>
      </c>
      <c r="AC380" s="984">
        <f t="shared" si="69"/>
        <v>1819.2902808600059</v>
      </c>
      <c r="AD380" s="984">
        <f t="shared" si="69"/>
        <v>3060.5857324943527</v>
      </c>
      <c r="AE380" s="985">
        <f t="shared" si="69"/>
        <v>3450.356878229245</v>
      </c>
      <c r="AF380" s="984">
        <f t="shared" si="69"/>
        <v>5676.6856222309816</v>
      </c>
      <c r="AG380" s="984">
        <f t="shared" si="69"/>
        <v>-43498.227333333329</v>
      </c>
      <c r="AH380" s="984">
        <f t="shared" si="69"/>
        <v>2670.7082674873764</v>
      </c>
      <c r="AI380" s="984">
        <f t="shared" si="69"/>
        <v>4567.6694922505076</v>
      </c>
      <c r="AJ380" s="985">
        <f t="shared" si="69"/>
        <v>4641.3072170515843</v>
      </c>
      <c r="AK380" s="984">
        <f t="shared" si="69"/>
        <v>8194.1589201931274</v>
      </c>
      <c r="AL380" s="984">
        <f t="shared" si="69"/>
        <v>3171.7589357078978</v>
      </c>
      <c r="AM380" s="984">
        <f t="shared" si="69"/>
        <v>2768.487887007409</v>
      </c>
      <c r="AN380" s="984">
        <f t="shared" si="69"/>
        <v>4567.6694922505076</v>
      </c>
      <c r="AO380" s="985">
        <f t="shared" si="69"/>
        <v>5397.5367994206044</v>
      </c>
    </row>
    <row r="381" spans="1:41" s="932" customFormat="1" ht="13.5" outlineLevel="1" thickBot="1">
      <c r="A381" s="965" t="str">
        <f>A372</f>
        <v>ВСЕГО</v>
      </c>
      <c r="B381" s="986">
        <f t="shared" ref="B381:AO381" si="70">B372/B313</f>
        <v>7154.1866365415872</v>
      </c>
      <c r="C381" s="986">
        <f t="shared" si="70"/>
        <v>3237.8914216630537</v>
      </c>
      <c r="D381" s="986">
        <f t="shared" si="70"/>
        <v>3092.0782356948503</v>
      </c>
      <c r="E381" s="986">
        <f t="shared" si="70"/>
        <v>3687.0080758622489</v>
      </c>
      <c r="F381" s="987">
        <f t="shared" si="70"/>
        <v>4290.3379227334863</v>
      </c>
      <c r="G381" s="986">
        <f t="shared" si="70"/>
        <v>4574.7665975425043</v>
      </c>
      <c r="H381" s="986">
        <f t="shared" si="70"/>
        <v>2201.199193417141</v>
      </c>
      <c r="I381" s="986">
        <f t="shared" si="70"/>
        <v>1990.5853441413813</v>
      </c>
      <c r="J381" s="986">
        <f t="shared" si="70"/>
        <v>3940.3417542817906</v>
      </c>
      <c r="K381" s="987">
        <f t="shared" si="70"/>
        <v>3648.0737433502081</v>
      </c>
      <c r="L381" s="986">
        <f t="shared" si="70"/>
        <v>7053.7409333289497</v>
      </c>
      <c r="M381" s="986">
        <f t="shared" si="70"/>
        <v>2492.3252229217196</v>
      </c>
      <c r="N381" s="986">
        <f t="shared" si="70"/>
        <v>2567.9294995695182</v>
      </c>
      <c r="O381" s="986">
        <f t="shared" si="70"/>
        <v>3704.0977118141095</v>
      </c>
      <c r="P381" s="987">
        <f t="shared" si="70"/>
        <v>4454.0762051210286</v>
      </c>
      <c r="Q381" s="986">
        <f t="shared" si="70"/>
        <v>7192.7835426066276</v>
      </c>
      <c r="R381" s="986">
        <f t="shared" si="70"/>
        <v>2708.7556203219765</v>
      </c>
      <c r="S381" s="986">
        <f t="shared" si="70"/>
        <v>2548.104792816363</v>
      </c>
      <c r="T381" s="986">
        <f t="shared" si="70"/>
        <v>3798.0006352323867</v>
      </c>
      <c r="U381" s="987">
        <f t="shared" si="70"/>
        <v>4378.3781874950564</v>
      </c>
      <c r="V381" s="986">
        <f t="shared" si="70"/>
        <v>7313.9299529616355</v>
      </c>
      <c r="W381" s="986">
        <f t="shared" si="70"/>
        <v>2882.0985116939632</v>
      </c>
      <c r="X381" s="986">
        <f t="shared" si="70"/>
        <v>2989.6931429268839</v>
      </c>
      <c r="Y381" s="986">
        <f t="shared" si="70"/>
        <v>4065.6393493784594</v>
      </c>
      <c r="Z381" s="987">
        <f t="shared" si="70"/>
        <v>4631.323104661531</v>
      </c>
      <c r="AA381" s="986">
        <f t="shared" si="70"/>
        <v>7508.4098919160451</v>
      </c>
      <c r="AB381" s="986">
        <f t="shared" si="70"/>
        <v>2983.0323264055423</v>
      </c>
      <c r="AC381" s="986">
        <f t="shared" si="70"/>
        <v>3172.4302023272267</v>
      </c>
      <c r="AD381" s="986">
        <f t="shared" si="70"/>
        <v>4220.162946343803</v>
      </c>
      <c r="AE381" s="987">
        <f t="shared" si="70"/>
        <v>4751.7541623419447</v>
      </c>
      <c r="AF381" s="986">
        <f t="shared" si="70"/>
        <v>8091.8926934109177</v>
      </c>
      <c r="AG381" s="986">
        <f t="shared" si="70"/>
        <v>5306.9391238374074</v>
      </c>
      <c r="AH381" s="986">
        <f t="shared" si="70"/>
        <v>5047.3303417234174</v>
      </c>
      <c r="AI381" s="986">
        <f t="shared" si="70"/>
        <v>5624.7037284956077</v>
      </c>
      <c r="AJ381" s="987">
        <f t="shared" si="70"/>
        <v>6390.5049465405955</v>
      </c>
      <c r="AK381" s="986">
        <f t="shared" si="70"/>
        <v>12278.034255753328</v>
      </c>
      <c r="AL381" s="986">
        <f t="shared" si="70"/>
        <v>5603.4644810712398</v>
      </c>
      <c r="AM381" s="986">
        <f t="shared" si="70"/>
        <v>5752.9983266649933</v>
      </c>
      <c r="AN381" s="986">
        <f t="shared" si="70"/>
        <v>5624.7037284956077</v>
      </c>
      <c r="AO381" s="987">
        <f t="shared" si="70"/>
        <v>7835.4138122221621</v>
      </c>
    </row>
    <row r="382" spans="1:41" s="932" customFormat="1" ht="13.5" outlineLevel="1" thickBot="1">
      <c r="A382" s="1006" t="s">
        <v>407</v>
      </c>
      <c r="B382" s="1006"/>
      <c r="C382" s="1006"/>
      <c r="D382" s="1006"/>
      <c r="E382" s="1006"/>
      <c r="F382" s="1006"/>
      <c r="G382" s="1009">
        <f t="shared" ref="G382:AO382" si="71">G373/G314</f>
        <v>46219.239502065931</v>
      </c>
      <c r="H382" s="1009" t="e">
        <f t="shared" si="71"/>
        <v>#DIV/0!</v>
      </c>
      <c r="I382" s="1009" t="e">
        <f t="shared" si="71"/>
        <v>#DIV/0!</v>
      </c>
      <c r="J382" s="1009">
        <f t="shared" si="71"/>
        <v>28402.847604729894</v>
      </c>
      <c r="K382" s="1014">
        <f t="shared" si="71"/>
        <v>40105.20980915799</v>
      </c>
      <c r="L382" s="1009">
        <f t="shared" si="71"/>
        <v>80567.844920735311</v>
      </c>
      <c r="M382" s="1009">
        <f t="shared" si="71"/>
        <v>-81960.599843063406</v>
      </c>
      <c r="N382" s="1009">
        <f t="shared" si="71"/>
        <v>0</v>
      </c>
      <c r="O382" s="1009">
        <f t="shared" si="71"/>
        <v>89885.778828297727</v>
      </c>
      <c r="P382" s="1014">
        <f t="shared" si="71"/>
        <v>59582.88527710519</v>
      </c>
      <c r="Q382" s="1009">
        <f t="shared" si="71"/>
        <v>50881.735235955057</v>
      </c>
      <c r="R382" s="1009">
        <f t="shared" si="71"/>
        <v>16114.688584905658</v>
      </c>
      <c r="S382" s="1009">
        <f t="shared" si="71"/>
        <v>17186.162480269119</v>
      </c>
      <c r="T382" s="1009">
        <f t="shared" si="71"/>
        <v>48470.466479398776</v>
      </c>
      <c r="U382" s="1014">
        <f t="shared" si="71"/>
        <v>38455.581062629433</v>
      </c>
      <c r="V382" s="1009">
        <f t="shared" si="71"/>
        <v>66724.495493197275</v>
      </c>
      <c r="W382" s="1009">
        <f t="shared" si="71"/>
        <v>11380.042341694947</v>
      </c>
      <c r="X382" s="1009">
        <f t="shared" si="71"/>
        <v>19558.968352668213</v>
      </c>
      <c r="Y382" s="1009">
        <f t="shared" si="71"/>
        <v>37272.645355463719</v>
      </c>
      <c r="Z382" s="1014">
        <f t="shared" si="71"/>
        <v>45957.913060277606</v>
      </c>
      <c r="AA382" s="1009">
        <f t="shared" si="71"/>
        <v>55940.886370742606</v>
      </c>
      <c r="AB382" s="1009">
        <f t="shared" si="71"/>
        <v>40983.386581469647</v>
      </c>
      <c r="AC382" s="1009">
        <f t="shared" si="71"/>
        <v>27404.681610486892</v>
      </c>
      <c r="AD382" s="1009">
        <f t="shared" si="71"/>
        <v>54064.064115402951</v>
      </c>
      <c r="AE382" s="1014">
        <f t="shared" si="71"/>
        <v>51546.741872684041</v>
      </c>
      <c r="AF382" s="1009">
        <f t="shared" si="71"/>
        <v>69640.045553643155</v>
      </c>
      <c r="AG382" s="1009" t="e">
        <f t="shared" si="71"/>
        <v>#DIV/0!</v>
      </c>
      <c r="AH382" s="1009" t="e">
        <f t="shared" si="71"/>
        <v>#DIV/0!</v>
      </c>
      <c r="AI382" s="1009">
        <f t="shared" si="71"/>
        <v>137985.10916666666</v>
      </c>
      <c r="AJ382" s="1014">
        <f t="shared" si="71"/>
        <v>80707.584607984609</v>
      </c>
      <c r="AK382" s="1009">
        <f t="shared" si="71"/>
        <v>123371.64268861455</v>
      </c>
      <c r="AL382" s="1009">
        <f t="shared" si="71"/>
        <v>37839.331802575107</v>
      </c>
      <c r="AM382" s="1009">
        <f t="shared" si="71"/>
        <v>31004.740464088394</v>
      </c>
      <c r="AN382" s="1009">
        <f t="shared" si="71"/>
        <v>137985.10916666666</v>
      </c>
      <c r="AO382" s="1014">
        <f t="shared" si="71"/>
        <v>92246.070764393808</v>
      </c>
    </row>
    <row r="383" spans="1:41" outlineLevel="1"/>
    <row r="386" spans="1:15" outlineLevel="1">
      <c r="A386" s="988" t="str">
        <f>B1</f>
        <v>Гостиницы 5*</v>
      </c>
      <c r="B386" s="989">
        <f>B2</f>
        <v>2014</v>
      </c>
      <c r="C386" s="989">
        <f>B386+1</f>
        <v>2015</v>
      </c>
      <c r="D386" s="989">
        <f t="shared" ref="D386:I386" si="72">C386+1</f>
        <v>2016</v>
      </c>
      <c r="E386" s="989">
        <f t="shared" si="72"/>
        <v>2017</v>
      </c>
      <c r="F386" s="989">
        <f t="shared" si="72"/>
        <v>2018</v>
      </c>
      <c r="G386" s="989">
        <f t="shared" si="72"/>
        <v>2019</v>
      </c>
      <c r="H386" s="989">
        <f t="shared" si="72"/>
        <v>2020</v>
      </c>
      <c r="I386" s="989">
        <f t="shared" si="72"/>
        <v>2021</v>
      </c>
      <c r="J386" s="990">
        <f>H386+1</f>
        <v>2021</v>
      </c>
      <c r="K386" s="989">
        <f>I386+1</f>
        <v>2022</v>
      </c>
      <c r="L386" s="989">
        <f>K386+1</f>
        <v>2023</v>
      </c>
      <c r="M386" s="989">
        <f>L386+1</f>
        <v>2024</v>
      </c>
      <c r="N386" s="989">
        <f>M386+1</f>
        <v>2025</v>
      </c>
      <c r="O386" s="989">
        <f>N386+1</f>
        <v>2026</v>
      </c>
    </row>
    <row r="387" spans="1:15" outlineLevel="1">
      <c r="A387" s="843" t="str">
        <f>A3</f>
        <v>Загрузка (%)</v>
      </c>
      <c r="B387" s="1004">
        <f>B3</f>
        <v>0.21450649598232627</v>
      </c>
      <c r="C387" s="991">
        <f t="shared" ref="C387:O387" si="73">C3</f>
        <v>0.369986092742837</v>
      </c>
      <c r="D387" s="991">
        <f t="shared" si="73"/>
        <v>0.48823965183774343</v>
      </c>
      <c r="E387" s="991">
        <f t="shared" si="73"/>
        <v>0.53868215316957524</v>
      </c>
      <c r="F387" s="991">
        <f t="shared" si="73"/>
        <v>0.58913862789450588</v>
      </c>
      <c r="G387" s="991">
        <f t="shared" si="73"/>
        <v>0.62977218996492601</v>
      </c>
      <c r="H387" s="1004">
        <f t="shared" si="73"/>
        <v>0.50369081417712247</v>
      </c>
      <c r="I387" s="991">
        <f t="shared" si="73"/>
        <v>0.60830795132777227</v>
      </c>
      <c r="J387" s="992">
        <f t="shared" si="73"/>
        <v>0.57391834730678037</v>
      </c>
      <c r="K387" s="991">
        <f t="shared" si="73"/>
        <v>0.62830795132777228</v>
      </c>
      <c r="L387" s="991">
        <f t="shared" si="73"/>
        <v>0.62830795132777228</v>
      </c>
      <c r="M387" s="991">
        <f t="shared" si="73"/>
        <v>0.60830795132777227</v>
      </c>
      <c r="N387" s="991">
        <f t="shared" si="73"/>
        <v>0.59830795132777226</v>
      </c>
      <c r="O387" s="991">
        <f t="shared" si="73"/>
        <v>0.59830795132777226</v>
      </c>
    </row>
    <row r="388" spans="1:15" outlineLevel="1">
      <c r="A388" s="843" t="str">
        <f t="shared" ref="A388:O388" si="74">A11</f>
        <v>Средняя цена на номер (руб.)</v>
      </c>
      <c r="B388" s="993">
        <f t="shared" si="74"/>
        <v>5392.1693766975504</v>
      </c>
      <c r="C388" s="993">
        <f t="shared" si="74"/>
        <v>5239.688125817629</v>
      </c>
      <c r="D388" s="993">
        <f t="shared" si="74"/>
        <v>6790.5155473067889</v>
      </c>
      <c r="E388" s="993">
        <f t="shared" si="74"/>
        <v>6641.2236726710598</v>
      </c>
      <c r="F388" s="993">
        <f t="shared" si="74"/>
        <v>6927.2883226430286</v>
      </c>
      <c r="G388" s="993">
        <f t="shared" si="74"/>
        <v>6774.1085923795627</v>
      </c>
      <c r="H388" s="993">
        <f t="shared" si="74"/>
        <v>8954.8701619452822</v>
      </c>
      <c r="I388" s="993">
        <f t="shared" si="74"/>
        <v>11526.662384321578</v>
      </c>
      <c r="J388" s="994">
        <f t="shared" si="74"/>
        <v>8164.8306267921025</v>
      </c>
      <c r="K388" s="993">
        <f t="shared" si="74"/>
        <v>12102.995503537657</v>
      </c>
      <c r="L388" s="993">
        <f t="shared" si="74"/>
        <v>12708.145278714541</v>
      </c>
      <c r="M388" s="993">
        <f t="shared" si="74"/>
        <v>13216.471089863124</v>
      </c>
      <c r="N388" s="993">
        <f t="shared" si="74"/>
        <v>13745.129933457649</v>
      </c>
      <c r="O388" s="993">
        <f t="shared" si="74"/>
        <v>14294.935130795955</v>
      </c>
    </row>
    <row r="389" spans="1:15" outlineLevel="1">
      <c r="A389" s="843" t="str">
        <f>A15</f>
        <v>Доходность на номер (руб.)</v>
      </c>
      <c r="B389" s="993">
        <f>B387*B388</f>
        <v>1156.6553587385959</v>
      </c>
      <c r="C389" s="993">
        <f t="shared" ref="C389:O389" si="75">C387*C388</f>
        <v>1938.6117368623031</v>
      </c>
      <c r="D389" s="993">
        <f t="shared" si="75"/>
        <v>3315.3989466158505</v>
      </c>
      <c r="E389" s="993">
        <f t="shared" si="75"/>
        <v>3577.5086676752007</v>
      </c>
      <c r="F389" s="993">
        <f t="shared" si="75"/>
        <v>4081.1331374315469</v>
      </c>
      <c r="G389" s="993">
        <f t="shared" si="75"/>
        <v>4266.1452032830994</v>
      </c>
      <c r="H389" s="993">
        <f t="shared" si="75"/>
        <v>4510.48584272064</v>
      </c>
      <c r="I389" s="993">
        <f t="shared" si="75"/>
        <v>7011.7603806535544</v>
      </c>
      <c r="J389" s="994">
        <f t="shared" si="75"/>
        <v>4685.9460993683069</v>
      </c>
      <c r="K389" s="993">
        <f t="shared" si="75"/>
        <v>7604.4083097569846</v>
      </c>
      <c r="L389" s="993">
        <f t="shared" si="75"/>
        <v>7984.6287252448346</v>
      </c>
      <c r="M389" s="993">
        <f t="shared" si="75"/>
        <v>8039.6844524573662</v>
      </c>
      <c r="N389" s="993">
        <f t="shared" si="75"/>
        <v>8223.8205312210848</v>
      </c>
      <c r="O389" s="993">
        <f t="shared" si="75"/>
        <v>8552.7733524699288</v>
      </c>
    </row>
    <row r="390" spans="1:15" outlineLevel="2">
      <c r="A390" s="843">
        <v>6</v>
      </c>
    </row>
    <row r="391" spans="1:15" outlineLevel="2"/>
    <row r="392" spans="1:15" outlineLevel="2"/>
    <row r="393" spans="1:15" outlineLevel="2"/>
    <row r="394" spans="1:15" outlineLevel="2"/>
    <row r="395" spans="1:15" outlineLevel="2"/>
    <row r="396" spans="1:15" outlineLevel="2"/>
    <row r="397" spans="1:15" outlineLevel="2"/>
    <row r="398" spans="1:15" outlineLevel="2"/>
    <row r="399" spans="1:15" outlineLevel="2"/>
    <row r="400" spans="1:15" outlineLevel="2"/>
    <row r="401" spans="1:15" outlineLevel="2"/>
    <row r="402" spans="1:15" outlineLevel="2"/>
    <row r="403" spans="1:15" outlineLevel="2"/>
    <row r="404" spans="1:15" outlineLevel="2"/>
    <row r="405" spans="1:15" outlineLevel="2">
      <c r="F405" s="1017"/>
    </row>
    <row r="406" spans="1:15" outlineLevel="2"/>
    <row r="407" spans="1:15" outlineLevel="2"/>
    <row r="408" spans="1:15" outlineLevel="2"/>
    <row r="409" spans="1:15" outlineLevel="2"/>
    <row r="410" spans="1:15" outlineLevel="2"/>
    <row r="411" spans="1:15" outlineLevel="2"/>
    <row r="412" spans="1:15" outlineLevel="2"/>
    <row r="413" spans="1:15" outlineLevel="1"/>
    <row r="414" spans="1:15" outlineLevel="1">
      <c r="A414" s="988" t="str">
        <f>$A$378</f>
        <v>Гостиницы 4*</v>
      </c>
      <c r="B414" s="989">
        <f>B$386</f>
        <v>2014</v>
      </c>
      <c r="C414" s="989">
        <f t="shared" ref="C414:O414" si="76">C$386</f>
        <v>2015</v>
      </c>
      <c r="D414" s="989">
        <f t="shared" si="76"/>
        <v>2016</v>
      </c>
      <c r="E414" s="989">
        <f t="shared" si="76"/>
        <v>2017</v>
      </c>
      <c r="F414" s="989">
        <f t="shared" si="76"/>
        <v>2018</v>
      </c>
      <c r="G414" s="989">
        <f t="shared" si="76"/>
        <v>2019</v>
      </c>
      <c r="H414" s="989">
        <f t="shared" si="76"/>
        <v>2020</v>
      </c>
      <c r="I414" s="989">
        <f t="shared" si="76"/>
        <v>2021</v>
      </c>
      <c r="J414" s="989">
        <f t="shared" si="76"/>
        <v>2021</v>
      </c>
      <c r="K414" s="989">
        <f t="shared" si="76"/>
        <v>2022</v>
      </c>
      <c r="L414" s="989">
        <f t="shared" si="76"/>
        <v>2023</v>
      </c>
      <c r="M414" s="989">
        <f t="shared" si="76"/>
        <v>2024</v>
      </c>
      <c r="N414" s="989">
        <f t="shared" si="76"/>
        <v>2025</v>
      </c>
      <c r="O414" s="989">
        <f t="shared" si="76"/>
        <v>2026</v>
      </c>
    </row>
    <row r="415" spans="1:15" outlineLevel="1">
      <c r="A415" s="843" t="str">
        <f>A387</f>
        <v>Загрузка (%)</v>
      </c>
      <c r="B415" s="1004">
        <f t="shared" ref="B415:I415" si="77">B58</f>
        <v>0.22120599479920311</v>
      </c>
      <c r="C415" s="991">
        <f t="shared" si="77"/>
        <v>0.33952308898615108</v>
      </c>
      <c r="D415" s="991">
        <f t="shared" si="77"/>
        <v>0.50102654922734535</v>
      </c>
      <c r="E415" s="991">
        <f t="shared" si="77"/>
        <v>0.52145392030764393</v>
      </c>
      <c r="F415" s="991">
        <f t="shared" si="77"/>
        <v>0.49911179679558543</v>
      </c>
      <c r="G415" s="991">
        <f t="shared" si="77"/>
        <v>0.5398717035551921</v>
      </c>
      <c r="H415" s="991">
        <f t="shared" si="77"/>
        <v>0.46436681886149739</v>
      </c>
      <c r="I415" s="991">
        <f t="shared" si="77"/>
        <v>0.58345248192576438</v>
      </c>
      <c r="J415" s="992">
        <f t="shared" ref="J415:O415" si="78">K58</f>
        <v>0.6134524819257644</v>
      </c>
      <c r="K415" s="991">
        <f t="shared" si="78"/>
        <v>0.60345248192576439</v>
      </c>
      <c r="L415" s="991">
        <f t="shared" si="78"/>
        <v>0.60345248192576439</v>
      </c>
      <c r="M415" s="991">
        <f t="shared" si="78"/>
        <v>0.60345248192576439</v>
      </c>
      <c r="N415" s="991">
        <f t="shared" si="78"/>
        <v>0.60345248192576439</v>
      </c>
      <c r="O415" s="991">
        <f t="shared" si="78"/>
        <v>0.60545248192576451</v>
      </c>
    </row>
    <row r="416" spans="1:15" outlineLevel="1">
      <c r="A416" s="843" t="str">
        <f>A388</f>
        <v>Средняя цена на номер (руб.)</v>
      </c>
      <c r="B416" s="993">
        <f t="shared" ref="B416:O416" si="79">B66</f>
        <v>3648.3910081738663</v>
      </c>
      <c r="C416" s="993">
        <f t="shared" si="79"/>
        <v>3264.5202183038045</v>
      </c>
      <c r="D416" s="993">
        <f t="shared" si="79"/>
        <v>4026.9869112665547</v>
      </c>
      <c r="E416" s="1817">
        <f t="shared" si="79"/>
        <v>4101.8131691952667</v>
      </c>
      <c r="F416" s="1817">
        <f t="shared" si="79"/>
        <v>4545.9427099844343</v>
      </c>
      <c r="G416" s="993">
        <f t="shared" si="79"/>
        <v>4330.64955989602</v>
      </c>
      <c r="H416" s="993">
        <f t="shared" si="79"/>
        <v>5613.3776629082186</v>
      </c>
      <c r="I416" s="993">
        <f t="shared" si="79"/>
        <v>6798.8287383194911</v>
      </c>
      <c r="J416" s="994">
        <f t="shared" si="79"/>
        <v>5078.1223680606872</v>
      </c>
      <c r="K416" s="993">
        <f t="shared" si="79"/>
        <v>7070.7818878522712</v>
      </c>
      <c r="L416" s="993">
        <f t="shared" si="79"/>
        <v>7353.6131633663626</v>
      </c>
      <c r="M416" s="993">
        <f t="shared" si="79"/>
        <v>7353.6131633663626</v>
      </c>
      <c r="N416" s="993">
        <f t="shared" si="79"/>
        <v>7574.2215582673534</v>
      </c>
      <c r="O416" s="993">
        <f t="shared" si="79"/>
        <v>7877.1904205980481</v>
      </c>
    </row>
    <row r="417" spans="1:15" outlineLevel="1">
      <c r="A417" s="843" t="str">
        <f>A389</f>
        <v>Доходность на номер (руб.)</v>
      </c>
      <c r="B417" s="993">
        <f>B415*B416</f>
        <v>807.04596237956764</v>
      </c>
      <c r="C417" s="993">
        <f t="shared" ref="C417:O417" si="80">C415*C416</f>
        <v>1108.3799885762519</v>
      </c>
      <c r="D417" s="993">
        <f t="shared" si="80"/>
        <v>2017.6273559355679</v>
      </c>
      <c r="E417" s="993">
        <f t="shared" si="80"/>
        <v>2138.906557446393</v>
      </c>
      <c r="F417" s="993">
        <f t="shared" si="80"/>
        <v>2268.9336341101239</v>
      </c>
      <c r="G417" s="993">
        <f t="shared" si="80"/>
        <v>2337.9951554016075</v>
      </c>
      <c r="H417" s="993">
        <f t="shared" si="80"/>
        <v>2606.6663283928765</v>
      </c>
      <c r="I417" s="993">
        <f t="shared" si="80"/>
        <v>3966.7935015607204</v>
      </c>
      <c r="J417" s="994">
        <f t="shared" si="80"/>
        <v>3115.1867702095687</v>
      </c>
      <c r="K417" s="993">
        <f t="shared" si="80"/>
        <v>4266.8808793801945</v>
      </c>
      <c r="L417" s="993">
        <f t="shared" si="80"/>
        <v>4437.5561145554029</v>
      </c>
      <c r="M417" s="993">
        <f t="shared" si="80"/>
        <v>4437.5561145554029</v>
      </c>
      <c r="N417" s="993">
        <f t="shared" si="80"/>
        <v>4570.6827979920654</v>
      </c>
      <c r="O417" s="993">
        <f t="shared" si="80"/>
        <v>4769.2644907529448</v>
      </c>
    </row>
    <row r="418" spans="1:15" outlineLevel="2"/>
    <row r="419" spans="1:15" outlineLevel="2"/>
    <row r="420" spans="1:15" outlineLevel="2"/>
    <row r="421" spans="1:15" outlineLevel="2"/>
    <row r="422" spans="1:15" outlineLevel="2"/>
    <row r="423" spans="1:15" outlineLevel="2"/>
    <row r="424" spans="1:15" outlineLevel="2"/>
    <row r="425" spans="1:15" outlineLevel="2"/>
    <row r="426" spans="1:15" outlineLevel="2"/>
    <row r="427" spans="1:15" outlineLevel="2"/>
    <row r="428" spans="1:15" outlineLevel="2"/>
    <row r="429" spans="1:15" outlineLevel="2"/>
    <row r="430" spans="1:15" outlineLevel="2"/>
    <row r="431" spans="1:15" outlineLevel="2"/>
    <row r="432" spans="1:15" outlineLevel="2"/>
    <row r="433" spans="1:15" outlineLevel="2"/>
    <row r="434" spans="1:15" outlineLevel="2"/>
    <row r="435" spans="1:15" outlineLevel="2"/>
    <row r="436" spans="1:15" outlineLevel="2"/>
    <row r="437" spans="1:15" outlineLevel="2">
      <c r="F437" s="1017"/>
    </row>
    <row r="438" spans="1:15" outlineLevel="2"/>
    <row r="439" spans="1:15" outlineLevel="2"/>
    <row r="440" spans="1:15" outlineLevel="2"/>
    <row r="441" spans="1:15" outlineLevel="2"/>
    <row r="442" spans="1:15" outlineLevel="1"/>
    <row r="443" spans="1:15" outlineLevel="1"/>
    <row r="444" spans="1:15" outlineLevel="1">
      <c r="A444" s="988" t="str">
        <f>$A$379</f>
        <v>Гостиницы 3*</v>
      </c>
      <c r="B444" s="989">
        <f>B$386</f>
        <v>2014</v>
      </c>
      <c r="C444" s="989">
        <f t="shared" ref="C444:O444" si="81">C$386</f>
        <v>2015</v>
      </c>
      <c r="D444" s="989">
        <f t="shared" si="81"/>
        <v>2016</v>
      </c>
      <c r="E444" s="989">
        <f t="shared" si="81"/>
        <v>2017</v>
      </c>
      <c r="F444" s="989">
        <f t="shared" si="81"/>
        <v>2018</v>
      </c>
      <c r="G444" s="989">
        <f t="shared" si="81"/>
        <v>2019</v>
      </c>
      <c r="H444" s="989">
        <f t="shared" si="81"/>
        <v>2020</v>
      </c>
      <c r="I444" s="989">
        <f t="shared" si="81"/>
        <v>2021</v>
      </c>
      <c r="J444" s="989">
        <f t="shared" si="81"/>
        <v>2021</v>
      </c>
      <c r="K444" s="989">
        <f t="shared" si="81"/>
        <v>2022</v>
      </c>
      <c r="L444" s="989">
        <f t="shared" si="81"/>
        <v>2023</v>
      </c>
      <c r="M444" s="989">
        <f t="shared" si="81"/>
        <v>2024</v>
      </c>
      <c r="N444" s="989">
        <f t="shared" si="81"/>
        <v>2025</v>
      </c>
      <c r="O444" s="989">
        <f t="shared" si="81"/>
        <v>2026</v>
      </c>
    </row>
    <row r="445" spans="1:15" outlineLevel="1">
      <c r="A445" s="843" t="s">
        <v>668</v>
      </c>
      <c r="B445" s="1004">
        <f t="shared" ref="B445:O445" si="82">B111</f>
        <v>0.17877011702508946</v>
      </c>
      <c r="C445" s="1004">
        <f t="shared" si="82"/>
        <v>0.31183170043868813</v>
      </c>
      <c r="D445" s="1004">
        <f t="shared" si="82"/>
        <v>0.41936772444467979</v>
      </c>
      <c r="E445" s="1004">
        <f t="shared" si="82"/>
        <v>0.60359340877506451</v>
      </c>
      <c r="F445" s="1004">
        <f t="shared" si="82"/>
        <v>0.53676355941641607</v>
      </c>
      <c r="G445" s="1004">
        <f t="shared" si="82"/>
        <v>0.7101165659831532</v>
      </c>
      <c r="H445" s="1004">
        <f t="shared" si="82"/>
        <v>0.4860927264704884</v>
      </c>
      <c r="I445" s="1004">
        <f t="shared" si="82"/>
        <v>0.60142942227516383</v>
      </c>
      <c r="J445" s="992">
        <f t="shared" si="82"/>
        <v>0.58759913658405716</v>
      </c>
      <c r="K445" s="1004">
        <f t="shared" si="82"/>
        <v>0.65142942227516387</v>
      </c>
      <c r="L445" s="1004">
        <f t="shared" si="82"/>
        <v>0.69142942227516391</v>
      </c>
      <c r="M445" s="1004">
        <f t="shared" si="82"/>
        <v>0.69142942227516391</v>
      </c>
      <c r="N445" s="1004">
        <f t="shared" si="82"/>
        <v>0.67142942227516389</v>
      </c>
      <c r="O445" s="1004">
        <f t="shared" si="82"/>
        <v>0.67142942227516389</v>
      </c>
    </row>
    <row r="446" spans="1:15" outlineLevel="1">
      <c r="A446" s="843" t="s">
        <v>676</v>
      </c>
      <c r="B446" s="993">
        <f t="shared" ref="B446:O446" si="83">B119</f>
        <v>3604.8937178571418</v>
      </c>
      <c r="C446" s="993">
        <f t="shared" si="83"/>
        <v>2962.4533906676274</v>
      </c>
      <c r="D446" s="993">
        <f t="shared" si="83"/>
        <v>3487.6666942022121</v>
      </c>
      <c r="E446" s="993">
        <f t="shared" si="83"/>
        <v>3206.6514770973945</v>
      </c>
      <c r="F446" s="993">
        <f t="shared" si="83"/>
        <v>3235.2906844340155</v>
      </c>
      <c r="G446" s="993">
        <f t="shared" si="83"/>
        <v>3151.0172928748848</v>
      </c>
      <c r="H446" s="993">
        <f t="shared" si="83"/>
        <v>4541.0397413837591</v>
      </c>
      <c r="I446" s="993">
        <f t="shared" si="83"/>
        <v>5439.4048244638961</v>
      </c>
      <c r="J446" s="994">
        <f t="shared" si="83"/>
        <v>3914.6808040507894</v>
      </c>
      <c r="K446" s="993">
        <f t="shared" si="83"/>
        <v>5711.3750656870916</v>
      </c>
      <c r="L446" s="993">
        <f t="shared" si="83"/>
        <v>5939.8300683145753</v>
      </c>
      <c r="M446" s="993">
        <f t="shared" si="83"/>
        <v>6177.4232710471588</v>
      </c>
      <c r="N446" s="993">
        <f t="shared" si="83"/>
        <v>6424.520201889045</v>
      </c>
      <c r="O446" s="993">
        <f t="shared" si="83"/>
        <v>6681.501009964607</v>
      </c>
    </row>
    <row r="447" spans="1:15" outlineLevel="1">
      <c r="A447" s="843" t="s">
        <v>679</v>
      </c>
      <c r="B447" s="993">
        <f>B445*B446</f>
        <v>644.44727180433108</v>
      </c>
      <c r="C447" s="993">
        <f t="shared" ref="C447:O447" si="84">C445*C446</f>
        <v>923.78687828224349</v>
      </c>
      <c r="D447" s="993">
        <f t="shared" si="84"/>
        <v>1462.6148451690806</v>
      </c>
      <c r="E447" s="993">
        <f t="shared" si="84"/>
        <v>1935.5136958148121</v>
      </c>
      <c r="F447" s="993">
        <f t="shared" si="84"/>
        <v>1736.5861435235752</v>
      </c>
      <c r="G447" s="993">
        <f t="shared" si="84"/>
        <v>2237.5895793698451</v>
      </c>
      <c r="H447" s="993">
        <f t="shared" si="84"/>
        <v>2207.3663889000732</v>
      </c>
      <c r="I447" s="993">
        <f t="shared" si="84"/>
        <v>3271.4181010980601</v>
      </c>
      <c r="J447" s="994">
        <f t="shared" si="84"/>
        <v>2300.2630604624264</v>
      </c>
      <c r="K447" s="993">
        <f t="shared" si="84"/>
        <v>3720.5577594373181</v>
      </c>
      <c r="L447" s="993">
        <f t="shared" si="84"/>
        <v>4106.9732725473941</v>
      </c>
      <c r="M447" s="993">
        <f t="shared" si="84"/>
        <v>4271.2522034492904</v>
      </c>
      <c r="N447" s="993">
        <f t="shared" si="84"/>
        <v>4313.6118875494803</v>
      </c>
      <c r="O447" s="993">
        <f t="shared" si="84"/>
        <v>4486.1563630514602</v>
      </c>
    </row>
    <row r="448" spans="1:15" outlineLevel="2"/>
    <row r="449" spans="6:6" outlineLevel="2"/>
    <row r="450" spans="6:6" outlineLevel="2"/>
    <row r="451" spans="6:6" outlineLevel="2"/>
    <row r="452" spans="6:6" outlineLevel="2"/>
    <row r="453" spans="6:6" outlineLevel="2"/>
    <row r="454" spans="6:6" outlineLevel="2"/>
    <row r="455" spans="6:6" outlineLevel="2"/>
    <row r="456" spans="6:6" outlineLevel="2"/>
    <row r="457" spans="6:6" outlineLevel="2"/>
    <row r="458" spans="6:6" outlineLevel="2"/>
    <row r="459" spans="6:6" outlineLevel="2"/>
    <row r="460" spans="6:6" outlineLevel="2">
      <c r="F460" s="1017"/>
    </row>
    <row r="461" spans="6:6" outlineLevel="2"/>
    <row r="462" spans="6:6" outlineLevel="2"/>
    <row r="463" spans="6:6" outlineLevel="2"/>
    <row r="464" spans="6:6" outlineLevel="2"/>
    <row r="465" spans="1:15" outlineLevel="2"/>
    <row r="466" spans="1:15" outlineLevel="2"/>
    <row r="467" spans="1:15" outlineLevel="2"/>
    <row r="468" spans="1:15" outlineLevel="2"/>
    <row r="469" spans="1:15" outlineLevel="2"/>
    <row r="470" spans="1:15" outlineLevel="2"/>
    <row r="471" spans="1:15" outlineLevel="2"/>
    <row r="472" spans="1:15" outlineLevel="1"/>
    <row r="473" spans="1:15" outlineLevel="1">
      <c r="A473" s="988" t="str">
        <f>$A$380</f>
        <v>Гостиницы 2*</v>
      </c>
      <c r="B473" s="989">
        <f>B$386</f>
        <v>2014</v>
      </c>
      <c r="C473" s="989">
        <f t="shared" ref="C473:O473" si="85">C$386</f>
        <v>2015</v>
      </c>
      <c r="D473" s="989">
        <f t="shared" si="85"/>
        <v>2016</v>
      </c>
      <c r="E473" s="989">
        <f t="shared" si="85"/>
        <v>2017</v>
      </c>
      <c r="F473" s="989">
        <f t="shared" si="85"/>
        <v>2018</v>
      </c>
      <c r="G473" s="989">
        <f t="shared" si="85"/>
        <v>2019</v>
      </c>
      <c r="H473" s="989">
        <f t="shared" si="85"/>
        <v>2020</v>
      </c>
      <c r="I473" s="989">
        <f t="shared" si="85"/>
        <v>2021</v>
      </c>
      <c r="J473" s="989">
        <f t="shared" si="85"/>
        <v>2021</v>
      </c>
      <c r="K473" s="989">
        <f t="shared" si="85"/>
        <v>2022</v>
      </c>
      <c r="L473" s="989">
        <f t="shared" si="85"/>
        <v>2023</v>
      </c>
      <c r="M473" s="989">
        <f t="shared" si="85"/>
        <v>2024</v>
      </c>
      <c r="N473" s="989">
        <f t="shared" si="85"/>
        <v>2025</v>
      </c>
      <c r="O473" s="989">
        <f t="shared" si="85"/>
        <v>2026</v>
      </c>
    </row>
    <row r="474" spans="1:15" outlineLevel="1">
      <c r="A474" s="843" t="s">
        <v>668</v>
      </c>
      <c r="B474" s="1004"/>
      <c r="C474" s="1004">
        <f t="shared" ref="C474:O474" si="86">C164</f>
        <v>0.45160882882313935</v>
      </c>
      <c r="D474" s="1004">
        <f t="shared" si="86"/>
        <v>0.3824506956040829</v>
      </c>
      <c r="E474" s="1004">
        <f t="shared" si="86"/>
        <v>0.38198852870057864</v>
      </c>
      <c r="F474" s="1004">
        <f t="shared" si="86"/>
        <v>0.47526631765380006</v>
      </c>
      <c r="G474" s="1004">
        <f t="shared" si="86"/>
        <v>0.43192122068931899</v>
      </c>
      <c r="H474" s="1004">
        <f t="shared" si="86"/>
        <v>0.29549933986282767</v>
      </c>
      <c r="I474" s="1004">
        <f t="shared" si="86"/>
        <v>0.41571226723949778</v>
      </c>
      <c r="J474" s="992">
        <f t="shared" si="86"/>
        <v>0.40007753482920466</v>
      </c>
      <c r="K474" s="1004">
        <f t="shared" si="86"/>
        <v>0.46571226723949777</v>
      </c>
      <c r="L474" s="1004">
        <f t="shared" si="86"/>
        <v>0.48571226723949779</v>
      </c>
      <c r="M474" s="1004">
        <f t="shared" si="86"/>
        <v>0.49571226723949779</v>
      </c>
      <c r="N474" s="1004">
        <f t="shared" si="86"/>
        <v>0.51571226723949781</v>
      </c>
      <c r="O474" s="1004">
        <f t="shared" si="86"/>
        <v>0.51571226723949781</v>
      </c>
    </row>
    <row r="475" spans="1:15" outlineLevel="1">
      <c r="A475" s="843" t="s">
        <v>676</v>
      </c>
      <c r="B475" s="993"/>
      <c r="C475" s="993">
        <f t="shared" ref="C475:O475" si="87">C172</f>
        <v>2042.332765976467</v>
      </c>
      <c r="D475" s="993">
        <f t="shared" si="87"/>
        <v>2440.8062218461978</v>
      </c>
      <c r="E475" s="993">
        <f t="shared" si="87"/>
        <v>2633.9511963256664</v>
      </c>
      <c r="F475" s="993">
        <f t="shared" si="87"/>
        <v>2822.6563863109636</v>
      </c>
      <c r="G475" s="993">
        <f t="shared" si="87"/>
        <v>3450.356878229245</v>
      </c>
      <c r="H475" s="993">
        <f t="shared" si="87"/>
        <v>4641.3072170515843</v>
      </c>
      <c r="I475" s="993">
        <f t="shared" si="87"/>
        <v>5397.5367994206044</v>
      </c>
      <c r="J475" s="994">
        <f t="shared" si="87"/>
        <v>3789.1616954676124</v>
      </c>
      <c r="K475" s="993">
        <f t="shared" si="87"/>
        <v>5451.5121674148104</v>
      </c>
      <c r="L475" s="993">
        <f t="shared" si="87"/>
        <v>5615.0575324372548</v>
      </c>
      <c r="M475" s="993">
        <f t="shared" si="87"/>
        <v>5839.659833734745</v>
      </c>
      <c r="N475" s="993">
        <f t="shared" si="87"/>
        <v>6073.2462270841352</v>
      </c>
      <c r="O475" s="993">
        <f t="shared" si="87"/>
        <v>6316.1760761675005</v>
      </c>
    </row>
    <row r="476" spans="1:15" outlineLevel="1">
      <c r="A476" s="843" t="s">
        <v>679</v>
      </c>
      <c r="B476" s="993"/>
      <c r="C476" s="993">
        <f t="shared" ref="C476:O476" si="88">C474*C475</f>
        <v>922.33550850975507</v>
      </c>
      <c r="D476" s="993">
        <f t="shared" si="88"/>
        <v>933.48803737985179</v>
      </c>
      <c r="E476" s="993">
        <f t="shared" si="88"/>
        <v>1006.1391421535702</v>
      </c>
      <c r="F476" s="993">
        <f t="shared" si="88"/>
        <v>1341.5135067239937</v>
      </c>
      <c r="G476" s="993">
        <f t="shared" si="88"/>
        <v>1490.2823546585635</v>
      </c>
      <c r="H476" s="993">
        <f t="shared" si="88"/>
        <v>1371.503218739321</v>
      </c>
      <c r="I476" s="993">
        <f t="shared" si="88"/>
        <v>2243.822260395762</v>
      </c>
      <c r="J476" s="994">
        <f t="shared" si="88"/>
        <v>1515.9584701919318</v>
      </c>
      <c r="K476" s="993">
        <f t="shared" si="88"/>
        <v>2538.8360913704601</v>
      </c>
      <c r="L476" s="993">
        <f t="shared" si="88"/>
        <v>2727.3023247603192</v>
      </c>
      <c r="M476" s="993">
        <f t="shared" si="88"/>
        <v>2894.7910160880792</v>
      </c>
      <c r="N476" s="993">
        <f t="shared" si="88"/>
        <v>3132.0475812732852</v>
      </c>
      <c r="O476" s="993">
        <f t="shared" si="88"/>
        <v>3257.3294845242167</v>
      </c>
    </row>
    <row r="477" spans="1:15" outlineLevel="2"/>
    <row r="478" spans="1:15" outlineLevel="2"/>
    <row r="479" spans="1:15" outlineLevel="2"/>
    <row r="480" spans="1:15" outlineLevel="2"/>
    <row r="481" outlineLevel="2"/>
    <row r="482" outlineLevel="2"/>
    <row r="483" outlineLevel="2"/>
    <row r="484" outlineLevel="2"/>
    <row r="485" outlineLevel="2"/>
    <row r="486" outlineLevel="2"/>
    <row r="487" outlineLevel="2"/>
    <row r="488" outlineLevel="2"/>
    <row r="489" outlineLevel="2"/>
    <row r="490" outlineLevel="2"/>
    <row r="491" outlineLevel="2"/>
    <row r="492" outlineLevel="2"/>
    <row r="493" outlineLevel="2"/>
    <row r="494" outlineLevel="2"/>
    <row r="495" outlineLevel="2"/>
    <row r="496" outlineLevel="2"/>
    <row r="497" spans="1:15" outlineLevel="2"/>
    <row r="498" spans="1:15" outlineLevel="2"/>
    <row r="499" spans="1:15" outlineLevel="2"/>
    <row r="500" spans="1:15" outlineLevel="2"/>
    <row r="501" spans="1:15" outlineLevel="1"/>
    <row r="502" spans="1:15" outlineLevel="1"/>
    <row r="503" spans="1:15" outlineLevel="1">
      <c r="A503" s="988" t="s">
        <v>407</v>
      </c>
      <c r="B503" s="989">
        <f>B$386</f>
        <v>2014</v>
      </c>
      <c r="C503" s="989">
        <f t="shared" ref="C503:O503" si="89">C$386</f>
        <v>2015</v>
      </c>
      <c r="D503" s="989">
        <f t="shared" si="89"/>
        <v>2016</v>
      </c>
      <c r="E503" s="989">
        <f t="shared" si="89"/>
        <v>2017</v>
      </c>
      <c r="F503" s="989">
        <f t="shared" si="89"/>
        <v>2018</v>
      </c>
      <c r="G503" s="989">
        <f t="shared" si="89"/>
        <v>2019</v>
      </c>
      <c r="H503" s="989">
        <f t="shared" si="89"/>
        <v>2020</v>
      </c>
      <c r="I503" s="989">
        <f t="shared" si="89"/>
        <v>2021</v>
      </c>
      <c r="J503" s="989">
        <f t="shared" si="89"/>
        <v>2021</v>
      </c>
      <c r="K503" s="989">
        <f t="shared" si="89"/>
        <v>2022</v>
      </c>
      <c r="L503" s="989">
        <f t="shared" si="89"/>
        <v>2023</v>
      </c>
      <c r="M503" s="989">
        <f t="shared" si="89"/>
        <v>2024</v>
      </c>
      <c r="N503" s="989">
        <f t="shared" si="89"/>
        <v>2025</v>
      </c>
      <c r="O503" s="989">
        <f t="shared" si="89"/>
        <v>2026</v>
      </c>
    </row>
    <row r="504" spans="1:15" outlineLevel="1">
      <c r="A504" s="843" t="s">
        <v>668</v>
      </c>
      <c r="B504" s="1004"/>
      <c r="C504" s="991">
        <f t="shared" ref="C504:O504" si="90">C217</f>
        <v>0.1146431411530815</v>
      </c>
      <c r="D504" s="991">
        <f t="shared" si="90"/>
        <v>0.12518628912071536</v>
      </c>
      <c r="E504" s="991">
        <f t="shared" si="90"/>
        <v>0.28869863013698632</v>
      </c>
      <c r="F504" s="991">
        <f t="shared" si="90"/>
        <v>0.29433374844333748</v>
      </c>
      <c r="G504" s="991">
        <f t="shared" si="90"/>
        <v>0.24768493150684931</v>
      </c>
      <c r="H504" s="991">
        <f t="shared" si="90"/>
        <v>0.13524590163934427</v>
      </c>
      <c r="I504" s="991">
        <f t="shared" si="90"/>
        <v>0.31687422166874224</v>
      </c>
      <c r="J504" s="992">
        <f t="shared" si="90"/>
        <v>0.25656748667905188</v>
      </c>
      <c r="K504" s="991">
        <f t="shared" si="90"/>
        <v>0.34687422166874227</v>
      </c>
      <c r="L504" s="991">
        <f t="shared" si="90"/>
        <v>0.37687422166874229</v>
      </c>
      <c r="M504" s="991">
        <f t="shared" si="90"/>
        <v>0.39687422166874231</v>
      </c>
      <c r="N504" s="991">
        <f t="shared" si="90"/>
        <v>0.40687422166874232</v>
      </c>
      <c r="O504" s="991">
        <f t="shared" si="90"/>
        <v>0.41687422166874233</v>
      </c>
    </row>
    <row r="505" spans="1:15" outlineLevel="1">
      <c r="A505" s="843" t="s">
        <v>676</v>
      </c>
      <c r="B505" s="993"/>
      <c r="C505" s="993">
        <f t="shared" ref="C505:O505" si="91">C219</f>
        <v>40105.20980915799</v>
      </c>
      <c r="D505" s="993">
        <f t="shared" si="91"/>
        <v>59582.88527710519</v>
      </c>
      <c r="E505" s="993">
        <f t="shared" si="91"/>
        <v>38455.581062629433</v>
      </c>
      <c r="F505" s="993">
        <f t="shared" si="91"/>
        <v>45957.913060277606</v>
      </c>
      <c r="G505" s="993">
        <f t="shared" si="91"/>
        <v>51546.741872684041</v>
      </c>
      <c r="H505" s="993">
        <f t="shared" si="91"/>
        <v>80707.584607984609</v>
      </c>
      <c r="I505" s="993">
        <f t="shared" si="91"/>
        <v>92246.070764393808</v>
      </c>
      <c r="J505" s="994">
        <f t="shared" si="91"/>
        <v>61782.778273593904</v>
      </c>
      <c r="K505" s="993">
        <f t="shared" si="91"/>
        <v>96858.374302613505</v>
      </c>
      <c r="L505" s="993">
        <f t="shared" si="91"/>
        <v>101701.29301774419</v>
      </c>
      <c r="M505" s="993">
        <f t="shared" si="91"/>
        <v>105769.34473845396</v>
      </c>
      <c r="N505" s="993">
        <f t="shared" si="91"/>
        <v>110000.11852799212</v>
      </c>
      <c r="O505" s="993">
        <f t="shared" si="91"/>
        <v>114400.12326911181</v>
      </c>
    </row>
    <row r="506" spans="1:15" outlineLevel="1">
      <c r="A506" s="843" t="s">
        <v>679</v>
      </c>
      <c r="B506" s="993"/>
      <c r="C506" s="993">
        <f t="shared" ref="C506:O506" si="92">C504*C505</f>
        <v>4597.7872291252479</v>
      </c>
      <c r="D506" s="993">
        <f t="shared" si="92"/>
        <v>7458.960302946105</v>
      </c>
      <c r="E506" s="993">
        <f t="shared" si="92"/>
        <v>11102.07357390295</v>
      </c>
      <c r="F506" s="993">
        <f t="shared" si="92"/>
        <v>13526.964821664524</v>
      </c>
      <c r="G506" s="993">
        <f t="shared" si="92"/>
        <v>12767.351230136988</v>
      </c>
      <c r="H506" s="993">
        <f t="shared" si="92"/>
        <v>10915.370049440542</v>
      </c>
      <c r="I506" s="993">
        <f t="shared" si="92"/>
        <v>29230.401875467007</v>
      </c>
      <c r="J506" s="994">
        <f t="shared" si="92"/>
        <v>15851.45214170512</v>
      </c>
      <c r="K506" s="993">
        <f t="shared" si="92"/>
        <v>33597.673198318764</v>
      </c>
      <c r="L506" s="993">
        <f t="shared" si="92"/>
        <v>38328.595648767034</v>
      </c>
      <c r="M506" s="993">
        <f t="shared" si="92"/>
        <v>41977.126369486803</v>
      </c>
      <c r="N506" s="993">
        <f t="shared" si="92"/>
        <v>44756.212609546194</v>
      </c>
      <c r="O506" s="993">
        <f t="shared" si="92"/>
        <v>47690.462346619162</v>
      </c>
    </row>
    <row r="507" spans="1:15" outlineLevel="2"/>
    <row r="508" spans="1:15" outlineLevel="2"/>
    <row r="509" spans="1:15" outlineLevel="2"/>
    <row r="510" spans="1:15" outlineLevel="2"/>
    <row r="511" spans="1:15" outlineLevel="2"/>
    <row r="512" spans="1:15" outlineLevel="2"/>
    <row r="513" outlineLevel="2"/>
    <row r="514" outlineLevel="2"/>
    <row r="515" outlineLevel="2"/>
    <row r="516" outlineLevel="2"/>
    <row r="517" outlineLevel="2"/>
    <row r="518" outlineLevel="2"/>
    <row r="519" outlineLevel="2"/>
    <row r="520" outlineLevel="2"/>
    <row r="521" outlineLevel="2"/>
    <row r="522" outlineLevel="2"/>
    <row r="523" outlineLevel="2"/>
    <row r="524" outlineLevel="2"/>
    <row r="525" outlineLevel="2"/>
    <row r="526" outlineLevel="2"/>
    <row r="527" outlineLevel="2"/>
    <row r="528" outlineLevel="2"/>
    <row r="529" spans="1:10" outlineLevel="2"/>
    <row r="530" spans="1:10" outlineLevel="2"/>
    <row r="531" spans="1:10" outlineLevel="2"/>
    <row r="532" spans="1:10" outlineLevel="2"/>
    <row r="533" spans="1:10" outlineLevel="2"/>
    <row r="534" spans="1:10" outlineLevel="2"/>
    <row r="535" spans="1:10" outlineLevel="1"/>
    <row r="542" spans="1:10">
      <c r="A542" s="988" t="s">
        <v>14</v>
      </c>
      <c r="E542" s="989">
        <f>E2</f>
        <v>2017</v>
      </c>
      <c r="F542" s="989">
        <f t="shared" ref="F542:I542" si="93">F2</f>
        <v>2018</v>
      </c>
      <c r="G542" s="989">
        <f t="shared" si="93"/>
        <v>2019</v>
      </c>
      <c r="H542" s="989">
        <f t="shared" si="93"/>
        <v>2020</v>
      </c>
      <c r="I542" s="989">
        <f t="shared" si="93"/>
        <v>2021</v>
      </c>
    </row>
    <row r="543" spans="1:10">
      <c r="A543" s="1017" t="str">
        <f>A386</f>
        <v>Гостиницы 5*</v>
      </c>
      <c r="E543" s="991">
        <f>E387</f>
        <v>0.53868215316957524</v>
      </c>
      <c r="F543" s="991">
        <f t="shared" ref="F543:J543" si="94">F387</f>
        <v>0.58913862789450588</v>
      </c>
      <c r="G543" s="1818">
        <f t="shared" si="94"/>
        <v>0.62977218996492601</v>
      </c>
      <c r="H543" s="1004">
        <f t="shared" si="94"/>
        <v>0.50369081417712247</v>
      </c>
      <c r="I543" s="991">
        <f t="shared" si="94"/>
        <v>0.60830795132777227</v>
      </c>
      <c r="J543" s="991">
        <f t="shared" si="94"/>
        <v>0.57391834730678037</v>
      </c>
    </row>
    <row r="544" spans="1:10">
      <c r="A544" s="843" t="str">
        <f>A414</f>
        <v>Гостиницы 4*</v>
      </c>
      <c r="E544" s="991">
        <f>E415</f>
        <v>0.52145392030764393</v>
      </c>
      <c r="F544" s="991">
        <f t="shared" ref="F544:J544" si="95">F415</f>
        <v>0.49911179679558543</v>
      </c>
      <c r="G544" s="1818">
        <f t="shared" si="95"/>
        <v>0.5398717035551921</v>
      </c>
      <c r="H544" s="991">
        <f t="shared" si="95"/>
        <v>0.46436681886149739</v>
      </c>
      <c r="I544" s="991">
        <f t="shared" si="95"/>
        <v>0.58345248192576438</v>
      </c>
      <c r="J544" s="991">
        <f t="shared" si="95"/>
        <v>0.6134524819257644</v>
      </c>
    </row>
    <row r="545" spans="1:10">
      <c r="A545" s="843" t="str">
        <f>A444</f>
        <v>Гостиницы 3*</v>
      </c>
      <c r="E545" s="991">
        <f>E445</f>
        <v>0.60359340877506451</v>
      </c>
      <c r="F545" s="991">
        <f t="shared" ref="F545:J545" si="96">F445</f>
        <v>0.53676355941641607</v>
      </c>
      <c r="G545" s="1818">
        <f t="shared" si="96"/>
        <v>0.7101165659831532</v>
      </c>
      <c r="H545" s="991">
        <f t="shared" si="96"/>
        <v>0.4860927264704884</v>
      </c>
      <c r="I545" s="991">
        <f t="shared" si="96"/>
        <v>0.60142942227516383</v>
      </c>
      <c r="J545" s="991">
        <f t="shared" si="96"/>
        <v>0.58759913658405716</v>
      </c>
    </row>
    <row r="546" spans="1:10">
      <c r="A546" s="843" t="str">
        <f>A473</f>
        <v>Гостиницы 2*</v>
      </c>
      <c r="E546" s="991">
        <f>E474</f>
        <v>0.38198852870057864</v>
      </c>
      <c r="F546" s="1818">
        <f t="shared" ref="F546:J546" si="97">F474</f>
        <v>0.47526631765380006</v>
      </c>
      <c r="G546" s="991">
        <f t="shared" si="97"/>
        <v>0.43192122068931899</v>
      </c>
      <c r="H546" s="991">
        <f t="shared" si="97"/>
        <v>0.29549933986282767</v>
      </c>
      <c r="I546" s="991">
        <f t="shared" si="97"/>
        <v>0.41571226723949778</v>
      </c>
      <c r="J546" s="991">
        <f t="shared" si="97"/>
        <v>0.40007753482920466</v>
      </c>
    </row>
    <row r="547" spans="1:10">
      <c r="A547" s="843" t="str">
        <f>A503</f>
        <v>Шале</v>
      </c>
      <c r="E547" s="991">
        <f>E504</f>
        <v>0.28869863013698632</v>
      </c>
      <c r="F547" s="991">
        <f t="shared" ref="F547:J547" si="98">F504</f>
        <v>0.29433374844333748</v>
      </c>
      <c r="G547" s="991">
        <f t="shared" si="98"/>
        <v>0.24768493150684931</v>
      </c>
      <c r="H547" s="991">
        <f t="shared" si="98"/>
        <v>0.13524590163934427</v>
      </c>
      <c r="I547" s="991">
        <f t="shared" si="98"/>
        <v>0.31687422166874224</v>
      </c>
      <c r="J547" s="991">
        <f t="shared" si="98"/>
        <v>0.25656748667905188</v>
      </c>
    </row>
    <row r="552" spans="1:10">
      <c r="F552" s="920">
        <f t="shared" ref="F552:H552" si="99">F554/F555</f>
        <v>1.523839776385292</v>
      </c>
      <c r="G552" s="920">
        <f t="shared" si="99"/>
        <v>1.5642246038818737</v>
      </c>
      <c r="H552" s="920">
        <f t="shared" si="99"/>
        <v>1.5952730601250655</v>
      </c>
      <c r="I552" s="920">
        <f>I554/I555</f>
        <v>1.6953894307346085</v>
      </c>
    </row>
    <row r="553" spans="1:10">
      <c r="A553" s="988" t="str">
        <f>A505</f>
        <v>Средняя цена на номер (руб.)</v>
      </c>
      <c r="E553" s="989">
        <f>E542</f>
        <v>2017</v>
      </c>
      <c r="F553" s="989">
        <f t="shared" ref="F553:I553" si="100">F542</f>
        <v>2018</v>
      </c>
      <c r="G553" s="989">
        <f t="shared" si="100"/>
        <v>2019</v>
      </c>
      <c r="H553" s="989">
        <f t="shared" si="100"/>
        <v>2020</v>
      </c>
      <c r="I553" s="989">
        <f t="shared" si="100"/>
        <v>2021</v>
      </c>
    </row>
    <row r="554" spans="1:10">
      <c r="A554" s="1017" t="str">
        <f>A543</f>
        <v>Гостиницы 5*</v>
      </c>
      <c r="E554" s="993">
        <f>E388</f>
        <v>6641.2236726710598</v>
      </c>
      <c r="F554" s="993">
        <f t="shared" ref="F554:I554" si="101">F388</f>
        <v>6927.2883226430286</v>
      </c>
      <c r="G554" s="993">
        <f t="shared" si="101"/>
        <v>6774.1085923795627</v>
      </c>
      <c r="H554" s="993">
        <f t="shared" si="101"/>
        <v>8954.8701619452822</v>
      </c>
      <c r="I554" s="993">
        <f t="shared" si="101"/>
        <v>11526.662384321578</v>
      </c>
    </row>
    <row r="555" spans="1:10">
      <c r="A555" s="1017" t="str">
        <f t="shared" ref="A555:A557" si="102">A544</f>
        <v>Гостиницы 4*</v>
      </c>
      <c r="E555" s="1817">
        <f>E416</f>
        <v>4101.8131691952667</v>
      </c>
      <c r="F555" s="1817">
        <f t="shared" ref="F555:I555" si="103">F416</f>
        <v>4545.9427099844343</v>
      </c>
      <c r="G555" s="993">
        <f t="shared" si="103"/>
        <v>4330.64955989602</v>
      </c>
      <c r="H555" s="993">
        <f t="shared" si="103"/>
        <v>5613.3776629082186</v>
      </c>
      <c r="I555" s="993">
        <f t="shared" si="103"/>
        <v>6798.8287383194911</v>
      </c>
    </row>
    <row r="556" spans="1:10">
      <c r="A556" s="1017" t="str">
        <f t="shared" si="102"/>
        <v>Гостиницы 3*</v>
      </c>
      <c r="E556" s="993">
        <f>E446</f>
        <v>3206.6514770973945</v>
      </c>
      <c r="F556" s="993">
        <f t="shared" ref="F556:I556" si="104">F446</f>
        <v>3235.2906844340155</v>
      </c>
      <c r="G556" s="993">
        <f t="shared" si="104"/>
        <v>3151.0172928748848</v>
      </c>
      <c r="H556" s="993">
        <f t="shared" si="104"/>
        <v>4541.0397413837591</v>
      </c>
      <c r="I556" s="993">
        <f t="shared" si="104"/>
        <v>5439.4048244638961</v>
      </c>
    </row>
    <row r="557" spans="1:10">
      <c r="A557" s="1017" t="str">
        <f t="shared" si="102"/>
        <v>Гостиницы 2*</v>
      </c>
      <c r="E557" s="993">
        <f>E475</f>
        <v>2633.9511963256664</v>
      </c>
      <c r="F557" s="993">
        <f t="shared" ref="F557:I557" si="105">F475</f>
        <v>2822.6563863109636</v>
      </c>
      <c r="G557" s="993">
        <f t="shared" si="105"/>
        <v>3450.356878229245</v>
      </c>
      <c r="H557" s="993">
        <f t="shared" si="105"/>
        <v>4641.3072170515843</v>
      </c>
      <c r="I557" s="993">
        <f t="shared" si="105"/>
        <v>5397.5367994206044</v>
      </c>
    </row>
    <row r="558" spans="1:10">
      <c r="A558" s="1017" t="s">
        <v>1365</v>
      </c>
      <c r="E558" s="926">
        <f>E505</f>
        <v>38455.581062629433</v>
      </c>
      <c r="F558" s="926">
        <f t="shared" ref="F558:I558" si="106">F505</f>
        <v>45957.913060277606</v>
      </c>
      <c r="G558" s="926">
        <f t="shared" si="106"/>
        <v>51546.741872684041</v>
      </c>
      <c r="H558" s="926">
        <f t="shared" si="106"/>
        <v>80707.584607984609</v>
      </c>
      <c r="I558" s="926">
        <f t="shared" si="106"/>
        <v>92246.070764393808</v>
      </c>
    </row>
    <row r="560" spans="1:10">
      <c r="G560" s="1822">
        <f>I554/G554-1</f>
        <v>0.70157626308033105</v>
      </c>
      <c r="H560" s="1822">
        <f>H554/G554-1</f>
        <v>0.32192598329748301</v>
      </c>
      <c r="I560" s="1822">
        <f>I554/H554-1</f>
        <v>0.28719480861994118</v>
      </c>
    </row>
    <row r="561" spans="1:9">
      <c r="G561" s="1822">
        <f t="shared" ref="G561:G564" si="107">I555/G555-1</f>
        <v>0.5699327882080425</v>
      </c>
      <c r="H561" s="1822">
        <f t="shared" ref="H561:I561" si="108">H555/G555-1</f>
        <v>0.29619762238230996</v>
      </c>
      <c r="I561" s="1822">
        <f t="shared" si="108"/>
        <v>0.21118320316205219</v>
      </c>
    </row>
    <row r="562" spans="1:9">
      <c r="G562" s="1822">
        <f t="shared" si="107"/>
        <v>0.72623769370086877</v>
      </c>
      <c r="H562" s="1822">
        <f t="shared" ref="H562:I562" si="109">H556/G556-1</f>
        <v>0.4411345033402414</v>
      </c>
      <c r="I562" s="1822">
        <f t="shared" si="109"/>
        <v>0.19783246442286906</v>
      </c>
    </row>
    <row r="563" spans="1:9">
      <c r="G563" s="1822">
        <f t="shared" si="107"/>
        <v>0.56434159998854083</v>
      </c>
      <c r="H563" s="1822">
        <f t="shared" ref="H563:I563" si="110">H557/G557-1</f>
        <v>0.34516729163203141</v>
      </c>
      <c r="I563" s="1822">
        <f t="shared" si="110"/>
        <v>0.16293461023022293</v>
      </c>
    </row>
    <row r="564" spans="1:9">
      <c r="G564" s="1822">
        <f t="shared" si="107"/>
        <v>0.78956161753605225</v>
      </c>
      <c r="H564" s="1822">
        <f t="shared" ref="H564:I564" si="111">H558/G558-1</f>
        <v>0.56571650653159233</v>
      </c>
      <c r="I564" s="1822">
        <f t="shared" si="111"/>
        <v>0.14296656519277939</v>
      </c>
    </row>
    <row r="566" spans="1:9">
      <c r="A566" s="988" t="str">
        <f>A506</f>
        <v>Доходность на номер (руб.)</v>
      </c>
      <c r="E566" s="989">
        <f>E553</f>
        <v>2017</v>
      </c>
      <c r="F566" s="989">
        <f t="shared" ref="F566:I566" si="112">F553</f>
        <v>2018</v>
      </c>
      <c r="G566" s="989">
        <f t="shared" si="112"/>
        <v>2019</v>
      </c>
      <c r="H566" s="989">
        <f t="shared" si="112"/>
        <v>2020</v>
      </c>
      <c r="I566" s="989">
        <f t="shared" si="112"/>
        <v>2021</v>
      </c>
    </row>
    <row r="567" spans="1:9">
      <c r="A567" s="1017" t="str">
        <f>A554</f>
        <v>Гостиницы 5*</v>
      </c>
      <c r="E567" s="1817">
        <f>E389</f>
        <v>3577.5086676752007</v>
      </c>
      <c r="F567" s="1817">
        <f t="shared" ref="F567:I567" si="113">F389</f>
        <v>4081.1331374315469</v>
      </c>
      <c r="G567" s="1817">
        <f t="shared" si="113"/>
        <v>4266.1452032830994</v>
      </c>
      <c r="H567" s="1817">
        <f t="shared" si="113"/>
        <v>4510.48584272064</v>
      </c>
      <c r="I567" s="1817">
        <f t="shared" si="113"/>
        <v>7011.7603806535544</v>
      </c>
    </row>
    <row r="568" spans="1:9">
      <c r="A568" s="1017" t="str">
        <f t="shared" ref="A568:A571" si="114">A555</f>
        <v>Гостиницы 4*</v>
      </c>
      <c r="E568" s="1817">
        <f>E417</f>
        <v>2138.906557446393</v>
      </c>
      <c r="F568" s="1817">
        <f t="shared" ref="F568:I568" si="115">F417</f>
        <v>2268.9336341101239</v>
      </c>
      <c r="G568" s="1817">
        <f t="shared" si="115"/>
        <v>2337.9951554016075</v>
      </c>
      <c r="H568" s="1817">
        <f t="shared" si="115"/>
        <v>2606.6663283928765</v>
      </c>
      <c r="I568" s="1817">
        <f t="shared" si="115"/>
        <v>3966.7935015607204</v>
      </c>
    </row>
    <row r="569" spans="1:9">
      <c r="A569" s="1017" t="str">
        <f t="shared" si="114"/>
        <v>Гостиницы 3*</v>
      </c>
      <c r="E569" s="1817">
        <f>E447</f>
        <v>1935.5136958148121</v>
      </c>
      <c r="F569" s="1817">
        <f t="shared" ref="F569:I569" si="116">F447</f>
        <v>1736.5861435235752</v>
      </c>
      <c r="G569" s="1817">
        <f t="shared" si="116"/>
        <v>2237.5895793698451</v>
      </c>
      <c r="H569" s="1817">
        <f t="shared" si="116"/>
        <v>2207.3663889000732</v>
      </c>
      <c r="I569" s="1817">
        <f t="shared" si="116"/>
        <v>3271.4181010980601</v>
      </c>
    </row>
    <row r="570" spans="1:9">
      <c r="A570" s="1017" t="str">
        <f t="shared" si="114"/>
        <v>Гостиницы 2*</v>
      </c>
      <c r="E570" s="1817">
        <f>E476</f>
        <v>1006.1391421535702</v>
      </c>
      <c r="F570" s="1817">
        <f t="shared" ref="F570:I570" si="117">F476</f>
        <v>1341.5135067239937</v>
      </c>
      <c r="G570" s="1817">
        <f t="shared" si="117"/>
        <v>1490.2823546585635</v>
      </c>
      <c r="H570" s="1817">
        <f t="shared" si="117"/>
        <v>1371.503218739321</v>
      </c>
      <c r="I570" s="1817">
        <f t="shared" si="117"/>
        <v>2243.822260395762</v>
      </c>
    </row>
    <row r="571" spans="1:9">
      <c r="A571" s="1017" t="str">
        <f t="shared" si="114"/>
        <v>Шале (правая шкала)</v>
      </c>
      <c r="E571" s="926">
        <f>E506</f>
        <v>11102.07357390295</v>
      </c>
      <c r="F571" s="926">
        <f t="shared" ref="F571:I571" si="118">F506</f>
        <v>13526.964821664524</v>
      </c>
      <c r="G571" s="926">
        <f t="shared" si="118"/>
        <v>12767.351230136988</v>
      </c>
      <c r="H571" s="926">
        <f t="shared" si="118"/>
        <v>10915.370049440542</v>
      </c>
      <c r="I571" s="926">
        <f t="shared" si="118"/>
        <v>29230.401875467007</v>
      </c>
    </row>
    <row r="573" spans="1:9">
      <c r="G573" s="1822">
        <f>I567/G567-1</f>
        <v>0.64358221451475939</v>
      </c>
      <c r="H573" s="1822">
        <f>H567/G567-1</f>
        <v>5.7274337322016811E-2</v>
      </c>
      <c r="I573" s="1822">
        <f>I567/H567-1</f>
        <v>0.55454658880476448</v>
      </c>
    </row>
    <row r="574" spans="1:9">
      <c r="G574" s="1822">
        <f t="shared" ref="G574:G577" si="119">I568/G568-1</f>
        <v>0.69666455141962325</v>
      </c>
      <c r="H574" s="1822">
        <f t="shared" ref="H574:I574" si="120">H568/G568-1</f>
        <v>0.11491519662499816</v>
      </c>
      <c r="I574" s="1822">
        <f t="shared" si="120"/>
        <v>0.52178798580884034</v>
      </c>
    </row>
    <row r="575" spans="1:9">
      <c r="G575" s="1822">
        <f t="shared" si="119"/>
        <v>0.46202776919410038</v>
      </c>
      <c r="H575" s="1824">
        <f t="shared" ref="H575:I575" si="121">H569/G569-1</f>
        <v>-1.3507030399329767E-2</v>
      </c>
      <c r="I575" s="1822">
        <f t="shared" si="121"/>
        <v>0.48204580696193444</v>
      </c>
    </row>
    <row r="576" spans="1:9">
      <c r="G576" s="1822">
        <f t="shared" si="119"/>
        <v>0.50563566251835623</v>
      </c>
      <c r="H576" s="1823">
        <f t="shared" ref="H576:I576" si="122">H570/G570-1</f>
        <v>-7.9702437291794825E-2</v>
      </c>
      <c r="I576" s="1822">
        <f t="shared" si="122"/>
        <v>0.63603134847781995</v>
      </c>
    </row>
    <row r="577" spans="7:9">
      <c r="G577" s="1822">
        <f t="shared" si="119"/>
        <v>1.2894648505063002</v>
      </c>
      <c r="H577" s="1823">
        <f t="shared" ref="H577:I577" si="123">H571/G571-1</f>
        <v>-0.14505602198245271</v>
      </c>
      <c r="I577" s="1822">
        <f t="shared" si="123"/>
        <v>1.6779121315236751</v>
      </c>
    </row>
  </sheetData>
  <conditionalFormatting sqref="A257">
    <cfRule type="cellIs" dxfId="593" priority="8" operator="lessThan">
      <formula>0</formula>
    </cfRule>
  </conditionalFormatting>
  <conditionalFormatting sqref="A289">
    <cfRule type="cellIs" dxfId="592" priority="7" operator="lessThan">
      <formula>0</formula>
    </cfRule>
  </conditionalFormatting>
  <conditionalFormatting sqref="A256">
    <cfRule type="cellIs" dxfId="591" priority="6" operator="lessThan">
      <formula>0</formula>
    </cfRule>
  </conditionalFormatting>
  <conditionalFormatting sqref="A348">
    <cfRule type="cellIs" dxfId="590" priority="5" operator="lessThan">
      <formula>0</formula>
    </cfRule>
  </conditionalFormatting>
  <conditionalFormatting sqref="P81">
    <cfRule type="cellIs" dxfId="589" priority="4" operator="equal">
      <formula>FALSE</formula>
    </cfRule>
  </conditionalFormatting>
  <conditionalFormatting sqref="P26">
    <cfRule type="cellIs" dxfId="588" priority="3" operator="equal">
      <formula>FALSE</formula>
    </cfRule>
  </conditionalFormatting>
  <conditionalFormatting sqref="P134">
    <cfRule type="cellIs" dxfId="587" priority="2" operator="equal">
      <formula>FALSE</formula>
    </cfRule>
  </conditionalFormatting>
  <conditionalFormatting sqref="P187">
    <cfRule type="cellIs" dxfId="586" priority="1" operator="equal">
      <formula>FALSE</formula>
    </cfRule>
  </conditionalFormatting>
  <pageMargins left="0.74803149606299213" right="0.74803149606299213" top="0.47244094488188981" bottom="1.7322834645669292" header="0.35433070866141736" footer="1.7322834645669292"/>
  <pageSetup paperSize="9" scale="27" fitToHeight="3" orientation="landscape" r:id="rId1"/>
  <headerFooter alignWithMargins="0"/>
  <ignoredErrors>
    <ignoredError sqref="Z327:Z332 AJ327:AJ332 AE327:AE332 U327:U332 P327:P332 K327:K332 F327:F329" formulaRange="1"/>
  </ignoredError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-0.499984740745262"/>
  </sheetPr>
  <dimension ref="A1:AI102"/>
  <sheetViews>
    <sheetView showGridLines="0" zoomScale="85" zoomScaleNormal="85" workbookViewId="0">
      <selection activeCell="E14" sqref="E14:O98"/>
    </sheetView>
  </sheetViews>
  <sheetFormatPr defaultColWidth="9.140625" defaultRowHeight="15" customHeight="1" outlineLevelRow="1"/>
  <cols>
    <col min="1" max="1" width="4.28515625" style="175" customWidth="1"/>
    <col min="2" max="2" width="8.140625" style="175" bestFit="1" customWidth="1"/>
    <col min="3" max="3" width="10.7109375" style="175" customWidth="1"/>
    <col min="4" max="4" width="12.140625" style="175" bestFit="1" customWidth="1"/>
    <col min="5" max="5" width="34" style="175" customWidth="1"/>
    <col min="6" max="6" width="13.140625" style="175" customWidth="1"/>
    <col min="7" max="7" width="7.85546875" style="175" customWidth="1"/>
    <col min="8" max="29" width="8.42578125" style="175" customWidth="1"/>
    <col min="30" max="16384" width="9.140625" style="175"/>
  </cols>
  <sheetData>
    <row r="1" spans="1:29" ht="15" customHeight="1" thickBot="1">
      <c r="A1" s="415">
        <v>0</v>
      </c>
      <c r="E1" s="176"/>
      <c r="F1" s="176"/>
      <c r="G1" s="176"/>
      <c r="H1" s="176"/>
      <c r="I1" s="176"/>
      <c r="J1" s="176"/>
      <c r="K1" s="176"/>
      <c r="L1" s="176"/>
      <c r="M1" s="176"/>
    </row>
    <row r="2" spans="1:29" ht="15" customHeight="1">
      <c r="E2" s="176"/>
      <c r="F2" s="176"/>
      <c r="G2" s="176"/>
      <c r="H2" s="176"/>
      <c r="I2" s="176"/>
      <c r="J2" s="176"/>
      <c r="K2" s="176"/>
      <c r="L2" s="176"/>
      <c r="M2" s="176"/>
    </row>
    <row r="3" spans="1:29" ht="15" customHeight="1">
      <c r="E3" s="22" t="s">
        <v>495</v>
      </c>
    </row>
    <row r="4" spans="1:29" ht="15" customHeight="1">
      <c r="E4" s="22"/>
    </row>
    <row r="5" spans="1:29" ht="15" customHeight="1">
      <c r="E5" s="476" t="s">
        <v>496</v>
      </c>
    </row>
    <row r="6" spans="1:29">
      <c r="E6" s="187" t="s">
        <v>497</v>
      </c>
      <c r="F6" s="187"/>
      <c r="G6" s="177">
        <v>2022</v>
      </c>
      <c r="H6" s="177">
        <f>G6+1</f>
        <v>2023</v>
      </c>
      <c r="I6" s="177">
        <f t="shared" ref="I6:AC6" si="0">H6+1</f>
        <v>2024</v>
      </c>
      <c r="J6" s="177">
        <f t="shared" si="0"/>
        <v>2025</v>
      </c>
      <c r="K6" s="177">
        <f t="shared" si="0"/>
        <v>2026</v>
      </c>
      <c r="L6" s="177">
        <f t="shared" si="0"/>
        <v>2027</v>
      </c>
      <c r="M6" s="177">
        <f t="shared" si="0"/>
        <v>2028</v>
      </c>
      <c r="N6" s="177">
        <f t="shared" si="0"/>
        <v>2029</v>
      </c>
      <c r="O6" s="177">
        <f t="shared" si="0"/>
        <v>2030</v>
      </c>
      <c r="P6" s="177">
        <f t="shared" si="0"/>
        <v>2031</v>
      </c>
      <c r="Q6" s="177">
        <f t="shared" si="0"/>
        <v>2032</v>
      </c>
      <c r="R6" s="177">
        <f t="shared" si="0"/>
        <v>2033</v>
      </c>
      <c r="S6" s="177">
        <f t="shared" si="0"/>
        <v>2034</v>
      </c>
      <c r="T6" s="177">
        <f t="shared" si="0"/>
        <v>2035</v>
      </c>
      <c r="U6" s="177">
        <f t="shared" si="0"/>
        <v>2036</v>
      </c>
      <c r="V6" s="177">
        <f t="shared" si="0"/>
        <v>2037</v>
      </c>
      <c r="W6" s="177">
        <f t="shared" si="0"/>
        <v>2038</v>
      </c>
      <c r="X6" s="177">
        <f t="shared" si="0"/>
        <v>2039</v>
      </c>
      <c r="Y6" s="177">
        <f t="shared" si="0"/>
        <v>2040</v>
      </c>
      <c r="Z6" s="177">
        <f t="shared" si="0"/>
        <v>2041</v>
      </c>
      <c r="AA6" s="177">
        <f t="shared" si="0"/>
        <v>2042</v>
      </c>
      <c r="AB6" s="177">
        <f t="shared" si="0"/>
        <v>2043</v>
      </c>
      <c r="AC6" s="177">
        <f t="shared" si="0"/>
        <v>2044</v>
      </c>
    </row>
    <row r="7" spans="1:29">
      <c r="E7" s="194" t="s">
        <v>241</v>
      </c>
      <c r="F7" s="194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</row>
    <row r="8" spans="1:29" s="179" customFormat="1">
      <c r="E8" s="1829" t="s">
        <v>498</v>
      </c>
      <c r="F8" s="180"/>
      <c r="G8" s="477"/>
      <c r="H8" s="477">
        <f>LOOKUP(H6,CPI!3:3,CPI!4:4)</f>
        <v>0.04</v>
      </c>
      <c r="I8" s="477">
        <f>LOOKUP(I6,CPI!3:3,CPI!4:4)</f>
        <v>0.04</v>
      </c>
      <c r="J8" s="477">
        <f>LOOKUP(J6,CPI!3:3,CPI!4:4)</f>
        <v>0.04</v>
      </c>
      <c r="K8" s="477">
        <f>LOOKUP(K6,CPI!3:3,CPI!4:4)</f>
        <v>0.04</v>
      </c>
      <c r="L8" s="477">
        <f>LOOKUP(L6,CPI!3:3,CPI!4:4)</f>
        <v>0.04</v>
      </c>
      <c r="M8" s="477">
        <f>LOOKUP(M6,CPI!3:3,CPI!4:4)</f>
        <v>0.04</v>
      </c>
      <c r="N8" s="477">
        <f>LOOKUP(N6,CPI!3:3,CPI!4:4)</f>
        <v>0.04</v>
      </c>
      <c r="O8" s="477">
        <f>LOOKUP(O6,CPI!3:3,CPI!4:4)</f>
        <v>0.04</v>
      </c>
      <c r="P8" s="477">
        <f>LOOKUP(P6,CPI!3:3,CPI!4:4)</f>
        <v>0.04</v>
      </c>
      <c r="Q8" s="477">
        <f>LOOKUP(Q6,CPI!3:3,CPI!4:4)</f>
        <v>0.04</v>
      </c>
      <c r="R8" s="477">
        <f>LOOKUP(R6,CPI!3:3,CPI!4:4)</f>
        <v>0.04</v>
      </c>
      <c r="S8" s="477">
        <f>LOOKUP(S6,CPI!3:3,CPI!4:4)</f>
        <v>0.04</v>
      </c>
      <c r="T8" s="477">
        <f>LOOKUP(T6,CPI!3:3,CPI!4:4)</f>
        <v>0.04</v>
      </c>
      <c r="U8" s="477">
        <f>LOOKUP(U6,CPI!3:3,CPI!4:4)</f>
        <v>0.04</v>
      </c>
      <c r="V8" s="477">
        <f>LOOKUP(V6,CPI!3:3,CPI!4:4)</f>
        <v>0.04</v>
      </c>
      <c r="W8" s="477">
        <f>LOOKUP(W6,CPI!3:3,CPI!4:4)</f>
        <v>0.04</v>
      </c>
      <c r="X8" s="477">
        <f>LOOKUP(X6,CPI!3:3,CPI!4:4)</f>
        <v>0.04</v>
      </c>
      <c r="Y8" s="477">
        <f>LOOKUP(Y6,CPI!3:3,CPI!4:4)</f>
        <v>0.04</v>
      </c>
      <c r="Z8" s="477">
        <f>LOOKUP(Z6,CPI!3:3,CPI!4:4)</f>
        <v>0.04</v>
      </c>
      <c r="AA8" s="477">
        <f>LOOKUP(AA6,CPI!3:3,CPI!4:4)</f>
        <v>0.04</v>
      </c>
      <c r="AB8" s="477">
        <f>LOOKUP(AB6,CPI!3:3,CPI!4:4)</f>
        <v>0.04</v>
      </c>
      <c r="AC8" s="477">
        <f>LOOKUP(AC6,CPI!3:3,CPI!4:4)</f>
        <v>0.04</v>
      </c>
    </row>
    <row r="9" spans="1:29" s="179" customFormat="1">
      <c r="D9" s="478">
        <v>5</v>
      </c>
      <c r="E9" s="184" t="s">
        <v>715</v>
      </c>
      <c r="F9" s="184"/>
      <c r="G9" s="193">
        <f>ROUND(СОЧИ_РЫНОК!K11,-2)</f>
        <v>12100</v>
      </c>
      <c r="H9" s="185">
        <f t="shared" ref="H9:AC13" si="1">G9*(1+H$8)</f>
        <v>12584</v>
      </c>
      <c r="I9" s="185">
        <f>H9*(1+I$8)</f>
        <v>13087.36</v>
      </c>
      <c r="J9" s="185">
        <f t="shared" si="1"/>
        <v>13610.8544</v>
      </c>
      <c r="K9" s="185">
        <f t="shared" si="1"/>
        <v>14155.288576000001</v>
      </c>
      <c r="L9" s="185">
        <f t="shared" si="1"/>
        <v>14721.500119040002</v>
      </c>
      <c r="M9" s="185">
        <f t="shared" si="1"/>
        <v>15310.360123801602</v>
      </c>
      <c r="N9" s="185">
        <f t="shared" si="1"/>
        <v>15922.774528753665</v>
      </c>
      <c r="O9" s="185">
        <f t="shared" si="1"/>
        <v>16559.685509903811</v>
      </c>
      <c r="P9" s="185">
        <f t="shared" si="1"/>
        <v>17222.072930299964</v>
      </c>
      <c r="Q9" s="185">
        <f t="shared" si="1"/>
        <v>17910.955847511963</v>
      </c>
      <c r="R9" s="185">
        <f t="shared" si="1"/>
        <v>18627.394081412443</v>
      </c>
      <c r="S9" s="185">
        <f t="shared" si="1"/>
        <v>19372.48984466894</v>
      </c>
      <c r="T9" s="185">
        <f t="shared" si="1"/>
        <v>20147.389438455699</v>
      </c>
      <c r="U9" s="185">
        <f t="shared" si="1"/>
        <v>20953.285015993926</v>
      </c>
      <c r="V9" s="185">
        <f t="shared" si="1"/>
        <v>21791.416416633685</v>
      </c>
      <c r="W9" s="185">
        <f t="shared" si="1"/>
        <v>22663.073073299034</v>
      </c>
      <c r="X9" s="185">
        <f t="shared" si="1"/>
        <v>23569.595996230997</v>
      </c>
      <c r="Y9" s="185">
        <f t="shared" si="1"/>
        <v>24512.379836080239</v>
      </c>
      <c r="Z9" s="185">
        <f t="shared" si="1"/>
        <v>25492.875029523449</v>
      </c>
      <c r="AA9" s="185">
        <f t="shared" si="1"/>
        <v>26512.590030704388</v>
      </c>
      <c r="AB9" s="185">
        <f t="shared" si="1"/>
        <v>27573.093631932566</v>
      </c>
      <c r="AC9" s="185">
        <f t="shared" si="1"/>
        <v>28676.017377209871</v>
      </c>
    </row>
    <row r="10" spans="1:29" s="183" customFormat="1">
      <c r="D10" s="478">
        <v>4</v>
      </c>
      <c r="E10" s="184" t="s">
        <v>716</v>
      </c>
      <c r="F10" s="184"/>
      <c r="G10" s="193">
        <f>ROUND(СОЧИ_РЫНОК!K66,-2)</f>
        <v>7100</v>
      </c>
      <c r="H10" s="185">
        <f t="shared" si="1"/>
        <v>7384</v>
      </c>
      <c r="I10" s="185">
        <f>H10*(1+I$8)</f>
        <v>7679.3600000000006</v>
      </c>
      <c r="J10" s="185">
        <f t="shared" si="1"/>
        <v>7986.5344000000005</v>
      </c>
      <c r="K10" s="185">
        <f t="shared" si="1"/>
        <v>8305.9957760000016</v>
      </c>
      <c r="L10" s="185">
        <f t="shared" si="1"/>
        <v>8638.2356070400019</v>
      </c>
      <c r="M10" s="185">
        <f t="shared" si="1"/>
        <v>8983.7650313216018</v>
      </c>
      <c r="N10" s="185">
        <f t="shared" si="1"/>
        <v>9343.1156325744669</v>
      </c>
      <c r="O10" s="185">
        <f t="shared" si="1"/>
        <v>9716.8402578774458</v>
      </c>
      <c r="P10" s="185">
        <f t="shared" si="1"/>
        <v>10105.513868192544</v>
      </c>
      <c r="Q10" s="185">
        <f t="shared" si="1"/>
        <v>10509.734422920246</v>
      </c>
      <c r="R10" s="185">
        <f t="shared" si="1"/>
        <v>10930.123799837056</v>
      </c>
      <c r="S10" s="185">
        <f t="shared" si="1"/>
        <v>11367.328751830539</v>
      </c>
      <c r="T10" s="185">
        <f t="shared" si="1"/>
        <v>11822.021901903761</v>
      </c>
      <c r="U10" s="185">
        <f t="shared" si="1"/>
        <v>12294.902777979913</v>
      </c>
      <c r="V10" s="185">
        <f t="shared" si="1"/>
        <v>12786.698889099109</v>
      </c>
      <c r="W10" s="185">
        <f t="shared" si="1"/>
        <v>13298.166844663074</v>
      </c>
      <c r="X10" s="185">
        <f t="shared" si="1"/>
        <v>13830.093518449597</v>
      </c>
      <c r="Y10" s="185">
        <f t="shared" si="1"/>
        <v>14383.297259187582</v>
      </c>
      <c r="Z10" s="185">
        <f t="shared" si="1"/>
        <v>14958.629149555087</v>
      </c>
      <c r="AA10" s="185">
        <f t="shared" si="1"/>
        <v>15556.974315537291</v>
      </c>
      <c r="AB10" s="185">
        <f t="shared" si="1"/>
        <v>16179.253288158783</v>
      </c>
      <c r="AC10" s="185">
        <f t="shared" si="1"/>
        <v>16826.423419685136</v>
      </c>
    </row>
    <row r="11" spans="1:29" s="183" customFormat="1">
      <c r="D11" s="478">
        <v>3</v>
      </c>
      <c r="E11" s="184" t="s">
        <v>717</v>
      </c>
      <c r="F11" s="184"/>
      <c r="G11" s="193">
        <f>ROUND(СОЧИ_РЫНОК!K119,-2)</f>
        <v>5700</v>
      </c>
      <c r="H11" s="185">
        <f>G11*(1+H$8)</f>
        <v>5928</v>
      </c>
      <c r="I11" s="185">
        <f>H11*(1+I$8)</f>
        <v>6165.12</v>
      </c>
      <c r="J11" s="185">
        <f t="shared" ref="J11:Z11" si="2">I11*(1+J$8)</f>
        <v>6411.7248</v>
      </c>
      <c r="K11" s="185">
        <f t="shared" si="2"/>
        <v>6668.193792</v>
      </c>
      <c r="L11" s="185">
        <f t="shared" si="2"/>
        <v>6934.9215436800005</v>
      </c>
      <c r="M11" s="185">
        <f t="shared" si="2"/>
        <v>7212.3184054272006</v>
      </c>
      <c r="N11" s="185">
        <f t="shared" si="2"/>
        <v>7500.8111416442889</v>
      </c>
      <c r="O11" s="185">
        <f t="shared" si="2"/>
        <v>7800.8435873100607</v>
      </c>
      <c r="P11" s="185">
        <f t="shared" si="2"/>
        <v>8112.8773308024638</v>
      </c>
      <c r="Q11" s="185">
        <f t="shared" si="2"/>
        <v>8437.3924240345623</v>
      </c>
      <c r="R11" s="185">
        <f t="shared" si="2"/>
        <v>8774.8881209959454</v>
      </c>
      <c r="S11" s="185">
        <f t="shared" si="2"/>
        <v>9125.8836458357837</v>
      </c>
      <c r="T11" s="185">
        <f t="shared" si="2"/>
        <v>9490.9189916692158</v>
      </c>
      <c r="U11" s="185">
        <f t="shared" si="2"/>
        <v>9870.5557513359854</v>
      </c>
      <c r="V11" s="185">
        <f t="shared" si="2"/>
        <v>10265.377981389425</v>
      </c>
      <c r="W11" s="185">
        <f t="shared" si="2"/>
        <v>10675.993100645002</v>
      </c>
      <c r="X11" s="185">
        <f t="shared" si="2"/>
        <v>11103.032824670803</v>
      </c>
      <c r="Y11" s="185">
        <f t="shared" si="2"/>
        <v>11547.154137657635</v>
      </c>
      <c r="Z11" s="185">
        <f t="shared" si="2"/>
        <v>12009.040303163942</v>
      </c>
      <c r="AA11" s="185">
        <f t="shared" ref="AA11:AC12" si="3">Z11*(1+AA$8)</f>
        <v>12489.4019152905</v>
      </c>
      <c r="AB11" s="185">
        <f t="shared" si="3"/>
        <v>12988.97799190212</v>
      </c>
      <c r="AC11" s="185">
        <f t="shared" si="3"/>
        <v>13508.537111578205</v>
      </c>
    </row>
    <row r="12" spans="1:29" s="183" customFormat="1" hidden="1" outlineLevel="1">
      <c r="D12" s="478">
        <v>2</v>
      </c>
      <c r="E12" s="184" t="s">
        <v>718</v>
      </c>
      <c r="F12" s="184"/>
      <c r="G12" s="193">
        <f>ROUND(СОЧИ_РЫНОК!K172,-2)</f>
        <v>5500</v>
      </c>
      <c r="H12" s="185">
        <f>G12*(1+H$8)</f>
        <v>5720</v>
      </c>
      <c r="I12" s="185">
        <f>H12*(1+I$8)</f>
        <v>5948.8</v>
      </c>
      <c r="J12" s="185">
        <f t="shared" ref="J12:Z12" si="4">I12*(1+J$8)</f>
        <v>6186.7520000000004</v>
      </c>
      <c r="K12" s="185">
        <f t="shared" si="4"/>
        <v>6434.2220800000005</v>
      </c>
      <c r="L12" s="185">
        <f t="shared" si="4"/>
        <v>6691.5909632000003</v>
      </c>
      <c r="M12" s="185">
        <f t="shared" si="4"/>
        <v>6959.2546017280001</v>
      </c>
      <c r="N12" s="185">
        <f t="shared" si="4"/>
        <v>7237.6247857971202</v>
      </c>
      <c r="O12" s="185">
        <f t="shared" si="4"/>
        <v>7527.1297772290054</v>
      </c>
      <c r="P12" s="185">
        <f t="shared" si="4"/>
        <v>7828.214968318166</v>
      </c>
      <c r="Q12" s="185">
        <f t="shared" si="4"/>
        <v>8141.3435670508934</v>
      </c>
      <c r="R12" s="185">
        <f t="shared" si="4"/>
        <v>8466.9973097329294</v>
      </c>
      <c r="S12" s="185">
        <f t="shared" si="4"/>
        <v>8805.6772021222459</v>
      </c>
      <c r="T12" s="185">
        <f t="shared" si="4"/>
        <v>9157.904290207136</v>
      </c>
      <c r="U12" s="185">
        <f t="shared" si="4"/>
        <v>9524.220461815421</v>
      </c>
      <c r="V12" s="185">
        <f t="shared" si="4"/>
        <v>9905.1892802880375</v>
      </c>
      <c r="W12" s="185">
        <f t="shared" si="4"/>
        <v>10301.396851499559</v>
      </c>
      <c r="X12" s="185">
        <f t="shared" si="4"/>
        <v>10713.452725559542</v>
      </c>
      <c r="Y12" s="185">
        <f t="shared" si="4"/>
        <v>11141.990834581924</v>
      </c>
      <c r="Z12" s="185">
        <f t="shared" si="4"/>
        <v>11587.670467965201</v>
      </c>
      <c r="AA12" s="185">
        <f t="shared" si="3"/>
        <v>12051.177286683809</v>
      </c>
      <c r="AB12" s="185">
        <f t="shared" si="3"/>
        <v>12533.224378151162</v>
      </c>
      <c r="AC12" s="185">
        <f t="shared" si="3"/>
        <v>13034.55335327721</v>
      </c>
    </row>
    <row r="13" spans="1:29" s="183" customFormat="1" collapsed="1">
      <c r="D13" s="478" t="s">
        <v>499</v>
      </c>
      <c r="E13" s="184" t="s">
        <v>500</v>
      </c>
      <c r="F13" s="184"/>
      <c r="G13" s="193">
        <f>ROUND(СОЧИ_РЫНОК!K219,-2)</f>
        <v>96900</v>
      </c>
      <c r="H13" s="185">
        <f t="shared" si="1"/>
        <v>100776</v>
      </c>
      <c r="I13" s="185">
        <f>H13*(1+I$8)</f>
        <v>104807.04000000001</v>
      </c>
      <c r="J13" s="185">
        <f t="shared" si="1"/>
        <v>108999.32160000001</v>
      </c>
      <c r="K13" s="185">
        <f t="shared" si="1"/>
        <v>113359.29446400002</v>
      </c>
      <c r="L13" s="185">
        <f t="shared" si="1"/>
        <v>117893.66624256002</v>
      </c>
      <c r="M13" s="185">
        <f t="shared" si="1"/>
        <v>122609.41289226242</v>
      </c>
      <c r="N13" s="185">
        <f t="shared" si="1"/>
        <v>127513.78940795292</v>
      </c>
      <c r="O13" s="185">
        <f t="shared" si="1"/>
        <v>132614.34098427105</v>
      </c>
      <c r="P13" s="185">
        <f t="shared" si="1"/>
        <v>137918.9146236419</v>
      </c>
      <c r="Q13" s="185">
        <f t="shared" si="1"/>
        <v>143435.67120858759</v>
      </c>
      <c r="R13" s="185">
        <f t="shared" si="1"/>
        <v>149173.09805693111</v>
      </c>
      <c r="S13" s="185">
        <f t="shared" si="1"/>
        <v>155140.02197920837</v>
      </c>
      <c r="T13" s="185">
        <f t="shared" si="1"/>
        <v>161345.62285837671</v>
      </c>
      <c r="U13" s="185">
        <f t="shared" si="1"/>
        <v>167799.44777271178</v>
      </c>
      <c r="V13" s="185">
        <f t="shared" si="1"/>
        <v>174511.42568362024</v>
      </c>
      <c r="W13" s="185">
        <f t="shared" si="1"/>
        <v>181491.88271096506</v>
      </c>
      <c r="X13" s="185">
        <f t="shared" si="1"/>
        <v>188751.55801940366</v>
      </c>
      <c r="Y13" s="185">
        <f t="shared" si="1"/>
        <v>196301.62034017983</v>
      </c>
      <c r="Z13" s="185">
        <f t="shared" si="1"/>
        <v>204153.68515378702</v>
      </c>
      <c r="AA13" s="185">
        <f t="shared" si="1"/>
        <v>212319.83255993851</v>
      </c>
      <c r="AB13" s="185">
        <f t="shared" si="1"/>
        <v>220812.62586233605</v>
      </c>
      <c r="AC13" s="185">
        <f t="shared" si="1"/>
        <v>229645.13089682951</v>
      </c>
    </row>
    <row r="14" spans="1:29" s="183" customFormat="1">
      <c r="E14" s="187" t="s">
        <v>14</v>
      </c>
      <c r="F14" s="187"/>
      <c r="G14" s="177">
        <f>G6</f>
        <v>2022</v>
      </c>
      <c r="H14" s="177">
        <f t="shared" ref="H14:AC14" si="5">G14+1</f>
        <v>2023</v>
      </c>
      <c r="I14" s="177">
        <f t="shared" si="5"/>
        <v>2024</v>
      </c>
      <c r="J14" s="177">
        <f t="shared" si="5"/>
        <v>2025</v>
      </c>
      <c r="K14" s="177">
        <f t="shared" si="5"/>
        <v>2026</v>
      </c>
      <c r="L14" s="177">
        <f t="shared" si="5"/>
        <v>2027</v>
      </c>
      <c r="M14" s="177">
        <f t="shared" si="5"/>
        <v>2028</v>
      </c>
      <c r="N14" s="177">
        <f t="shared" si="5"/>
        <v>2029</v>
      </c>
      <c r="O14" s="177">
        <f t="shared" si="5"/>
        <v>2030</v>
      </c>
      <c r="P14" s="177">
        <f t="shared" si="5"/>
        <v>2031</v>
      </c>
      <c r="Q14" s="177">
        <f t="shared" si="5"/>
        <v>2032</v>
      </c>
      <c r="R14" s="177">
        <f t="shared" si="5"/>
        <v>2033</v>
      </c>
      <c r="S14" s="177">
        <f t="shared" si="5"/>
        <v>2034</v>
      </c>
      <c r="T14" s="177">
        <f t="shared" si="5"/>
        <v>2035</v>
      </c>
      <c r="U14" s="177">
        <f t="shared" si="5"/>
        <v>2036</v>
      </c>
      <c r="V14" s="177">
        <f t="shared" si="5"/>
        <v>2037</v>
      </c>
      <c r="W14" s="177">
        <f t="shared" si="5"/>
        <v>2038</v>
      </c>
      <c r="X14" s="177">
        <f t="shared" si="5"/>
        <v>2039</v>
      </c>
      <c r="Y14" s="177">
        <f t="shared" si="5"/>
        <v>2040</v>
      </c>
      <c r="Z14" s="177">
        <f t="shared" si="5"/>
        <v>2041</v>
      </c>
      <c r="AA14" s="177">
        <f t="shared" si="5"/>
        <v>2042</v>
      </c>
      <c r="AB14" s="177">
        <f t="shared" si="5"/>
        <v>2043</v>
      </c>
      <c r="AC14" s="177">
        <f t="shared" si="5"/>
        <v>2044</v>
      </c>
    </row>
    <row r="15" spans="1:29" s="183" customFormat="1">
      <c r="E15" s="194" t="s">
        <v>714</v>
      </c>
      <c r="F15" s="194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</row>
    <row r="16" spans="1:29" s="183" customFormat="1">
      <c r="D16" s="478">
        <f t="shared" ref="D16:E20" si="6">D9</f>
        <v>5</v>
      </c>
      <c r="E16" s="184" t="str">
        <f t="shared" si="6"/>
        <v xml:space="preserve">Гостиницы 5* </v>
      </c>
      <c r="F16" s="184"/>
      <c r="G16" s="1031">
        <f>СОЧИ_РЫНОК!K3</f>
        <v>0.62830795132777228</v>
      </c>
      <c r="H16" s="1031">
        <f>СОЧИ_РЫНОК!L3</f>
        <v>0.62830795132777228</v>
      </c>
      <c r="I16" s="1031">
        <f>СОЧИ_РЫНОК!M3</f>
        <v>0.60830795132777227</v>
      </c>
      <c r="J16" s="1031">
        <f>СОЧИ_РЫНОК!N3</f>
        <v>0.59830795132777226</v>
      </c>
      <c r="K16" s="1252">
        <f>СОЧИ_РЫНОК!O3</f>
        <v>0.59830795132777226</v>
      </c>
      <c r="L16" s="1032">
        <f>K16</f>
        <v>0.59830795132777226</v>
      </c>
      <c r="M16" s="1034">
        <f t="shared" ref="M16:AB20" si="7">L16</f>
        <v>0.59830795132777226</v>
      </c>
      <c r="N16" s="1032">
        <f t="shared" si="7"/>
        <v>0.59830795132777226</v>
      </c>
      <c r="O16" s="1032">
        <f t="shared" si="7"/>
        <v>0.59830795132777226</v>
      </c>
      <c r="P16" s="1032">
        <f t="shared" si="7"/>
        <v>0.59830795132777226</v>
      </c>
      <c r="Q16" s="1032">
        <f t="shared" si="7"/>
        <v>0.59830795132777226</v>
      </c>
      <c r="R16" s="1032">
        <f t="shared" si="7"/>
        <v>0.59830795132777226</v>
      </c>
      <c r="S16" s="1032">
        <f t="shared" si="7"/>
        <v>0.59830795132777226</v>
      </c>
      <c r="T16" s="1032">
        <f t="shared" si="7"/>
        <v>0.59830795132777226</v>
      </c>
      <c r="U16" s="1032">
        <f t="shared" si="7"/>
        <v>0.59830795132777226</v>
      </c>
      <c r="V16" s="1032">
        <f t="shared" si="7"/>
        <v>0.59830795132777226</v>
      </c>
      <c r="W16" s="1032">
        <f t="shared" si="7"/>
        <v>0.59830795132777226</v>
      </c>
      <c r="X16" s="1032">
        <f t="shared" si="7"/>
        <v>0.59830795132777226</v>
      </c>
      <c r="Y16" s="1032">
        <f t="shared" si="7"/>
        <v>0.59830795132777226</v>
      </c>
      <c r="Z16" s="1032">
        <f t="shared" si="7"/>
        <v>0.59830795132777226</v>
      </c>
      <c r="AA16" s="1032">
        <f t="shared" si="7"/>
        <v>0.59830795132777226</v>
      </c>
      <c r="AB16" s="1032">
        <f t="shared" si="7"/>
        <v>0.59830795132777226</v>
      </c>
      <c r="AC16" s="1032">
        <f>AB16</f>
        <v>0.59830795132777226</v>
      </c>
    </row>
    <row r="17" spans="2:29" s="183" customFormat="1">
      <c r="D17" s="478">
        <f t="shared" si="6"/>
        <v>4</v>
      </c>
      <c r="E17" s="184" t="str">
        <f t="shared" si="6"/>
        <v xml:space="preserve">Гостиницы 4* </v>
      </c>
      <c r="F17" s="184"/>
      <c r="G17" s="1031">
        <f>СОЧИ_РЫНОК!K58</f>
        <v>0.6134524819257644</v>
      </c>
      <c r="H17" s="1031">
        <f>СОЧИ_РЫНОК!L58</f>
        <v>0.60345248192576439</v>
      </c>
      <c r="I17" s="1031">
        <f>СОЧИ_РЫНОК!M58</f>
        <v>0.60345248192576439</v>
      </c>
      <c r="J17" s="1031">
        <f>СОЧИ_РЫНОК!N58</f>
        <v>0.60345248192576439</v>
      </c>
      <c r="K17" s="1031">
        <f>СОЧИ_РЫНОК!O58</f>
        <v>0.60345248192576439</v>
      </c>
      <c r="L17" s="1032">
        <f>K17</f>
        <v>0.60345248192576439</v>
      </c>
      <c r="M17" s="1032">
        <f t="shared" ref="M17:AA17" si="8">L17</f>
        <v>0.60345248192576439</v>
      </c>
      <c r="N17" s="1032">
        <f t="shared" si="8"/>
        <v>0.60345248192576439</v>
      </c>
      <c r="O17" s="1032">
        <f t="shared" si="8"/>
        <v>0.60345248192576439</v>
      </c>
      <c r="P17" s="1032">
        <f t="shared" si="8"/>
        <v>0.60345248192576439</v>
      </c>
      <c r="Q17" s="1032">
        <f t="shared" si="8"/>
        <v>0.60345248192576439</v>
      </c>
      <c r="R17" s="1032">
        <f t="shared" si="8"/>
        <v>0.60345248192576439</v>
      </c>
      <c r="S17" s="1032">
        <f t="shared" si="8"/>
        <v>0.60345248192576439</v>
      </c>
      <c r="T17" s="1032">
        <f t="shared" si="8"/>
        <v>0.60345248192576439</v>
      </c>
      <c r="U17" s="1032">
        <f t="shared" si="8"/>
        <v>0.60345248192576439</v>
      </c>
      <c r="V17" s="1032">
        <f t="shared" si="8"/>
        <v>0.60345248192576439</v>
      </c>
      <c r="W17" s="1032">
        <f t="shared" si="8"/>
        <v>0.60345248192576439</v>
      </c>
      <c r="X17" s="1032">
        <f t="shared" si="8"/>
        <v>0.60345248192576439</v>
      </c>
      <c r="Y17" s="1032">
        <f t="shared" si="8"/>
        <v>0.60345248192576439</v>
      </c>
      <c r="Z17" s="1032">
        <f t="shared" si="8"/>
        <v>0.60345248192576439</v>
      </c>
      <c r="AA17" s="1032">
        <f t="shared" si="8"/>
        <v>0.60345248192576439</v>
      </c>
      <c r="AB17" s="1032">
        <f t="shared" si="7"/>
        <v>0.60345248192576439</v>
      </c>
      <c r="AC17" s="1032">
        <f>AB17</f>
        <v>0.60345248192576439</v>
      </c>
    </row>
    <row r="18" spans="2:29" s="183" customFormat="1">
      <c r="D18" s="478">
        <f t="shared" si="6"/>
        <v>3</v>
      </c>
      <c r="E18" s="184" t="str">
        <f t="shared" si="6"/>
        <v xml:space="preserve">Гостиницы 3* </v>
      </c>
      <c r="F18" s="184"/>
      <c r="G18" s="1031">
        <f>СОЧИ_РЫНОК!K111</f>
        <v>0.65142942227516387</v>
      </c>
      <c r="H18" s="1031">
        <f>СОЧИ_РЫНОК!L111</f>
        <v>0.69142942227516391</v>
      </c>
      <c r="I18" s="1031">
        <f>СОЧИ_РЫНОК!M111</f>
        <v>0.69142942227516391</v>
      </c>
      <c r="J18" s="1031">
        <f>СОЧИ_РЫНОК!N111</f>
        <v>0.67142942227516389</v>
      </c>
      <c r="K18" s="1031">
        <f>СОЧИ_РЫНОК!O111</f>
        <v>0.67142942227516389</v>
      </c>
      <c r="L18" s="1032">
        <f>K18</f>
        <v>0.67142942227516389</v>
      </c>
      <c r="M18" s="1032">
        <f t="shared" si="7"/>
        <v>0.67142942227516389</v>
      </c>
      <c r="N18" s="1032">
        <f t="shared" si="7"/>
        <v>0.67142942227516389</v>
      </c>
      <c r="O18" s="1032">
        <f t="shared" si="7"/>
        <v>0.67142942227516389</v>
      </c>
      <c r="P18" s="1032">
        <f t="shared" si="7"/>
        <v>0.67142942227516389</v>
      </c>
      <c r="Q18" s="1032">
        <f t="shared" si="7"/>
        <v>0.67142942227516389</v>
      </c>
      <c r="R18" s="1032">
        <f t="shared" si="7"/>
        <v>0.67142942227516389</v>
      </c>
      <c r="S18" s="1032">
        <f t="shared" si="7"/>
        <v>0.67142942227516389</v>
      </c>
      <c r="T18" s="1032">
        <f t="shared" si="7"/>
        <v>0.67142942227516389</v>
      </c>
      <c r="U18" s="1032">
        <f t="shared" si="7"/>
        <v>0.67142942227516389</v>
      </c>
      <c r="V18" s="1032">
        <f t="shared" si="7"/>
        <v>0.67142942227516389</v>
      </c>
      <c r="W18" s="1032">
        <f t="shared" si="7"/>
        <v>0.67142942227516389</v>
      </c>
      <c r="X18" s="1032">
        <f t="shared" si="7"/>
        <v>0.67142942227516389</v>
      </c>
      <c r="Y18" s="1032">
        <f t="shared" si="7"/>
        <v>0.67142942227516389</v>
      </c>
      <c r="Z18" s="1032">
        <f t="shared" si="7"/>
        <v>0.67142942227516389</v>
      </c>
      <c r="AA18" s="1032">
        <f t="shared" si="7"/>
        <v>0.67142942227516389</v>
      </c>
      <c r="AB18" s="1032">
        <f t="shared" si="7"/>
        <v>0.67142942227516389</v>
      </c>
      <c r="AC18" s="1032">
        <f>AB18</f>
        <v>0.67142942227516389</v>
      </c>
    </row>
    <row r="19" spans="2:29" s="183" customFormat="1" hidden="1" outlineLevel="1">
      <c r="D19" s="478">
        <f t="shared" si="6"/>
        <v>2</v>
      </c>
      <c r="E19" s="184" t="str">
        <f t="shared" si="6"/>
        <v xml:space="preserve">Гостиницы 2* </v>
      </c>
      <c r="F19" s="184"/>
      <c r="G19" s="1031">
        <f>СОЧИ_РЫНОК!K164</f>
        <v>0.46571226723949777</v>
      </c>
      <c r="H19" s="1031">
        <f>СОЧИ_РЫНОК!L164</f>
        <v>0.48571226723949779</v>
      </c>
      <c r="I19" s="1031">
        <f>СОЧИ_РЫНОК!M164</f>
        <v>0.49571226723949779</v>
      </c>
      <c r="J19" s="1031">
        <f>СОЧИ_РЫНОК!N164</f>
        <v>0.51571226723949781</v>
      </c>
      <c r="K19" s="1031">
        <f>СОЧИ_РЫНОК!O164</f>
        <v>0.51571226723949781</v>
      </c>
      <c r="L19" s="1032">
        <f>K19</f>
        <v>0.51571226723949781</v>
      </c>
      <c r="M19" s="1032">
        <f t="shared" si="7"/>
        <v>0.51571226723949781</v>
      </c>
      <c r="N19" s="1032">
        <f t="shared" si="7"/>
        <v>0.51571226723949781</v>
      </c>
      <c r="O19" s="1032">
        <f t="shared" si="7"/>
        <v>0.51571226723949781</v>
      </c>
      <c r="P19" s="1032">
        <f t="shared" si="7"/>
        <v>0.51571226723949781</v>
      </c>
      <c r="Q19" s="1032">
        <f t="shared" si="7"/>
        <v>0.51571226723949781</v>
      </c>
      <c r="R19" s="1032">
        <f t="shared" si="7"/>
        <v>0.51571226723949781</v>
      </c>
      <c r="S19" s="1032">
        <f t="shared" si="7"/>
        <v>0.51571226723949781</v>
      </c>
      <c r="T19" s="1032">
        <f t="shared" si="7"/>
        <v>0.51571226723949781</v>
      </c>
      <c r="U19" s="1032">
        <f t="shared" si="7"/>
        <v>0.51571226723949781</v>
      </c>
      <c r="V19" s="1032">
        <f t="shared" si="7"/>
        <v>0.51571226723949781</v>
      </c>
      <c r="W19" s="1032">
        <f t="shared" si="7"/>
        <v>0.51571226723949781</v>
      </c>
      <c r="X19" s="1032">
        <f t="shared" si="7"/>
        <v>0.51571226723949781</v>
      </c>
      <c r="Y19" s="1032">
        <f t="shared" si="7"/>
        <v>0.51571226723949781</v>
      </c>
      <c r="Z19" s="1032">
        <f t="shared" si="7"/>
        <v>0.51571226723949781</v>
      </c>
      <c r="AA19" s="1032">
        <f t="shared" si="7"/>
        <v>0.51571226723949781</v>
      </c>
      <c r="AB19" s="1032">
        <f t="shared" si="7"/>
        <v>0.51571226723949781</v>
      </c>
      <c r="AC19" s="1032">
        <f>AB19</f>
        <v>0.51571226723949781</v>
      </c>
    </row>
    <row r="20" spans="2:29" s="183" customFormat="1" collapsed="1">
      <c r="D20" s="478" t="str">
        <f t="shared" si="6"/>
        <v>д/к</v>
      </c>
      <c r="E20" s="184" t="str">
        <f t="shared" si="6"/>
        <v>Дома / коттеджи</v>
      </c>
      <c r="F20" s="184"/>
      <c r="G20" s="1031">
        <f>СОЧИ_РЫНОК!K217</f>
        <v>0.34687422166874227</v>
      </c>
      <c r="H20" s="1031">
        <f>СОЧИ_РЫНОК!L217</f>
        <v>0.37687422166874229</v>
      </c>
      <c r="I20" s="1031">
        <f>СОЧИ_РЫНОК!M217</f>
        <v>0.39687422166874231</v>
      </c>
      <c r="J20" s="1031">
        <f>СОЧИ_РЫНОК!N217</f>
        <v>0.40687422166874232</v>
      </c>
      <c r="K20" s="1252">
        <f>СОЧИ_РЫНОК!O217</f>
        <v>0.41687422166874233</v>
      </c>
      <c r="L20" s="1032">
        <f>K20</f>
        <v>0.41687422166874233</v>
      </c>
      <c r="M20" s="1032">
        <f t="shared" si="7"/>
        <v>0.41687422166874233</v>
      </c>
      <c r="N20" s="1032">
        <f t="shared" si="7"/>
        <v>0.41687422166874233</v>
      </c>
      <c r="O20" s="1032">
        <f t="shared" si="7"/>
        <v>0.41687422166874233</v>
      </c>
      <c r="P20" s="1032">
        <f t="shared" si="7"/>
        <v>0.41687422166874233</v>
      </c>
      <c r="Q20" s="1032">
        <f t="shared" si="7"/>
        <v>0.41687422166874233</v>
      </c>
      <c r="R20" s="1032">
        <f t="shared" si="7"/>
        <v>0.41687422166874233</v>
      </c>
      <c r="S20" s="1032">
        <f t="shared" si="7"/>
        <v>0.41687422166874233</v>
      </c>
      <c r="T20" s="1032">
        <f t="shared" si="7"/>
        <v>0.41687422166874233</v>
      </c>
      <c r="U20" s="1032">
        <f t="shared" si="7"/>
        <v>0.41687422166874233</v>
      </c>
      <c r="V20" s="1032">
        <f t="shared" si="7"/>
        <v>0.41687422166874233</v>
      </c>
      <c r="W20" s="1032">
        <f t="shared" si="7"/>
        <v>0.41687422166874233</v>
      </c>
      <c r="X20" s="1032">
        <f t="shared" si="7"/>
        <v>0.41687422166874233</v>
      </c>
      <c r="Y20" s="1032">
        <f t="shared" si="7"/>
        <v>0.41687422166874233</v>
      </c>
      <c r="Z20" s="1032">
        <f t="shared" si="7"/>
        <v>0.41687422166874233</v>
      </c>
      <c r="AA20" s="1032">
        <f t="shared" si="7"/>
        <v>0.41687422166874233</v>
      </c>
      <c r="AB20" s="1032">
        <f t="shared" si="7"/>
        <v>0.41687422166874233</v>
      </c>
      <c r="AC20" s="1032">
        <f>AB20</f>
        <v>0.41687422166874233</v>
      </c>
    </row>
    <row r="21" spans="2:29" s="183" customFormat="1" hidden="1" outlineLevel="1">
      <c r="E21" s="1028"/>
      <c r="G21" s="1029"/>
      <c r="H21" s="1030"/>
      <c r="I21" s="1030"/>
      <c r="J21" s="1030"/>
      <c r="K21" s="1030"/>
      <c r="L21" s="1030"/>
      <c r="M21" s="1030"/>
      <c r="N21" s="1030"/>
      <c r="O21" s="1030"/>
      <c r="P21" s="1030"/>
      <c r="Q21" s="1030"/>
      <c r="R21" s="1030"/>
      <c r="S21" s="1030"/>
      <c r="T21" s="1030"/>
      <c r="U21" s="1030"/>
      <c r="V21" s="1030"/>
      <c r="W21" s="1030"/>
      <c r="X21" s="1030"/>
      <c r="Y21" s="1030"/>
      <c r="Z21" s="1030"/>
      <c r="AA21" s="1030"/>
      <c r="AB21" s="1030"/>
      <c r="AC21" s="1030"/>
    </row>
    <row r="22" spans="2:29" s="183" customFormat="1" hidden="1" outlineLevel="1">
      <c r="E22" s="482"/>
      <c r="G22" s="483"/>
      <c r="H22" s="484"/>
      <c r="I22" s="484"/>
      <c r="J22" s="484"/>
      <c r="K22" s="484"/>
      <c r="L22" s="484"/>
      <c r="M22" s="484"/>
      <c r="N22" s="484"/>
      <c r="O22" s="484"/>
      <c r="P22" s="484"/>
      <c r="Q22" s="484"/>
      <c r="R22" s="484"/>
      <c r="S22" s="484"/>
      <c r="T22" s="484"/>
      <c r="U22" s="484"/>
      <c r="V22" s="484"/>
      <c r="W22" s="484"/>
      <c r="X22" s="484"/>
      <c r="Y22" s="484"/>
      <c r="Z22" s="484"/>
      <c r="AA22" s="484"/>
      <c r="AB22" s="484"/>
      <c r="AC22" s="484"/>
    </row>
    <row r="23" spans="2:29" hidden="1" outlineLevel="1">
      <c r="B23" s="485" t="s">
        <v>501</v>
      </c>
      <c r="C23" s="485" t="s">
        <v>295</v>
      </c>
      <c r="D23" s="486" t="s">
        <v>502</v>
      </c>
      <c r="E23" s="187" t="s">
        <v>503</v>
      </c>
      <c r="F23" s="177"/>
      <c r="G23" s="177"/>
      <c r="H23" s="177">
        <f t="shared" ref="H23:AC23" si="9">H6</f>
        <v>2023</v>
      </c>
      <c r="I23" s="177">
        <f t="shared" si="9"/>
        <v>2024</v>
      </c>
      <c r="J23" s="177">
        <f t="shared" si="9"/>
        <v>2025</v>
      </c>
      <c r="K23" s="177">
        <f t="shared" si="9"/>
        <v>2026</v>
      </c>
      <c r="L23" s="177">
        <f t="shared" si="9"/>
        <v>2027</v>
      </c>
      <c r="M23" s="177">
        <f t="shared" si="9"/>
        <v>2028</v>
      </c>
      <c r="N23" s="177">
        <f t="shared" si="9"/>
        <v>2029</v>
      </c>
      <c r="O23" s="177">
        <f t="shared" si="9"/>
        <v>2030</v>
      </c>
      <c r="P23" s="177">
        <f t="shared" si="9"/>
        <v>2031</v>
      </c>
      <c r="Q23" s="177">
        <f t="shared" si="9"/>
        <v>2032</v>
      </c>
      <c r="R23" s="177">
        <f t="shared" si="9"/>
        <v>2033</v>
      </c>
      <c r="S23" s="177">
        <f t="shared" si="9"/>
        <v>2034</v>
      </c>
      <c r="T23" s="177">
        <f t="shared" si="9"/>
        <v>2035</v>
      </c>
      <c r="U23" s="177">
        <f t="shared" si="9"/>
        <v>2036</v>
      </c>
      <c r="V23" s="177">
        <f t="shared" si="9"/>
        <v>2037</v>
      </c>
      <c r="W23" s="177">
        <f t="shared" si="9"/>
        <v>2038</v>
      </c>
      <c r="X23" s="177">
        <f t="shared" si="9"/>
        <v>2039</v>
      </c>
      <c r="Y23" s="177">
        <f t="shared" si="9"/>
        <v>2040</v>
      </c>
      <c r="Z23" s="177">
        <f t="shared" si="9"/>
        <v>2041</v>
      </c>
      <c r="AA23" s="177">
        <f t="shared" si="9"/>
        <v>2042</v>
      </c>
      <c r="AB23" s="177">
        <f t="shared" si="9"/>
        <v>2043</v>
      </c>
      <c r="AC23" s="177">
        <f t="shared" si="9"/>
        <v>2044</v>
      </c>
    </row>
    <row r="24" spans="2:29" s="179" customFormat="1" hidden="1" outlineLevel="1">
      <c r="B24" s="487">
        <f>'К дв.загр'!H7</f>
        <v>125</v>
      </c>
      <c r="C24" s="487" t="str">
        <f>'К дв.загр'!D7</f>
        <v>5 звезд</v>
      </c>
      <c r="D24" s="478">
        <v>5</v>
      </c>
      <c r="E24" s="192" t="str">
        <f>'К дв.загр'!C7</f>
        <v>Гостиница 5*</v>
      </c>
      <c r="F24" s="186">
        <f>'К дв.загр'!L7</f>
        <v>46204</v>
      </c>
      <c r="G24" s="186"/>
      <c r="H24" s="488"/>
      <c r="I24" s="489">
        <f t="shared" ref="I24:AC24" si="10">IF(H24=5,5,(IF(H24=0,(IF(YEAR($F24)=I$23,1,0)),H24+1)))</f>
        <v>0</v>
      </c>
      <c r="J24" s="489">
        <f t="shared" si="10"/>
        <v>0</v>
      </c>
      <c r="K24" s="489">
        <f t="shared" si="10"/>
        <v>1</v>
      </c>
      <c r="L24" s="489">
        <f t="shared" si="10"/>
        <v>2</v>
      </c>
      <c r="M24" s="489">
        <f t="shared" si="10"/>
        <v>3</v>
      </c>
      <c r="N24" s="489">
        <f t="shared" si="10"/>
        <v>4</v>
      </c>
      <c r="O24" s="489">
        <f t="shared" si="10"/>
        <v>5</v>
      </c>
      <c r="P24" s="489">
        <f t="shared" si="10"/>
        <v>5</v>
      </c>
      <c r="Q24" s="489">
        <f t="shared" si="10"/>
        <v>5</v>
      </c>
      <c r="R24" s="489">
        <f t="shared" si="10"/>
        <v>5</v>
      </c>
      <c r="S24" s="489">
        <f t="shared" si="10"/>
        <v>5</v>
      </c>
      <c r="T24" s="489">
        <f t="shared" si="10"/>
        <v>5</v>
      </c>
      <c r="U24" s="489">
        <f t="shared" si="10"/>
        <v>5</v>
      </c>
      <c r="V24" s="489">
        <f t="shared" si="10"/>
        <v>5</v>
      </c>
      <c r="W24" s="489">
        <f t="shared" si="10"/>
        <v>5</v>
      </c>
      <c r="X24" s="489">
        <f t="shared" si="10"/>
        <v>5</v>
      </c>
      <c r="Y24" s="489">
        <f t="shared" si="10"/>
        <v>5</v>
      </c>
      <c r="Z24" s="489">
        <f t="shared" si="10"/>
        <v>5</v>
      </c>
      <c r="AA24" s="489">
        <f t="shared" si="10"/>
        <v>5</v>
      </c>
      <c r="AB24" s="489">
        <f t="shared" si="10"/>
        <v>5</v>
      </c>
      <c r="AC24" s="489">
        <f t="shared" si="10"/>
        <v>5</v>
      </c>
    </row>
    <row r="25" spans="2:29" s="179" customFormat="1" hidden="1" outlineLevel="1">
      <c r="B25" s="487">
        <f>'К дв.загр'!H8</f>
        <v>160</v>
      </c>
      <c r="C25" s="487" t="str">
        <f>'К дв.загр'!D8</f>
        <v>4 звезды</v>
      </c>
      <c r="D25" s="478">
        <v>4</v>
      </c>
      <c r="E25" s="192" t="str">
        <f>'К дв.загр'!C8</f>
        <v>Гостиница 4*</v>
      </c>
      <c r="F25" s="186">
        <f>'К дв.загр'!L8</f>
        <v>46204</v>
      </c>
      <c r="G25" s="186"/>
      <c r="H25" s="181">
        <f>IF(YEAR($F25)=H$6,1,0)</f>
        <v>0</v>
      </c>
      <c r="I25" s="489">
        <f t="shared" ref="I25:AC25" si="11">IF(H25=5,5,(IF(H25=0,(IF(YEAR($F25)=I$23,1,0)),H25+1)))</f>
        <v>0</v>
      </c>
      <c r="J25" s="489">
        <f t="shared" si="11"/>
        <v>0</v>
      </c>
      <c r="K25" s="489">
        <f t="shared" si="11"/>
        <v>1</v>
      </c>
      <c r="L25" s="489">
        <f t="shared" si="11"/>
        <v>2</v>
      </c>
      <c r="M25" s="489">
        <f t="shared" si="11"/>
        <v>3</v>
      </c>
      <c r="N25" s="489">
        <f t="shared" si="11"/>
        <v>4</v>
      </c>
      <c r="O25" s="489">
        <f t="shared" si="11"/>
        <v>5</v>
      </c>
      <c r="P25" s="489">
        <f t="shared" si="11"/>
        <v>5</v>
      </c>
      <c r="Q25" s="489">
        <f t="shared" si="11"/>
        <v>5</v>
      </c>
      <c r="R25" s="489">
        <f t="shared" si="11"/>
        <v>5</v>
      </c>
      <c r="S25" s="489">
        <f t="shared" si="11"/>
        <v>5</v>
      </c>
      <c r="T25" s="489">
        <f t="shared" si="11"/>
        <v>5</v>
      </c>
      <c r="U25" s="489">
        <f t="shared" si="11"/>
        <v>5</v>
      </c>
      <c r="V25" s="489">
        <f t="shared" si="11"/>
        <v>5</v>
      </c>
      <c r="W25" s="489">
        <f t="shared" si="11"/>
        <v>5</v>
      </c>
      <c r="X25" s="489">
        <f t="shared" si="11"/>
        <v>5</v>
      </c>
      <c r="Y25" s="489">
        <f t="shared" si="11"/>
        <v>5</v>
      </c>
      <c r="Z25" s="489">
        <f t="shared" si="11"/>
        <v>5</v>
      </c>
      <c r="AA25" s="489">
        <f t="shared" si="11"/>
        <v>5</v>
      </c>
      <c r="AB25" s="489">
        <f t="shared" si="11"/>
        <v>5</v>
      </c>
      <c r="AC25" s="489">
        <f t="shared" si="11"/>
        <v>5</v>
      </c>
    </row>
    <row r="26" spans="2:29" s="179" customFormat="1" hidden="1" outlineLevel="1">
      <c r="B26" s="487">
        <f>'К дв.загр'!H9</f>
        <v>160</v>
      </c>
      <c r="C26" s="1898" t="str">
        <f>'К дв.загр'!D9</f>
        <v>3 звезды</v>
      </c>
      <c r="D26" s="478">
        <v>3</v>
      </c>
      <c r="E26" s="192" t="str">
        <f>'К дв.загр'!C9</f>
        <v>Гостиница 3*</v>
      </c>
      <c r="F26" s="186">
        <f>'К дв.загр'!L9</f>
        <v>45839</v>
      </c>
      <c r="G26" s="186"/>
      <c r="H26" s="181">
        <f>IF(YEAR($F26)=H$6,1,0)</f>
        <v>0</v>
      </c>
      <c r="I26" s="489">
        <f t="shared" ref="I26:AC26" si="12">IF(H26=5,5,(IF(H26=0,(IF(YEAR($F26)=I$23,1,0)),H26+1)))</f>
        <v>0</v>
      </c>
      <c r="J26" s="489">
        <f t="shared" si="12"/>
        <v>1</v>
      </c>
      <c r="K26" s="489">
        <f t="shared" si="12"/>
        <v>2</v>
      </c>
      <c r="L26" s="489">
        <f t="shared" si="12"/>
        <v>3</v>
      </c>
      <c r="M26" s="489">
        <f t="shared" si="12"/>
        <v>4</v>
      </c>
      <c r="N26" s="489">
        <f t="shared" si="12"/>
        <v>5</v>
      </c>
      <c r="O26" s="489">
        <f t="shared" si="12"/>
        <v>5</v>
      </c>
      <c r="P26" s="489">
        <f t="shared" si="12"/>
        <v>5</v>
      </c>
      <c r="Q26" s="489">
        <f t="shared" si="12"/>
        <v>5</v>
      </c>
      <c r="R26" s="489">
        <f t="shared" si="12"/>
        <v>5</v>
      </c>
      <c r="S26" s="489">
        <f t="shared" si="12"/>
        <v>5</v>
      </c>
      <c r="T26" s="489">
        <f t="shared" si="12"/>
        <v>5</v>
      </c>
      <c r="U26" s="489">
        <f t="shared" si="12"/>
        <v>5</v>
      </c>
      <c r="V26" s="489">
        <f t="shared" si="12"/>
        <v>5</v>
      </c>
      <c r="W26" s="489">
        <f t="shared" si="12"/>
        <v>5</v>
      </c>
      <c r="X26" s="489">
        <f t="shared" si="12"/>
        <v>5</v>
      </c>
      <c r="Y26" s="489">
        <f t="shared" si="12"/>
        <v>5</v>
      </c>
      <c r="Z26" s="489">
        <f t="shared" si="12"/>
        <v>5</v>
      </c>
      <c r="AA26" s="489">
        <f t="shared" si="12"/>
        <v>5</v>
      </c>
      <c r="AB26" s="489">
        <f t="shared" si="12"/>
        <v>5</v>
      </c>
      <c r="AC26" s="489">
        <f t="shared" si="12"/>
        <v>5</v>
      </c>
    </row>
    <row r="27" spans="2:29" s="179" customFormat="1" hidden="1" outlineLevel="1">
      <c r="B27" s="487">
        <f>'К дв.загр'!H10</f>
        <v>0</v>
      </c>
      <c r="C27" s="487" t="str">
        <f>'К дв.загр'!D10</f>
        <v>2 звезды</v>
      </c>
      <c r="D27" s="478">
        <v>2</v>
      </c>
      <c r="E27" s="192" t="str">
        <f>'К дв.загр'!C10</f>
        <v>Гостиница 2*</v>
      </c>
      <c r="F27" s="186">
        <f>'К дв.загр'!L10</f>
        <v>0</v>
      </c>
      <c r="G27" s="186"/>
      <c r="H27" s="181"/>
      <c r="I27" s="489">
        <f t="shared" ref="I27:AC27" si="13">IF(H27=5,5,(IF(H27=0,(IF(YEAR($F27)=I$23,1,0)),H27+1)))</f>
        <v>0</v>
      </c>
      <c r="J27" s="489">
        <f t="shared" si="13"/>
        <v>0</v>
      </c>
      <c r="K27" s="489">
        <f t="shared" si="13"/>
        <v>0</v>
      </c>
      <c r="L27" s="489">
        <f t="shared" si="13"/>
        <v>0</v>
      </c>
      <c r="M27" s="489">
        <f t="shared" si="13"/>
        <v>0</v>
      </c>
      <c r="N27" s="489">
        <f t="shared" si="13"/>
        <v>0</v>
      </c>
      <c r="O27" s="489">
        <f t="shared" si="13"/>
        <v>0</v>
      </c>
      <c r="P27" s="489">
        <f t="shared" si="13"/>
        <v>0</v>
      </c>
      <c r="Q27" s="489">
        <f t="shared" si="13"/>
        <v>0</v>
      </c>
      <c r="R27" s="489">
        <f t="shared" si="13"/>
        <v>0</v>
      </c>
      <c r="S27" s="489">
        <f t="shared" si="13"/>
        <v>0</v>
      </c>
      <c r="T27" s="489">
        <f t="shared" si="13"/>
        <v>0</v>
      </c>
      <c r="U27" s="489">
        <f t="shared" si="13"/>
        <v>0</v>
      </c>
      <c r="V27" s="489">
        <f t="shared" si="13"/>
        <v>0</v>
      </c>
      <c r="W27" s="489">
        <f t="shared" si="13"/>
        <v>0</v>
      </c>
      <c r="X27" s="489">
        <f t="shared" si="13"/>
        <v>0</v>
      </c>
      <c r="Y27" s="489">
        <f t="shared" si="13"/>
        <v>0</v>
      </c>
      <c r="Z27" s="489">
        <f t="shared" si="13"/>
        <v>0</v>
      </c>
      <c r="AA27" s="489">
        <f t="shared" si="13"/>
        <v>0</v>
      </c>
      <c r="AB27" s="489">
        <f t="shared" si="13"/>
        <v>0</v>
      </c>
      <c r="AC27" s="489">
        <f t="shared" si="13"/>
        <v>0</v>
      </c>
    </row>
    <row r="28" spans="2:29" s="179" customFormat="1" hidden="1" outlineLevel="1">
      <c r="B28" s="487">
        <f>'К дв.загр'!H11</f>
        <v>101</v>
      </c>
      <c r="C28" s="487" t="str">
        <f>'К дв.загр'!D11</f>
        <v>3 звезды</v>
      </c>
      <c r="D28" s="1897">
        <v>3</v>
      </c>
      <c r="E28" s="192" t="str">
        <f>'К дв.загр'!C11</f>
        <v>Хостел в составе МФЦ</v>
      </c>
      <c r="F28" s="186">
        <f>'К дв.загр'!L11</f>
        <v>45839</v>
      </c>
      <c r="G28" s="186"/>
      <c r="H28" s="181"/>
      <c r="I28" s="489">
        <f t="shared" ref="I28:AC28" si="14">IF(H28=5,5,(IF(H28=0,(IF(YEAR($F28)=I$23,1,0)),H28+1)))</f>
        <v>0</v>
      </c>
      <c r="J28" s="489">
        <f t="shared" si="14"/>
        <v>1</v>
      </c>
      <c r="K28" s="489">
        <f t="shared" si="14"/>
        <v>2</v>
      </c>
      <c r="L28" s="489">
        <f t="shared" si="14"/>
        <v>3</v>
      </c>
      <c r="M28" s="489">
        <f t="shared" si="14"/>
        <v>4</v>
      </c>
      <c r="N28" s="489">
        <f t="shared" si="14"/>
        <v>5</v>
      </c>
      <c r="O28" s="489">
        <f t="shared" si="14"/>
        <v>5</v>
      </c>
      <c r="P28" s="489">
        <f t="shared" si="14"/>
        <v>5</v>
      </c>
      <c r="Q28" s="489">
        <f t="shared" si="14"/>
        <v>5</v>
      </c>
      <c r="R28" s="489">
        <f t="shared" si="14"/>
        <v>5</v>
      </c>
      <c r="S28" s="489">
        <f t="shared" si="14"/>
        <v>5</v>
      </c>
      <c r="T28" s="489">
        <f t="shared" si="14"/>
        <v>5</v>
      </c>
      <c r="U28" s="489">
        <f t="shared" si="14"/>
        <v>5</v>
      </c>
      <c r="V28" s="489">
        <f t="shared" si="14"/>
        <v>5</v>
      </c>
      <c r="W28" s="489">
        <f t="shared" si="14"/>
        <v>5</v>
      </c>
      <c r="X28" s="489">
        <f t="shared" si="14"/>
        <v>5</v>
      </c>
      <c r="Y28" s="489">
        <f t="shared" si="14"/>
        <v>5</v>
      </c>
      <c r="Z28" s="489">
        <f t="shared" si="14"/>
        <v>5</v>
      </c>
      <c r="AA28" s="489">
        <f t="shared" si="14"/>
        <v>5</v>
      </c>
      <c r="AB28" s="489">
        <f t="shared" si="14"/>
        <v>5</v>
      </c>
      <c r="AC28" s="489">
        <f t="shared" si="14"/>
        <v>5</v>
      </c>
    </row>
    <row r="29" spans="2:29" s="179" customFormat="1" hidden="1" outlineLevel="1">
      <c r="B29" s="487">
        <f>'К дв.загр'!H12</f>
        <v>13</v>
      </c>
      <c r="C29" s="487" t="str">
        <f>'К дв.загр'!D12</f>
        <v>5 звезд</v>
      </c>
      <c r="D29" s="478" t="s">
        <v>499</v>
      </c>
      <c r="E29" s="192" t="str">
        <f>'К дв.загр'!C12</f>
        <v>Шале</v>
      </c>
      <c r="F29" s="186">
        <f>'К дв.загр'!L12</f>
        <v>46204</v>
      </c>
      <c r="G29" s="186"/>
      <c r="H29" s="181"/>
      <c r="I29" s="489">
        <f t="shared" ref="I29:AC29" si="15">IF(H29=5,5,(IF(H29=0,(IF(YEAR($F29)=I$23,1,0)),H29+1)))</f>
        <v>0</v>
      </c>
      <c r="J29" s="489">
        <f t="shared" si="15"/>
        <v>0</v>
      </c>
      <c r="K29" s="489">
        <f t="shared" si="15"/>
        <v>1</v>
      </c>
      <c r="L29" s="489">
        <f t="shared" si="15"/>
        <v>2</v>
      </c>
      <c r="M29" s="489">
        <f t="shared" si="15"/>
        <v>3</v>
      </c>
      <c r="N29" s="489">
        <f t="shared" si="15"/>
        <v>4</v>
      </c>
      <c r="O29" s="489">
        <f t="shared" si="15"/>
        <v>5</v>
      </c>
      <c r="P29" s="489">
        <f t="shared" si="15"/>
        <v>5</v>
      </c>
      <c r="Q29" s="489">
        <f t="shared" si="15"/>
        <v>5</v>
      </c>
      <c r="R29" s="489">
        <f t="shared" si="15"/>
        <v>5</v>
      </c>
      <c r="S29" s="489">
        <f t="shared" si="15"/>
        <v>5</v>
      </c>
      <c r="T29" s="489">
        <f t="shared" si="15"/>
        <v>5</v>
      </c>
      <c r="U29" s="489">
        <f t="shared" si="15"/>
        <v>5</v>
      </c>
      <c r="V29" s="489">
        <f t="shared" si="15"/>
        <v>5</v>
      </c>
      <c r="W29" s="489">
        <f t="shared" si="15"/>
        <v>5</v>
      </c>
      <c r="X29" s="489">
        <f t="shared" si="15"/>
        <v>5</v>
      </c>
      <c r="Y29" s="489">
        <f t="shared" si="15"/>
        <v>5</v>
      </c>
      <c r="Z29" s="489">
        <f t="shared" si="15"/>
        <v>5</v>
      </c>
      <c r="AA29" s="489">
        <f t="shared" si="15"/>
        <v>5</v>
      </c>
      <c r="AB29" s="489">
        <f t="shared" si="15"/>
        <v>5</v>
      </c>
      <c r="AC29" s="489">
        <f t="shared" si="15"/>
        <v>5</v>
      </c>
    </row>
    <row r="30" spans="2:29" s="179" customFormat="1" hidden="1" outlineLevel="1">
      <c r="B30" s="487">
        <f>'К дв.загр'!H13</f>
        <v>385</v>
      </c>
      <c r="C30" s="487" t="str">
        <f>'К дв.загр'!D13</f>
        <v>3 звезды</v>
      </c>
      <c r="D30" s="478">
        <v>3</v>
      </c>
      <c r="E30" s="192" t="str">
        <f>'К дв.загр'!C13</f>
        <v>Туристские резиденции</v>
      </c>
      <c r="F30" s="186">
        <f>'К дв.загр'!L13</f>
        <v>45839</v>
      </c>
      <c r="G30" s="186"/>
      <c r="H30" s="181"/>
      <c r="I30" s="489">
        <f t="shared" ref="I30:AC30" si="16">IF(H30=5,5,(IF(H30=0,(IF(YEAR($F30)=I$23,1,0)),H30+1)))</f>
        <v>0</v>
      </c>
      <c r="J30" s="489">
        <f t="shared" si="16"/>
        <v>1</v>
      </c>
      <c r="K30" s="489">
        <f t="shared" si="16"/>
        <v>2</v>
      </c>
      <c r="L30" s="489">
        <f t="shared" si="16"/>
        <v>3</v>
      </c>
      <c r="M30" s="489">
        <f t="shared" si="16"/>
        <v>4</v>
      </c>
      <c r="N30" s="489">
        <f t="shared" si="16"/>
        <v>5</v>
      </c>
      <c r="O30" s="489">
        <f t="shared" si="16"/>
        <v>5</v>
      </c>
      <c r="P30" s="489">
        <f t="shared" si="16"/>
        <v>5</v>
      </c>
      <c r="Q30" s="489">
        <f t="shared" si="16"/>
        <v>5</v>
      </c>
      <c r="R30" s="489">
        <f t="shared" si="16"/>
        <v>5</v>
      </c>
      <c r="S30" s="489">
        <f t="shared" si="16"/>
        <v>5</v>
      </c>
      <c r="T30" s="489">
        <f t="shared" si="16"/>
        <v>5</v>
      </c>
      <c r="U30" s="489">
        <f t="shared" si="16"/>
        <v>5</v>
      </c>
      <c r="V30" s="489">
        <f t="shared" si="16"/>
        <v>5</v>
      </c>
      <c r="W30" s="489">
        <f t="shared" si="16"/>
        <v>5</v>
      </c>
      <c r="X30" s="489">
        <f t="shared" si="16"/>
        <v>5</v>
      </c>
      <c r="Y30" s="489">
        <f t="shared" si="16"/>
        <v>5</v>
      </c>
      <c r="Z30" s="489">
        <f t="shared" si="16"/>
        <v>5</v>
      </c>
      <c r="AA30" s="489">
        <f t="shared" si="16"/>
        <v>5</v>
      </c>
      <c r="AB30" s="489">
        <f t="shared" si="16"/>
        <v>5</v>
      </c>
      <c r="AC30" s="489">
        <f t="shared" si="16"/>
        <v>5</v>
      </c>
    </row>
    <row r="31" spans="2:29" s="179" customFormat="1" hidden="1" outlineLevel="1">
      <c r="B31" s="179" t="b">
        <f>SUM(B24:B30)=Объекты!F14</f>
        <v>1</v>
      </c>
      <c r="E31" s="479"/>
      <c r="G31" s="480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  <c r="AC31" s="481"/>
    </row>
    <row r="32" spans="2:29" s="179" customFormat="1" hidden="1" outlineLevel="1">
      <c r="E32" s="1317"/>
      <c r="G32" s="491"/>
      <c r="H32" s="492"/>
      <c r="I32" s="492"/>
      <c r="J32" s="492"/>
      <c r="K32" s="492"/>
      <c r="L32" s="492"/>
      <c r="M32" s="493"/>
      <c r="N32" s="493"/>
      <c r="O32" s="493"/>
      <c r="P32" s="493"/>
      <c r="Q32" s="493"/>
      <c r="R32" s="493"/>
      <c r="S32" s="493"/>
      <c r="T32" s="493"/>
      <c r="U32" s="493"/>
      <c r="V32" s="493"/>
      <c r="W32" s="493"/>
      <c r="X32" s="493"/>
      <c r="Y32" s="493"/>
      <c r="Z32" s="493"/>
      <c r="AA32" s="493"/>
      <c r="AB32" s="493"/>
      <c r="AC32" s="493"/>
    </row>
    <row r="33" spans="2:35" s="492" customFormat="1" hidden="1" outlineLevel="1">
      <c r="B33" s="494"/>
      <c r="C33" s="494"/>
      <c r="E33" s="495" t="s">
        <v>504</v>
      </c>
      <c r="J33" s="417">
        <f>Sensitivity!B63</f>
        <v>1</v>
      </c>
    </row>
    <row r="34" spans="2:35" s="492" customFormat="1" ht="15" hidden="1" customHeight="1" outlineLevel="1">
      <c r="B34" s="494"/>
      <c r="C34" s="494"/>
      <c r="F34" s="1986" t="s">
        <v>505</v>
      </c>
      <c r="G34" s="1986"/>
      <c r="H34" s="1986"/>
      <c r="I34" s="1986"/>
      <c r="J34" s="1986"/>
    </row>
    <row r="35" spans="2:35" s="492" customFormat="1" hidden="1" outlineLevel="1">
      <c r="B35" s="485" t="str">
        <f t="shared" ref="B35:D42" si="17">B23</f>
        <v>Номеров</v>
      </c>
      <c r="C35" s="485" t="str">
        <f t="shared" si="17"/>
        <v>Категория</v>
      </c>
      <c r="D35" s="485" t="str">
        <f t="shared" si="17"/>
        <v>Индекс рынка</v>
      </c>
      <c r="E35" s="496" t="s">
        <v>242</v>
      </c>
      <c r="F35" s="497">
        <v>1</v>
      </c>
      <c r="G35" s="497">
        <v>2</v>
      </c>
      <c r="H35" s="497">
        <v>3</v>
      </c>
      <c r="I35" s="497">
        <v>4</v>
      </c>
      <c r="J35" s="497">
        <v>5</v>
      </c>
      <c r="L35" s="498" t="s">
        <v>506</v>
      </c>
      <c r="M35" s="497">
        <f>S57</f>
        <v>2034</v>
      </c>
      <c r="Q35" s="493"/>
    </row>
    <row r="36" spans="2:35" s="492" customFormat="1" hidden="1" outlineLevel="1">
      <c r="B36" s="489">
        <f t="shared" si="17"/>
        <v>125</v>
      </c>
      <c r="C36" s="489" t="str">
        <f t="shared" si="17"/>
        <v>5 звезд</v>
      </c>
      <c r="D36" s="489">
        <f t="shared" si="17"/>
        <v>5</v>
      </c>
      <c r="E36" s="499" t="str">
        <f t="shared" ref="E36:E42" si="18">E24</f>
        <v>Гостиница 5*</v>
      </c>
      <c r="F36" s="508">
        <f>0.85*$J$33</f>
        <v>0.85</v>
      </c>
      <c r="G36" s="508">
        <f>0.95*$J$33</f>
        <v>0.95</v>
      </c>
      <c r="H36" s="508">
        <f t="shared" ref="H36:J38" si="19">1*$J$33</f>
        <v>1</v>
      </c>
      <c r="I36" s="508">
        <f t="shared" si="19"/>
        <v>1</v>
      </c>
      <c r="J36" s="508">
        <f t="shared" si="19"/>
        <v>1</v>
      </c>
      <c r="L36" s="783">
        <f>M36/LOOKUP(M$35,CPI!$3:$3,CPI!$5:$5)</f>
        <v>11634.615384615379</v>
      </c>
      <c r="M36" s="783">
        <f t="shared" ref="M36:M42" si="20">S66</f>
        <v>19372.48984466894</v>
      </c>
    </row>
    <row r="37" spans="2:35" s="492" customFormat="1" hidden="1" outlineLevel="1">
      <c r="B37" s="489">
        <f t="shared" si="17"/>
        <v>160</v>
      </c>
      <c r="C37" s="489" t="str">
        <f t="shared" si="17"/>
        <v>4 звезды</v>
      </c>
      <c r="D37" s="489">
        <f t="shared" si="17"/>
        <v>4</v>
      </c>
      <c r="E37" s="499" t="str">
        <f t="shared" si="18"/>
        <v>Гостиница 4*</v>
      </c>
      <c r="F37" s="508">
        <f>0.85*$J$33</f>
        <v>0.85</v>
      </c>
      <c r="G37" s="508">
        <f>0.95*$J$33</f>
        <v>0.95</v>
      </c>
      <c r="H37" s="508">
        <f t="shared" si="19"/>
        <v>1</v>
      </c>
      <c r="I37" s="508">
        <f t="shared" si="19"/>
        <v>1</v>
      </c>
      <c r="J37" s="508">
        <f t="shared" si="19"/>
        <v>1</v>
      </c>
      <c r="L37" s="500">
        <f>M37/LOOKUP(M$35,CPI!$3:$3,CPI!$5:$5)</f>
        <v>6826.9230769230762</v>
      </c>
      <c r="M37" s="500">
        <f t="shared" si="20"/>
        <v>11367.328751830539</v>
      </c>
    </row>
    <row r="38" spans="2:35" s="492" customFormat="1" hidden="1" outlineLevel="1">
      <c r="B38" s="489">
        <f t="shared" si="17"/>
        <v>160</v>
      </c>
      <c r="C38" s="489" t="str">
        <f t="shared" si="17"/>
        <v>3 звезды</v>
      </c>
      <c r="D38" s="489">
        <f t="shared" si="17"/>
        <v>3</v>
      </c>
      <c r="E38" s="499" t="str">
        <f t="shared" si="18"/>
        <v>Гостиница 3*</v>
      </c>
      <c r="F38" s="508">
        <f>0.85*$J$33</f>
        <v>0.85</v>
      </c>
      <c r="G38" s="508">
        <f>0.95*$J$33</f>
        <v>0.95</v>
      </c>
      <c r="H38" s="508">
        <f t="shared" si="19"/>
        <v>1</v>
      </c>
      <c r="I38" s="508">
        <f t="shared" si="19"/>
        <v>1</v>
      </c>
      <c r="J38" s="508">
        <f t="shared" si="19"/>
        <v>1</v>
      </c>
      <c r="L38" s="500">
        <f>M38/LOOKUP(M$35,CPI!$3:$3,CPI!$5:$5)</f>
        <v>5480.7692307692296</v>
      </c>
      <c r="M38" s="500">
        <f t="shared" si="20"/>
        <v>9125.8836458357837</v>
      </c>
    </row>
    <row r="39" spans="2:35" s="492" customFormat="1" hidden="1" outlineLevel="1">
      <c r="B39" s="489">
        <f t="shared" si="17"/>
        <v>0</v>
      </c>
      <c r="C39" s="489" t="str">
        <f t="shared" si="17"/>
        <v>2 звезды</v>
      </c>
      <c r="D39" s="489">
        <f t="shared" si="17"/>
        <v>2</v>
      </c>
      <c r="E39" s="499" t="str">
        <f t="shared" si="18"/>
        <v>Гостиница 2*</v>
      </c>
      <c r="F39" s="508">
        <f>0.8*$J$33</f>
        <v>0.8</v>
      </c>
      <c r="G39" s="508">
        <f>0.85*$J$33</f>
        <v>0.85</v>
      </c>
      <c r="H39" s="508">
        <f>0.9*$J$33</f>
        <v>0.9</v>
      </c>
      <c r="I39" s="508">
        <f>0.95*$J$33</f>
        <v>0.95</v>
      </c>
      <c r="J39" s="508">
        <f>1*$J$33</f>
        <v>1</v>
      </c>
      <c r="L39" s="500">
        <f>M39/LOOKUP(M$35,CPI!$3:$3,CPI!$5:$5)</f>
        <v>0</v>
      </c>
      <c r="M39" s="500">
        <f t="shared" si="20"/>
        <v>0</v>
      </c>
      <c r="Q39" s="493"/>
    </row>
    <row r="40" spans="2:35" s="492" customFormat="1" hidden="1" outlineLevel="1">
      <c r="B40" s="489">
        <f t="shared" si="17"/>
        <v>101</v>
      </c>
      <c r="C40" s="489" t="str">
        <f t="shared" si="17"/>
        <v>3 звезды</v>
      </c>
      <c r="D40" s="1896">
        <f t="shared" si="17"/>
        <v>3</v>
      </c>
      <c r="E40" s="499" t="str">
        <f t="shared" si="18"/>
        <v>Хостел в составе МФЦ</v>
      </c>
      <c r="F40" s="508">
        <f>0.7*$J$33</f>
        <v>0.7</v>
      </c>
      <c r="G40" s="508">
        <f>0.75*$J$33</f>
        <v>0.75</v>
      </c>
      <c r="H40" s="508">
        <f>0.8*$J$33</f>
        <v>0.8</v>
      </c>
      <c r="I40" s="508">
        <f>0.85*$J$33</f>
        <v>0.85</v>
      </c>
      <c r="J40" s="508">
        <f>0.9*$J$33</f>
        <v>0.9</v>
      </c>
      <c r="L40" s="500">
        <f>M40/LOOKUP(M$35,CPI!$3:$3,CPI!$5:$5)</f>
        <v>4932.6923076923067</v>
      </c>
      <c r="M40" s="500">
        <f t="shared" si="20"/>
        <v>8213.2952812522053</v>
      </c>
      <c r="Q40" s="493"/>
    </row>
    <row r="41" spans="2:35" s="492" customFormat="1" hidden="1" outlineLevel="1">
      <c r="B41" s="489">
        <f t="shared" si="17"/>
        <v>13</v>
      </c>
      <c r="C41" s="489" t="str">
        <f t="shared" si="17"/>
        <v>5 звезд</v>
      </c>
      <c r="D41" s="489" t="str">
        <f t="shared" si="17"/>
        <v>д/к</v>
      </c>
      <c r="E41" s="499" t="str">
        <f t="shared" si="18"/>
        <v>Шале</v>
      </c>
      <c r="F41" s="508">
        <f>0.85*$J$33</f>
        <v>0.85</v>
      </c>
      <c r="G41" s="508">
        <f>0.95*$J$33</f>
        <v>0.95</v>
      </c>
      <c r="H41" s="508">
        <f>1*$J$33</f>
        <v>1</v>
      </c>
      <c r="I41" s="508">
        <f>1*$J$33</f>
        <v>1</v>
      </c>
      <c r="J41" s="508">
        <f>1*$J$33</f>
        <v>1</v>
      </c>
      <c r="L41" s="500">
        <f>M41/LOOKUP(M$35,CPI!$3:$3,CPI!$5:$5)</f>
        <v>93173.076923076922</v>
      </c>
      <c r="M41" s="783">
        <f t="shared" si="20"/>
        <v>155140.02197920837</v>
      </c>
      <c r="Q41" s="493"/>
    </row>
    <row r="42" spans="2:35" s="492" customFormat="1" hidden="1" outlineLevel="1">
      <c r="B42" s="489">
        <f t="shared" si="17"/>
        <v>385</v>
      </c>
      <c r="C42" s="489" t="str">
        <f t="shared" si="17"/>
        <v>3 звезды</v>
      </c>
      <c r="D42" s="489">
        <f t="shared" si="17"/>
        <v>3</v>
      </c>
      <c r="E42" s="499" t="str">
        <f t="shared" si="18"/>
        <v>Туристские резиденции</v>
      </c>
      <c r="F42" s="508">
        <f>0.8*$J$33</f>
        <v>0.8</v>
      </c>
      <c r="G42" s="508">
        <f>0.85*$J$33</f>
        <v>0.85</v>
      </c>
      <c r="H42" s="508">
        <f>0.9*$J$33</f>
        <v>0.9</v>
      </c>
      <c r="I42" s="508">
        <f>1*$J$33</f>
        <v>1</v>
      </c>
      <c r="J42" s="508">
        <f>1*$J$33</f>
        <v>1</v>
      </c>
      <c r="L42" s="783">
        <f>M42/LOOKUP(M$35,CPI!$3:$3,CPI!$5:$5)</f>
        <v>5480.7692307692296</v>
      </c>
      <c r="M42" s="783">
        <f t="shared" si="20"/>
        <v>9125.8836458357837</v>
      </c>
      <c r="Q42" s="493"/>
    </row>
    <row r="43" spans="2:35" s="492" customFormat="1" hidden="1" outlineLevel="1">
      <c r="B43" s="494"/>
      <c r="C43" s="494"/>
      <c r="E43" s="501"/>
      <c r="G43" s="179"/>
      <c r="H43" s="501"/>
      <c r="I43" s="501"/>
      <c r="J43" s="501"/>
      <c r="K43" s="501"/>
      <c r="L43" s="501"/>
      <c r="S43" s="493"/>
      <c r="AA43" s="501"/>
      <c r="AB43" s="501"/>
      <c r="AC43" s="501"/>
      <c r="AD43" s="501"/>
      <c r="AE43" s="501"/>
      <c r="AF43" s="501"/>
      <c r="AG43" s="501"/>
      <c r="AH43" s="501"/>
      <c r="AI43" s="501"/>
    </row>
    <row r="44" spans="2:35" s="492" customFormat="1" hidden="1" outlineLevel="1">
      <c r="B44" s="494"/>
      <c r="C44" s="494"/>
      <c r="E44" s="501"/>
      <c r="G44" s="179"/>
      <c r="H44" s="501"/>
      <c r="I44" s="501"/>
      <c r="J44" s="417">
        <f>Sensitivity!B38</f>
        <v>1</v>
      </c>
      <c r="K44" s="501"/>
      <c r="L44" s="501"/>
      <c r="S44" s="493"/>
      <c r="AA44" s="501"/>
      <c r="AB44" s="501"/>
      <c r="AC44" s="501"/>
      <c r="AD44" s="501"/>
      <c r="AE44" s="501"/>
      <c r="AF44" s="501"/>
      <c r="AG44" s="501"/>
      <c r="AH44" s="501"/>
      <c r="AI44" s="501"/>
    </row>
    <row r="45" spans="2:35" s="492" customFormat="1" ht="15" hidden="1" customHeight="1" outlineLevel="1">
      <c r="B45" s="494"/>
      <c r="C45" s="494"/>
      <c r="F45" s="1986" t="s">
        <v>505</v>
      </c>
      <c r="G45" s="1986"/>
      <c r="H45" s="1986"/>
      <c r="I45" s="1986"/>
      <c r="J45" s="1986"/>
    </row>
    <row r="46" spans="2:35" s="492" customFormat="1" hidden="1" outlineLevel="1">
      <c r="B46" s="485" t="str">
        <f t="shared" ref="B46:D47" si="21">B35</f>
        <v>Номеров</v>
      </c>
      <c r="C46" s="485" t="str">
        <f t="shared" si="21"/>
        <v>Категория</v>
      </c>
      <c r="D46" s="485" t="str">
        <f t="shared" si="21"/>
        <v>Индекс рынка</v>
      </c>
      <c r="E46" s="496" t="s">
        <v>719</v>
      </c>
      <c r="F46" s="820">
        <v>1</v>
      </c>
      <c r="G46" s="820">
        <v>2</v>
      </c>
      <c r="H46" s="820">
        <v>3</v>
      </c>
      <c r="I46" s="820">
        <v>4</v>
      </c>
      <c r="J46" s="820">
        <v>5</v>
      </c>
      <c r="Q46" s="493"/>
    </row>
    <row r="47" spans="2:35" s="492" customFormat="1" hidden="1" outlineLevel="1">
      <c r="B47" s="489">
        <f t="shared" si="21"/>
        <v>125</v>
      </c>
      <c r="C47" s="489" t="str">
        <f t="shared" si="21"/>
        <v>5 звезд</v>
      </c>
      <c r="D47" s="489">
        <f t="shared" si="21"/>
        <v>5</v>
      </c>
      <c r="E47" s="499" t="str">
        <f>E36</f>
        <v>Гостиница 5*</v>
      </c>
      <c r="F47" s="508">
        <f>0.8*$J$44</f>
        <v>0.8</v>
      </c>
      <c r="G47" s="508">
        <f>0.85*$J$44</f>
        <v>0.85</v>
      </c>
      <c r="H47" s="508">
        <f>0.9*$J$44</f>
        <v>0.9</v>
      </c>
      <c r="I47" s="508">
        <f>0.95*$J$44</f>
        <v>0.95</v>
      </c>
      <c r="J47" s="508">
        <f>1*$J$44</f>
        <v>1</v>
      </c>
    </row>
    <row r="48" spans="2:35" s="492" customFormat="1" hidden="1" outlineLevel="1">
      <c r="B48" s="489">
        <f t="shared" ref="B48:E53" si="22">B37</f>
        <v>160</v>
      </c>
      <c r="C48" s="489" t="str">
        <f t="shared" si="22"/>
        <v>4 звезды</v>
      </c>
      <c r="D48" s="489">
        <f t="shared" si="22"/>
        <v>4</v>
      </c>
      <c r="E48" s="499" t="str">
        <f t="shared" si="22"/>
        <v>Гостиница 4*</v>
      </c>
      <c r="F48" s="508">
        <f>0.8*$J$44</f>
        <v>0.8</v>
      </c>
      <c r="G48" s="508">
        <f>0.85*$J$44</f>
        <v>0.85</v>
      </c>
      <c r="H48" s="508">
        <f>0.9*$J$44</f>
        <v>0.9</v>
      </c>
      <c r="I48" s="508">
        <f>0.95*$J$44</f>
        <v>0.95</v>
      </c>
      <c r="J48" s="508">
        <f>1*$J$44</f>
        <v>1</v>
      </c>
    </row>
    <row r="49" spans="2:35" s="492" customFormat="1" hidden="1" outlineLevel="1">
      <c r="B49" s="489">
        <f t="shared" si="22"/>
        <v>160</v>
      </c>
      <c r="C49" s="489" t="str">
        <f t="shared" si="22"/>
        <v>3 звезды</v>
      </c>
      <c r="D49" s="489">
        <f t="shared" si="22"/>
        <v>3</v>
      </c>
      <c r="E49" s="499" t="str">
        <f t="shared" si="22"/>
        <v>Гостиница 3*</v>
      </c>
      <c r="F49" s="508">
        <f>0.8*$J$44</f>
        <v>0.8</v>
      </c>
      <c r="G49" s="508">
        <f>0.85*$J$44</f>
        <v>0.85</v>
      </c>
      <c r="H49" s="508">
        <f>0.9*$J$44</f>
        <v>0.9</v>
      </c>
      <c r="I49" s="508">
        <f>0.95*$J$44</f>
        <v>0.95</v>
      </c>
      <c r="J49" s="508">
        <f>1*$J$44</f>
        <v>1</v>
      </c>
    </row>
    <row r="50" spans="2:35" s="492" customFormat="1" hidden="1" outlineLevel="1">
      <c r="B50" s="489">
        <f t="shared" si="22"/>
        <v>0</v>
      </c>
      <c r="C50" s="489" t="str">
        <f t="shared" si="22"/>
        <v>2 звезды</v>
      </c>
      <c r="D50" s="489">
        <f t="shared" si="22"/>
        <v>2</v>
      </c>
      <c r="E50" s="499" t="str">
        <f t="shared" si="22"/>
        <v>Гостиница 2*</v>
      </c>
      <c r="F50" s="508">
        <f>0.85*$J$44</f>
        <v>0.85</v>
      </c>
      <c r="G50" s="508">
        <f>0.9*$J$44</f>
        <v>0.9</v>
      </c>
      <c r="H50" s="508">
        <f>0.95*$J$44</f>
        <v>0.95</v>
      </c>
      <c r="I50" s="508">
        <f>1*$J$44</f>
        <v>1</v>
      </c>
      <c r="J50" s="508">
        <f>1.05*$J$44</f>
        <v>1.05</v>
      </c>
      <c r="Q50" s="493"/>
    </row>
    <row r="51" spans="2:35" s="492" customFormat="1" hidden="1" outlineLevel="1">
      <c r="B51" s="489">
        <f t="shared" si="22"/>
        <v>101</v>
      </c>
      <c r="C51" s="489" t="str">
        <f t="shared" si="22"/>
        <v>3 звезды</v>
      </c>
      <c r="D51" s="1896">
        <f t="shared" si="22"/>
        <v>3</v>
      </c>
      <c r="E51" s="499" t="str">
        <f t="shared" si="22"/>
        <v>Хостел в составе МФЦ</v>
      </c>
      <c r="F51" s="508">
        <f>0.8*$J$44</f>
        <v>0.8</v>
      </c>
      <c r="G51" s="508">
        <f>0.85*$J$44</f>
        <v>0.85</v>
      </c>
      <c r="H51" s="508">
        <f>0.9*$J$44</f>
        <v>0.9</v>
      </c>
      <c r="I51" s="508">
        <f>0.95*$J$44</f>
        <v>0.95</v>
      </c>
      <c r="J51" s="508">
        <f>1*$J$44</f>
        <v>1</v>
      </c>
      <c r="Q51" s="493"/>
    </row>
    <row r="52" spans="2:35" s="492" customFormat="1" hidden="1" outlineLevel="1">
      <c r="B52" s="489">
        <f t="shared" si="22"/>
        <v>13</v>
      </c>
      <c r="C52" s="489" t="str">
        <f t="shared" si="22"/>
        <v>5 звезд</v>
      </c>
      <c r="D52" s="489" t="str">
        <f t="shared" si="22"/>
        <v>д/к</v>
      </c>
      <c r="E52" s="499" t="str">
        <f t="shared" si="22"/>
        <v>Шале</v>
      </c>
      <c r="F52" s="508">
        <f>0.8*$J$44</f>
        <v>0.8</v>
      </c>
      <c r="G52" s="508">
        <f>0.85*$J$44</f>
        <v>0.85</v>
      </c>
      <c r="H52" s="508">
        <f>0.9*$J$44</f>
        <v>0.9</v>
      </c>
      <c r="I52" s="508">
        <f>0.95*$J$44</f>
        <v>0.95</v>
      </c>
      <c r="J52" s="508">
        <f>1*$J$44</f>
        <v>1</v>
      </c>
      <c r="Q52" s="493"/>
    </row>
    <row r="53" spans="2:35" s="492" customFormat="1" hidden="1" outlineLevel="1">
      <c r="B53" s="489">
        <f t="shared" si="22"/>
        <v>385</v>
      </c>
      <c r="C53" s="489" t="str">
        <f t="shared" si="22"/>
        <v>3 звезды</v>
      </c>
      <c r="D53" s="489">
        <f t="shared" si="22"/>
        <v>3</v>
      </c>
      <c r="E53" s="499" t="str">
        <f t="shared" si="22"/>
        <v>Туристские резиденции</v>
      </c>
      <c r="F53" s="508">
        <f>0.8*$J$44</f>
        <v>0.8</v>
      </c>
      <c r="G53" s="508">
        <f>0.85*$J$44</f>
        <v>0.85</v>
      </c>
      <c r="H53" s="508">
        <f>0.9*$J$44</f>
        <v>0.9</v>
      </c>
      <c r="I53" s="508">
        <f>0.95*$J$44</f>
        <v>0.95</v>
      </c>
      <c r="J53" s="508">
        <f>1*$J$44</f>
        <v>1</v>
      </c>
      <c r="Q53" s="493"/>
    </row>
    <row r="54" spans="2:35" s="492" customFormat="1" hidden="1" outlineLevel="1">
      <c r="B54" s="494"/>
      <c r="D54" s="501"/>
      <c r="E54" s="501"/>
      <c r="G54" s="501"/>
      <c r="H54" s="501"/>
      <c r="I54" s="501"/>
      <c r="J54" s="501"/>
      <c r="K54" s="501"/>
      <c r="L54" s="501"/>
      <c r="M54" s="501"/>
      <c r="Q54" s="501"/>
      <c r="Y54" s="501"/>
      <c r="Z54" s="501"/>
      <c r="AA54" s="501"/>
      <c r="AB54" s="501"/>
      <c r="AC54" s="501"/>
      <c r="AD54" s="501"/>
      <c r="AE54" s="501"/>
      <c r="AF54" s="501"/>
      <c r="AG54" s="501"/>
      <c r="AH54" s="501"/>
      <c r="AI54" s="501"/>
    </row>
    <row r="55" spans="2:35" s="492" customFormat="1" hidden="1" outlineLevel="1">
      <c r="B55" s="494"/>
      <c r="D55" s="501"/>
      <c r="E55" s="501"/>
      <c r="G55" s="501"/>
      <c r="H55" s="501"/>
      <c r="I55" s="501"/>
      <c r="J55" s="501"/>
      <c r="K55" s="501"/>
      <c r="L55" s="501"/>
      <c r="M55" s="501"/>
      <c r="Q55" s="501"/>
      <c r="Y55" s="501"/>
      <c r="Z55" s="501"/>
      <c r="AA55" s="501"/>
      <c r="AB55" s="501"/>
      <c r="AC55" s="501"/>
      <c r="AD55" s="501"/>
      <c r="AE55" s="501"/>
      <c r="AF55" s="501"/>
      <c r="AG55" s="501"/>
      <c r="AH55" s="501"/>
      <c r="AI55" s="501"/>
    </row>
    <row r="56" spans="2:35" s="179" customFormat="1" hidden="1" outlineLevel="1">
      <c r="E56" s="476" t="s">
        <v>507</v>
      </c>
      <c r="N56" s="492"/>
      <c r="O56" s="492"/>
      <c r="P56" s="492"/>
      <c r="R56" s="492"/>
      <c r="S56" s="492"/>
      <c r="T56" s="492"/>
      <c r="U56" s="492"/>
    </row>
    <row r="57" spans="2:35" hidden="1" outlineLevel="1">
      <c r="E57" s="187" t="s">
        <v>242</v>
      </c>
      <c r="F57" s="177"/>
      <c r="G57" s="177"/>
      <c r="H57" s="177">
        <f t="shared" ref="H57:AC57" si="23">H6</f>
        <v>2023</v>
      </c>
      <c r="I57" s="177">
        <f t="shared" si="23"/>
        <v>2024</v>
      </c>
      <c r="J57" s="177">
        <f t="shared" si="23"/>
        <v>2025</v>
      </c>
      <c r="K57" s="177">
        <f t="shared" si="23"/>
        <v>2026</v>
      </c>
      <c r="L57" s="177">
        <f t="shared" si="23"/>
        <v>2027</v>
      </c>
      <c r="M57" s="177">
        <f t="shared" si="23"/>
        <v>2028</v>
      </c>
      <c r="N57" s="177">
        <f t="shared" si="23"/>
        <v>2029</v>
      </c>
      <c r="O57" s="177">
        <f t="shared" si="23"/>
        <v>2030</v>
      </c>
      <c r="P57" s="177">
        <f t="shared" si="23"/>
        <v>2031</v>
      </c>
      <c r="Q57" s="177">
        <f t="shared" si="23"/>
        <v>2032</v>
      </c>
      <c r="R57" s="177">
        <f t="shared" si="23"/>
        <v>2033</v>
      </c>
      <c r="S57" s="177">
        <f t="shared" si="23"/>
        <v>2034</v>
      </c>
      <c r="T57" s="177">
        <f t="shared" si="23"/>
        <v>2035</v>
      </c>
      <c r="U57" s="177">
        <f t="shared" si="23"/>
        <v>2036</v>
      </c>
      <c r="V57" s="177">
        <f t="shared" si="23"/>
        <v>2037</v>
      </c>
      <c r="W57" s="177">
        <f t="shared" si="23"/>
        <v>2038</v>
      </c>
      <c r="X57" s="177">
        <f t="shared" si="23"/>
        <v>2039</v>
      </c>
      <c r="Y57" s="177">
        <f t="shared" si="23"/>
        <v>2040</v>
      </c>
      <c r="Z57" s="177">
        <f t="shared" si="23"/>
        <v>2041</v>
      </c>
      <c r="AA57" s="177">
        <f t="shared" si="23"/>
        <v>2042</v>
      </c>
      <c r="AB57" s="177">
        <f t="shared" si="23"/>
        <v>2043</v>
      </c>
      <c r="AC57" s="177">
        <f t="shared" si="23"/>
        <v>2044</v>
      </c>
    </row>
    <row r="58" spans="2:35" s="179" customFormat="1" hidden="1" outlineLevel="1">
      <c r="E58" s="184" t="str">
        <f t="shared" ref="E58:E64" si="24">E24</f>
        <v>Гостиница 5*</v>
      </c>
      <c r="F58" s="1830" t="s">
        <v>1367</v>
      </c>
      <c r="G58" s="502"/>
      <c r="H58" s="503"/>
      <c r="I58" s="503">
        <f t="shared" ref="I58:AB58" si="25">SUMIF($F$35:$J$35,I24,$F36:$J36)</f>
        <v>0</v>
      </c>
      <c r="J58" s="503">
        <f t="shared" si="25"/>
        <v>0</v>
      </c>
      <c r="K58" s="503">
        <f t="shared" si="25"/>
        <v>0.85</v>
      </c>
      <c r="L58" s="503">
        <f t="shared" si="25"/>
        <v>0.95</v>
      </c>
      <c r="M58" s="503">
        <f t="shared" si="25"/>
        <v>1</v>
      </c>
      <c r="N58" s="503">
        <f t="shared" si="25"/>
        <v>1</v>
      </c>
      <c r="O58" s="503">
        <f t="shared" si="25"/>
        <v>1</v>
      </c>
      <c r="P58" s="503">
        <f t="shared" si="25"/>
        <v>1</v>
      </c>
      <c r="Q58" s="503">
        <f t="shared" si="25"/>
        <v>1</v>
      </c>
      <c r="R58" s="503">
        <f t="shared" si="25"/>
        <v>1</v>
      </c>
      <c r="S58" s="503">
        <f t="shared" si="25"/>
        <v>1</v>
      </c>
      <c r="T58" s="503">
        <f t="shared" si="25"/>
        <v>1</v>
      </c>
      <c r="U58" s="503">
        <f t="shared" si="25"/>
        <v>1</v>
      </c>
      <c r="V58" s="503">
        <f t="shared" si="25"/>
        <v>1</v>
      </c>
      <c r="W58" s="503">
        <f t="shared" si="25"/>
        <v>1</v>
      </c>
      <c r="X58" s="503">
        <f t="shared" si="25"/>
        <v>1</v>
      </c>
      <c r="Y58" s="503">
        <f t="shared" si="25"/>
        <v>1</v>
      </c>
      <c r="Z58" s="503">
        <f t="shared" si="25"/>
        <v>1</v>
      </c>
      <c r="AA58" s="503">
        <f t="shared" si="25"/>
        <v>1</v>
      </c>
      <c r="AB58" s="503">
        <f t="shared" si="25"/>
        <v>1</v>
      </c>
      <c r="AC58" s="503">
        <f t="shared" ref="AC58:AC64" si="26">SUMIF($F$35:$J$35,AC24,$F36:$J36)</f>
        <v>1</v>
      </c>
    </row>
    <row r="59" spans="2:35" s="179" customFormat="1" hidden="1" outlineLevel="1">
      <c r="E59" s="184" t="str">
        <f t="shared" si="24"/>
        <v>Гостиница 4*</v>
      </c>
      <c r="F59" s="1830" t="s">
        <v>1368</v>
      </c>
      <c r="G59" s="502"/>
      <c r="H59" s="503"/>
      <c r="I59" s="503">
        <f t="shared" ref="I59:AB59" si="27">SUMIF($F$35:$J$35,I25,$F37:$J37)</f>
        <v>0</v>
      </c>
      <c r="J59" s="503">
        <f t="shared" si="27"/>
        <v>0</v>
      </c>
      <c r="K59" s="503">
        <f t="shared" si="27"/>
        <v>0.85</v>
      </c>
      <c r="L59" s="503">
        <f t="shared" si="27"/>
        <v>0.95</v>
      </c>
      <c r="M59" s="503">
        <f t="shared" si="27"/>
        <v>1</v>
      </c>
      <c r="N59" s="503">
        <f t="shared" si="27"/>
        <v>1</v>
      </c>
      <c r="O59" s="503">
        <f t="shared" si="27"/>
        <v>1</v>
      </c>
      <c r="P59" s="503">
        <f t="shared" si="27"/>
        <v>1</v>
      </c>
      <c r="Q59" s="503">
        <f t="shared" si="27"/>
        <v>1</v>
      </c>
      <c r="R59" s="503">
        <f t="shared" si="27"/>
        <v>1</v>
      </c>
      <c r="S59" s="503">
        <f t="shared" si="27"/>
        <v>1</v>
      </c>
      <c r="T59" s="503">
        <f t="shared" si="27"/>
        <v>1</v>
      </c>
      <c r="U59" s="503">
        <f t="shared" si="27"/>
        <v>1</v>
      </c>
      <c r="V59" s="503">
        <f t="shared" si="27"/>
        <v>1</v>
      </c>
      <c r="W59" s="503">
        <f t="shared" si="27"/>
        <v>1</v>
      </c>
      <c r="X59" s="503">
        <f t="shared" si="27"/>
        <v>1</v>
      </c>
      <c r="Y59" s="503">
        <f t="shared" si="27"/>
        <v>1</v>
      </c>
      <c r="Z59" s="503">
        <f t="shared" si="27"/>
        <v>1</v>
      </c>
      <c r="AA59" s="503">
        <f t="shared" si="27"/>
        <v>1</v>
      </c>
      <c r="AB59" s="503">
        <f t="shared" si="27"/>
        <v>1</v>
      </c>
      <c r="AC59" s="503">
        <f t="shared" si="26"/>
        <v>1</v>
      </c>
    </row>
    <row r="60" spans="2:35" s="179" customFormat="1" hidden="1" outlineLevel="1">
      <c r="E60" s="192" t="str">
        <f t="shared" si="24"/>
        <v>Гостиница 3*</v>
      </c>
      <c r="F60" s="1830" t="s">
        <v>1369</v>
      </c>
      <c r="G60" s="502"/>
      <c r="H60" s="503"/>
      <c r="I60" s="503">
        <f t="shared" ref="I60:AB60" si="28">SUMIF($F$35:$J$35,I26,$F38:$J38)</f>
        <v>0</v>
      </c>
      <c r="J60" s="503">
        <f t="shared" si="28"/>
        <v>0.85</v>
      </c>
      <c r="K60" s="503">
        <f t="shared" si="28"/>
        <v>0.95</v>
      </c>
      <c r="L60" s="503">
        <f t="shared" si="28"/>
        <v>1</v>
      </c>
      <c r="M60" s="503">
        <f t="shared" si="28"/>
        <v>1</v>
      </c>
      <c r="N60" s="503">
        <f t="shared" si="28"/>
        <v>1</v>
      </c>
      <c r="O60" s="503">
        <f t="shared" si="28"/>
        <v>1</v>
      </c>
      <c r="P60" s="503">
        <f t="shared" si="28"/>
        <v>1</v>
      </c>
      <c r="Q60" s="503">
        <f t="shared" si="28"/>
        <v>1</v>
      </c>
      <c r="R60" s="503">
        <f t="shared" si="28"/>
        <v>1</v>
      </c>
      <c r="S60" s="503">
        <f t="shared" si="28"/>
        <v>1</v>
      </c>
      <c r="T60" s="503">
        <f t="shared" si="28"/>
        <v>1</v>
      </c>
      <c r="U60" s="503">
        <f t="shared" si="28"/>
        <v>1</v>
      </c>
      <c r="V60" s="503">
        <f t="shared" si="28"/>
        <v>1</v>
      </c>
      <c r="W60" s="503">
        <f t="shared" si="28"/>
        <v>1</v>
      </c>
      <c r="X60" s="503">
        <f t="shared" si="28"/>
        <v>1</v>
      </c>
      <c r="Y60" s="503">
        <f t="shared" si="28"/>
        <v>1</v>
      </c>
      <c r="Z60" s="503">
        <f t="shared" si="28"/>
        <v>1</v>
      </c>
      <c r="AA60" s="503">
        <f t="shared" si="28"/>
        <v>1</v>
      </c>
      <c r="AB60" s="503">
        <f t="shared" si="28"/>
        <v>1</v>
      </c>
      <c r="AC60" s="503">
        <f t="shared" si="26"/>
        <v>1</v>
      </c>
    </row>
    <row r="61" spans="2:35" s="179" customFormat="1" hidden="1" outlineLevel="1">
      <c r="E61" s="192" t="str">
        <f t="shared" si="24"/>
        <v>Гостиница 2*</v>
      </c>
      <c r="F61" s="1830" t="s">
        <v>1370</v>
      </c>
      <c r="G61" s="502"/>
      <c r="H61" s="503"/>
      <c r="I61" s="503">
        <f t="shared" ref="I61:AB61" si="29">SUMIF($F$35:$J$35,I27,$F39:$J39)</f>
        <v>0</v>
      </c>
      <c r="J61" s="503">
        <f t="shared" si="29"/>
        <v>0</v>
      </c>
      <c r="K61" s="503">
        <f t="shared" si="29"/>
        <v>0</v>
      </c>
      <c r="L61" s="503">
        <f t="shared" si="29"/>
        <v>0</v>
      </c>
      <c r="M61" s="503">
        <f t="shared" si="29"/>
        <v>0</v>
      </c>
      <c r="N61" s="503">
        <f t="shared" si="29"/>
        <v>0</v>
      </c>
      <c r="O61" s="503">
        <f t="shared" si="29"/>
        <v>0</v>
      </c>
      <c r="P61" s="503">
        <f t="shared" si="29"/>
        <v>0</v>
      </c>
      <c r="Q61" s="503">
        <f t="shared" si="29"/>
        <v>0</v>
      </c>
      <c r="R61" s="503">
        <f t="shared" si="29"/>
        <v>0</v>
      </c>
      <c r="S61" s="503">
        <f t="shared" si="29"/>
        <v>0</v>
      </c>
      <c r="T61" s="503">
        <f t="shared" si="29"/>
        <v>0</v>
      </c>
      <c r="U61" s="503">
        <f t="shared" si="29"/>
        <v>0</v>
      </c>
      <c r="V61" s="503">
        <f t="shared" si="29"/>
        <v>0</v>
      </c>
      <c r="W61" s="503">
        <f t="shared" si="29"/>
        <v>0</v>
      </c>
      <c r="X61" s="503">
        <f t="shared" si="29"/>
        <v>0</v>
      </c>
      <c r="Y61" s="503">
        <f t="shared" si="29"/>
        <v>0</v>
      </c>
      <c r="Z61" s="503">
        <f t="shared" si="29"/>
        <v>0</v>
      </c>
      <c r="AA61" s="503">
        <f t="shared" si="29"/>
        <v>0</v>
      </c>
      <c r="AB61" s="503">
        <f t="shared" si="29"/>
        <v>0</v>
      </c>
      <c r="AC61" s="503">
        <f t="shared" si="26"/>
        <v>0</v>
      </c>
    </row>
    <row r="62" spans="2:35" s="179" customFormat="1" hidden="1" outlineLevel="1">
      <c r="E62" s="192" t="str">
        <f t="shared" si="24"/>
        <v>Хостел в составе МФЦ</v>
      </c>
      <c r="F62" s="1830" t="s">
        <v>1369</v>
      </c>
      <c r="G62" s="502"/>
      <c r="H62" s="503"/>
      <c r="I62" s="503">
        <f t="shared" ref="I62:AB62" si="30">SUMIF($F$35:$J$35,I28,$F40:$J40)</f>
        <v>0</v>
      </c>
      <c r="J62" s="503">
        <f t="shared" si="30"/>
        <v>0.7</v>
      </c>
      <c r="K62" s="503">
        <f t="shared" si="30"/>
        <v>0.75</v>
      </c>
      <c r="L62" s="503">
        <f t="shared" si="30"/>
        <v>0.8</v>
      </c>
      <c r="M62" s="503">
        <f t="shared" si="30"/>
        <v>0.85</v>
      </c>
      <c r="N62" s="503">
        <f t="shared" si="30"/>
        <v>0.9</v>
      </c>
      <c r="O62" s="503">
        <f t="shared" si="30"/>
        <v>0.9</v>
      </c>
      <c r="P62" s="503">
        <f t="shared" si="30"/>
        <v>0.9</v>
      </c>
      <c r="Q62" s="503">
        <f t="shared" si="30"/>
        <v>0.9</v>
      </c>
      <c r="R62" s="503">
        <f t="shared" si="30"/>
        <v>0.9</v>
      </c>
      <c r="S62" s="503">
        <f t="shared" si="30"/>
        <v>0.9</v>
      </c>
      <c r="T62" s="503">
        <f t="shared" si="30"/>
        <v>0.9</v>
      </c>
      <c r="U62" s="503">
        <f t="shared" si="30"/>
        <v>0.9</v>
      </c>
      <c r="V62" s="503">
        <f t="shared" si="30"/>
        <v>0.9</v>
      </c>
      <c r="W62" s="503">
        <f t="shared" si="30"/>
        <v>0.9</v>
      </c>
      <c r="X62" s="503">
        <f t="shared" si="30"/>
        <v>0.9</v>
      </c>
      <c r="Y62" s="503">
        <f t="shared" si="30"/>
        <v>0.9</v>
      </c>
      <c r="Z62" s="503">
        <f t="shared" si="30"/>
        <v>0.9</v>
      </c>
      <c r="AA62" s="503">
        <f t="shared" si="30"/>
        <v>0.9</v>
      </c>
      <c r="AB62" s="503">
        <f t="shared" si="30"/>
        <v>0.9</v>
      </c>
      <c r="AC62" s="503">
        <f t="shared" si="26"/>
        <v>0.9</v>
      </c>
    </row>
    <row r="63" spans="2:35" s="179" customFormat="1" hidden="1" outlineLevel="1">
      <c r="E63" s="192" t="str">
        <f t="shared" si="24"/>
        <v>Шале</v>
      </c>
      <c r="F63" s="1831" t="s">
        <v>1371</v>
      </c>
      <c r="G63" s="502"/>
      <c r="H63" s="503"/>
      <c r="I63" s="503">
        <f t="shared" ref="I63:AB63" si="31">SUMIF($F$35:$J$35,I29,$F41:$J41)</f>
        <v>0</v>
      </c>
      <c r="J63" s="503">
        <f t="shared" si="31"/>
        <v>0</v>
      </c>
      <c r="K63" s="503">
        <f t="shared" si="31"/>
        <v>0.85</v>
      </c>
      <c r="L63" s="503">
        <f t="shared" si="31"/>
        <v>0.95</v>
      </c>
      <c r="M63" s="503">
        <f t="shared" si="31"/>
        <v>1</v>
      </c>
      <c r="N63" s="503">
        <f t="shared" si="31"/>
        <v>1</v>
      </c>
      <c r="O63" s="503">
        <f t="shared" si="31"/>
        <v>1</v>
      </c>
      <c r="P63" s="503">
        <f t="shared" si="31"/>
        <v>1</v>
      </c>
      <c r="Q63" s="503">
        <f t="shared" si="31"/>
        <v>1</v>
      </c>
      <c r="R63" s="503">
        <f t="shared" si="31"/>
        <v>1</v>
      </c>
      <c r="S63" s="503">
        <f t="shared" si="31"/>
        <v>1</v>
      </c>
      <c r="T63" s="503">
        <f t="shared" si="31"/>
        <v>1</v>
      </c>
      <c r="U63" s="503">
        <f t="shared" si="31"/>
        <v>1</v>
      </c>
      <c r="V63" s="503">
        <f t="shared" si="31"/>
        <v>1</v>
      </c>
      <c r="W63" s="503">
        <f t="shared" si="31"/>
        <v>1</v>
      </c>
      <c r="X63" s="503">
        <f t="shared" si="31"/>
        <v>1</v>
      </c>
      <c r="Y63" s="503">
        <f t="shared" si="31"/>
        <v>1</v>
      </c>
      <c r="Z63" s="503">
        <f t="shared" si="31"/>
        <v>1</v>
      </c>
      <c r="AA63" s="503">
        <f t="shared" si="31"/>
        <v>1</v>
      </c>
      <c r="AB63" s="503">
        <f t="shared" si="31"/>
        <v>1</v>
      </c>
      <c r="AC63" s="503">
        <f t="shared" si="26"/>
        <v>1</v>
      </c>
    </row>
    <row r="64" spans="2:35" s="179" customFormat="1" hidden="1" outlineLevel="1">
      <c r="E64" s="192" t="str">
        <f t="shared" si="24"/>
        <v>Туристские резиденции</v>
      </c>
      <c r="F64" s="1830" t="s">
        <v>1369</v>
      </c>
      <c r="G64" s="502"/>
      <c r="H64" s="503"/>
      <c r="I64" s="503">
        <f t="shared" ref="I64:AB64" si="32">SUMIF($F$35:$J$35,I30,$F42:$J42)</f>
        <v>0</v>
      </c>
      <c r="J64" s="503">
        <f t="shared" si="32"/>
        <v>0.8</v>
      </c>
      <c r="K64" s="503">
        <f t="shared" si="32"/>
        <v>0.85</v>
      </c>
      <c r="L64" s="503">
        <f t="shared" si="32"/>
        <v>0.9</v>
      </c>
      <c r="M64" s="503">
        <f t="shared" si="32"/>
        <v>1</v>
      </c>
      <c r="N64" s="503">
        <f t="shared" si="32"/>
        <v>1</v>
      </c>
      <c r="O64" s="503">
        <f t="shared" si="32"/>
        <v>1</v>
      </c>
      <c r="P64" s="503">
        <f t="shared" si="32"/>
        <v>1</v>
      </c>
      <c r="Q64" s="503">
        <f t="shared" si="32"/>
        <v>1</v>
      </c>
      <c r="R64" s="503">
        <f t="shared" si="32"/>
        <v>1</v>
      </c>
      <c r="S64" s="503">
        <f t="shared" si="32"/>
        <v>1</v>
      </c>
      <c r="T64" s="503">
        <f t="shared" si="32"/>
        <v>1</v>
      </c>
      <c r="U64" s="503">
        <f t="shared" si="32"/>
        <v>1</v>
      </c>
      <c r="V64" s="503">
        <f t="shared" si="32"/>
        <v>1</v>
      </c>
      <c r="W64" s="503">
        <f t="shared" si="32"/>
        <v>1</v>
      </c>
      <c r="X64" s="503">
        <f t="shared" si="32"/>
        <v>1</v>
      </c>
      <c r="Y64" s="503">
        <f t="shared" si="32"/>
        <v>1</v>
      </c>
      <c r="Z64" s="503">
        <f t="shared" si="32"/>
        <v>1</v>
      </c>
      <c r="AA64" s="503">
        <f t="shared" si="32"/>
        <v>1</v>
      </c>
      <c r="AB64" s="503">
        <f t="shared" si="32"/>
        <v>1</v>
      </c>
      <c r="AC64" s="503">
        <f t="shared" si="26"/>
        <v>1</v>
      </c>
    </row>
    <row r="65" spans="5:29" hidden="1" outlineLevel="1">
      <c r="E65" s="187" t="s">
        <v>293</v>
      </c>
      <c r="F65" s="177"/>
      <c r="G65" s="177"/>
      <c r="H65" s="177">
        <f t="shared" ref="H65:AB65" si="33">H57</f>
        <v>2023</v>
      </c>
      <c r="I65" s="177">
        <f t="shared" si="33"/>
        <v>2024</v>
      </c>
      <c r="J65" s="177">
        <f t="shared" si="33"/>
        <v>2025</v>
      </c>
      <c r="K65" s="177">
        <f t="shared" si="33"/>
        <v>2026</v>
      </c>
      <c r="L65" s="177">
        <f t="shared" si="33"/>
        <v>2027</v>
      </c>
      <c r="M65" s="177">
        <f t="shared" si="33"/>
        <v>2028</v>
      </c>
      <c r="N65" s="177">
        <f t="shared" si="33"/>
        <v>2029</v>
      </c>
      <c r="O65" s="177">
        <f t="shared" si="33"/>
        <v>2030</v>
      </c>
      <c r="P65" s="177">
        <f t="shared" si="33"/>
        <v>2031</v>
      </c>
      <c r="Q65" s="177">
        <f t="shared" si="33"/>
        <v>2032</v>
      </c>
      <c r="R65" s="177">
        <f t="shared" si="33"/>
        <v>2033</v>
      </c>
      <c r="S65" s="177">
        <f t="shared" si="33"/>
        <v>2034</v>
      </c>
      <c r="T65" s="177">
        <f t="shared" si="33"/>
        <v>2035</v>
      </c>
      <c r="U65" s="177">
        <f t="shared" si="33"/>
        <v>2036</v>
      </c>
      <c r="V65" s="177">
        <f t="shared" si="33"/>
        <v>2037</v>
      </c>
      <c r="W65" s="177">
        <f t="shared" si="33"/>
        <v>2038</v>
      </c>
      <c r="X65" s="177">
        <f t="shared" si="33"/>
        <v>2039</v>
      </c>
      <c r="Y65" s="177">
        <f t="shared" si="33"/>
        <v>2040</v>
      </c>
      <c r="Z65" s="177">
        <f t="shared" si="33"/>
        <v>2041</v>
      </c>
      <c r="AA65" s="177">
        <f t="shared" si="33"/>
        <v>2042</v>
      </c>
      <c r="AB65" s="177">
        <f t="shared" si="33"/>
        <v>2043</v>
      </c>
      <c r="AC65" s="177">
        <f>AC57</f>
        <v>2044</v>
      </c>
    </row>
    <row r="66" spans="5:29" s="784" customFormat="1" hidden="1" outlineLevel="1">
      <c r="E66" s="265" t="str">
        <f t="shared" ref="E66:E72" si="34">E58</f>
        <v>Гостиница 5*</v>
      </c>
      <c r="F66" s="785"/>
      <c r="G66" s="785"/>
      <c r="H66" s="783">
        <f t="shared" ref="H66:H72" si="35">SUMIF($D$9:$D$13,$D24,H$9:H$13)*H58</f>
        <v>0</v>
      </c>
      <c r="I66" s="783">
        <f t="shared" ref="I66:AB66" si="36">SUMIF($D$9:$D$13,$D24,I$9:I$13)*I58</f>
        <v>0</v>
      </c>
      <c r="J66" s="783">
        <f t="shared" si="36"/>
        <v>0</v>
      </c>
      <c r="K66" s="783">
        <f t="shared" si="36"/>
        <v>12031.9952896</v>
      </c>
      <c r="L66" s="783">
        <f t="shared" si="36"/>
        <v>13985.425113088</v>
      </c>
      <c r="M66" s="783">
        <f t="shared" si="36"/>
        <v>15310.360123801602</v>
      </c>
      <c r="N66" s="783">
        <f t="shared" si="36"/>
        <v>15922.774528753665</v>
      </c>
      <c r="O66" s="783">
        <f t="shared" si="36"/>
        <v>16559.685509903811</v>
      </c>
      <c r="P66" s="783">
        <f t="shared" si="36"/>
        <v>17222.072930299964</v>
      </c>
      <c r="Q66" s="783">
        <f t="shared" si="36"/>
        <v>17910.955847511963</v>
      </c>
      <c r="R66" s="783">
        <f t="shared" si="36"/>
        <v>18627.394081412443</v>
      </c>
      <c r="S66" s="783">
        <f t="shared" si="36"/>
        <v>19372.48984466894</v>
      </c>
      <c r="T66" s="783">
        <f t="shared" si="36"/>
        <v>20147.389438455699</v>
      </c>
      <c r="U66" s="783">
        <f t="shared" si="36"/>
        <v>20953.285015993926</v>
      </c>
      <c r="V66" s="783">
        <f t="shared" si="36"/>
        <v>21791.416416633685</v>
      </c>
      <c r="W66" s="783">
        <f t="shared" si="36"/>
        <v>22663.073073299034</v>
      </c>
      <c r="X66" s="783">
        <f t="shared" si="36"/>
        <v>23569.595996230997</v>
      </c>
      <c r="Y66" s="783">
        <f t="shared" si="36"/>
        <v>24512.379836080239</v>
      </c>
      <c r="Z66" s="783">
        <f t="shared" si="36"/>
        <v>25492.875029523449</v>
      </c>
      <c r="AA66" s="783">
        <f t="shared" si="36"/>
        <v>26512.590030704388</v>
      </c>
      <c r="AB66" s="783">
        <f t="shared" si="36"/>
        <v>27573.093631932566</v>
      </c>
      <c r="AC66" s="783">
        <f t="shared" ref="AC66:AC72" si="37">SUMIF($D$9:$D$13,$D24,AC$9:AC$13)*AC58</f>
        <v>28676.017377209871</v>
      </c>
    </row>
    <row r="67" spans="5:29" s="179" customFormat="1" hidden="1" outlineLevel="1">
      <c r="E67" s="184" t="str">
        <f t="shared" si="34"/>
        <v>Гостиница 4*</v>
      </c>
      <c r="F67" s="502"/>
      <c r="G67" s="502"/>
      <c r="H67" s="500">
        <f t="shared" si="35"/>
        <v>0</v>
      </c>
      <c r="I67" s="500">
        <f t="shared" ref="I67:AB67" si="38">SUMIF($D$9:$D$13,$D25,I$9:I$13)*I59</f>
        <v>0</v>
      </c>
      <c r="J67" s="500">
        <f t="shared" si="38"/>
        <v>0</v>
      </c>
      <c r="K67" s="500">
        <f t="shared" si="38"/>
        <v>7060.0964096000007</v>
      </c>
      <c r="L67" s="783">
        <f t="shared" si="38"/>
        <v>8206.3238266880016</v>
      </c>
      <c r="M67" s="500">
        <f t="shared" si="38"/>
        <v>8983.7650313216018</v>
      </c>
      <c r="N67" s="500">
        <f t="shared" si="38"/>
        <v>9343.1156325744669</v>
      </c>
      <c r="O67" s="500">
        <f t="shared" si="38"/>
        <v>9716.8402578774458</v>
      </c>
      <c r="P67" s="500">
        <f t="shared" si="38"/>
        <v>10105.513868192544</v>
      </c>
      <c r="Q67" s="500">
        <f t="shared" si="38"/>
        <v>10509.734422920246</v>
      </c>
      <c r="R67" s="500">
        <f t="shared" si="38"/>
        <v>10930.123799837056</v>
      </c>
      <c r="S67" s="500">
        <f t="shared" si="38"/>
        <v>11367.328751830539</v>
      </c>
      <c r="T67" s="500">
        <f t="shared" si="38"/>
        <v>11822.021901903761</v>
      </c>
      <c r="U67" s="500">
        <f t="shared" si="38"/>
        <v>12294.902777979913</v>
      </c>
      <c r="V67" s="500">
        <f t="shared" si="38"/>
        <v>12786.698889099109</v>
      </c>
      <c r="W67" s="500">
        <f t="shared" si="38"/>
        <v>13298.166844663074</v>
      </c>
      <c r="X67" s="500">
        <f t="shared" si="38"/>
        <v>13830.093518449597</v>
      </c>
      <c r="Y67" s="500">
        <f t="shared" si="38"/>
        <v>14383.297259187582</v>
      </c>
      <c r="Z67" s="500">
        <f t="shared" si="38"/>
        <v>14958.629149555087</v>
      </c>
      <c r="AA67" s="500">
        <f t="shared" si="38"/>
        <v>15556.974315537291</v>
      </c>
      <c r="AB67" s="500">
        <f t="shared" si="38"/>
        <v>16179.253288158783</v>
      </c>
      <c r="AC67" s="500">
        <f t="shared" si="37"/>
        <v>16826.423419685136</v>
      </c>
    </row>
    <row r="68" spans="5:29" s="179" customFormat="1" hidden="1" outlineLevel="1">
      <c r="E68" s="184" t="str">
        <f t="shared" si="34"/>
        <v>Гостиница 3*</v>
      </c>
      <c r="F68" s="502"/>
      <c r="G68" s="502"/>
      <c r="H68" s="500">
        <f t="shared" si="35"/>
        <v>0</v>
      </c>
      <c r="I68" s="500">
        <f t="shared" ref="I68:AB68" si="39">SUMIF($D$9:$D$13,$D26,I$9:I$13)*I60</f>
        <v>0</v>
      </c>
      <c r="J68" s="500">
        <f t="shared" si="39"/>
        <v>5449.9660800000001</v>
      </c>
      <c r="K68" s="500">
        <f t="shared" si="39"/>
        <v>6334.7841023999999</v>
      </c>
      <c r="L68" s="783">
        <f t="shared" si="39"/>
        <v>6934.9215436800005</v>
      </c>
      <c r="M68" s="500">
        <f t="shared" si="39"/>
        <v>7212.3184054272006</v>
      </c>
      <c r="N68" s="500">
        <f t="shared" si="39"/>
        <v>7500.8111416442889</v>
      </c>
      <c r="O68" s="500">
        <f t="shared" si="39"/>
        <v>7800.8435873100607</v>
      </c>
      <c r="P68" s="500">
        <f t="shared" si="39"/>
        <v>8112.8773308024638</v>
      </c>
      <c r="Q68" s="500">
        <f t="shared" si="39"/>
        <v>8437.3924240345623</v>
      </c>
      <c r="R68" s="500">
        <f t="shared" si="39"/>
        <v>8774.8881209959454</v>
      </c>
      <c r="S68" s="500">
        <f t="shared" si="39"/>
        <v>9125.8836458357837</v>
      </c>
      <c r="T68" s="500">
        <f t="shared" si="39"/>
        <v>9490.9189916692158</v>
      </c>
      <c r="U68" s="500">
        <f t="shared" si="39"/>
        <v>9870.5557513359854</v>
      </c>
      <c r="V68" s="500">
        <f t="shared" si="39"/>
        <v>10265.377981389425</v>
      </c>
      <c r="W68" s="500">
        <f t="shared" si="39"/>
        <v>10675.993100645002</v>
      </c>
      <c r="X68" s="500">
        <f t="shared" si="39"/>
        <v>11103.032824670803</v>
      </c>
      <c r="Y68" s="500">
        <f t="shared" si="39"/>
        <v>11547.154137657635</v>
      </c>
      <c r="Z68" s="500">
        <f t="shared" si="39"/>
        <v>12009.040303163942</v>
      </c>
      <c r="AA68" s="500">
        <f t="shared" si="39"/>
        <v>12489.4019152905</v>
      </c>
      <c r="AB68" s="500">
        <f t="shared" si="39"/>
        <v>12988.97799190212</v>
      </c>
      <c r="AC68" s="500">
        <f t="shared" si="37"/>
        <v>13508.537111578205</v>
      </c>
    </row>
    <row r="69" spans="5:29" s="179" customFormat="1" hidden="1" outlineLevel="1">
      <c r="E69" s="184" t="str">
        <f t="shared" si="34"/>
        <v>Гостиница 2*</v>
      </c>
      <c r="F69" s="502"/>
      <c r="G69" s="502"/>
      <c r="H69" s="500">
        <f t="shared" si="35"/>
        <v>0</v>
      </c>
      <c r="I69" s="500">
        <f t="shared" ref="I69:AB69" si="40">SUMIF($D$9:$D$13,$D27,I$9:I$13)*I61</f>
        <v>0</v>
      </c>
      <c r="J69" s="500">
        <f t="shared" si="40"/>
        <v>0</v>
      </c>
      <c r="K69" s="500">
        <f t="shared" si="40"/>
        <v>0</v>
      </c>
      <c r="L69" s="783">
        <f t="shared" si="40"/>
        <v>0</v>
      </c>
      <c r="M69" s="500">
        <f t="shared" si="40"/>
        <v>0</v>
      </c>
      <c r="N69" s="500">
        <f t="shared" si="40"/>
        <v>0</v>
      </c>
      <c r="O69" s="500">
        <f t="shared" si="40"/>
        <v>0</v>
      </c>
      <c r="P69" s="500">
        <f t="shared" si="40"/>
        <v>0</v>
      </c>
      <c r="Q69" s="500">
        <f t="shared" si="40"/>
        <v>0</v>
      </c>
      <c r="R69" s="500">
        <f t="shared" si="40"/>
        <v>0</v>
      </c>
      <c r="S69" s="500">
        <f t="shared" si="40"/>
        <v>0</v>
      </c>
      <c r="T69" s="500">
        <f t="shared" si="40"/>
        <v>0</v>
      </c>
      <c r="U69" s="500">
        <f t="shared" si="40"/>
        <v>0</v>
      </c>
      <c r="V69" s="500">
        <f t="shared" si="40"/>
        <v>0</v>
      </c>
      <c r="W69" s="500">
        <f t="shared" si="40"/>
        <v>0</v>
      </c>
      <c r="X69" s="500">
        <f t="shared" si="40"/>
        <v>0</v>
      </c>
      <c r="Y69" s="500">
        <f t="shared" si="40"/>
        <v>0</v>
      </c>
      <c r="Z69" s="500">
        <f t="shared" si="40"/>
        <v>0</v>
      </c>
      <c r="AA69" s="500">
        <f t="shared" si="40"/>
        <v>0</v>
      </c>
      <c r="AB69" s="500">
        <f t="shared" si="40"/>
        <v>0</v>
      </c>
      <c r="AC69" s="500">
        <f t="shared" si="37"/>
        <v>0</v>
      </c>
    </row>
    <row r="70" spans="5:29" s="179" customFormat="1" hidden="1" outlineLevel="1">
      <c r="E70" s="184" t="str">
        <f t="shared" si="34"/>
        <v>Хостел в составе МФЦ</v>
      </c>
      <c r="F70" s="502"/>
      <c r="G70" s="502"/>
      <c r="H70" s="500">
        <f t="shared" si="35"/>
        <v>0</v>
      </c>
      <c r="I70" s="500">
        <f t="shared" ref="I70:AB70" si="41">SUMIF($D$9:$D$13,$D28,I$9:I$13)*I62</f>
        <v>0</v>
      </c>
      <c r="J70" s="500">
        <f t="shared" si="41"/>
        <v>4488.2073599999994</v>
      </c>
      <c r="K70" s="500">
        <f t="shared" si="41"/>
        <v>5001.1453440000005</v>
      </c>
      <c r="L70" s="783">
        <f t="shared" si="41"/>
        <v>5547.9372349440009</v>
      </c>
      <c r="M70" s="500">
        <f t="shared" si="41"/>
        <v>6130.4706446131204</v>
      </c>
      <c r="N70" s="500">
        <f t="shared" si="41"/>
        <v>6750.7300274798599</v>
      </c>
      <c r="O70" s="500">
        <f t="shared" si="41"/>
        <v>7020.7592285790552</v>
      </c>
      <c r="P70" s="500">
        <f t="shared" si="41"/>
        <v>7301.5895977222171</v>
      </c>
      <c r="Q70" s="500">
        <f t="shared" si="41"/>
        <v>7593.6531816311062</v>
      </c>
      <c r="R70" s="500">
        <f t="shared" si="41"/>
        <v>7897.3993088963507</v>
      </c>
      <c r="S70" s="500">
        <f t="shared" si="41"/>
        <v>8213.2952812522053</v>
      </c>
      <c r="T70" s="500">
        <f t="shared" si="41"/>
        <v>8541.8270925022953</v>
      </c>
      <c r="U70" s="500">
        <f t="shared" si="41"/>
        <v>8883.5001762023876</v>
      </c>
      <c r="V70" s="500">
        <f t="shared" si="41"/>
        <v>9238.8401832504824</v>
      </c>
      <c r="W70" s="500">
        <f t="shared" si="41"/>
        <v>9608.3937905805033</v>
      </c>
      <c r="X70" s="500">
        <f t="shared" si="41"/>
        <v>9992.7295422037223</v>
      </c>
      <c r="Y70" s="500">
        <f t="shared" si="41"/>
        <v>10392.438723891872</v>
      </c>
      <c r="Z70" s="500">
        <f t="shared" si="41"/>
        <v>10808.136272847547</v>
      </c>
      <c r="AA70" s="500">
        <f t="shared" si="41"/>
        <v>11240.461723761451</v>
      </c>
      <c r="AB70" s="500">
        <f t="shared" si="41"/>
        <v>11690.080192711908</v>
      </c>
      <c r="AC70" s="500">
        <f t="shared" si="37"/>
        <v>12157.683400420385</v>
      </c>
    </row>
    <row r="71" spans="5:29" s="179" customFormat="1" hidden="1" outlineLevel="1">
      <c r="E71" s="184" t="str">
        <f t="shared" si="34"/>
        <v>Шале</v>
      </c>
      <c r="F71" s="502"/>
      <c r="G71" s="502"/>
      <c r="H71" s="500">
        <f t="shared" si="35"/>
        <v>0</v>
      </c>
      <c r="I71" s="500">
        <f t="shared" ref="I71:AB71" si="42">SUMIF($D$9:$D$13,$D29,I$9:I$13)*I63</f>
        <v>0</v>
      </c>
      <c r="J71" s="500">
        <f t="shared" si="42"/>
        <v>0</v>
      </c>
      <c r="K71" s="500">
        <f t="shared" si="42"/>
        <v>96355.400294400009</v>
      </c>
      <c r="L71" s="500">
        <f t="shared" si="42"/>
        <v>111998.98293043202</v>
      </c>
      <c r="M71" s="500">
        <f t="shared" si="42"/>
        <v>122609.41289226242</v>
      </c>
      <c r="N71" s="500">
        <f t="shared" si="42"/>
        <v>127513.78940795292</v>
      </c>
      <c r="O71" s="783">
        <f t="shared" si="42"/>
        <v>132614.34098427105</v>
      </c>
      <c r="P71" s="500">
        <f t="shared" si="42"/>
        <v>137918.9146236419</v>
      </c>
      <c r="Q71" s="500">
        <f t="shared" si="42"/>
        <v>143435.67120858759</v>
      </c>
      <c r="R71" s="500">
        <f t="shared" si="42"/>
        <v>149173.09805693111</v>
      </c>
      <c r="S71" s="500">
        <f t="shared" si="42"/>
        <v>155140.02197920837</v>
      </c>
      <c r="T71" s="500">
        <f t="shared" si="42"/>
        <v>161345.62285837671</v>
      </c>
      <c r="U71" s="500">
        <f t="shared" si="42"/>
        <v>167799.44777271178</v>
      </c>
      <c r="V71" s="500">
        <f t="shared" si="42"/>
        <v>174511.42568362024</v>
      </c>
      <c r="W71" s="500">
        <f t="shared" si="42"/>
        <v>181491.88271096506</v>
      </c>
      <c r="X71" s="500">
        <f t="shared" si="42"/>
        <v>188751.55801940366</v>
      </c>
      <c r="Y71" s="500">
        <f t="shared" si="42"/>
        <v>196301.62034017983</v>
      </c>
      <c r="Z71" s="500">
        <f t="shared" si="42"/>
        <v>204153.68515378702</v>
      </c>
      <c r="AA71" s="500">
        <f t="shared" si="42"/>
        <v>212319.83255993851</v>
      </c>
      <c r="AB71" s="500">
        <f t="shared" si="42"/>
        <v>220812.62586233605</v>
      </c>
      <c r="AC71" s="500">
        <f t="shared" si="37"/>
        <v>229645.13089682951</v>
      </c>
    </row>
    <row r="72" spans="5:29" s="179" customFormat="1" hidden="1" outlineLevel="1">
      <c r="E72" s="184" t="str">
        <f t="shared" si="34"/>
        <v>Туристские резиденции</v>
      </c>
      <c r="F72" s="502"/>
      <c r="G72" s="502"/>
      <c r="H72" s="500">
        <f t="shared" si="35"/>
        <v>0</v>
      </c>
      <c r="I72" s="500">
        <f t="shared" ref="I72:AB72" si="43">SUMIF($D$9:$D$13,$D30,I$9:I$13)*I64</f>
        <v>0</v>
      </c>
      <c r="J72" s="783">
        <f t="shared" si="43"/>
        <v>5129.3798400000005</v>
      </c>
      <c r="K72" s="783">
        <f t="shared" si="43"/>
        <v>5667.9647231999998</v>
      </c>
      <c r="L72" s="500">
        <f t="shared" si="43"/>
        <v>6241.4293893120002</v>
      </c>
      <c r="M72" s="500">
        <f t="shared" si="43"/>
        <v>7212.3184054272006</v>
      </c>
      <c r="N72" s="500">
        <f t="shared" si="43"/>
        <v>7500.8111416442889</v>
      </c>
      <c r="O72" s="500">
        <f t="shared" si="43"/>
        <v>7800.8435873100607</v>
      </c>
      <c r="P72" s="500">
        <f t="shared" si="43"/>
        <v>8112.8773308024638</v>
      </c>
      <c r="Q72" s="500">
        <f t="shared" si="43"/>
        <v>8437.3924240345623</v>
      </c>
      <c r="R72" s="500">
        <f t="shared" si="43"/>
        <v>8774.8881209959454</v>
      </c>
      <c r="S72" s="500">
        <f t="shared" si="43"/>
        <v>9125.8836458357837</v>
      </c>
      <c r="T72" s="500">
        <f t="shared" si="43"/>
        <v>9490.9189916692158</v>
      </c>
      <c r="U72" s="500">
        <f t="shared" si="43"/>
        <v>9870.5557513359854</v>
      </c>
      <c r="V72" s="500">
        <f t="shared" si="43"/>
        <v>10265.377981389425</v>
      </c>
      <c r="W72" s="500">
        <f t="shared" si="43"/>
        <v>10675.993100645002</v>
      </c>
      <c r="X72" s="500">
        <f t="shared" si="43"/>
        <v>11103.032824670803</v>
      </c>
      <c r="Y72" s="500">
        <f t="shared" si="43"/>
        <v>11547.154137657635</v>
      </c>
      <c r="Z72" s="500">
        <f t="shared" si="43"/>
        <v>12009.040303163942</v>
      </c>
      <c r="AA72" s="500">
        <f t="shared" si="43"/>
        <v>12489.4019152905</v>
      </c>
      <c r="AB72" s="500">
        <f t="shared" si="43"/>
        <v>12988.97799190212</v>
      </c>
      <c r="AC72" s="500">
        <f t="shared" si="37"/>
        <v>13508.537111578205</v>
      </c>
    </row>
    <row r="73" spans="5:29" s="179" customFormat="1" hidden="1" outlineLevel="1">
      <c r="E73" s="490"/>
      <c r="F73" s="504"/>
      <c r="G73" s="504"/>
      <c r="H73" s="505"/>
      <c r="I73" s="505"/>
      <c r="J73" s="506"/>
      <c r="K73" s="506"/>
      <c r="L73" s="506"/>
      <c r="M73" s="506"/>
      <c r="N73" s="506"/>
      <c r="O73" s="506"/>
      <c r="P73" s="506"/>
      <c r="Q73" s="506"/>
      <c r="R73" s="507"/>
      <c r="S73" s="507"/>
      <c r="T73" s="507"/>
      <c r="U73" s="507"/>
      <c r="V73" s="507"/>
      <c r="W73" s="507"/>
      <c r="X73" s="507"/>
      <c r="Y73" s="507"/>
      <c r="Z73" s="506"/>
      <c r="AA73" s="506"/>
      <c r="AB73" s="506"/>
      <c r="AC73" s="506"/>
    </row>
    <row r="74" spans="5:29" s="179" customFormat="1" hidden="1" outlineLevel="1">
      <c r="E74" s="495" t="s">
        <v>508</v>
      </c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</row>
    <row r="75" spans="5:29" collapsed="1">
      <c r="E75" s="187" t="s">
        <v>719</v>
      </c>
      <c r="F75" s="177"/>
      <c r="G75" s="177"/>
      <c r="H75" s="177">
        <f>H65</f>
        <v>2023</v>
      </c>
      <c r="I75" s="177">
        <f t="shared" ref="I75:AB75" si="44">I65</f>
        <v>2024</v>
      </c>
      <c r="J75" s="177">
        <f t="shared" si="44"/>
        <v>2025</v>
      </c>
      <c r="K75" s="177">
        <f t="shared" si="44"/>
        <v>2026</v>
      </c>
      <c r="L75" s="177">
        <f t="shared" si="44"/>
        <v>2027</v>
      </c>
      <c r="M75" s="177">
        <f t="shared" si="44"/>
        <v>2028</v>
      </c>
      <c r="N75" s="177">
        <f t="shared" si="44"/>
        <v>2029</v>
      </c>
      <c r="O75" s="177">
        <f t="shared" si="44"/>
        <v>2030</v>
      </c>
      <c r="P75" s="177">
        <f t="shared" si="44"/>
        <v>2031</v>
      </c>
      <c r="Q75" s="177">
        <f t="shared" si="44"/>
        <v>2032</v>
      </c>
      <c r="R75" s="177">
        <f t="shared" si="44"/>
        <v>2033</v>
      </c>
      <c r="S75" s="177">
        <f t="shared" si="44"/>
        <v>2034</v>
      </c>
      <c r="T75" s="177">
        <f t="shared" si="44"/>
        <v>2035</v>
      </c>
      <c r="U75" s="177">
        <f t="shared" si="44"/>
        <v>2036</v>
      </c>
      <c r="V75" s="177">
        <f t="shared" si="44"/>
        <v>2037</v>
      </c>
      <c r="W75" s="177">
        <f t="shared" si="44"/>
        <v>2038</v>
      </c>
      <c r="X75" s="177">
        <f t="shared" si="44"/>
        <v>2039</v>
      </c>
      <c r="Y75" s="177">
        <f t="shared" si="44"/>
        <v>2040</v>
      </c>
      <c r="Z75" s="177">
        <f t="shared" si="44"/>
        <v>2041</v>
      </c>
      <c r="AA75" s="177">
        <f t="shared" si="44"/>
        <v>2042</v>
      </c>
      <c r="AB75" s="177">
        <f t="shared" si="44"/>
        <v>2043</v>
      </c>
      <c r="AC75" s="177">
        <f>AC65</f>
        <v>2044</v>
      </c>
    </row>
    <row r="76" spans="5:29" s="179" customFormat="1">
      <c r="E76" s="184" t="str">
        <f>E66</f>
        <v>Гостиница 5*</v>
      </c>
      <c r="F76" s="502"/>
      <c r="G76" s="502"/>
      <c r="H76" s="503">
        <f t="shared" ref="H76:H82" si="45">SUMIF($F$46:$J$46,H24,$F47:$J47)</f>
        <v>0</v>
      </c>
      <c r="I76" s="503">
        <f t="shared" ref="I76:AB82" si="46">SUMIF($F$46:$J$46,I24,$F47:$J47)</f>
        <v>0</v>
      </c>
      <c r="J76" s="503">
        <f t="shared" si="46"/>
        <v>0</v>
      </c>
      <c r="K76" s="503">
        <f t="shared" si="46"/>
        <v>0.8</v>
      </c>
      <c r="L76" s="503">
        <f t="shared" si="46"/>
        <v>0.85</v>
      </c>
      <c r="M76" s="1033">
        <f t="shared" si="46"/>
        <v>0.9</v>
      </c>
      <c r="N76" s="503">
        <f t="shared" si="46"/>
        <v>0.95</v>
      </c>
      <c r="O76" s="503">
        <f t="shared" si="46"/>
        <v>1</v>
      </c>
      <c r="P76" s="503">
        <f t="shared" si="46"/>
        <v>1</v>
      </c>
      <c r="Q76" s="503">
        <f t="shared" si="46"/>
        <v>1</v>
      </c>
      <c r="R76" s="503">
        <f t="shared" si="46"/>
        <v>1</v>
      </c>
      <c r="S76" s="503">
        <f t="shared" si="46"/>
        <v>1</v>
      </c>
      <c r="T76" s="503">
        <f t="shared" si="46"/>
        <v>1</v>
      </c>
      <c r="U76" s="503">
        <f t="shared" si="46"/>
        <v>1</v>
      </c>
      <c r="V76" s="503">
        <f t="shared" si="46"/>
        <v>1</v>
      </c>
      <c r="W76" s="503">
        <f t="shared" si="46"/>
        <v>1</v>
      </c>
      <c r="X76" s="503">
        <f t="shared" si="46"/>
        <v>1</v>
      </c>
      <c r="Y76" s="503">
        <f t="shared" si="46"/>
        <v>1</v>
      </c>
      <c r="Z76" s="503">
        <f t="shared" si="46"/>
        <v>1</v>
      </c>
      <c r="AA76" s="503">
        <f t="shared" si="46"/>
        <v>1</v>
      </c>
      <c r="AB76" s="503">
        <f t="shared" si="46"/>
        <v>1</v>
      </c>
      <c r="AC76" s="503">
        <f t="shared" ref="AC76:AC82" si="47">SUMIF($F$46:$J$46,AC24,$F47:$J47)</f>
        <v>1</v>
      </c>
    </row>
    <row r="77" spans="5:29" s="179" customFormat="1">
      <c r="E77" s="184" t="str">
        <f t="shared" ref="E77:E82" si="48">E67</f>
        <v>Гостиница 4*</v>
      </c>
      <c r="F77" s="502"/>
      <c r="G77" s="502"/>
      <c r="H77" s="503">
        <f t="shared" si="45"/>
        <v>0</v>
      </c>
      <c r="I77" s="503">
        <f t="shared" ref="I77:W77" si="49">SUMIF($F$46:$J$46,I25,$F48:$J48)</f>
        <v>0</v>
      </c>
      <c r="J77" s="503">
        <f t="shared" si="49"/>
        <v>0</v>
      </c>
      <c r="K77" s="503">
        <f t="shared" si="49"/>
        <v>0.8</v>
      </c>
      <c r="L77" s="503">
        <f t="shared" si="49"/>
        <v>0.85</v>
      </c>
      <c r="M77" s="503">
        <f t="shared" si="49"/>
        <v>0.9</v>
      </c>
      <c r="N77" s="503">
        <f t="shared" si="49"/>
        <v>0.95</v>
      </c>
      <c r="O77" s="503">
        <f t="shared" si="49"/>
        <v>1</v>
      </c>
      <c r="P77" s="503">
        <f t="shared" si="49"/>
        <v>1</v>
      </c>
      <c r="Q77" s="503">
        <f t="shared" si="49"/>
        <v>1</v>
      </c>
      <c r="R77" s="503">
        <f t="shared" si="49"/>
        <v>1</v>
      </c>
      <c r="S77" s="503">
        <f t="shared" si="49"/>
        <v>1</v>
      </c>
      <c r="T77" s="503">
        <f t="shared" si="49"/>
        <v>1</v>
      </c>
      <c r="U77" s="503">
        <f t="shared" si="49"/>
        <v>1</v>
      </c>
      <c r="V77" s="503">
        <f t="shared" si="49"/>
        <v>1</v>
      </c>
      <c r="W77" s="503">
        <f t="shared" si="49"/>
        <v>1</v>
      </c>
      <c r="X77" s="503">
        <f t="shared" si="46"/>
        <v>1</v>
      </c>
      <c r="Y77" s="503">
        <f t="shared" si="46"/>
        <v>1</v>
      </c>
      <c r="Z77" s="503">
        <f t="shared" si="46"/>
        <v>1</v>
      </c>
      <c r="AA77" s="503">
        <f t="shared" si="46"/>
        <v>1</v>
      </c>
      <c r="AB77" s="503">
        <f t="shared" si="46"/>
        <v>1</v>
      </c>
      <c r="AC77" s="503">
        <f t="shared" si="47"/>
        <v>1</v>
      </c>
    </row>
    <row r="78" spans="5:29" s="179" customFormat="1">
      <c r="E78" s="184" t="str">
        <f t="shared" si="48"/>
        <v>Гостиница 3*</v>
      </c>
      <c r="F78" s="502"/>
      <c r="G78" s="502"/>
      <c r="H78" s="503">
        <f t="shared" si="45"/>
        <v>0</v>
      </c>
      <c r="I78" s="503">
        <f t="shared" si="46"/>
        <v>0</v>
      </c>
      <c r="J78" s="503">
        <f t="shared" si="46"/>
        <v>0.8</v>
      </c>
      <c r="K78" s="503">
        <f t="shared" si="46"/>
        <v>0.85</v>
      </c>
      <c r="L78" s="503">
        <f t="shared" si="46"/>
        <v>0.9</v>
      </c>
      <c r="M78" s="503">
        <f t="shared" si="46"/>
        <v>0.95</v>
      </c>
      <c r="N78" s="503">
        <f t="shared" si="46"/>
        <v>1</v>
      </c>
      <c r="O78" s="503">
        <f t="shared" si="46"/>
        <v>1</v>
      </c>
      <c r="P78" s="503">
        <f t="shared" si="46"/>
        <v>1</v>
      </c>
      <c r="Q78" s="503">
        <f t="shared" si="46"/>
        <v>1</v>
      </c>
      <c r="R78" s="503">
        <f t="shared" si="46"/>
        <v>1</v>
      </c>
      <c r="S78" s="503">
        <f t="shared" si="46"/>
        <v>1</v>
      </c>
      <c r="T78" s="503">
        <f t="shared" si="46"/>
        <v>1</v>
      </c>
      <c r="U78" s="503">
        <f t="shared" si="46"/>
        <v>1</v>
      </c>
      <c r="V78" s="503">
        <f t="shared" si="46"/>
        <v>1</v>
      </c>
      <c r="W78" s="503">
        <f t="shared" si="46"/>
        <v>1</v>
      </c>
      <c r="X78" s="503">
        <f t="shared" si="46"/>
        <v>1</v>
      </c>
      <c r="Y78" s="503">
        <f t="shared" si="46"/>
        <v>1</v>
      </c>
      <c r="Z78" s="503">
        <f t="shared" si="46"/>
        <v>1</v>
      </c>
      <c r="AA78" s="503">
        <f t="shared" si="46"/>
        <v>1</v>
      </c>
      <c r="AB78" s="503">
        <f t="shared" si="46"/>
        <v>1</v>
      </c>
      <c r="AC78" s="503">
        <f t="shared" si="47"/>
        <v>1</v>
      </c>
    </row>
    <row r="79" spans="5:29" s="179" customFormat="1" hidden="1">
      <c r="E79" s="184" t="str">
        <f t="shared" si="48"/>
        <v>Гостиница 2*</v>
      </c>
      <c r="F79" s="502"/>
      <c r="G79" s="502"/>
      <c r="H79" s="503">
        <f t="shared" si="45"/>
        <v>0</v>
      </c>
      <c r="I79" s="503">
        <f t="shared" si="46"/>
        <v>0</v>
      </c>
      <c r="J79" s="503">
        <f t="shared" si="46"/>
        <v>0</v>
      </c>
      <c r="K79" s="503">
        <f t="shared" si="46"/>
        <v>0</v>
      </c>
      <c r="L79" s="503">
        <f t="shared" si="46"/>
        <v>0</v>
      </c>
      <c r="M79" s="503">
        <f t="shared" si="46"/>
        <v>0</v>
      </c>
      <c r="N79" s="503">
        <f t="shared" si="46"/>
        <v>0</v>
      </c>
      <c r="O79" s="503">
        <f t="shared" si="46"/>
        <v>0</v>
      </c>
      <c r="P79" s="503">
        <f t="shared" si="46"/>
        <v>0</v>
      </c>
      <c r="Q79" s="503">
        <f t="shared" si="46"/>
        <v>0</v>
      </c>
      <c r="R79" s="503">
        <f t="shared" si="46"/>
        <v>0</v>
      </c>
      <c r="S79" s="1033">
        <f t="shared" si="46"/>
        <v>0</v>
      </c>
      <c r="T79" s="503">
        <f t="shared" si="46"/>
        <v>0</v>
      </c>
      <c r="U79" s="503">
        <f t="shared" si="46"/>
        <v>0</v>
      </c>
      <c r="V79" s="503">
        <f t="shared" si="46"/>
        <v>0</v>
      </c>
      <c r="W79" s="503">
        <f t="shared" si="46"/>
        <v>0</v>
      </c>
      <c r="X79" s="503">
        <f t="shared" si="46"/>
        <v>0</v>
      </c>
      <c r="Y79" s="503">
        <f t="shared" si="46"/>
        <v>0</v>
      </c>
      <c r="Z79" s="503">
        <f t="shared" si="46"/>
        <v>0</v>
      </c>
      <c r="AA79" s="503">
        <f t="shared" si="46"/>
        <v>0</v>
      </c>
      <c r="AB79" s="503">
        <f t="shared" si="46"/>
        <v>0</v>
      </c>
      <c r="AC79" s="503">
        <f t="shared" si="47"/>
        <v>0</v>
      </c>
    </row>
    <row r="80" spans="5:29" s="179" customFormat="1">
      <c r="E80" s="184" t="str">
        <f t="shared" si="48"/>
        <v>Хостел в составе МФЦ</v>
      </c>
      <c r="F80" s="502"/>
      <c r="G80" s="502"/>
      <c r="H80" s="503">
        <f t="shared" si="45"/>
        <v>0</v>
      </c>
      <c r="I80" s="1033">
        <f t="shared" si="46"/>
        <v>0</v>
      </c>
      <c r="J80" s="1033">
        <f t="shared" si="46"/>
        <v>0.8</v>
      </c>
      <c r="K80" s="503">
        <f t="shared" si="46"/>
        <v>0.85</v>
      </c>
      <c r="L80" s="503">
        <f t="shared" si="46"/>
        <v>0.9</v>
      </c>
      <c r="M80" s="503">
        <f t="shared" si="46"/>
        <v>0.95</v>
      </c>
      <c r="N80" s="503">
        <f t="shared" si="46"/>
        <v>1</v>
      </c>
      <c r="O80" s="503">
        <f t="shared" si="46"/>
        <v>1</v>
      </c>
      <c r="P80" s="503">
        <f t="shared" si="46"/>
        <v>1</v>
      </c>
      <c r="Q80" s="503">
        <f t="shared" si="46"/>
        <v>1</v>
      </c>
      <c r="R80" s="503">
        <f t="shared" si="46"/>
        <v>1</v>
      </c>
      <c r="S80" s="503">
        <f t="shared" si="46"/>
        <v>1</v>
      </c>
      <c r="T80" s="503">
        <f t="shared" si="46"/>
        <v>1</v>
      </c>
      <c r="U80" s="503">
        <f t="shared" si="46"/>
        <v>1</v>
      </c>
      <c r="V80" s="503">
        <f t="shared" si="46"/>
        <v>1</v>
      </c>
      <c r="W80" s="503">
        <f t="shared" si="46"/>
        <v>1</v>
      </c>
      <c r="X80" s="503">
        <f t="shared" si="46"/>
        <v>1</v>
      </c>
      <c r="Y80" s="503">
        <f t="shared" si="46"/>
        <v>1</v>
      </c>
      <c r="Z80" s="503">
        <f t="shared" si="46"/>
        <v>1</v>
      </c>
      <c r="AA80" s="503">
        <f t="shared" si="46"/>
        <v>1</v>
      </c>
      <c r="AB80" s="503">
        <f t="shared" si="46"/>
        <v>1</v>
      </c>
      <c r="AC80" s="503">
        <f t="shared" si="47"/>
        <v>1</v>
      </c>
    </row>
    <row r="81" spans="3:29" s="179" customFormat="1">
      <c r="E81" s="184" t="str">
        <f t="shared" si="48"/>
        <v>Шале</v>
      </c>
      <c r="F81" s="502"/>
      <c r="G81" s="502"/>
      <c r="H81" s="503">
        <f t="shared" si="45"/>
        <v>0</v>
      </c>
      <c r="I81" s="1033">
        <f t="shared" si="46"/>
        <v>0</v>
      </c>
      <c r="J81" s="1033">
        <f t="shared" si="46"/>
        <v>0</v>
      </c>
      <c r="K81" s="503">
        <f t="shared" si="46"/>
        <v>0.8</v>
      </c>
      <c r="L81" s="503">
        <f t="shared" si="46"/>
        <v>0.85</v>
      </c>
      <c r="M81" s="503">
        <f t="shared" si="46"/>
        <v>0.9</v>
      </c>
      <c r="N81" s="503">
        <f t="shared" si="46"/>
        <v>0.95</v>
      </c>
      <c r="O81" s="503">
        <f t="shared" si="46"/>
        <v>1</v>
      </c>
      <c r="P81" s="503">
        <f t="shared" si="46"/>
        <v>1</v>
      </c>
      <c r="Q81" s="503">
        <f t="shared" si="46"/>
        <v>1</v>
      </c>
      <c r="R81" s="503">
        <f t="shared" si="46"/>
        <v>1</v>
      </c>
      <c r="S81" s="503">
        <f t="shared" si="46"/>
        <v>1</v>
      </c>
      <c r="T81" s="503">
        <f t="shared" si="46"/>
        <v>1</v>
      </c>
      <c r="U81" s="503">
        <f t="shared" si="46"/>
        <v>1</v>
      </c>
      <c r="V81" s="503">
        <f t="shared" si="46"/>
        <v>1</v>
      </c>
      <c r="W81" s="503">
        <f t="shared" si="46"/>
        <v>1</v>
      </c>
      <c r="X81" s="503">
        <f t="shared" si="46"/>
        <v>1</v>
      </c>
      <c r="Y81" s="503">
        <f t="shared" si="46"/>
        <v>1</v>
      </c>
      <c r="Z81" s="503">
        <f t="shared" si="46"/>
        <v>1</v>
      </c>
      <c r="AA81" s="503">
        <f t="shared" si="46"/>
        <v>1</v>
      </c>
      <c r="AB81" s="503">
        <f t="shared" si="46"/>
        <v>1</v>
      </c>
      <c r="AC81" s="503">
        <f t="shared" si="47"/>
        <v>1</v>
      </c>
    </row>
    <row r="82" spans="3:29" s="179" customFormat="1">
      <c r="E82" s="184" t="str">
        <f t="shared" si="48"/>
        <v>Туристские резиденции</v>
      </c>
      <c r="F82" s="502"/>
      <c r="G82" s="502"/>
      <c r="H82" s="503">
        <f t="shared" si="45"/>
        <v>0</v>
      </c>
      <c r="I82" s="503">
        <f t="shared" si="46"/>
        <v>0</v>
      </c>
      <c r="J82" s="503">
        <f t="shared" si="46"/>
        <v>0.8</v>
      </c>
      <c r="K82" s="503">
        <f t="shared" si="46"/>
        <v>0.85</v>
      </c>
      <c r="L82" s="503">
        <f t="shared" si="46"/>
        <v>0.9</v>
      </c>
      <c r="M82" s="503">
        <f t="shared" si="46"/>
        <v>0.95</v>
      </c>
      <c r="N82" s="503">
        <f t="shared" si="46"/>
        <v>1</v>
      </c>
      <c r="O82" s="503">
        <f t="shared" si="46"/>
        <v>1</v>
      </c>
      <c r="P82" s="503">
        <f t="shared" si="46"/>
        <v>1</v>
      </c>
      <c r="Q82" s="503">
        <f t="shared" si="46"/>
        <v>1</v>
      </c>
      <c r="R82" s="503">
        <f t="shared" si="46"/>
        <v>1</v>
      </c>
      <c r="S82" s="503">
        <f t="shared" si="46"/>
        <v>1</v>
      </c>
      <c r="T82" s="503">
        <f t="shared" si="46"/>
        <v>1</v>
      </c>
      <c r="U82" s="503">
        <f t="shared" si="46"/>
        <v>1</v>
      </c>
      <c r="V82" s="503">
        <f t="shared" si="46"/>
        <v>1</v>
      </c>
      <c r="W82" s="503">
        <f t="shared" si="46"/>
        <v>1</v>
      </c>
      <c r="X82" s="503">
        <f t="shared" si="46"/>
        <v>1</v>
      </c>
      <c r="Y82" s="503">
        <f t="shared" si="46"/>
        <v>1</v>
      </c>
      <c r="Z82" s="503">
        <f t="shared" si="46"/>
        <v>1</v>
      </c>
      <c r="AA82" s="503">
        <f t="shared" si="46"/>
        <v>1</v>
      </c>
      <c r="AB82" s="503">
        <f t="shared" si="46"/>
        <v>1</v>
      </c>
      <c r="AC82" s="503">
        <f t="shared" si="47"/>
        <v>1</v>
      </c>
    </row>
    <row r="83" spans="3:29" s="179" customFormat="1">
      <c r="C83" s="485" t="str">
        <f t="shared" ref="C83:C90" si="50">D46</f>
        <v>Индекс рынка</v>
      </c>
      <c r="E83" s="187" t="s">
        <v>1034</v>
      </c>
      <c r="F83" s="177"/>
      <c r="G83" s="177"/>
      <c r="H83" s="177">
        <f>H75</f>
        <v>2023</v>
      </c>
      <c r="I83" s="177">
        <f t="shared" ref="I83:AC83" si="51">I75</f>
        <v>2024</v>
      </c>
      <c r="J83" s="177">
        <f t="shared" si="51"/>
        <v>2025</v>
      </c>
      <c r="K83" s="177">
        <f t="shared" si="51"/>
        <v>2026</v>
      </c>
      <c r="L83" s="177">
        <f t="shared" si="51"/>
        <v>2027</v>
      </c>
      <c r="M83" s="177">
        <f t="shared" si="51"/>
        <v>2028</v>
      </c>
      <c r="N83" s="177">
        <f t="shared" si="51"/>
        <v>2029</v>
      </c>
      <c r="O83" s="177">
        <f t="shared" si="51"/>
        <v>2030</v>
      </c>
      <c r="P83" s="177">
        <f t="shared" si="51"/>
        <v>2031</v>
      </c>
      <c r="Q83" s="177">
        <f t="shared" si="51"/>
        <v>2032</v>
      </c>
      <c r="R83" s="177">
        <f t="shared" si="51"/>
        <v>2033</v>
      </c>
      <c r="S83" s="177">
        <f t="shared" si="51"/>
        <v>2034</v>
      </c>
      <c r="T83" s="177">
        <f t="shared" si="51"/>
        <v>2035</v>
      </c>
      <c r="U83" s="177">
        <f t="shared" si="51"/>
        <v>2036</v>
      </c>
      <c r="V83" s="177">
        <f t="shared" si="51"/>
        <v>2037</v>
      </c>
      <c r="W83" s="177">
        <f t="shared" si="51"/>
        <v>2038</v>
      </c>
      <c r="X83" s="177">
        <f t="shared" si="51"/>
        <v>2039</v>
      </c>
      <c r="Y83" s="177">
        <f t="shared" si="51"/>
        <v>2040</v>
      </c>
      <c r="Z83" s="177">
        <f t="shared" si="51"/>
        <v>2041</v>
      </c>
      <c r="AA83" s="177">
        <f t="shared" si="51"/>
        <v>2042</v>
      </c>
      <c r="AB83" s="177">
        <f t="shared" si="51"/>
        <v>2043</v>
      </c>
      <c r="AC83" s="177">
        <f t="shared" si="51"/>
        <v>2044</v>
      </c>
    </row>
    <row r="84" spans="3:29" s="179" customFormat="1">
      <c r="C84" s="489">
        <f t="shared" si="50"/>
        <v>5</v>
      </c>
      <c r="E84" s="184" t="str">
        <f>E76</f>
        <v>Гостиница 5*</v>
      </c>
      <c r="F84" s="502"/>
      <c r="G84" s="502"/>
      <c r="H84" s="503">
        <f>IF(AND(H76-G76=H76,H76&gt;0),СОЧИ_РЫНОК!$AQ336,1)</f>
        <v>1</v>
      </c>
      <c r="I84" s="503">
        <f>IF(AND(I76-H76=I76,I76&gt;0),СОЧИ_РЫНОК!$AQ336,1)</f>
        <v>1</v>
      </c>
      <c r="J84" s="503">
        <f>IF(AND(J76-I76=J76,J76&gt;0),СОЧИ_РЫНОК!$AQ336,1)</f>
        <v>1</v>
      </c>
      <c r="K84" s="1832">
        <f>IF(AND(K76-J76=K76,K76&gt;0),СОЧИ_РЫНОК!$AQ336,1)</f>
        <v>0.99596826164590524</v>
      </c>
      <c r="L84" s="503">
        <f>IF(AND(L76-K76=L76,L76&gt;0),СОЧИ_РЫНОК!$AQ336,1)</f>
        <v>1</v>
      </c>
      <c r="M84" s="503">
        <f>IF(AND(M76-L76=M76,M76&gt;0),СОЧИ_РЫНОК!$AQ336,1)</f>
        <v>1</v>
      </c>
      <c r="N84" s="503">
        <f>IF(AND(N76-M76=N76,N76&gt;0),СОЧИ_РЫНОК!$AQ336,1)</f>
        <v>1</v>
      </c>
      <c r="O84" s="503">
        <f>IF(AND(O76-N76=O76,O76&gt;0),СОЧИ_РЫНОК!$AQ336,1)</f>
        <v>1</v>
      </c>
      <c r="P84" s="503">
        <f>IF(AND(P76-O76=P76,P76&gt;0),СОЧИ_РЫНОК!$AQ336,1)</f>
        <v>1</v>
      </c>
      <c r="Q84" s="503">
        <f>IF(AND(Q76-P76=Q76,Q76&gt;0),СОЧИ_РЫНОК!$AQ336,1)</f>
        <v>1</v>
      </c>
      <c r="R84" s="503">
        <f>IF(AND(R76-Q76=R76,R76&gt;0),СОЧИ_РЫНОК!$AQ336,1)</f>
        <v>1</v>
      </c>
      <c r="S84" s="503">
        <f>IF(AND(S76-R76=S76,S76&gt;0),СОЧИ_РЫНОК!$AQ336,1)</f>
        <v>1</v>
      </c>
      <c r="T84" s="503">
        <f>IF(AND(T76-S76=T76,T76&gt;0),СОЧИ_РЫНОК!$AQ336,1)</f>
        <v>1</v>
      </c>
      <c r="U84" s="503">
        <f>IF(AND(U76-T76=U76,U76&gt;0),СОЧИ_РЫНОК!$AQ336,1)</f>
        <v>1</v>
      </c>
      <c r="V84" s="503">
        <f>IF(AND(V76-U76=V76,V76&gt;0),СОЧИ_РЫНОК!$AQ336,1)</f>
        <v>1</v>
      </c>
      <c r="W84" s="503">
        <f>IF(AND(W76-V76=W76,W76&gt;0),СОЧИ_РЫНОК!$AQ336,1)</f>
        <v>1</v>
      </c>
      <c r="X84" s="503">
        <f>IF(AND(X76-W76=X76,X76&gt;0),СОЧИ_РЫНОК!$AQ336,1)</f>
        <v>1</v>
      </c>
      <c r="Y84" s="503">
        <f>IF(AND(Y76-X76=Y76,Y76&gt;0),СОЧИ_РЫНОК!$AQ336,1)</f>
        <v>1</v>
      </c>
      <c r="Z84" s="503">
        <f>IF(AND(Z76-Y76=Z76,Z76&gt;0),СОЧИ_РЫНОК!$AQ336,1)</f>
        <v>1</v>
      </c>
      <c r="AA84" s="503">
        <f>IF(AND(AA76-Z76=AA76,AA76&gt;0),СОЧИ_РЫНОК!$AQ336,1)</f>
        <v>1</v>
      </c>
      <c r="AB84" s="503">
        <f>IF(AND(AB76-AA76=AB76,AB76&gt;0),СОЧИ_РЫНОК!$AQ336,1)</f>
        <v>1</v>
      </c>
      <c r="AC84" s="503">
        <f>IF(AND(AC76-AB76=AC76,AC76&gt;0),СОЧИ_РЫНОК!$AQ336,1)</f>
        <v>1</v>
      </c>
    </row>
    <row r="85" spans="3:29" s="179" customFormat="1">
      <c r="C85" s="489">
        <f t="shared" si="50"/>
        <v>4</v>
      </c>
      <c r="E85" s="184" t="str">
        <f t="shared" ref="E85:E90" si="52">E77</f>
        <v>Гостиница 4*</v>
      </c>
      <c r="F85" s="502"/>
      <c r="G85" s="502"/>
      <c r="H85" s="503">
        <f>IF(AND(H77-G77=H77,H77&gt;0),СОЧИ_РЫНОК!$AQ337,1)</f>
        <v>1</v>
      </c>
      <c r="I85" s="503">
        <f>IF(AND(I77-H77=I77,I77&gt;0),СОЧИ_РЫНОК!$AQ337,1)</f>
        <v>1</v>
      </c>
      <c r="J85" s="503">
        <f>IF(AND(J77-I77=J77,J77&gt;0),СОЧИ_РЫНОК!$AQ337,1)</f>
        <v>1</v>
      </c>
      <c r="K85" s="503">
        <f>IF(AND(K77-J77=K77,K77&gt;0),СОЧИ_РЫНОК!$AQ337,1)</f>
        <v>0.94337090508740939</v>
      </c>
      <c r="L85" s="503">
        <f>IF(AND(L77-K77=L77,L77&gt;0),СОЧИ_РЫНОК!$AQ337,1)</f>
        <v>1</v>
      </c>
      <c r="M85" s="503">
        <f>IF(AND(M77-L77=M77,M77&gt;0),СОЧИ_РЫНОК!$AQ337,1)</f>
        <v>1</v>
      </c>
      <c r="N85" s="503">
        <f>IF(AND(N77-M77=N77,N77&gt;0),СОЧИ_РЫНОК!$AQ337,1)</f>
        <v>1</v>
      </c>
      <c r="O85" s="503">
        <f>IF(AND(O77-N77=O77,O77&gt;0),СОЧИ_РЫНОК!$AQ337,1)</f>
        <v>1</v>
      </c>
      <c r="P85" s="503">
        <f>IF(AND(P77-O77=P77,P77&gt;0),СОЧИ_РЫНОК!$AQ337,1)</f>
        <v>1</v>
      </c>
      <c r="Q85" s="503">
        <f>IF(AND(Q77-P77=Q77,Q77&gt;0),СОЧИ_РЫНОК!$AQ337,1)</f>
        <v>1</v>
      </c>
      <c r="R85" s="503">
        <f>IF(AND(R77-Q77=R77,R77&gt;0),СОЧИ_РЫНОК!$AQ337,1)</f>
        <v>1</v>
      </c>
      <c r="S85" s="503">
        <f>IF(AND(S77-R77=S77,S77&gt;0),СОЧИ_РЫНОК!$AQ337,1)</f>
        <v>1</v>
      </c>
      <c r="T85" s="503">
        <f>IF(AND(T77-S77=T77,T77&gt;0),СОЧИ_РЫНОК!$AQ337,1)</f>
        <v>1</v>
      </c>
      <c r="U85" s="503">
        <f>IF(AND(U77-T77=U77,U77&gt;0),СОЧИ_РЫНОК!$AQ337,1)</f>
        <v>1</v>
      </c>
      <c r="V85" s="503">
        <f>IF(AND(V77-U77=V77,V77&gt;0),СОЧИ_РЫНОК!$AQ337,1)</f>
        <v>1</v>
      </c>
      <c r="W85" s="503">
        <f>IF(AND(W77-V77=W77,W77&gt;0),СОЧИ_РЫНОК!$AQ337,1)</f>
        <v>1</v>
      </c>
      <c r="X85" s="503">
        <f>IF(AND(X77-W77=X77,X77&gt;0),СОЧИ_РЫНОК!$AQ337,1)</f>
        <v>1</v>
      </c>
      <c r="Y85" s="503">
        <f>IF(AND(Y77-X77=Y77,Y77&gt;0),СОЧИ_РЫНОК!$AQ337,1)</f>
        <v>1</v>
      </c>
      <c r="Z85" s="503">
        <f>IF(AND(Z77-Y77=Z77,Z77&gt;0),СОЧИ_РЫНОК!$AQ337,1)</f>
        <v>1</v>
      </c>
      <c r="AA85" s="503">
        <f>IF(AND(AA77-Z77=AA77,AA77&gt;0),СОЧИ_РЫНОК!$AQ337,1)</f>
        <v>1</v>
      </c>
      <c r="AB85" s="503">
        <f>IF(AND(AB77-AA77=AB77,AB77&gt;0),СОЧИ_РЫНОК!$AQ337,1)</f>
        <v>1</v>
      </c>
      <c r="AC85" s="503">
        <f>IF(AND(AC77-AB77=AC77,AC77&gt;0),СОЧИ_РЫНОК!$AQ337,1)</f>
        <v>1</v>
      </c>
    </row>
    <row r="86" spans="3:29" s="179" customFormat="1">
      <c r="C86" s="489">
        <f t="shared" si="50"/>
        <v>3</v>
      </c>
      <c r="E86" s="184" t="str">
        <f t="shared" si="52"/>
        <v>Гостиница 3*</v>
      </c>
      <c r="F86" s="502"/>
      <c r="G86" s="502"/>
      <c r="H86" s="503">
        <f>IF(AND(H78-G78=H78,H78&gt;0),СОЧИ_РЫНОК!$AQ$338,1)</f>
        <v>1</v>
      </c>
      <c r="I86" s="503">
        <f>IF(AND(I78-H78=I78,I78&gt;0),СОЧИ_РЫНОК!$AQ$338,1)</f>
        <v>1</v>
      </c>
      <c r="J86" s="503">
        <f>IF(AND(J78-I78=J78,J78&gt;0),СОЧИ_РЫНОК!$AQ$338,1)</f>
        <v>0.82563730487368658</v>
      </c>
      <c r="K86" s="503">
        <f>IF(AND(K78-J78=K78,K78&gt;0),СОЧИ_РЫНОК!$AQ$338,1)</f>
        <v>1</v>
      </c>
      <c r="L86" s="503">
        <f>IF(AND(L78-K78=L78,L78&gt;0),СОЧИ_РЫНОК!$AQ$338,1)</f>
        <v>1</v>
      </c>
      <c r="M86" s="503">
        <f>IF(AND(M78-L78=M78,M78&gt;0),СОЧИ_РЫНОК!$AQ$338,1)</f>
        <v>1</v>
      </c>
      <c r="N86" s="503">
        <f>IF(AND(N78-M78=N78,N78&gt;0),СОЧИ_РЫНОК!$AQ$338,1)</f>
        <v>1</v>
      </c>
      <c r="O86" s="503">
        <f>IF(AND(O78-N78=O78,O78&gt;0),СОЧИ_РЫНОК!$AQ$338,1)</f>
        <v>1</v>
      </c>
      <c r="P86" s="503">
        <f>IF(AND(P78-O78=P78,P78&gt;0),СОЧИ_РЫНОК!$AQ$338,1)</f>
        <v>1</v>
      </c>
      <c r="Q86" s="503">
        <f>IF(AND(Q78-P78=Q78,Q78&gt;0),СОЧИ_РЫНОК!$AQ$338,1)</f>
        <v>1</v>
      </c>
      <c r="R86" s="503">
        <f>IF(AND(R78-Q78=R78,R78&gt;0),СОЧИ_РЫНОК!$AQ$338,1)</f>
        <v>1</v>
      </c>
      <c r="S86" s="503">
        <f>IF(AND(S78-R78=S78,S78&gt;0),СОЧИ_РЫНОК!$AQ$338,1)</f>
        <v>1</v>
      </c>
      <c r="T86" s="503">
        <f>IF(AND(T78-S78=T78,T78&gt;0),СОЧИ_РЫНОК!$AQ$338,1)</f>
        <v>1</v>
      </c>
      <c r="U86" s="503">
        <f>IF(AND(U78-T78=U78,U78&gt;0),СОЧИ_РЫНОК!$AQ$338,1)</f>
        <v>1</v>
      </c>
      <c r="V86" s="503">
        <f>IF(AND(V78-U78=V78,V78&gt;0),СОЧИ_РЫНОК!$AQ$338,1)</f>
        <v>1</v>
      </c>
      <c r="W86" s="503">
        <f>IF(AND(W78-V78=W78,W78&gt;0),СОЧИ_РЫНОК!$AQ$338,1)</f>
        <v>1</v>
      </c>
      <c r="X86" s="503">
        <f>IF(AND(X78-W78=X78,X78&gt;0),СОЧИ_РЫНОК!$AQ$338,1)</f>
        <v>1</v>
      </c>
      <c r="Y86" s="503">
        <f>IF(AND(Y78-X78=Y78,Y78&gt;0),СОЧИ_РЫНОК!$AQ$338,1)</f>
        <v>1</v>
      </c>
      <c r="Z86" s="503">
        <f>IF(AND(Z78-Y78=Z78,Z78&gt;0),СОЧИ_РЫНОК!$AQ$338,1)</f>
        <v>1</v>
      </c>
      <c r="AA86" s="503">
        <f>IF(AND(AA78-Z78=AA78,AA78&gt;0),СОЧИ_РЫНОК!$AQ$338,1)</f>
        <v>1</v>
      </c>
      <c r="AB86" s="503">
        <f>IF(AND(AB78-AA78=AB78,AB78&gt;0),СОЧИ_РЫНОК!$AQ$338,1)</f>
        <v>1</v>
      </c>
      <c r="AC86" s="503">
        <f>IF(AND(AC78-AB78=AC78,AC78&gt;0),СОЧИ_РЫНОК!$AQ$338,1)</f>
        <v>1</v>
      </c>
    </row>
    <row r="87" spans="3:29" s="179" customFormat="1" hidden="1">
      <c r="C87" s="489">
        <f t="shared" si="50"/>
        <v>2</v>
      </c>
      <c r="E87" s="184" t="str">
        <f t="shared" si="52"/>
        <v>Гостиница 2*</v>
      </c>
      <c r="F87" s="502"/>
      <c r="G87" s="502"/>
      <c r="H87" s="503">
        <f>IF(AND(H79-G79=H79,H79&gt;0),СОЧИ_РЫНОК!$AQ339,1)</f>
        <v>1</v>
      </c>
      <c r="I87" s="503">
        <f>IF(AND(I79-H79=I79,I79&gt;0),СОЧИ_РЫНОК!$AQ339,1)</f>
        <v>1</v>
      </c>
      <c r="J87" s="503">
        <f>IF(AND(J79-I79=J79,J79&gt;0),СОЧИ_РЫНОК!$AQ339,1)</f>
        <v>1</v>
      </c>
      <c r="K87" s="503">
        <f>IF(AND(K79-J79=K79,K79&gt;0),СОЧИ_РЫНОК!$AQ339,1)</f>
        <v>1</v>
      </c>
      <c r="L87" s="503">
        <f>IF(AND(L79-K79=L79,L79&gt;0),СОЧИ_РЫНОК!$AQ339,1)</f>
        <v>1</v>
      </c>
      <c r="M87" s="503">
        <f>IF(AND(M79-L79=M79,M79&gt;0),СОЧИ_РЫНОК!$AQ339,1)</f>
        <v>1</v>
      </c>
      <c r="N87" s="503">
        <f>IF(AND(N79-M79=N79,N79&gt;0),СОЧИ_РЫНОК!$AQ339,1)</f>
        <v>1</v>
      </c>
      <c r="O87" s="503">
        <f>IF(AND(O79-N79=O79,O79&gt;0),СОЧИ_РЫНОК!$AQ339,1)</f>
        <v>1</v>
      </c>
      <c r="P87" s="503">
        <f>IF(AND(P79-O79=P79,P79&gt;0),СОЧИ_РЫНОК!$AQ339,1)</f>
        <v>1</v>
      </c>
      <c r="Q87" s="503">
        <f>IF(AND(Q79-P79=Q79,Q79&gt;0),СОЧИ_РЫНОК!$AQ339,1)</f>
        <v>1</v>
      </c>
      <c r="R87" s="503">
        <f>IF(AND(R79-Q79=R79,R79&gt;0),СОЧИ_РЫНОК!$AQ339,1)</f>
        <v>1</v>
      </c>
      <c r="S87" s="503">
        <f>IF(AND(S79-R79=S79,S79&gt;0),СОЧИ_РЫНОК!$AQ339,1)</f>
        <v>1</v>
      </c>
      <c r="T87" s="503">
        <f>IF(AND(T79-S79=T79,T79&gt;0),СОЧИ_РЫНОК!$AQ339,1)</f>
        <v>1</v>
      </c>
      <c r="U87" s="503">
        <f>IF(AND(U79-T79=U79,U79&gt;0),СОЧИ_РЫНОК!$AQ339,1)</f>
        <v>1</v>
      </c>
      <c r="V87" s="503">
        <f>IF(AND(V79-U79=V79,V79&gt;0),СОЧИ_РЫНОК!$AQ339,1)</f>
        <v>1</v>
      </c>
      <c r="W87" s="503">
        <f>IF(AND(W79-V79=W79,W79&gt;0),СОЧИ_РЫНОК!$AQ339,1)</f>
        <v>1</v>
      </c>
      <c r="X87" s="503">
        <f>IF(AND(X79-W79=X79,X79&gt;0),СОЧИ_РЫНОК!$AQ339,1)</f>
        <v>1</v>
      </c>
      <c r="Y87" s="503">
        <f>IF(AND(Y79-X79=Y79,Y79&gt;0),СОЧИ_РЫНОК!$AQ339,1)</f>
        <v>1</v>
      </c>
      <c r="Z87" s="503">
        <f>IF(AND(Z79-Y79=Z79,Z79&gt;0),СОЧИ_РЫНОК!$AQ339,1)</f>
        <v>1</v>
      </c>
      <c r="AA87" s="503">
        <f>IF(AND(AA79-Z79=AA79,AA79&gt;0),СОЧИ_РЫНОК!$AQ339,1)</f>
        <v>1</v>
      </c>
      <c r="AB87" s="503">
        <f>IF(AND(AB79-AA79=AB79,AB79&gt;0),СОЧИ_РЫНОК!$AQ339,1)</f>
        <v>1</v>
      </c>
      <c r="AC87" s="503">
        <f>IF(AND(AC79-AB79=AC79,AC79&gt;0),СОЧИ_РЫНОК!$AQ339,1)</f>
        <v>1</v>
      </c>
    </row>
    <row r="88" spans="3:29" s="179" customFormat="1">
      <c r="C88" s="489">
        <f t="shared" si="50"/>
        <v>3</v>
      </c>
      <c r="E88" s="184" t="str">
        <f t="shared" si="52"/>
        <v>Хостел в составе МФЦ</v>
      </c>
      <c r="F88" s="502"/>
      <c r="G88" s="502"/>
      <c r="H88" s="503">
        <f>IF(AND(H80-G80=H80,H80&gt;0),СОЧИ_РЫНОК!$AQ339,1)</f>
        <v>1</v>
      </c>
      <c r="I88" s="503">
        <f>IF(AND(I80-H80=I80,I80&gt;0),СОЧИ_РЫНОК!$AQ339,1)</f>
        <v>1</v>
      </c>
      <c r="J88" s="1033">
        <f>IF(AND(J80-I80=J80,J80&gt;0),СОЧИ_РЫНОК!$AQ339,1)</f>
        <v>0.72218564763007276</v>
      </c>
      <c r="K88" s="503">
        <f>IF(AND(K80-J80=K80,K80&gt;0),СОЧИ_РЫНОК!$AQ339,1)</f>
        <v>1</v>
      </c>
      <c r="L88" s="503">
        <f>IF(AND(L80-K80=L80,L80&gt;0),СОЧИ_РЫНОК!$AQ339,1)</f>
        <v>1</v>
      </c>
      <c r="M88" s="503">
        <f>IF(AND(M80-L80=M80,M80&gt;0),СОЧИ_РЫНОК!$AQ339,1)</f>
        <v>1</v>
      </c>
      <c r="N88" s="503">
        <f>IF(AND(N80-M80=N80,N80&gt;0),СОЧИ_РЫНОК!$AQ339,1)</f>
        <v>1</v>
      </c>
      <c r="O88" s="503">
        <f>IF(AND(O80-N80=O80,O80&gt;0),СОЧИ_РЫНОК!$AQ339,1)</f>
        <v>1</v>
      </c>
      <c r="P88" s="503">
        <f>IF(AND(P80-O80=P80,P80&gt;0),СОЧИ_РЫНОК!$AQ339,1)</f>
        <v>1</v>
      </c>
      <c r="Q88" s="503">
        <f>IF(AND(Q80-P80=Q80,Q80&gt;0),СОЧИ_РЫНОК!$AQ339,1)</f>
        <v>1</v>
      </c>
      <c r="R88" s="503">
        <f>IF(AND(R80-Q80=R80,R80&gt;0),СОЧИ_РЫНОК!$AQ339,1)</f>
        <v>1</v>
      </c>
      <c r="S88" s="503">
        <f>IF(AND(S80-R80=S80,S80&gt;0),СОЧИ_РЫНОК!$AQ339,1)</f>
        <v>1</v>
      </c>
      <c r="T88" s="503">
        <f>IF(AND(T80-S80=T80,T80&gt;0),СОЧИ_РЫНОК!$AQ339,1)</f>
        <v>1</v>
      </c>
      <c r="U88" s="503">
        <f>IF(AND(U80-T80=U80,U80&gt;0),СОЧИ_РЫНОК!$AQ339,1)</f>
        <v>1</v>
      </c>
      <c r="V88" s="503">
        <f>IF(AND(V80-U80=V80,V80&gt;0),СОЧИ_РЫНОК!$AQ339,1)</f>
        <v>1</v>
      </c>
      <c r="W88" s="503">
        <f>IF(AND(W80-V80=W80,W80&gt;0),СОЧИ_РЫНОК!$AQ339,1)</f>
        <v>1</v>
      </c>
      <c r="X88" s="503">
        <f>IF(AND(X80-W80=X80,X80&gt;0),СОЧИ_РЫНОК!$AQ339,1)</f>
        <v>1</v>
      </c>
      <c r="Y88" s="503">
        <f>IF(AND(Y80-X80=Y80,Y80&gt;0),СОЧИ_РЫНОК!$AQ339,1)</f>
        <v>1</v>
      </c>
      <c r="Z88" s="503">
        <f>IF(AND(Z80-Y80=Z80,Z80&gt;0),СОЧИ_РЫНОК!$AQ339,1)</f>
        <v>1</v>
      </c>
      <c r="AA88" s="503">
        <f>IF(AND(AA80-Z80=AA80,AA80&gt;0),СОЧИ_РЫНОК!$AQ339,1)</f>
        <v>1</v>
      </c>
      <c r="AB88" s="503">
        <f>IF(AND(AB80-AA80=AB80,AB80&gt;0),СОЧИ_РЫНОК!$AQ339,1)</f>
        <v>1</v>
      </c>
      <c r="AC88" s="503">
        <f>IF(AND(AC80-AB80=AC80,AC80&gt;0),СОЧИ_РЫНОК!$AQ339,1)</f>
        <v>1</v>
      </c>
    </row>
    <row r="89" spans="3:29" s="179" customFormat="1">
      <c r="C89" s="489" t="str">
        <f t="shared" si="50"/>
        <v>д/к</v>
      </c>
      <c r="E89" s="184" t="str">
        <f t="shared" si="52"/>
        <v>Шале</v>
      </c>
      <c r="F89" s="502"/>
      <c r="G89" s="502"/>
      <c r="H89" s="1033">
        <f>IF(AND(H81-G81=H81,H81&gt;0),СОЧИ_РЫНОК!$AQ341,1)</f>
        <v>1</v>
      </c>
      <c r="I89" s="1033">
        <f>IF(AND(I81-H81=I81,I81&gt;0),СОЧИ_РЫНОК!$AQ341,1)</f>
        <v>1</v>
      </c>
      <c r="J89" s="1033">
        <f>IF(AND(J81-I81=J81,J81&gt;0),СОЧИ_РЫНОК!$AQ341,1)</f>
        <v>1</v>
      </c>
      <c r="K89" s="1033">
        <f>IF(AND(K81-J81=K81,K81&gt;0),СОЧИ_РЫНОК!$AQ341,1)</f>
        <v>0.49289148862182319</v>
      </c>
      <c r="L89" s="1033">
        <f>IF(AND(L81-K81=L81,L81&gt;0),СОЧИ_РЫНОК!$AQ341,1)</f>
        <v>1</v>
      </c>
      <c r="M89" s="1033">
        <f>IF(AND(M81-L81=M81,M81&gt;0),СОЧИ_РЫНОК!$AQ341,1)</f>
        <v>1</v>
      </c>
      <c r="N89" s="1033">
        <f>IF(AND(N81-M81=N81,N81&gt;0),СОЧИ_РЫНОК!$AQ341,1)</f>
        <v>1</v>
      </c>
      <c r="O89" s="1033">
        <f>IF(AND(O81-N81=O81,O81&gt;0),СОЧИ_РЫНОК!$AQ341,1)</f>
        <v>1</v>
      </c>
      <c r="P89" s="1033">
        <f>IF(AND(P81-O81=P81,P81&gt;0),СОЧИ_РЫНОК!$AQ341,1)</f>
        <v>1</v>
      </c>
      <c r="Q89" s="1033">
        <f>IF(AND(Q81-P81=Q81,Q81&gt;0),СОЧИ_РЫНОК!$AQ341,1)</f>
        <v>1</v>
      </c>
      <c r="R89" s="1033">
        <f>IF(AND(R81-Q81=R81,R81&gt;0),СОЧИ_РЫНОК!$AQ341,1)</f>
        <v>1</v>
      </c>
      <c r="S89" s="1033">
        <f>IF(AND(S81-R81=S81,S81&gt;0),СОЧИ_РЫНОК!$AQ341,1)</f>
        <v>1</v>
      </c>
      <c r="T89" s="1033">
        <f>IF(AND(T81-S81=T81,T81&gt;0),СОЧИ_РЫНОК!$AQ341,1)</f>
        <v>1</v>
      </c>
      <c r="U89" s="1033">
        <f>IF(AND(U81-T81=U81,U81&gt;0),СОЧИ_РЫНОК!$AQ341,1)</f>
        <v>1</v>
      </c>
      <c r="V89" s="1033">
        <f>IF(AND(V81-U81=V81,V81&gt;0),СОЧИ_РЫНОК!$AQ341,1)</f>
        <v>1</v>
      </c>
      <c r="W89" s="1033">
        <f>IF(AND(W81-V81=W81,W81&gt;0),СОЧИ_РЫНОК!$AQ341,1)</f>
        <v>1</v>
      </c>
      <c r="X89" s="1033">
        <f>IF(AND(X81-W81=X81,X81&gt;0),СОЧИ_РЫНОК!$AQ341,1)</f>
        <v>1</v>
      </c>
      <c r="Y89" s="1033">
        <f>IF(AND(Y81-X81=Y81,Y81&gt;0),СОЧИ_РЫНОК!$AQ341,1)</f>
        <v>1</v>
      </c>
      <c r="Z89" s="1033">
        <f>IF(AND(Z81-Y81=Z81,Z81&gt;0),СОЧИ_РЫНОК!$AQ341,1)</f>
        <v>1</v>
      </c>
      <c r="AA89" s="1033">
        <f>IF(AND(AA81-Z81=AA81,AA81&gt;0),СОЧИ_РЫНОК!$AQ341,1)</f>
        <v>1</v>
      </c>
      <c r="AB89" s="1033">
        <f>IF(AND(AB81-AA81=AB81,AB81&gt;0),СОЧИ_РЫНОК!$AQ341,1)</f>
        <v>1</v>
      </c>
      <c r="AC89" s="1033">
        <f>IF(AND(AC81-AB81=AC81,AC81&gt;0),СОЧИ_РЫНОК!$AQ341,1)</f>
        <v>1</v>
      </c>
    </row>
    <row r="90" spans="3:29" s="179" customFormat="1">
      <c r="C90" s="489">
        <f t="shared" si="50"/>
        <v>3</v>
      </c>
      <c r="E90" s="184" t="str">
        <f t="shared" si="52"/>
        <v>Туристские резиденции</v>
      </c>
      <c r="F90" s="502"/>
      <c r="G90" s="502"/>
      <c r="H90" s="503">
        <f>IF(AND(H82-G82=H82,H82&gt;0),СОЧИ_РЫНОК!$AQ$338,1)</f>
        <v>1</v>
      </c>
      <c r="I90" s="503">
        <f>IF(AND(I82-H82=I82,I82&gt;0),СОЧИ_РЫНОК!$AQ$338,1)</f>
        <v>1</v>
      </c>
      <c r="J90" s="503">
        <f>IF(AND(J82-I82=J82,J82&gt;0),СОЧИ_РЫНОК!$AQ$338,1)</f>
        <v>0.82563730487368658</v>
      </c>
      <c r="K90" s="503">
        <f>IF(AND(K82-J82=K82,K82&gt;0),СОЧИ_РЫНОК!$AQ$338,1)</f>
        <v>1</v>
      </c>
      <c r="L90" s="503">
        <f>IF(AND(L82-K82=L82,L82&gt;0),СОЧИ_РЫНОК!$AQ$338,1)</f>
        <v>1</v>
      </c>
      <c r="M90" s="503">
        <f>IF(AND(M82-L82=M82,M82&gt;0),СОЧИ_РЫНОК!$AQ$338,1)</f>
        <v>1</v>
      </c>
      <c r="N90" s="503">
        <f>IF(AND(N82-M82=N82,N82&gt;0),СОЧИ_РЫНОК!$AQ$338,1)</f>
        <v>1</v>
      </c>
      <c r="O90" s="503">
        <f>IF(AND(O82-N82=O82,O82&gt;0),СОЧИ_РЫНОК!$AQ$338,1)</f>
        <v>1</v>
      </c>
      <c r="P90" s="503">
        <f>IF(AND(P82-O82=P82,P82&gt;0),СОЧИ_РЫНОК!$AQ$338,1)</f>
        <v>1</v>
      </c>
      <c r="Q90" s="503">
        <f>IF(AND(Q82-P82=Q82,Q82&gt;0),СОЧИ_РЫНОК!$AQ$338,1)</f>
        <v>1</v>
      </c>
      <c r="R90" s="503">
        <f>IF(AND(R82-Q82=R82,R82&gt;0),СОЧИ_РЫНОК!$AQ$338,1)</f>
        <v>1</v>
      </c>
      <c r="S90" s="503">
        <f>IF(AND(S82-R82=S82,S82&gt;0),СОЧИ_РЫНОК!$AQ$338,1)</f>
        <v>1</v>
      </c>
      <c r="T90" s="503">
        <f>IF(AND(T82-S82=T82,T82&gt;0),СОЧИ_РЫНОК!$AQ$338,1)</f>
        <v>1</v>
      </c>
      <c r="U90" s="503">
        <f>IF(AND(U82-T82=U82,U82&gt;0),СОЧИ_РЫНОК!$AQ$338,1)</f>
        <v>1</v>
      </c>
      <c r="V90" s="503">
        <f>IF(AND(V82-U82=V82,V82&gt;0),СОЧИ_РЫНОК!$AQ$338,1)</f>
        <v>1</v>
      </c>
      <c r="W90" s="503">
        <f>IF(AND(W82-V82=W82,W82&gt;0),СОЧИ_РЫНОК!$AQ$338,1)</f>
        <v>1</v>
      </c>
      <c r="X90" s="503">
        <f>IF(AND(X82-W82=X82,X82&gt;0),СОЧИ_РЫНОК!$AQ$338,1)</f>
        <v>1</v>
      </c>
      <c r="Y90" s="503">
        <f>IF(AND(Y82-X82=Y82,Y82&gt;0),СОЧИ_РЫНОК!$AQ$338,1)</f>
        <v>1</v>
      </c>
      <c r="Z90" s="503">
        <f>IF(AND(Z82-Y82=Z82,Z82&gt;0),СОЧИ_РЫНОК!$AQ$338,1)</f>
        <v>1</v>
      </c>
      <c r="AA90" s="503">
        <f>IF(AND(AA82-Z82=AA82,AA82&gt;0),СОЧИ_РЫНОК!$AQ$338,1)</f>
        <v>1</v>
      </c>
      <c r="AB90" s="503">
        <f>IF(AND(AB82-AA82=AB82,AB82&gt;0),СОЧИ_РЫНОК!$AQ$338,1)</f>
        <v>1</v>
      </c>
      <c r="AC90" s="503">
        <f>IF(AND(AC82-AB82=AC82,AC82&gt;0),СОЧИ_РЫНОК!$AQ$338,1)</f>
        <v>1</v>
      </c>
    </row>
    <row r="91" spans="3:29">
      <c r="C91" s="485" t="str">
        <f t="shared" ref="C91:C98" si="53">D46</f>
        <v>Индекс рынка</v>
      </c>
      <c r="E91" s="187" t="s">
        <v>14</v>
      </c>
      <c r="F91" s="177"/>
      <c r="G91" s="177"/>
      <c r="H91" s="177">
        <f t="shared" ref="H91:AB91" si="54">H65</f>
        <v>2023</v>
      </c>
      <c r="I91" s="177">
        <f t="shared" si="54"/>
        <v>2024</v>
      </c>
      <c r="J91" s="177">
        <f t="shared" si="54"/>
        <v>2025</v>
      </c>
      <c r="K91" s="177">
        <f t="shared" si="54"/>
        <v>2026</v>
      </c>
      <c r="L91" s="177">
        <f t="shared" si="54"/>
        <v>2027</v>
      </c>
      <c r="M91" s="177">
        <f t="shared" si="54"/>
        <v>2028</v>
      </c>
      <c r="N91" s="177">
        <f t="shared" si="54"/>
        <v>2029</v>
      </c>
      <c r="O91" s="177">
        <f t="shared" si="54"/>
        <v>2030</v>
      </c>
      <c r="P91" s="177">
        <f t="shared" si="54"/>
        <v>2031</v>
      </c>
      <c r="Q91" s="177">
        <f t="shared" si="54"/>
        <v>2032</v>
      </c>
      <c r="R91" s="177">
        <f t="shared" si="54"/>
        <v>2033</v>
      </c>
      <c r="S91" s="177">
        <f t="shared" si="54"/>
        <v>2034</v>
      </c>
      <c r="T91" s="177">
        <f t="shared" si="54"/>
        <v>2035</v>
      </c>
      <c r="U91" s="177">
        <f t="shared" si="54"/>
        <v>2036</v>
      </c>
      <c r="V91" s="177">
        <f t="shared" si="54"/>
        <v>2037</v>
      </c>
      <c r="W91" s="177">
        <f t="shared" si="54"/>
        <v>2038</v>
      </c>
      <c r="X91" s="177">
        <f t="shared" si="54"/>
        <v>2039</v>
      </c>
      <c r="Y91" s="177">
        <f t="shared" si="54"/>
        <v>2040</v>
      </c>
      <c r="Z91" s="177">
        <f t="shared" si="54"/>
        <v>2041</v>
      </c>
      <c r="AA91" s="177">
        <f t="shared" si="54"/>
        <v>2042</v>
      </c>
      <c r="AB91" s="177">
        <f t="shared" si="54"/>
        <v>2043</v>
      </c>
      <c r="AC91" s="177">
        <f>AC65</f>
        <v>2044</v>
      </c>
    </row>
    <row r="92" spans="3:29" s="179" customFormat="1">
      <c r="C92" s="489">
        <f t="shared" si="53"/>
        <v>5</v>
      </c>
      <c r="E92" s="184" t="str">
        <f t="shared" ref="E92:E98" si="55">E66</f>
        <v>Гостиница 5*</v>
      </c>
      <c r="F92" s="1831" t="str">
        <f>F58</f>
        <v>к рынку 5*</v>
      </c>
      <c r="G92" s="185"/>
      <c r="H92" s="188"/>
      <c r="I92" s="188">
        <f>SUMIF($D$16:$D$20,$C92,I$16:I$20)*I76*I84</f>
        <v>0</v>
      </c>
      <c r="J92" s="188">
        <f>SUMIF($D$16:$D$20,$C92,J$16:J$20)*J76*J84</f>
        <v>0</v>
      </c>
      <c r="K92" s="188">
        <f>SUMIF($D$16:$D$20,$C92,K$16:K$20)*K76*K84</f>
        <v>0.47671658417027535</v>
      </c>
      <c r="L92" s="188">
        <f t="shared" ref="L92:AC92" si="56">SUMIF($D$16:$D$20,$C92,L$16:L$20)*L76*L84</f>
        <v>0.50856175862860642</v>
      </c>
      <c r="M92" s="188">
        <f t="shared" si="56"/>
        <v>0.53847715619499503</v>
      </c>
      <c r="N92" s="188">
        <f t="shared" si="56"/>
        <v>0.56839255376138365</v>
      </c>
      <c r="O92" s="188">
        <f t="shared" si="56"/>
        <v>0.59830795132777226</v>
      </c>
      <c r="P92" s="188">
        <f t="shared" si="56"/>
        <v>0.59830795132777226</v>
      </c>
      <c r="Q92" s="188">
        <f t="shared" si="56"/>
        <v>0.59830795132777226</v>
      </c>
      <c r="R92" s="188">
        <f t="shared" si="56"/>
        <v>0.59830795132777226</v>
      </c>
      <c r="S92" s="188">
        <f t="shared" si="56"/>
        <v>0.59830795132777226</v>
      </c>
      <c r="T92" s="188">
        <f t="shared" si="56"/>
        <v>0.59830795132777226</v>
      </c>
      <c r="U92" s="188">
        <f t="shared" si="56"/>
        <v>0.59830795132777226</v>
      </c>
      <c r="V92" s="188">
        <f t="shared" si="56"/>
        <v>0.59830795132777226</v>
      </c>
      <c r="W92" s="188">
        <f t="shared" si="56"/>
        <v>0.59830795132777226</v>
      </c>
      <c r="X92" s="188">
        <f t="shared" si="56"/>
        <v>0.59830795132777226</v>
      </c>
      <c r="Y92" s="188">
        <f t="shared" si="56"/>
        <v>0.59830795132777226</v>
      </c>
      <c r="Z92" s="188">
        <f t="shared" si="56"/>
        <v>0.59830795132777226</v>
      </c>
      <c r="AA92" s="188">
        <f t="shared" si="56"/>
        <v>0.59830795132777226</v>
      </c>
      <c r="AB92" s="188">
        <f t="shared" si="56"/>
        <v>0.59830795132777226</v>
      </c>
      <c r="AC92" s="188">
        <f t="shared" si="56"/>
        <v>0.59830795132777226</v>
      </c>
    </row>
    <row r="93" spans="3:29" s="179" customFormat="1">
      <c r="C93" s="489">
        <f t="shared" si="53"/>
        <v>4</v>
      </c>
      <c r="E93" s="184" t="str">
        <f t="shared" si="55"/>
        <v>Гостиница 4*</v>
      </c>
      <c r="F93" s="1831" t="str">
        <f t="shared" ref="F93:F98" si="57">F59</f>
        <v>к рынку 4*</v>
      </c>
      <c r="G93" s="185"/>
      <c r="H93" s="188"/>
      <c r="I93" s="188">
        <f t="shared" ref="I93:J98" si="58">SUMIF($D$16:$D$20,$C93,I$16:I$20)*I77*I85</f>
        <v>0</v>
      </c>
      <c r="J93" s="188">
        <f t="shared" si="58"/>
        <v>0</v>
      </c>
      <c r="K93" s="188">
        <f t="shared" ref="K93:AC93" si="59">SUMIF($D$16:$D$20,$C93,K$16:K$20)*K77*K85</f>
        <v>0.45542361124124159</v>
      </c>
      <c r="L93" s="188">
        <f t="shared" si="59"/>
        <v>0.51293460963689974</v>
      </c>
      <c r="M93" s="188">
        <f t="shared" si="59"/>
        <v>0.54310723373318792</v>
      </c>
      <c r="N93" s="188">
        <f t="shared" si="59"/>
        <v>0.5732798578294761</v>
      </c>
      <c r="O93" s="188">
        <f t="shared" si="59"/>
        <v>0.60345248192576439</v>
      </c>
      <c r="P93" s="188">
        <f t="shared" si="59"/>
        <v>0.60345248192576439</v>
      </c>
      <c r="Q93" s="188">
        <f t="shared" si="59"/>
        <v>0.60345248192576439</v>
      </c>
      <c r="R93" s="188">
        <f t="shared" si="59"/>
        <v>0.60345248192576439</v>
      </c>
      <c r="S93" s="188">
        <f t="shared" si="59"/>
        <v>0.60345248192576439</v>
      </c>
      <c r="T93" s="188">
        <f t="shared" si="59"/>
        <v>0.60345248192576439</v>
      </c>
      <c r="U93" s="188">
        <f t="shared" si="59"/>
        <v>0.60345248192576439</v>
      </c>
      <c r="V93" s="188">
        <f t="shared" si="59"/>
        <v>0.60345248192576439</v>
      </c>
      <c r="W93" s="188">
        <f t="shared" si="59"/>
        <v>0.60345248192576439</v>
      </c>
      <c r="X93" s="188">
        <f t="shared" si="59"/>
        <v>0.60345248192576439</v>
      </c>
      <c r="Y93" s="188">
        <f t="shared" si="59"/>
        <v>0.60345248192576439</v>
      </c>
      <c r="Z93" s="188">
        <f t="shared" si="59"/>
        <v>0.60345248192576439</v>
      </c>
      <c r="AA93" s="188">
        <f t="shared" si="59"/>
        <v>0.60345248192576439</v>
      </c>
      <c r="AB93" s="188">
        <f t="shared" si="59"/>
        <v>0.60345248192576439</v>
      </c>
      <c r="AC93" s="188">
        <f t="shared" si="59"/>
        <v>0.60345248192576439</v>
      </c>
    </row>
    <row r="94" spans="3:29" s="179" customFormat="1">
      <c r="C94" s="489">
        <f t="shared" si="53"/>
        <v>3</v>
      </c>
      <c r="E94" s="184" t="str">
        <f t="shared" si="55"/>
        <v>Гостиница 3*</v>
      </c>
      <c r="F94" s="1831" t="str">
        <f t="shared" si="57"/>
        <v>к рынку 3*</v>
      </c>
      <c r="G94" s="185"/>
      <c r="H94" s="188"/>
      <c r="I94" s="188">
        <f t="shared" si="58"/>
        <v>0</v>
      </c>
      <c r="J94" s="188">
        <f t="shared" si="58"/>
        <v>0.44348574289613019</v>
      </c>
      <c r="K94" s="188">
        <f t="shared" ref="K94:AC94" si="60">SUMIF($D$16:$D$20,$C94,K$16:K$20)*K78*K86</f>
        <v>0.57071500893388927</v>
      </c>
      <c r="L94" s="188">
        <f t="shared" si="60"/>
        <v>0.60428648004764751</v>
      </c>
      <c r="M94" s="188">
        <f t="shared" si="60"/>
        <v>0.63785795116140565</v>
      </c>
      <c r="N94" s="188">
        <f t="shared" si="60"/>
        <v>0.67142942227516389</v>
      </c>
      <c r="O94" s="188">
        <f t="shared" si="60"/>
        <v>0.67142942227516389</v>
      </c>
      <c r="P94" s="188">
        <f t="shared" si="60"/>
        <v>0.67142942227516389</v>
      </c>
      <c r="Q94" s="188">
        <f t="shared" si="60"/>
        <v>0.67142942227516389</v>
      </c>
      <c r="R94" s="188">
        <f t="shared" si="60"/>
        <v>0.67142942227516389</v>
      </c>
      <c r="S94" s="188">
        <f t="shared" si="60"/>
        <v>0.67142942227516389</v>
      </c>
      <c r="T94" s="188">
        <f t="shared" si="60"/>
        <v>0.67142942227516389</v>
      </c>
      <c r="U94" s="188">
        <f t="shared" si="60"/>
        <v>0.67142942227516389</v>
      </c>
      <c r="V94" s="188">
        <f t="shared" si="60"/>
        <v>0.67142942227516389</v>
      </c>
      <c r="W94" s="188">
        <f t="shared" si="60"/>
        <v>0.67142942227516389</v>
      </c>
      <c r="X94" s="188">
        <f t="shared" si="60"/>
        <v>0.67142942227516389</v>
      </c>
      <c r="Y94" s="188">
        <f t="shared" si="60"/>
        <v>0.67142942227516389</v>
      </c>
      <c r="Z94" s="188">
        <f t="shared" si="60"/>
        <v>0.67142942227516389</v>
      </c>
      <c r="AA94" s="188">
        <f t="shared" si="60"/>
        <v>0.67142942227516389</v>
      </c>
      <c r="AB94" s="188">
        <f t="shared" si="60"/>
        <v>0.67142942227516389</v>
      </c>
      <c r="AC94" s="188">
        <f t="shared" si="60"/>
        <v>0.67142942227516389</v>
      </c>
    </row>
    <row r="95" spans="3:29" s="179" customFormat="1" hidden="1">
      <c r="C95" s="489">
        <f t="shared" si="53"/>
        <v>2</v>
      </c>
      <c r="E95" s="184" t="str">
        <f t="shared" si="55"/>
        <v>Гостиница 2*</v>
      </c>
      <c r="F95" s="1831" t="str">
        <f t="shared" si="57"/>
        <v>к рынку 2*</v>
      </c>
      <c r="G95" s="185"/>
      <c r="H95" s="188"/>
      <c r="I95" s="188">
        <f t="shared" si="58"/>
        <v>0</v>
      </c>
      <c r="J95" s="188">
        <f t="shared" si="58"/>
        <v>0</v>
      </c>
      <c r="K95" s="188">
        <f t="shared" ref="K95:AC95" si="61">SUMIF($D$16:$D$20,$C95,K$16:K$20)*K79*K87</f>
        <v>0</v>
      </c>
      <c r="L95" s="188">
        <f t="shared" si="61"/>
        <v>0</v>
      </c>
      <c r="M95" s="188">
        <f t="shared" si="61"/>
        <v>0</v>
      </c>
      <c r="N95" s="188">
        <f t="shared" si="61"/>
        <v>0</v>
      </c>
      <c r="O95" s="188">
        <f t="shared" si="61"/>
        <v>0</v>
      </c>
      <c r="P95" s="188">
        <f t="shared" si="61"/>
        <v>0</v>
      </c>
      <c r="Q95" s="188">
        <f t="shared" si="61"/>
        <v>0</v>
      </c>
      <c r="R95" s="188">
        <f t="shared" si="61"/>
        <v>0</v>
      </c>
      <c r="S95" s="188">
        <f t="shared" si="61"/>
        <v>0</v>
      </c>
      <c r="T95" s="188">
        <f t="shared" si="61"/>
        <v>0</v>
      </c>
      <c r="U95" s="188">
        <f t="shared" si="61"/>
        <v>0</v>
      </c>
      <c r="V95" s="188">
        <f t="shared" si="61"/>
        <v>0</v>
      </c>
      <c r="W95" s="188">
        <f t="shared" si="61"/>
        <v>0</v>
      </c>
      <c r="X95" s="188">
        <f t="shared" si="61"/>
        <v>0</v>
      </c>
      <c r="Y95" s="188">
        <f t="shared" si="61"/>
        <v>0</v>
      </c>
      <c r="Z95" s="188">
        <f t="shared" si="61"/>
        <v>0</v>
      </c>
      <c r="AA95" s="188">
        <f t="shared" si="61"/>
        <v>0</v>
      </c>
      <c r="AB95" s="188">
        <f t="shared" si="61"/>
        <v>0</v>
      </c>
      <c r="AC95" s="188">
        <f t="shared" si="61"/>
        <v>0</v>
      </c>
    </row>
    <row r="96" spans="3:29" s="179" customFormat="1">
      <c r="C96" s="1896">
        <f t="shared" si="53"/>
        <v>3</v>
      </c>
      <c r="E96" s="184" t="str">
        <f t="shared" si="55"/>
        <v>Хостел в составе МФЦ</v>
      </c>
      <c r="F96" s="1831" t="str">
        <f t="shared" si="57"/>
        <v>к рынку 3*</v>
      </c>
      <c r="G96" s="185"/>
      <c r="H96" s="188"/>
      <c r="I96" s="188">
        <f t="shared" si="58"/>
        <v>0</v>
      </c>
      <c r="J96" s="188">
        <f t="shared" si="58"/>
        <v>0.38791735373093988</v>
      </c>
      <c r="K96" s="188">
        <f t="shared" ref="K96:AC96" si="62">SUMIF($D$16:$D$20,$C96,K$16:K$20)*K80*K88</f>
        <v>0.57071500893388927</v>
      </c>
      <c r="L96" s="188">
        <f t="shared" si="62"/>
        <v>0.60428648004764751</v>
      </c>
      <c r="M96" s="188">
        <f t="shared" si="62"/>
        <v>0.63785795116140565</v>
      </c>
      <c r="N96" s="188">
        <f t="shared" si="62"/>
        <v>0.67142942227516389</v>
      </c>
      <c r="O96" s="188">
        <f t="shared" si="62"/>
        <v>0.67142942227516389</v>
      </c>
      <c r="P96" s="188">
        <f t="shared" si="62"/>
        <v>0.67142942227516389</v>
      </c>
      <c r="Q96" s="188">
        <f t="shared" si="62"/>
        <v>0.67142942227516389</v>
      </c>
      <c r="R96" s="188">
        <f t="shared" si="62"/>
        <v>0.67142942227516389</v>
      </c>
      <c r="S96" s="188">
        <f t="shared" si="62"/>
        <v>0.67142942227516389</v>
      </c>
      <c r="T96" s="188">
        <f t="shared" si="62"/>
        <v>0.67142942227516389</v>
      </c>
      <c r="U96" s="188">
        <f t="shared" si="62"/>
        <v>0.67142942227516389</v>
      </c>
      <c r="V96" s="188">
        <f t="shared" si="62"/>
        <v>0.67142942227516389</v>
      </c>
      <c r="W96" s="188">
        <f t="shared" si="62"/>
        <v>0.67142942227516389</v>
      </c>
      <c r="X96" s="188">
        <f t="shared" si="62"/>
        <v>0.67142942227516389</v>
      </c>
      <c r="Y96" s="188">
        <f t="shared" si="62"/>
        <v>0.67142942227516389</v>
      </c>
      <c r="Z96" s="188">
        <f t="shared" si="62"/>
        <v>0.67142942227516389</v>
      </c>
      <c r="AA96" s="188">
        <f t="shared" si="62"/>
        <v>0.67142942227516389</v>
      </c>
      <c r="AB96" s="188">
        <f t="shared" si="62"/>
        <v>0.67142942227516389</v>
      </c>
      <c r="AC96" s="188">
        <f t="shared" si="62"/>
        <v>0.67142942227516389</v>
      </c>
    </row>
    <row r="97" spans="3:29" s="179" customFormat="1">
      <c r="C97" s="489" t="str">
        <f t="shared" si="53"/>
        <v>д/к</v>
      </c>
      <c r="E97" s="184" t="str">
        <f t="shared" si="55"/>
        <v>Шале</v>
      </c>
      <c r="F97" s="1831" t="str">
        <f t="shared" si="57"/>
        <v>к рынку - дома / коттеджи</v>
      </c>
      <c r="G97" s="185"/>
      <c r="H97" s="188"/>
      <c r="I97" s="188">
        <f t="shared" si="58"/>
        <v>0</v>
      </c>
      <c r="J97" s="188">
        <f t="shared" si="58"/>
        <v>0</v>
      </c>
      <c r="K97" s="188">
        <f t="shared" ref="K97:AC97" si="63">SUMIF($D$16:$D$20,$C97,K$16:K$20)*K81*K89</f>
        <v>0.16437900454909626</v>
      </c>
      <c r="L97" s="188">
        <f t="shared" si="63"/>
        <v>0.35434308841843098</v>
      </c>
      <c r="M97" s="188">
        <f t="shared" si="63"/>
        <v>0.37518679950186812</v>
      </c>
      <c r="N97" s="188">
        <f t="shared" si="63"/>
        <v>0.3960305105853052</v>
      </c>
      <c r="O97" s="188">
        <f t="shared" si="63"/>
        <v>0.41687422166874233</v>
      </c>
      <c r="P97" s="188">
        <f t="shared" si="63"/>
        <v>0.41687422166874233</v>
      </c>
      <c r="Q97" s="188">
        <f t="shared" si="63"/>
        <v>0.41687422166874233</v>
      </c>
      <c r="R97" s="188">
        <f t="shared" si="63"/>
        <v>0.41687422166874233</v>
      </c>
      <c r="S97" s="188">
        <f t="shared" si="63"/>
        <v>0.41687422166874233</v>
      </c>
      <c r="T97" s="188">
        <f t="shared" si="63"/>
        <v>0.41687422166874233</v>
      </c>
      <c r="U97" s="188">
        <f t="shared" si="63"/>
        <v>0.41687422166874233</v>
      </c>
      <c r="V97" s="188">
        <f t="shared" si="63"/>
        <v>0.41687422166874233</v>
      </c>
      <c r="W97" s="188">
        <f t="shared" si="63"/>
        <v>0.41687422166874233</v>
      </c>
      <c r="X97" s="188">
        <f t="shared" si="63"/>
        <v>0.41687422166874233</v>
      </c>
      <c r="Y97" s="188">
        <f t="shared" si="63"/>
        <v>0.41687422166874233</v>
      </c>
      <c r="Z97" s="188">
        <f t="shared" si="63"/>
        <v>0.41687422166874233</v>
      </c>
      <c r="AA97" s="188">
        <f t="shared" si="63"/>
        <v>0.41687422166874233</v>
      </c>
      <c r="AB97" s="188">
        <f t="shared" si="63"/>
        <v>0.41687422166874233</v>
      </c>
      <c r="AC97" s="188">
        <f t="shared" si="63"/>
        <v>0.41687422166874233</v>
      </c>
    </row>
    <row r="98" spans="3:29" s="179" customFormat="1">
      <c r="C98" s="489">
        <f t="shared" si="53"/>
        <v>3</v>
      </c>
      <c r="E98" s="184" t="str">
        <f t="shared" si="55"/>
        <v>Туристские резиденции</v>
      </c>
      <c r="F98" s="1831" t="str">
        <f t="shared" si="57"/>
        <v>к рынку 3*</v>
      </c>
      <c r="G98" s="185"/>
      <c r="H98" s="188"/>
      <c r="I98" s="188">
        <f t="shared" si="58"/>
        <v>0</v>
      </c>
      <c r="J98" s="188">
        <f t="shared" si="58"/>
        <v>0.44348574289613019</v>
      </c>
      <c r="K98" s="188">
        <f t="shared" ref="K98:AC98" si="64">SUMIF($D$16:$D$20,$C98,K$16:K$20)*K82*K90</f>
        <v>0.57071500893388927</v>
      </c>
      <c r="L98" s="188">
        <f t="shared" si="64"/>
        <v>0.60428648004764751</v>
      </c>
      <c r="M98" s="188">
        <f t="shared" si="64"/>
        <v>0.63785795116140565</v>
      </c>
      <c r="N98" s="188">
        <f t="shared" si="64"/>
        <v>0.67142942227516389</v>
      </c>
      <c r="O98" s="188">
        <f t="shared" si="64"/>
        <v>0.67142942227516389</v>
      </c>
      <c r="P98" s="188">
        <f t="shared" si="64"/>
        <v>0.67142942227516389</v>
      </c>
      <c r="Q98" s="188">
        <f t="shared" si="64"/>
        <v>0.67142942227516389</v>
      </c>
      <c r="R98" s="188">
        <f t="shared" si="64"/>
        <v>0.67142942227516389</v>
      </c>
      <c r="S98" s="188">
        <f t="shared" si="64"/>
        <v>0.67142942227516389</v>
      </c>
      <c r="T98" s="188">
        <f t="shared" si="64"/>
        <v>0.67142942227516389</v>
      </c>
      <c r="U98" s="188">
        <f t="shared" si="64"/>
        <v>0.67142942227516389</v>
      </c>
      <c r="V98" s="188">
        <f t="shared" si="64"/>
        <v>0.67142942227516389</v>
      </c>
      <c r="W98" s="188">
        <f t="shared" si="64"/>
        <v>0.67142942227516389</v>
      </c>
      <c r="X98" s="188">
        <f t="shared" si="64"/>
        <v>0.67142942227516389</v>
      </c>
      <c r="Y98" s="188">
        <f t="shared" si="64"/>
        <v>0.67142942227516389</v>
      </c>
      <c r="Z98" s="188">
        <f t="shared" si="64"/>
        <v>0.67142942227516389</v>
      </c>
      <c r="AA98" s="188">
        <f t="shared" si="64"/>
        <v>0.67142942227516389</v>
      </c>
      <c r="AB98" s="188">
        <f t="shared" si="64"/>
        <v>0.67142942227516389</v>
      </c>
      <c r="AC98" s="188">
        <f t="shared" si="64"/>
        <v>0.67142942227516389</v>
      </c>
    </row>
    <row r="102" spans="3:29" ht="15" customHeight="1">
      <c r="L102" s="1469"/>
    </row>
  </sheetData>
  <mergeCells count="2">
    <mergeCell ref="F34:J34"/>
    <mergeCell ref="F45:J45"/>
  </mergeCells>
  <conditionalFormatting sqref="G32 H25:H30">
    <cfRule type="cellIs" dxfId="585" priority="208" operator="equal">
      <formula>1</formula>
    </cfRule>
    <cfRule type="cellIs" dxfId="584" priority="209" operator="equal">
      <formula>0</formula>
    </cfRule>
  </conditionalFormatting>
  <conditionalFormatting sqref="K8:AA8 G32 M32:AA32 H25:H30 G1:Z4 H5:AA7 G102:Z1048576 N36:N42 Q39:Q42 H57:AA72 H10:AA13 H21:AA23 H91:AA91 H99:AA101 H92:AC98">
    <cfRule type="cellIs" dxfId="583" priority="207" operator="equal">
      <formula>0</formula>
    </cfRule>
  </conditionalFormatting>
  <conditionalFormatting sqref="K8:AA8">
    <cfRule type="cellIs" dxfId="582" priority="206" operator="equal">
      <formula>0</formula>
    </cfRule>
  </conditionalFormatting>
  <conditionalFormatting sqref="J10:J13 L10:L13 N10:N13 P10:P13 R10:R13 T10:T13 V10:V13 X10:X13 Z10:Z13 H10:H13 H21:H22 Z21:Z22 X21:X22 V21:V22 T21:T22 R21:R22 P21:P22 N21:N22 L21:L22 J21:J22">
    <cfRule type="cellIs" dxfId="581" priority="205" operator="equal">
      <formula>0</formula>
    </cfRule>
  </conditionalFormatting>
  <conditionalFormatting sqref="G9">
    <cfRule type="expression" dxfId="580" priority="204">
      <formula>$A$1=1</formula>
    </cfRule>
  </conditionalFormatting>
  <conditionalFormatting sqref="B24:C30">
    <cfRule type="cellIs" dxfId="579" priority="203" operator="equal">
      <formula>0</formula>
    </cfRule>
  </conditionalFormatting>
  <conditionalFormatting sqref="B24:C30">
    <cfRule type="cellIs" dxfId="578" priority="202" operator="equal">
      <formula>0</formula>
    </cfRule>
  </conditionalFormatting>
  <conditionalFormatting sqref="H31:AA31">
    <cfRule type="cellIs" dxfId="577" priority="201" operator="equal">
      <formula>0</formula>
    </cfRule>
  </conditionalFormatting>
  <conditionalFormatting sqref="J31 L31 N31 P31 R31 T31 V31 X31 Z31 H31">
    <cfRule type="cellIs" dxfId="576" priority="200" operator="equal">
      <formula>0</formula>
    </cfRule>
  </conditionalFormatting>
  <conditionalFormatting sqref="D24:D26">
    <cfRule type="expression" dxfId="575" priority="199">
      <formula>$A$1=1</formula>
    </cfRule>
  </conditionalFormatting>
  <conditionalFormatting sqref="H24:AA24 I25:AA30 R39:R42">
    <cfRule type="cellIs" dxfId="574" priority="198" operator="equal">
      <formula>0</formula>
    </cfRule>
  </conditionalFormatting>
  <conditionalFormatting sqref="B31">
    <cfRule type="cellIs" dxfId="573" priority="197" operator="equal">
      <formula>FALSE</formula>
    </cfRule>
  </conditionalFormatting>
  <conditionalFormatting sqref="F34">
    <cfRule type="cellIs" dxfId="572" priority="196" operator="equal">
      <formula>0</formula>
    </cfRule>
  </conditionalFormatting>
  <conditionalFormatting sqref="F35:J35">
    <cfRule type="cellIs" dxfId="571" priority="195" operator="equal">
      <formula>0</formula>
    </cfRule>
  </conditionalFormatting>
  <conditionalFormatting sqref="F36:I36">
    <cfRule type="expression" dxfId="570" priority="194">
      <formula>$A$1=1</formula>
    </cfRule>
  </conditionalFormatting>
  <conditionalFormatting sqref="N35">
    <cfRule type="cellIs" dxfId="569" priority="193" operator="equal">
      <formula>0</formula>
    </cfRule>
  </conditionalFormatting>
  <conditionalFormatting sqref="W35">
    <cfRule type="cellIs" dxfId="568" priority="192" operator="equal">
      <formula>0</formula>
    </cfRule>
  </conditionalFormatting>
  <conditionalFormatting sqref="H32:L32">
    <cfRule type="cellIs" dxfId="567" priority="190" operator="equal">
      <formula>0</formula>
    </cfRule>
  </conditionalFormatting>
  <conditionalFormatting sqref="L36:M42">
    <cfRule type="cellIs" dxfId="566" priority="189" operator="equal">
      <formula>0</formula>
    </cfRule>
  </conditionalFormatting>
  <conditionalFormatting sqref="M35">
    <cfRule type="cellIs" dxfId="565" priority="188" operator="equal">
      <formula>0</formula>
    </cfRule>
  </conditionalFormatting>
  <conditionalFormatting sqref="L35">
    <cfRule type="cellIs" dxfId="564" priority="187" operator="equal">
      <formula>0</formula>
    </cfRule>
  </conditionalFormatting>
  <conditionalFormatting sqref="R35">
    <cfRule type="cellIs" dxfId="563" priority="186" operator="equal">
      <formula>0</formula>
    </cfRule>
  </conditionalFormatting>
  <conditionalFormatting sqref="Q35 S43:S44">
    <cfRule type="cellIs" dxfId="562" priority="185" operator="equal">
      <formula>0</formula>
    </cfRule>
  </conditionalFormatting>
  <conditionalFormatting sqref="H73:I73">
    <cfRule type="cellIs" dxfId="561" priority="148" operator="equal">
      <formula>0</formula>
    </cfRule>
  </conditionalFormatting>
  <conditionalFormatting sqref="J73:AA73">
    <cfRule type="cellIs" dxfId="560" priority="147" operator="equal">
      <formula>0</formula>
    </cfRule>
  </conditionalFormatting>
  <conditionalFormatting sqref="D27:D28">
    <cfRule type="expression" dxfId="559" priority="146">
      <formula>$A$1=1</formula>
    </cfRule>
  </conditionalFormatting>
  <conditionalFormatting sqref="D29">
    <cfRule type="expression" dxfId="558" priority="145">
      <formula>$A$1=1</formula>
    </cfRule>
  </conditionalFormatting>
  <conditionalFormatting sqref="G23">
    <cfRule type="cellIs" dxfId="557" priority="134" operator="equal">
      <formula>0</formula>
    </cfRule>
  </conditionalFormatting>
  <conditionalFormatting sqref="D30">
    <cfRule type="expression" dxfId="556" priority="110">
      <formula>$A$1=1</formula>
    </cfRule>
  </conditionalFormatting>
  <conditionalFormatting sqref="AB32 AB5:AB8 AB57:AB72 AB91 AB10:AB13 AB99:AB101 AB21:AB23">
    <cfRule type="cellIs" dxfId="555" priority="109" operator="equal">
      <formula>0</formula>
    </cfRule>
  </conditionalFormatting>
  <conditionalFormatting sqref="AB8">
    <cfRule type="cellIs" dxfId="554" priority="108" operator="equal">
      <formula>0</formula>
    </cfRule>
  </conditionalFormatting>
  <conditionalFormatting sqref="AB31">
    <cfRule type="cellIs" dxfId="553" priority="107" operator="equal">
      <formula>0</formula>
    </cfRule>
  </conditionalFormatting>
  <conditionalFormatting sqref="AB24:AB30">
    <cfRule type="cellIs" dxfId="552" priority="106" operator="equal">
      <formula>0</formula>
    </cfRule>
  </conditionalFormatting>
  <conditionalFormatting sqref="AB73">
    <cfRule type="cellIs" dxfId="551" priority="105" operator="equal">
      <formula>0</formula>
    </cfRule>
  </conditionalFormatting>
  <conditionalFormatting sqref="G10">
    <cfRule type="expression" dxfId="550" priority="103">
      <formula>$A$1=1</formula>
    </cfRule>
  </conditionalFormatting>
  <conditionalFormatting sqref="G11:G12">
    <cfRule type="expression" dxfId="549" priority="102">
      <formula>$A$1=1</formula>
    </cfRule>
  </conditionalFormatting>
  <conditionalFormatting sqref="G13">
    <cfRule type="expression" dxfId="548" priority="100">
      <formula>$A$1=1</formula>
    </cfRule>
  </conditionalFormatting>
  <conditionalFormatting sqref="F47:I49">
    <cfRule type="expression" dxfId="547" priority="70">
      <formula>$A$1=1</formula>
    </cfRule>
  </conditionalFormatting>
  <conditionalFormatting sqref="F38:H38">
    <cfRule type="expression" dxfId="546" priority="42">
      <formula>$A$1=1</formula>
    </cfRule>
  </conditionalFormatting>
  <conditionalFormatting sqref="J47:J49">
    <cfRule type="expression" dxfId="545" priority="67">
      <formula>$A$1=1</formula>
    </cfRule>
  </conditionalFormatting>
  <conditionalFormatting sqref="F48:I49">
    <cfRule type="expression" dxfId="544" priority="61">
      <formula>$A$1=1</formula>
    </cfRule>
  </conditionalFormatting>
  <conditionalFormatting sqref="J48:J49">
    <cfRule type="expression" dxfId="543" priority="60">
      <formula>$A$1=1</formula>
    </cfRule>
  </conditionalFormatting>
  <conditionalFormatting sqref="H14:AA15">
    <cfRule type="cellIs" dxfId="542" priority="85" operator="equal">
      <formula>0</formula>
    </cfRule>
  </conditionalFormatting>
  <conditionalFormatting sqref="AC32 AC5:AC8 AC57:AC72 AC91 AC10:AC13 AC99:AC101 AC21:AC23">
    <cfRule type="cellIs" dxfId="541" priority="54" operator="equal">
      <formula>0</formula>
    </cfRule>
  </conditionalFormatting>
  <conditionalFormatting sqref="AB14:AB15">
    <cfRule type="cellIs" dxfId="540" priority="81" operator="equal">
      <formula>0</formula>
    </cfRule>
  </conditionalFormatting>
  <conditionalFormatting sqref="AC8">
    <cfRule type="cellIs" dxfId="539" priority="53" operator="equal">
      <formula>0</formula>
    </cfRule>
  </conditionalFormatting>
  <conditionalFormatting sqref="AC73">
    <cfRule type="cellIs" dxfId="538" priority="50" operator="equal">
      <formula>0</formula>
    </cfRule>
  </conditionalFormatting>
  <conditionalFormatting sqref="H75:AB75">
    <cfRule type="cellIs" dxfId="537" priority="76" operator="equal">
      <formula>0</formula>
    </cfRule>
  </conditionalFormatting>
  <conditionalFormatting sqref="Q50:Q53">
    <cfRule type="cellIs" dxfId="536" priority="74" operator="equal">
      <formula>0</formula>
    </cfRule>
  </conditionalFormatting>
  <conditionalFormatting sqref="R50:R53">
    <cfRule type="cellIs" dxfId="535" priority="73" operator="equal">
      <formula>0</formula>
    </cfRule>
  </conditionalFormatting>
  <conditionalFormatting sqref="F45">
    <cfRule type="cellIs" dxfId="534" priority="72" operator="equal">
      <formula>0</formula>
    </cfRule>
  </conditionalFormatting>
  <conditionalFormatting sqref="F46:J46">
    <cfRule type="cellIs" dxfId="533" priority="71" operator="equal">
      <formula>0</formula>
    </cfRule>
  </conditionalFormatting>
  <conditionalFormatting sqref="W46">
    <cfRule type="cellIs" dxfId="532" priority="68" operator="equal">
      <formula>0</formula>
    </cfRule>
  </conditionalFormatting>
  <conditionalFormatting sqref="AC31">
    <cfRule type="cellIs" dxfId="531" priority="52" operator="equal">
      <formula>0</formula>
    </cfRule>
  </conditionalFormatting>
  <conditionalFormatting sqref="R46">
    <cfRule type="cellIs" dxfId="530" priority="63" operator="equal">
      <formula>0</formula>
    </cfRule>
  </conditionalFormatting>
  <conditionalFormatting sqref="Q46">
    <cfRule type="cellIs" dxfId="529" priority="62" operator="equal">
      <formula>0</formula>
    </cfRule>
  </conditionalFormatting>
  <conditionalFormatting sqref="F40:I40">
    <cfRule type="expression" dxfId="528" priority="28">
      <formula>$A$1=1</formula>
    </cfRule>
  </conditionalFormatting>
  <conditionalFormatting sqref="H76:AB82 H84:AC89">
    <cfRule type="cellIs" dxfId="527" priority="57" operator="equal">
      <formula>0</formula>
    </cfRule>
  </conditionalFormatting>
  <conditionalFormatting sqref="AC76:AC82">
    <cfRule type="cellIs" dxfId="526" priority="47" operator="equal">
      <formula>0</formula>
    </cfRule>
  </conditionalFormatting>
  <conditionalFormatting sqref="AC24:AC30">
    <cfRule type="cellIs" dxfId="525" priority="51" operator="equal">
      <formula>0</formula>
    </cfRule>
  </conditionalFormatting>
  <conditionalFormatting sqref="AC14:AC15">
    <cfRule type="cellIs" dxfId="524" priority="49" operator="equal">
      <formula>0</formula>
    </cfRule>
  </conditionalFormatting>
  <conditionalFormatting sqref="AC75">
    <cfRule type="cellIs" dxfId="523" priority="48" operator="equal">
      <formula>0</formula>
    </cfRule>
  </conditionalFormatting>
  <conditionalFormatting sqref="E32">
    <cfRule type="cellIs" dxfId="522" priority="46" operator="equal">
      <formula>0</formula>
    </cfRule>
  </conditionalFormatting>
  <conditionalFormatting sqref="E32">
    <cfRule type="cellIs" dxfId="521" priority="45" operator="equal">
      <formula>0</formula>
    </cfRule>
  </conditionalFormatting>
  <conditionalFormatting sqref="F37:G37">
    <cfRule type="expression" dxfId="520" priority="44">
      <formula>$A$1=1</formula>
    </cfRule>
  </conditionalFormatting>
  <conditionalFormatting sqref="J39">
    <cfRule type="expression" dxfId="519" priority="29">
      <formula>$A$1=1</formula>
    </cfRule>
  </conditionalFormatting>
  <conditionalFormatting sqref="F41:H41">
    <cfRule type="expression" dxfId="518" priority="40">
      <formula>$A$1=1</formula>
    </cfRule>
  </conditionalFormatting>
  <conditionalFormatting sqref="J50">
    <cfRule type="expression" dxfId="517" priority="33">
      <formula>$A$1=1</formula>
    </cfRule>
  </conditionalFormatting>
  <conditionalFormatting sqref="F50:I50">
    <cfRule type="expression" dxfId="516" priority="34">
      <formula>$A$1=1</formula>
    </cfRule>
  </conditionalFormatting>
  <conditionalFormatting sqref="F50:I50">
    <cfRule type="expression" dxfId="515" priority="36">
      <formula>$A$1=1</formula>
    </cfRule>
  </conditionalFormatting>
  <conditionalFormatting sqref="J50">
    <cfRule type="expression" dxfId="514" priority="35">
      <formula>$A$1=1</formula>
    </cfRule>
  </conditionalFormatting>
  <conditionalFormatting sqref="F39:I39">
    <cfRule type="expression" dxfId="513" priority="32">
      <formula>$A$1=1</formula>
    </cfRule>
  </conditionalFormatting>
  <conditionalFormatting sqref="J39">
    <cfRule type="expression" dxfId="512" priority="31">
      <formula>$A$1=1</formula>
    </cfRule>
  </conditionalFormatting>
  <conditionalFormatting sqref="F39:I39">
    <cfRule type="expression" dxfId="511" priority="30">
      <formula>$A$1=1</formula>
    </cfRule>
  </conditionalFormatting>
  <conditionalFormatting sqref="J40">
    <cfRule type="expression" dxfId="510" priority="27">
      <formula>$A$1=1</formula>
    </cfRule>
  </conditionalFormatting>
  <conditionalFormatting sqref="F40:I40">
    <cfRule type="expression" dxfId="509" priority="26">
      <formula>$A$1=1</formula>
    </cfRule>
  </conditionalFormatting>
  <conditionalFormatting sqref="J40">
    <cfRule type="expression" dxfId="508" priority="25">
      <formula>$A$1=1</formula>
    </cfRule>
  </conditionalFormatting>
  <conditionalFormatting sqref="F42:H42">
    <cfRule type="expression" dxfId="507" priority="24">
      <formula>$A$1=1</formula>
    </cfRule>
  </conditionalFormatting>
  <conditionalFormatting sqref="J37">
    <cfRule type="expression" dxfId="506" priority="15">
      <formula>$A$1=1</formula>
    </cfRule>
  </conditionalFormatting>
  <conditionalFormatting sqref="F42:H42">
    <cfRule type="expression" dxfId="505" priority="22">
      <formula>$A$1=1</formula>
    </cfRule>
  </conditionalFormatting>
  <conditionalFormatting sqref="H37">
    <cfRule type="expression" dxfId="504" priority="13">
      <formula>$A$1=1</formula>
    </cfRule>
  </conditionalFormatting>
  <conditionalFormatting sqref="H83:AC83">
    <cfRule type="cellIs" dxfId="503" priority="20" operator="equal">
      <formula>0</formula>
    </cfRule>
  </conditionalFormatting>
  <conditionalFormatting sqref="H90:AC90">
    <cfRule type="cellIs" dxfId="502" priority="18" operator="equal">
      <formula>0</formula>
    </cfRule>
  </conditionalFormatting>
  <conditionalFormatting sqref="H84:AC90">
    <cfRule type="cellIs" dxfId="501" priority="17" operator="notEqual">
      <formula>1</formula>
    </cfRule>
  </conditionalFormatting>
  <conditionalFormatting sqref="J36">
    <cfRule type="expression" dxfId="500" priority="16">
      <formula>$A$1=1</formula>
    </cfRule>
  </conditionalFormatting>
  <conditionalFormatting sqref="I37">
    <cfRule type="expression" dxfId="499" priority="14">
      <formula>$A$1=1</formula>
    </cfRule>
  </conditionalFormatting>
  <conditionalFormatting sqref="J38">
    <cfRule type="expression" dxfId="498" priority="12">
      <formula>$A$1=1</formula>
    </cfRule>
  </conditionalFormatting>
  <conditionalFormatting sqref="I38">
    <cfRule type="expression" dxfId="497" priority="11">
      <formula>$A$1=1</formula>
    </cfRule>
  </conditionalFormatting>
  <conditionalFormatting sqref="J53">
    <cfRule type="expression" dxfId="496" priority="1">
      <formula>$A$1=1</formula>
    </cfRule>
  </conditionalFormatting>
  <conditionalFormatting sqref="J41">
    <cfRule type="expression" dxfId="495" priority="10">
      <formula>$A$1=1</formula>
    </cfRule>
  </conditionalFormatting>
  <conditionalFormatting sqref="I41">
    <cfRule type="expression" dxfId="494" priority="9">
      <formula>$A$1=1</formula>
    </cfRule>
  </conditionalFormatting>
  <conditionalFormatting sqref="J42">
    <cfRule type="expression" dxfId="493" priority="8">
      <formula>$A$1=1</formula>
    </cfRule>
  </conditionalFormatting>
  <conditionalFormatting sqref="I42">
    <cfRule type="expression" dxfId="492" priority="7">
      <formula>$A$1=1</formula>
    </cfRule>
  </conditionalFormatting>
  <conditionalFormatting sqref="F51:I51">
    <cfRule type="expression" dxfId="491" priority="6">
      <formula>$A$1=1</formula>
    </cfRule>
  </conditionalFormatting>
  <conditionalFormatting sqref="J51">
    <cfRule type="expression" dxfId="490" priority="5">
      <formula>$A$1=1</formula>
    </cfRule>
  </conditionalFormatting>
  <conditionalFormatting sqref="F52:I52">
    <cfRule type="expression" dxfId="489" priority="4">
      <formula>$A$1=1</formula>
    </cfRule>
  </conditionalFormatting>
  <conditionalFormatting sqref="J52">
    <cfRule type="expression" dxfId="488" priority="3">
      <formula>$A$1=1</formula>
    </cfRule>
  </conditionalFormatting>
  <conditionalFormatting sqref="F53:I53">
    <cfRule type="expression" dxfId="487" priority="2">
      <formula>$A$1=1</formula>
    </cfRule>
  </conditionalFormatting>
  <pageMargins left="0.7" right="0.7" top="0.75" bottom="0.75" header="0.3" footer="0.3"/>
  <pageSetup paperSize="9" orientation="portrait" r:id="rId1"/>
  <ignoredErrors>
    <ignoredError sqref="F39:H40 F50:J50" formula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S52"/>
  <sheetViews>
    <sheetView showGridLines="0" topLeftCell="A28" zoomScale="85" zoomScaleNormal="85" workbookViewId="0">
      <selection activeCell="C45" sqref="C45:I52"/>
    </sheetView>
  </sheetViews>
  <sheetFormatPr defaultColWidth="8.7109375" defaultRowHeight="12.75" outlineLevelCol="1"/>
  <cols>
    <col min="1" max="1" width="11.140625" style="140" customWidth="1"/>
    <col min="2" max="2" width="6.5703125" style="140" customWidth="1"/>
    <col min="3" max="3" width="25.5703125" style="140" customWidth="1"/>
    <col min="4" max="4" width="18.42578125" style="140" customWidth="1"/>
    <col min="5" max="5" width="10.28515625" style="140" customWidth="1"/>
    <col min="6" max="9" width="10.28515625" style="140" customWidth="1" outlineLevel="1"/>
    <col min="10" max="12" width="8" style="140" customWidth="1" outlineLevel="1"/>
    <col min="13" max="16" width="8" style="140" customWidth="1"/>
    <col min="17" max="17" width="9" style="140" bestFit="1" customWidth="1"/>
    <col min="18" max="18" width="8.7109375" style="140"/>
    <col min="19" max="19" width="49.85546875" style="140" customWidth="1"/>
    <col min="20" max="16384" width="8.7109375" style="140"/>
  </cols>
  <sheetData>
    <row r="1" spans="1:18" ht="15" thickBot="1">
      <c r="A1" s="415">
        <v>1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</row>
    <row r="2" spans="1:18" ht="15">
      <c r="C2" s="1037" t="s">
        <v>722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</row>
    <row r="3" spans="1:18" ht="14.25">
      <c r="C3" s="516"/>
      <c r="D3" s="516"/>
      <c r="E3" s="516"/>
      <c r="F3" s="516"/>
      <c r="G3" s="516"/>
      <c r="H3" s="516"/>
      <c r="I3" s="516"/>
      <c r="J3" s="516"/>
      <c r="K3" s="516"/>
      <c r="L3" s="516"/>
      <c r="N3" s="516"/>
      <c r="O3" s="516"/>
      <c r="P3" s="516"/>
      <c r="Q3" s="523" t="s">
        <v>522</v>
      </c>
    </row>
    <row r="4" spans="1:18" ht="15">
      <c r="C4" s="524" t="s">
        <v>25</v>
      </c>
      <c r="D4" s="524"/>
      <c r="E4" s="524"/>
      <c r="F4" s="524"/>
      <c r="G4" s="524"/>
      <c r="H4" s="524"/>
      <c r="I4" s="524"/>
      <c r="J4" s="524"/>
      <c r="K4" s="524"/>
      <c r="L4" s="524"/>
      <c r="N4" s="524"/>
      <c r="O4" s="524"/>
      <c r="P4" s="524"/>
      <c r="Q4" s="524"/>
    </row>
    <row r="5" spans="1:18" ht="63.75">
      <c r="A5" s="821" t="s">
        <v>13</v>
      </c>
      <c r="C5" s="200"/>
      <c r="D5" s="200" t="s">
        <v>215</v>
      </c>
      <c r="E5" s="200" t="s">
        <v>523</v>
      </c>
      <c r="F5" s="200" t="s">
        <v>524</v>
      </c>
      <c r="G5" s="200" t="s">
        <v>525</v>
      </c>
      <c r="H5" s="200" t="s">
        <v>526</v>
      </c>
      <c r="I5" s="1977" t="s">
        <v>527</v>
      </c>
      <c r="J5" s="1977"/>
      <c r="K5" s="1977"/>
      <c r="L5" s="1977"/>
      <c r="M5" s="200" t="s">
        <v>510</v>
      </c>
      <c r="N5" s="200" t="s">
        <v>511</v>
      </c>
      <c r="O5" s="200" t="s">
        <v>512</v>
      </c>
      <c r="P5" s="200" t="s">
        <v>513</v>
      </c>
      <c r="Q5" s="200" t="s">
        <v>525</v>
      </c>
    </row>
    <row r="6" spans="1:18" ht="14.25">
      <c r="A6" s="790">
        <f>Объекты!F5</f>
        <v>125</v>
      </c>
      <c r="C6" s="789" t="str">
        <f>Объекты!C5</f>
        <v>Гостиница 5*</v>
      </c>
      <c r="D6" s="525" t="s">
        <v>528</v>
      </c>
      <c r="E6" s="1036">
        <v>1200</v>
      </c>
      <c r="F6" s="790">
        <f>YEAR(Объекты!K5)</f>
        <v>2026</v>
      </c>
      <c r="G6" s="526">
        <f t="shared" ref="G6:G12" si="0">F6+4</f>
        <v>2030</v>
      </c>
      <c r="H6" s="791">
        <f>SUMIF(CPI!$3:$3,G6,CPI!$5:$5)</f>
        <v>1.4233118124214852</v>
      </c>
      <c r="I6" s="182">
        <v>0.09</v>
      </c>
      <c r="J6" s="182">
        <v>0.06</v>
      </c>
      <c r="K6" s="182">
        <v>0.04</v>
      </c>
      <c r="L6" s="182">
        <v>0.02</v>
      </c>
      <c r="M6" s="208">
        <f t="shared" ref="M6:M12" si="1">$Q6*(1+I6)</f>
        <v>1861.6918506473028</v>
      </c>
      <c r="N6" s="201">
        <f t="shared" ref="N6:P7" si="2">$Q6*(1+J6)</f>
        <v>1810.4526254001294</v>
      </c>
      <c r="O6" s="201">
        <f t="shared" si="2"/>
        <v>1776.2931419020138</v>
      </c>
      <c r="P6" s="201">
        <f t="shared" si="2"/>
        <v>1742.1336584038979</v>
      </c>
      <c r="Q6" s="201">
        <f t="shared" ref="Q6:Q12" si="3">H6*E6</f>
        <v>1707.9741749057823</v>
      </c>
    </row>
    <row r="7" spans="1:18" ht="14.25">
      <c r="A7" s="790">
        <f>Объекты!F6</f>
        <v>160</v>
      </c>
      <c r="C7" s="789" t="str">
        <f>Объекты!C6</f>
        <v>Гостиница 4*</v>
      </c>
      <c r="D7" s="525" t="s">
        <v>528</v>
      </c>
      <c r="E7" s="1036">
        <v>600</v>
      </c>
      <c r="F7" s="526">
        <f>YEAR(Объекты!K6)</f>
        <v>2026</v>
      </c>
      <c r="G7" s="526">
        <f t="shared" si="0"/>
        <v>2030</v>
      </c>
      <c r="H7" s="791">
        <f>SUMIF(CPI!$3:$3,G7,CPI!$5:$5)</f>
        <v>1.4233118124214852</v>
      </c>
      <c r="I7" s="182">
        <v>0.09</v>
      </c>
      <c r="J7" s="182">
        <v>0.06</v>
      </c>
      <c r="K7" s="182">
        <v>0.04</v>
      </c>
      <c r="L7" s="182">
        <v>0.02</v>
      </c>
      <c r="M7" s="208">
        <f t="shared" si="1"/>
        <v>930.84592532365139</v>
      </c>
      <c r="N7" s="201">
        <f t="shared" si="2"/>
        <v>905.22631270006468</v>
      </c>
      <c r="O7" s="201">
        <f t="shared" si="2"/>
        <v>888.14657095100688</v>
      </c>
      <c r="P7" s="201">
        <f t="shared" si="2"/>
        <v>871.06682920194896</v>
      </c>
      <c r="Q7" s="201">
        <f t="shared" si="3"/>
        <v>853.98708745289116</v>
      </c>
    </row>
    <row r="8" spans="1:18" ht="14.25">
      <c r="A8" s="790">
        <f>Объекты!F7</f>
        <v>160</v>
      </c>
      <c r="C8" s="789" t="str">
        <f>Объекты!C7</f>
        <v>Гостиница 3*</v>
      </c>
      <c r="D8" s="525" t="s">
        <v>528</v>
      </c>
      <c r="E8" s="1036">
        <v>400</v>
      </c>
      <c r="F8" s="526">
        <f>YEAR(Объекты!K7)</f>
        <v>2025</v>
      </c>
      <c r="G8" s="526">
        <f t="shared" si="0"/>
        <v>2029</v>
      </c>
      <c r="H8" s="791">
        <f>SUMIF(CPI!$3:$3,G8,CPI!$5:$5)</f>
        <v>1.3685690504052741</v>
      </c>
      <c r="I8" s="182">
        <v>0.09</v>
      </c>
      <c r="J8" s="182">
        <v>0.06</v>
      </c>
      <c r="K8" s="182">
        <v>0.04</v>
      </c>
      <c r="L8" s="182">
        <v>0.02</v>
      </c>
      <c r="M8" s="208">
        <f t="shared" si="1"/>
        <v>596.69610597669953</v>
      </c>
      <c r="N8" s="201">
        <f t="shared" ref="N8:P12" si="4">$Q8*(1+J8)</f>
        <v>580.27327737183623</v>
      </c>
      <c r="O8" s="201">
        <f t="shared" si="4"/>
        <v>569.32472496859407</v>
      </c>
      <c r="P8" s="201">
        <f t="shared" si="4"/>
        <v>558.37617256535179</v>
      </c>
      <c r="Q8" s="201">
        <f t="shared" si="3"/>
        <v>547.42762016210963</v>
      </c>
    </row>
    <row r="9" spans="1:18" ht="14.25">
      <c r="A9" s="790">
        <f>Объекты!F8</f>
        <v>0</v>
      </c>
      <c r="C9" s="789" t="str">
        <f>Объекты!C8</f>
        <v>Гостиница 2*</v>
      </c>
      <c r="D9" s="525" t="s">
        <v>528</v>
      </c>
      <c r="E9" s="1036">
        <v>400</v>
      </c>
      <c r="F9" s="526">
        <f>YEAR(Объекты!K8)</f>
        <v>1900</v>
      </c>
      <c r="G9" s="526">
        <f t="shared" si="0"/>
        <v>1904</v>
      </c>
      <c r="H9" s="791">
        <f>SUMIF(CPI!$3:$3,G9,CPI!$5:$5)</f>
        <v>0</v>
      </c>
      <c r="I9" s="182">
        <v>0.09</v>
      </c>
      <c r="J9" s="182">
        <v>0.06</v>
      </c>
      <c r="K9" s="182">
        <v>0.04</v>
      </c>
      <c r="L9" s="182">
        <v>0.02</v>
      </c>
      <c r="M9" s="208">
        <f t="shared" si="1"/>
        <v>0</v>
      </c>
      <c r="N9" s="201">
        <f t="shared" si="4"/>
        <v>0</v>
      </c>
      <c r="O9" s="201">
        <f t="shared" si="4"/>
        <v>0</v>
      </c>
      <c r="P9" s="201">
        <f t="shared" si="4"/>
        <v>0</v>
      </c>
      <c r="Q9" s="201">
        <f t="shared" si="3"/>
        <v>0</v>
      </c>
    </row>
    <row r="10" spans="1:18" ht="14.25">
      <c r="A10" s="790">
        <f>Объекты!F9</f>
        <v>101</v>
      </c>
      <c r="C10" s="789" t="str">
        <f>Объекты!C9</f>
        <v>Хостел в составе МФЦ</v>
      </c>
      <c r="D10" s="525" t="s">
        <v>528</v>
      </c>
      <c r="E10" s="1036">
        <v>400</v>
      </c>
      <c r="F10" s="526">
        <f>YEAR(Объекты!K9)</f>
        <v>2025</v>
      </c>
      <c r="G10" s="526">
        <f t="shared" si="0"/>
        <v>2029</v>
      </c>
      <c r="H10" s="791">
        <f>SUMIF(CPI!$3:$3,G10,CPI!$5:$5)</f>
        <v>1.3685690504052741</v>
      </c>
      <c r="I10" s="182">
        <v>0.09</v>
      </c>
      <c r="J10" s="182">
        <v>0.06</v>
      </c>
      <c r="K10" s="182">
        <v>0.04</v>
      </c>
      <c r="L10" s="182">
        <v>0.02</v>
      </c>
      <c r="M10" s="201">
        <f t="shared" si="1"/>
        <v>596.69610597669953</v>
      </c>
      <c r="N10" s="201">
        <f t="shared" si="4"/>
        <v>580.27327737183623</v>
      </c>
      <c r="O10" s="201">
        <f t="shared" si="4"/>
        <v>569.32472496859407</v>
      </c>
      <c r="P10" s="201">
        <f t="shared" si="4"/>
        <v>558.37617256535179</v>
      </c>
      <c r="Q10" s="208">
        <f t="shared" si="3"/>
        <v>547.42762016210963</v>
      </c>
    </row>
    <row r="11" spans="1:18" ht="14.25">
      <c r="A11" s="790">
        <f>Объекты!F10</f>
        <v>13</v>
      </c>
      <c r="C11" s="789" t="str">
        <f>Объекты!C10</f>
        <v>Шале</v>
      </c>
      <c r="D11" s="525" t="s">
        <v>528</v>
      </c>
      <c r="E11" s="1036">
        <v>9000</v>
      </c>
      <c r="F11" s="790">
        <f>YEAR(Объекты!K10)</f>
        <v>2026</v>
      </c>
      <c r="G11" s="526">
        <f t="shared" si="0"/>
        <v>2030</v>
      </c>
      <c r="H11" s="791">
        <f>SUMIF(CPI!$3:$3,G11,CPI!$5:$5)</f>
        <v>1.4233118124214852</v>
      </c>
      <c r="I11" s="182">
        <v>0.09</v>
      </c>
      <c r="J11" s="182">
        <v>0.06</v>
      </c>
      <c r="K11" s="182">
        <v>0.04</v>
      </c>
      <c r="L11" s="182">
        <v>0.02</v>
      </c>
      <c r="M11" s="208">
        <f t="shared" si="1"/>
        <v>13962.688879854772</v>
      </c>
      <c r="N11" s="201">
        <f t="shared" si="4"/>
        <v>13578.394690500969</v>
      </c>
      <c r="O11" s="201">
        <f t="shared" si="4"/>
        <v>13322.198564265102</v>
      </c>
      <c r="P11" s="201">
        <f t="shared" si="4"/>
        <v>13066.002438029234</v>
      </c>
      <c r="Q11" s="201">
        <f t="shared" si="3"/>
        <v>12809.806311793367</v>
      </c>
    </row>
    <row r="12" spans="1:18" ht="14.25">
      <c r="A12" s="790">
        <f>Объекты!F13</f>
        <v>385</v>
      </c>
      <c r="C12" s="789" t="str">
        <f>Объекты!C13</f>
        <v>Туристские резиденции</v>
      </c>
      <c r="D12" s="525" t="s">
        <v>528</v>
      </c>
      <c r="E12" s="1126">
        <f>E10</f>
        <v>400</v>
      </c>
      <c r="F12" s="790">
        <f>YEAR(Объекты!K13)</f>
        <v>2025</v>
      </c>
      <c r="G12" s="526">
        <f t="shared" si="0"/>
        <v>2029</v>
      </c>
      <c r="H12" s="791">
        <f>SUMIF(CPI!$3:$3,G12,CPI!$5:$5)</f>
        <v>1.3685690504052741</v>
      </c>
      <c r="I12" s="182">
        <v>0.09</v>
      </c>
      <c r="J12" s="182">
        <v>0.06</v>
      </c>
      <c r="K12" s="182">
        <v>0.04</v>
      </c>
      <c r="L12" s="182">
        <v>0.02</v>
      </c>
      <c r="M12" s="208">
        <f t="shared" si="1"/>
        <v>596.69610597669953</v>
      </c>
      <c r="N12" s="201">
        <f t="shared" si="4"/>
        <v>580.27327737183623</v>
      </c>
      <c r="O12" s="201">
        <f t="shared" si="4"/>
        <v>569.32472496859407</v>
      </c>
      <c r="P12" s="201">
        <f t="shared" si="4"/>
        <v>558.37617256535179</v>
      </c>
      <c r="Q12" s="201">
        <f t="shared" si="3"/>
        <v>547.42762016210963</v>
      </c>
    </row>
    <row r="14" spans="1:18" ht="15">
      <c r="C14" s="524" t="s">
        <v>529</v>
      </c>
      <c r="D14" s="524"/>
      <c r="E14" s="524"/>
      <c r="F14" s="524"/>
      <c r="G14" s="524"/>
      <c r="H14" s="524"/>
      <c r="I14" s="524"/>
      <c r="J14" s="524"/>
      <c r="K14" s="524"/>
      <c r="L14" s="524"/>
      <c r="M14" s="524"/>
      <c r="N14" s="524"/>
      <c r="O14" s="524"/>
      <c r="P14" s="524"/>
      <c r="Q14" s="524"/>
    </row>
    <row r="15" spans="1:18">
      <c r="C15" s="200"/>
      <c r="D15" s="200" t="s">
        <v>215</v>
      </c>
      <c r="E15" s="200"/>
      <c r="F15" s="200"/>
      <c r="G15" s="200"/>
      <c r="H15" s="200"/>
      <c r="I15" s="1977"/>
      <c r="J15" s="1977"/>
      <c r="K15" s="1977"/>
      <c r="L15" s="1977"/>
      <c r="M15" s="200" t="s">
        <v>510</v>
      </c>
      <c r="N15" s="200" t="s">
        <v>511</v>
      </c>
      <c r="O15" s="200" t="s">
        <v>512</v>
      </c>
      <c r="P15" s="200" t="s">
        <v>513</v>
      </c>
      <c r="Q15" s="200" t="s">
        <v>525</v>
      </c>
    </row>
    <row r="16" spans="1:18" ht="14.25">
      <c r="C16" s="420" t="str">
        <f t="shared" ref="C16:C22" si="5">C6</f>
        <v>Гостиница 5*</v>
      </c>
      <c r="D16" s="525" t="s">
        <v>642</v>
      </c>
      <c r="E16" s="526"/>
      <c r="F16" s="526"/>
      <c r="G16" s="526"/>
      <c r="H16" s="526"/>
      <c r="I16" s="526"/>
      <c r="J16" s="526"/>
      <c r="K16" s="526"/>
      <c r="L16" s="526"/>
      <c r="M16" s="182">
        <f t="shared" ref="M16:O20" si="6">N16+0.5%</f>
        <v>0.11000000000000001</v>
      </c>
      <c r="N16" s="182">
        <f t="shared" si="6"/>
        <v>0.10500000000000001</v>
      </c>
      <c r="O16" s="182">
        <f t="shared" si="6"/>
        <v>0.1</v>
      </c>
      <c r="P16" s="182">
        <f>Q16+0.5%</f>
        <v>9.5000000000000001E-2</v>
      </c>
      <c r="Q16" s="182">
        <v>0.09</v>
      </c>
      <c r="R16" s="528"/>
    </row>
    <row r="17" spans="3:18" ht="14.25">
      <c r="C17" s="420" t="str">
        <f t="shared" si="5"/>
        <v>Гостиница 4*</v>
      </c>
      <c r="D17" s="525" t="s">
        <v>642</v>
      </c>
      <c r="E17" s="526"/>
      <c r="F17" s="526"/>
      <c r="G17" s="526"/>
      <c r="H17" s="526"/>
      <c r="I17" s="526"/>
      <c r="J17" s="526"/>
      <c r="K17" s="526"/>
      <c r="L17" s="526"/>
      <c r="M17" s="182">
        <f t="shared" si="6"/>
        <v>0.11000000000000001</v>
      </c>
      <c r="N17" s="182">
        <f t="shared" si="6"/>
        <v>0.10500000000000001</v>
      </c>
      <c r="O17" s="182">
        <f t="shared" si="6"/>
        <v>0.1</v>
      </c>
      <c r="P17" s="182">
        <f>Q17+0.5%</f>
        <v>9.5000000000000001E-2</v>
      </c>
      <c r="Q17" s="182">
        <v>0.09</v>
      </c>
      <c r="R17" s="528"/>
    </row>
    <row r="18" spans="3:18" ht="14.25">
      <c r="C18" s="420" t="str">
        <f t="shared" si="5"/>
        <v>Гостиница 3*</v>
      </c>
      <c r="D18" s="525" t="s">
        <v>642</v>
      </c>
      <c r="E18" s="526"/>
      <c r="F18" s="526"/>
      <c r="G18" s="526"/>
      <c r="H18" s="526"/>
      <c r="I18" s="526"/>
      <c r="J18" s="526"/>
      <c r="K18" s="526"/>
      <c r="L18" s="526"/>
      <c r="M18" s="182">
        <f t="shared" si="6"/>
        <v>0.13500000000000001</v>
      </c>
      <c r="N18" s="182">
        <f t="shared" si="6"/>
        <v>0.13</v>
      </c>
      <c r="O18" s="182">
        <f t="shared" si="6"/>
        <v>0.125</v>
      </c>
      <c r="P18" s="182">
        <f>Q18+0.5%</f>
        <v>0.12000000000000001</v>
      </c>
      <c r="Q18" s="182">
        <v>0.115</v>
      </c>
      <c r="R18" s="528"/>
    </row>
    <row r="19" spans="3:18" ht="14.25">
      <c r="C19" s="420" t="str">
        <f t="shared" si="5"/>
        <v>Гостиница 2*</v>
      </c>
      <c r="D19" s="525" t="s">
        <v>642</v>
      </c>
      <c r="E19" s="526"/>
      <c r="F19" s="526"/>
      <c r="G19" s="526"/>
      <c r="H19" s="526"/>
      <c r="I19" s="526"/>
      <c r="J19" s="526"/>
      <c r="K19" s="526"/>
      <c r="L19" s="526"/>
      <c r="M19" s="182">
        <f t="shared" si="6"/>
        <v>7.0000000000000007E-2</v>
      </c>
      <c r="N19" s="182">
        <f t="shared" si="6"/>
        <v>6.5000000000000002E-2</v>
      </c>
      <c r="O19" s="182">
        <f t="shared" si="6"/>
        <v>0.06</v>
      </c>
      <c r="P19" s="182">
        <f>Q19+0.5%</f>
        <v>5.5E-2</v>
      </c>
      <c r="Q19" s="182">
        <v>0.05</v>
      </c>
      <c r="R19" s="528"/>
    </row>
    <row r="20" spans="3:18" ht="14.25">
      <c r="C20" s="420" t="str">
        <f t="shared" si="5"/>
        <v>Хостел в составе МФЦ</v>
      </c>
      <c r="D20" s="525" t="s">
        <v>642</v>
      </c>
      <c r="E20" s="526"/>
      <c r="F20" s="526"/>
      <c r="G20" s="526"/>
      <c r="H20" s="526"/>
      <c r="I20" s="526"/>
      <c r="J20" s="526"/>
      <c r="K20" s="526"/>
      <c r="L20" s="526"/>
      <c r="M20" s="182">
        <f t="shared" si="6"/>
        <v>3.5000000000000003E-2</v>
      </c>
      <c r="N20" s="182">
        <f t="shared" si="6"/>
        <v>3.0000000000000002E-2</v>
      </c>
      <c r="O20" s="182">
        <f t="shared" si="6"/>
        <v>2.5000000000000001E-2</v>
      </c>
      <c r="P20" s="182">
        <f>Q20+0.5%</f>
        <v>0.02</v>
      </c>
      <c r="Q20" s="182">
        <v>1.4999999999999999E-2</v>
      </c>
      <c r="R20" s="528"/>
    </row>
    <row r="21" spans="3:18" ht="14.25">
      <c r="C21" s="420" t="str">
        <f t="shared" si="5"/>
        <v>Шале</v>
      </c>
      <c r="D21" s="525" t="s">
        <v>642</v>
      </c>
      <c r="E21" s="526"/>
      <c r="F21" s="526"/>
      <c r="G21" s="526"/>
      <c r="H21" s="526"/>
      <c r="I21" s="526"/>
      <c r="J21" s="526"/>
      <c r="K21" s="526"/>
      <c r="L21" s="526"/>
      <c r="M21" s="477">
        <f>M16</f>
        <v>0.11000000000000001</v>
      </c>
      <c r="N21" s="477">
        <f>N16</f>
        <v>0.10500000000000001</v>
      </c>
      <c r="O21" s="477">
        <f>O16</f>
        <v>0.1</v>
      </c>
      <c r="P21" s="477">
        <f>P16</f>
        <v>9.5000000000000001E-2</v>
      </c>
      <c r="Q21" s="477">
        <f>Q16</f>
        <v>0.09</v>
      </c>
      <c r="R21" s="528"/>
    </row>
    <row r="22" spans="3:18" ht="14.25">
      <c r="C22" s="420" t="str">
        <f t="shared" si="5"/>
        <v>Туристские резиденции</v>
      </c>
      <c r="D22" s="525" t="s">
        <v>642</v>
      </c>
      <c r="E22" s="526"/>
      <c r="F22" s="526"/>
      <c r="G22" s="526"/>
      <c r="H22" s="526"/>
      <c r="I22" s="526"/>
      <c r="J22" s="526"/>
      <c r="K22" s="526"/>
      <c r="L22" s="526"/>
      <c r="M22" s="477">
        <f>M20</f>
        <v>3.5000000000000003E-2</v>
      </c>
      <c r="N22" s="477">
        <f>N20</f>
        <v>3.0000000000000002E-2</v>
      </c>
      <c r="O22" s="477">
        <f>O20</f>
        <v>2.5000000000000001E-2</v>
      </c>
      <c r="P22" s="477">
        <f>P20</f>
        <v>0.02</v>
      </c>
      <c r="Q22" s="477">
        <f>Q20</f>
        <v>1.4999999999999999E-2</v>
      </c>
      <c r="R22" s="528"/>
    </row>
    <row r="23" spans="3:18" ht="14.25">
      <c r="C23" s="792"/>
      <c r="D23" s="786"/>
      <c r="E23" s="787"/>
      <c r="F23" s="787"/>
      <c r="G23" s="787"/>
      <c r="H23" s="787"/>
      <c r="I23" s="787"/>
      <c r="J23" s="787"/>
      <c r="K23" s="787"/>
      <c r="L23" s="787"/>
      <c r="M23" s="787"/>
      <c r="N23" s="787"/>
      <c r="O23" s="787"/>
      <c r="P23" s="787"/>
      <c r="Q23" s="787"/>
      <c r="R23" s="528"/>
    </row>
    <row r="24" spans="3:18" ht="15">
      <c r="C24" s="524" t="s">
        <v>27</v>
      </c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/>
      <c r="P24" s="524"/>
      <c r="Q24" s="524"/>
    </row>
    <row r="25" spans="3:18" ht="63.75">
      <c r="C25" s="200"/>
      <c r="D25" s="200" t="s">
        <v>215</v>
      </c>
      <c r="E25" s="821" t="s">
        <v>523</v>
      </c>
      <c r="F25" s="200" t="s">
        <v>524</v>
      </c>
      <c r="G25" s="200" t="s">
        <v>525</v>
      </c>
      <c r="H25" s="200" t="s">
        <v>526</v>
      </c>
      <c r="I25" s="1977" t="s">
        <v>527</v>
      </c>
      <c r="J25" s="1977"/>
      <c r="K25" s="1977"/>
      <c r="L25" s="1977"/>
      <c r="M25" s="200" t="s">
        <v>531</v>
      </c>
      <c r="N25" s="200" t="s">
        <v>532</v>
      </c>
      <c r="O25" s="200" t="s">
        <v>533</v>
      </c>
      <c r="P25" s="200" t="s">
        <v>57</v>
      </c>
      <c r="Q25" s="200" t="s">
        <v>525</v>
      </c>
    </row>
    <row r="26" spans="3:18" ht="14.25">
      <c r="C26" s="420" t="str">
        <f t="shared" ref="C26:C32" si="7">C16</f>
        <v>Гостиница 5*</v>
      </c>
      <c r="D26" s="525" t="s">
        <v>528</v>
      </c>
      <c r="E26" s="1036">
        <v>900</v>
      </c>
      <c r="F26" s="790">
        <f t="shared" ref="F26:G32" si="8">F6</f>
        <v>2026</v>
      </c>
      <c r="G26" s="526">
        <f t="shared" si="8"/>
        <v>2030</v>
      </c>
      <c r="H26" s="527">
        <f>SUMIF(CPI!$3:$3,G26,CPI!$5:$5)</f>
        <v>1.4233118124214852</v>
      </c>
      <c r="I26" s="182">
        <v>0.06</v>
      </c>
      <c r="J26" s="182">
        <v>0.04</v>
      </c>
      <c r="K26" s="182">
        <v>0.02</v>
      </c>
      <c r="L26" s="182">
        <v>0.02</v>
      </c>
      <c r="M26" s="208">
        <f t="shared" ref="M26:M32" si="9">$Q26*(1+I26)</f>
        <v>1357.8394690500968</v>
      </c>
      <c r="N26" s="201">
        <f t="shared" ref="N26:P27" si="10">$Q26*(1+J26)</f>
        <v>1332.21985642651</v>
      </c>
      <c r="O26" s="201">
        <f t="shared" si="10"/>
        <v>1306.6002438029234</v>
      </c>
      <c r="P26" s="201">
        <f t="shared" si="10"/>
        <v>1306.6002438029234</v>
      </c>
      <c r="Q26" s="201">
        <f t="shared" ref="Q26:Q32" si="11">H26*E26</f>
        <v>1280.9806311793366</v>
      </c>
    </row>
    <row r="27" spans="3:18" ht="14.25">
      <c r="C27" s="420" t="str">
        <f t="shared" si="7"/>
        <v>Гостиница 4*</v>
      </c>
      <c r="D27" s="525" t="s">
        <v>528</v>
      </c>
      <c r="E27" s="1036">
        <v>650</v>
      </c>
      <c r="F27" s="526">
        <f t="shared" si="8"/>
        <v>2026</v>
      </c>
      <c r="G27" s="526">
        <f t="shared" si="8"/>
        <v>2030</v>
      </c>
      <c r="H27" s="527">
        <f>SUMIF(CPI!$3:$3,G27,CPI!$5:$5)</f>
        <v>1.4233118124214852</v>
      </c>
      <c r="I27" s="182">
        <v>0.06</v>
      </c>
      <c r="J27" s="182">
        <v>0.04</v>
      </c>
      <c r="K27" s="182">
        <v>0.02</v>
      </c>
      <c r="L27" s="182">
        <v>0.02</v>
      </c>
      <c r="M27" s="208">
        <f t="shared" si="9"/>
        <v>980.66183875840329</v>
      </c>
      <c r="N27" s="201">
        <f t="shared" si="10"/>
        <v>962.15878519692399</v>
      </c>
      <c r="O27" s="201">
        <f t="shared" si="10"/>
        <v>943.65573163544468</v>
      </c>
      <c r="P27" s="201">
        <f t="shared" si="10"/>
        <v>943.65573163544468</v>
      </c>
      <c r="Q27" s="201">
        <f t="shared" si="11"/>
        <v>925.15267807396538</v>
      </c>
    </row>
    <row r="28" spans="3:18" ht="14.25">
      <c r="C28" s="420" t="str">
        <f t="shared" si="7"/>
        <v>Гостиница 3*</v>
      </c>
      <c r="D28" s="525" t="s">
        <v>528</v>
      </c>
      <c r="E28" s="1036">
        <v>300</v>
      </c>
      <c r="F28" s="526">
        <f t="shared" si="8"/>
        <v>2025</v>
      </c>
      <c r="G28" s="526">
        <f t="shared" si="8"/>
        <v>2029</v>
      </c>
      <c r="H28" s="527">
        <f>SUMIF(CPI!$3:$3,G28,CPI!$5:$5)</f>
        <v>1.3685690504052741</v>
      </c>
      <c r="I28" s="182">
        <v>0.06</v>
      </c>
      <c r="J28" s="182">
        <v>0.04</v>
      </c>
      <c r="K28" s="182">
        <v>0.02</v>
      </c>
      <c r="L28" s="182">
        <v>0.02</v>
      </c>
      <c r="M28" s="208">
        <f t="shared" si="9"/>
        <v>435.20495802887717</v>
      </c>
      <c r="N28" s="201">
        <f t="shared" ref="N28:P32" si="12">$Q28*(1+J28)</f>
        <v>426.99354372644552</v>
      </c>
      <c r="O28" s="201">
        <f t="shared" si="12"/>
        <v>418.78212942401387</v>
      </c>
      <c r="P28" s="201">
        <f t="shared" si="12"/>
        <v>418.78212942401387</v>
      </c>
      <c r="Q28" s="201">
        <f t="shared" si="11"/>
        <v>410.57071512158223</v>
      </c>
    </row>
    <row r="29" spans="3:18" ht="14.25">
      <c r="C29" s="420" t="str">
        <f t="shared" si="7"/>
        <v>Гостиница 2*</v>
      </c>
      <c r="D29" s="525" t="s">
        <v>528</v>
      </c>
      <c r="E29" s="1036">
        <v>400</v>
      </c>
      <c r="F29" s="526">
        <f t="shared" si="8"/>
        <v>1900</v>
      </c>
      <c r="G29" s="526">
        <f t="shared" si="8"/>
        <v>1904</v>
      </c>
      <c r="H29" s="527">
        <f>SUMIF(CPI!$3:$3,G29,CPI!$5:$5)</f>
        <v>0</v>
      </c>
      <c r="I29" s="182">
        <v>0.06</v>
      </c>
      <c r="J29" s="182">
        <v>0.04</v>
      </c>
      <c r="K29" s="182">
        <v>0.02</v>
      </c>
      <c r="L29" s="182">
        <v>0.02</v>
      </c>
      <c r="M29" s="208">
        <f t="shared" si="9"/>
        <v>0</v>
      </c>
      <c r="N29" s="201">
        <f t="shared" si="12"/>
        <v>0</v>
      </c>
      <c r="O29" s="201">
        <f t="shared" si="12"/>
        <v>0</v>
      </c>
      <c r="P29" s="201">
        <f t="shared" si="12"/>
        <v>0</v>
      </c>
      <c r="Q29" s="201">
        <f t="shared" si="11"/>
        <v>0</v>
      </c>
    </row>
    <row r="30" spans="3:18" ht="14.25">
      <c r="C30" s="420" t="str">
        <f t="shared" si="7"/>
        <v>Хостел в составе МФЦ</v>
      </c>
      <c r="D30" s="525" t="s">
        <v>528</v>
      </c>
      <c r="E30" s="1036">
        <v>350</v>
      </c>
      <c r="F30" s="526">
        <f t="shared" si="8"/>
        <v>2025</v>
      </c>
      <c r="G30" s="526">
        <f t="shared" si="8"/>
        <v>2029</v>
      </c>
      <c r="H30" s="527">
        <f>SUMIF(CPI!$3:$3,G30,CPI!$5:$5)</f>
        <v>1.3685690504052741</v>
      </c>
      <c r="I30" s="182">
        <v>0.06</v>
      </c>
      <c r="J30" s="182">
        <v>0.04</v>
      </c>
      <c r="K30" s="182">
        <v>0.02</v>
      </c>
      <c r="L30" s="182">
        <v>0.02</v>
      </c>
      <c r="M30" s="208">
        <f t="shared" si="9"/>
        <v>507.7391177003567</v>
      </c>
      <c r="N30" s="201">
        <f t="shared" si="12"/>
        <v>498.1591343475198</v>
      </c>
      <c r="O30" s="201">
        <f t="shared" si="12"/>
        <v>488.57915099468283</v>
      </c>
      <c r="P30" s="201">
        <f t="shared" si="12"/>
        <v>488.57915099468283</v>
      </c>
      <c r="Q30" s="208">
        <f t="shared" si="11"/>
        <v>478.99916764184593</v>
      </c>
    </row>
    <row r="31" spans="3:18" ht="14.25">
      <c r="C31" s="420" t="str">
        <f t="shared" si="7"/>
        <v>Шале</v>
      </c>
      <c r="D31" s="525" t="s">
        <v>528</v>
      </c>
      <c r="E31" s="1036">
        <v>5000</v>
      </c>
      <c r="F31" s="526">
        <f t="shared" si="8"/>
        <v>2026</v>
      </c>
      <c r="G31" s="526">
        <f t="shared" si="8"/>
        <v>2030</v>
      </c>
      <c r="H31" s="527">
        <f>SUMIF(CPI!$3:$3,G31,CPI!$5:$5)</f>
        <v>1.4233118124214852</v>
      </c>
      <c r="I31" s="182">
        <v>0.06</v>
      </c>
      <c r="J31" s="182">
        <v>0.04</v>
      </c>
      <c r="K31" s="182">
        <v>0.02</v>
      </c>
      <c r="L31" s="182">
        <v>0.02</v>
      </c>
      <c r="M31" s="208">
        <f t="shared" si="9"/>
        <v>7543.5526058338719</v>
      </c>
      <c r="N31" s="201">
        <f t="shared" si="12"/>
        <v>7401.221424591723</v>
      </c>
      <c r="O31" s="201">
        <f t="shared" si="12"/>
        <v>7258.890243349575</v>
      </c>
      <c r="P31" s="201">
        <f t="shared" si="12"/>
        <v>7258.890243349575</v>
      </c>
      <c r="Q31" s="201">
        <f t="shared" si="11"/>
        <v>7116.5590621074261</v>
      </c>
    </row>
    <row r="32" spans="3:18" ht="14.25">
      <c r="C32" s="420" t="str">
        <f t="shared" si="7"/>
        <v>Туристские резиденции</v>
      </c>
      <c r="D32" s="525" t="s">
        <v>528</v>
      </c>
      <c r="E32" s="1126">
        <f>E30</f>
        <v>350</v>
      </c>
      <c r="F32" s="526">
        <f t="shared" si="8"/>
        <v>2025</v>
      </c>
      <c r="G32" s="526">
        <f t="shared" si="8"/>
        <v>2029</v>
      </c>
      <c r="H32" s="527">
        <f>SUMIF(CPI!$3:$3,G32,CPI!$5:$5)</f>
        <v>1.3685690504052741</v>
      </c>
      <c r="I32" s="182">
        <v>0.06</v>
      </c>
      <c r="J32" s="182">
        <v>0.04</v>
      </c>
      <c r="K32" s="182">
        <v>0.02</v>
      </c>
      <c r="L32" s="182">
        <v>0.02</v>
      </c>
      <c r="M32" s="208">
        <f t="shared" si="9"/>
        <v>507.7391177003567</v>
      </c>
      <c r="N32" s="201">
        <f t="shared" si="12"/>
        <v>498.1591343475198</v>
      </c>
      <c r="O32" s="201">
        <f t="shared" si="12"/>
        <v>488.57915099468283</v>
      </c>
      <c r="P32" s="201">
        <f t="shared" si="12"/>
        <v>488.57915099468283</v>
      </c>
      <c r="Q32" s="201">
        <f t="shared" si="11"/>
        <v>478.99916764184593</v>
      </c>
    </row>
    <row r="33" spans="3:19" ht="14.25">
      <c r="C33" s="792"/>
      <c r="D33" s="786"/>
      <c r="N33" s="788"/>
      <c r="O33" s="788"/>
      <c r="P33" s="788"/>
      <c r="Q33" s="788"/>
    </row>
    <row r="34" spans="3:19">
      <c r="H34" s="529" t="s">
        <v>534</v>
      </c>
      <c r="M34" s="529" t="s">
        <v>23</v>
      </c>
    </row>
    <row r="35" spans="3:19" ht="38.25">
      <c r="C35" s="200" t="s">
        <v>535</v>
      </c>
      <c r="D35" s="200"/>
      <c r="E35" s="1827"/>
      <c r="F35" s="200" t="s">
        <v>536</v>
      </c>
      <c r="G35" s="200"/>
      <c r="H35" s="200" t="str">
        <f>M35</f>
        <v>1й год</v>
      </c>
      <c r="I35" s="200" t="str">
        <f>N35</f>
        <v>2й год</v>
      </c>
      <c r="J35" s="200" t="str">
        <f>O35</f>
        <v>3й год</v>
      </c>
      <c r="K35" s="200" t="str">
        <f>P35</f>
        <v>4 год</v>
      </c>
      <c r="L35" s="530" t="str">
        <f>Q35</f>
        <v>Стаб. год</v>
      </c>
      <c r="M35" s="200" t="str">
        <f>M25</f>
        <v>1й год</v>
      </c>
      <c r="N35" s="200" t="str">
        <f>N25</f>
        <v>2й год</v>
      </c>
      <c r="O35" s="200" t="str">
        <f>O25</f>
        <v>3й год</v>
      </c>
      <c r="P35" s="200" t="str">
        <f>P25</f>
        <v>4 год</v>
      </c>
      <c r="Q35" s="200" t="s">
        <v>525</v>
      </c>
      <c r="S35" s="821" t="s">
        <v>530</v>
      </c>
    </row>
    <row r="36" spans="3:19" ht="14.25">
      <c r="C36" s="420" t="str">
        <f t="shared" ref="C36:C42" si="13">C26</f>
        <v>Гостиница 5*</v>
      </c>
      <c r="D36" s="525" t="s">
        <v>642</v>
      </c>
      <c r="E36" s="1036"/>
      <c r="F36" s="201">
        <f t="shared" ref="F36:F42" si="14">L36/H6</f>
        <v>3147.1153846153843</v>
      </c>
      <c r="G36" s="526"/>
      <c r="H36" s="803">
        <f>Отель5_PL!AO18</f>
        <v>4543.0508015533997</v>
      </c>
      <c r="I36" s="804">
        <f>Отель5_PL!AP18</f>
        <v>4611.14211870088</v>
      </c>
      <c r="J36" s="804">
        <f>Отель5_PL!AQ18</f>
        <v>4613.929398085098</v>
      </c>
      <c r="K36" s="804">
        <f>Отель5_PL!AR18</f>
        <v>4561.3974824384195</v>
      </c>
      <c r="L36" s="805">
        <f>Отель5_PL!AS18</f>
        <v>4479.3265019764622</v>
      </c>
      <c r="M36" s="806">
        <f>Отель5_PL!V18</f>
        <v>0.37758083278841048</v>
      </c>
      <c r="N36" s="806">
        <f>Отель5_PL!W18</f>
        <v>0.32971054375641595</v>
      </c>
      <c r="O36" s="806">
        <f>Отель5_PL!X18</f>
        <v>0.30135995239669433</v>
      </c>
      <c r="P36" s="806">
        <f>Отель5_PL!Y18</f>
        <v>0.28647001652892568</v>
      </c>
      <c r="Q36" s="806">
        <f>Отель5_PL!Z18</f>
        <v>0.27049586776859513</v>
      </c>
      <c r="S36" s="1036">
        <v>2700</v>
      </c>
    </row>
    <row r="37" spans="3:19" ht="14.25">
      <c r="C37" s="420" t="str">
        <f t="shared" si="13"/>
        <v>Гостиница 4*</v>
      </c>
      <c r="D37" s="525" t="s">
        <v>642</v>
      </c>
      <c r="E37" s="1036"/>
      <c r="F37" s="201">
        <f t="shared" si="14"/>
        <v>1864.4230769230767</v>
      </c>
      <c r="G37" s="526"/>
      <c r="H37" s="803">
        <f>Отель4_PL!AO18</f>
        <v>2688.1183691380552</v>
      </c>
      <c r="I37" s="804">
        <f>Отель4_PL!AP18</f>
        <v>2729.0490996992289</v>
      </c>
      <c r="J37" s="804">
        <f>Отель4_PL!AQ18</f>
        <v>2730.1788057186118</v>
      </c>
      <c r="K37" s="804">
        <f>Отель4_PL!AR18</f>
        <v>2702.3185459319679</v>
      </c>
      <c r="L37" s="805">
        <f>Отель4_PL!AS18</f>
        <v>2653.6553887358264</v>
      </c>
      <c r="M37" s="806">
        <f>Отель4_PL!V18</f>
        <v>0.3807481106749297</v>
      </c>
      <c r="N37" s="806">
        <f>Отель4_PL!W18</f>
        <v>0.33255440040326179</v>
      </c>
      <c r="O37" s="806">
        <f>Отель4_PL!X18</f>
        <v>0.303901403943662</v>
      </c>
      <c r="P37" s="806">
        <f>Отель4_PL!Y18</f>
        <v>0.28923098591549301</v>
      </c>
      <c r="Q37" s="806">
        <f>Отель4_PL!Z18</f>
        <v>0.27309859154929583</v>
      </c>
      <c r="S37" s="1036">
        <v>1900</v>
      </c>
    </row>
    <row r="38" spans="3:19" ht="14.25">
      <c r="C38" s="420" t="str">
        <f t="shared" si="13"/>
        <v>Гостиница 3*</v>
      </c>
      <c r="D38" s="525" t="s">
        <v>642</v>
      </c>
      <c r="E38" s="1036"/>
      <c r="F38" s="201">
        <f t="shared" si="14"/>
        <v>1330.2884615384614</v>
      </c>
      <c r="G38" s="526"/>
      <c r="H38" s="803">
        <f>Отель3_PL!AO18</f>
        <v>1767.6464848055771</v>
      </c>
      <c r="I38" s="803">
        <f>Отель3_PL!AP18</f>
        <v>1830.7887544102816</v>
      </c>
      <c r="J38" s="803">
        <f>Отель3_PL!AQ18</f>
        <v>1854.9720473526081</v>
      </c>
      <c r="K38" s="803">
        <f>Отель3_PL!AR18</f>
        <v>1842.6365106406297</v>
      </c>
      <c r="L38" s="805">
        <f>Отель3_PL!AS18</f>
        <v>1820.5916165727851</v>
      </c>
      <c r="M38" s="806">
        <f>Отель3_PL!V18</f>
        <v>0.32434082320115593</v>
      </c>
      <c r="N38" s="806">
        <f>Отель3_PL!W18</f>
        <v>0.28900570640073875</v>
      </c>
      <c r="O38" s="806">
        <f>Отель3_PL!X18</f>
        <v>0.26748277333333342</v>
      </c>
      <c r="P38" s="806">
        <f>Отель3_PL!Y18</f>
        <v>0.25548463157894741</v>
      </c>
      <c r="Q38" s="806">
        <f>Отель3_PL!Z18</f>
        <v>0.24271929824561408</v>
      </c>
      <c r="S38" s="1036">
        <v>1000</v>
      </c>
    </row>
    <row r="39" spans="3:19" ht="14.25">
      <c r="C39" s="420" t="str">
        <f t="shared" si="13"/>
        <v>Гостиница 2*</v>
      </c>
      <c r="D39" s="525" t="s">
        <v>642</v>
      </c>
      <c r="E39" s="1036"/>
      <c r="F39" s="201" t="str">
        <f>IFERROR(L39/H9,"")</f>
        <v/>
      </c>
      <c r="G39" s="526"/>
      <c r="H39" s="803" t="str">
        <f>IFERROR(Отель2_PL!AO18,"")</f>
        <v/>
      </c>
      <c r="I39" s="803" t="str">
        <f>IFERROR(Отель2_PL!AP18,"")</f>
        <v/>
      </c>
      <c r="J39" s="803" t="str">
        <f>IFERROR(Отель2_PL!AQ18,"")</f>
        <v/>
      </c>
      <c r="K39" s="803" t="str">
        <f>IFERROR(Отель2_PL!AR18,"")</f>
        <v/>
      </c>
      <c r="L39" s="805" t="str">
        <f>IFERROR(Отель2_PL!AS18,"")</f>
        <v/>
      </c>
      <c r="M39" s="806" t="str">
        <f>IFERROR(Отель2_PL!V18,"")</f>
        <v/>
      </c>
      <c r="N39" s="806" t="str">
        <f>IFERROR(Отель2_PL!W18,"")</f>
        <v/>
      </c>
      <c r="O39" s="806" t="str">
        <f>IFERROR(Отель2_PL!X18,"")</f>
        <v/>
      </c>
      <c r="P39" s="806" t="str">
        <f>IFERROR(Отель2_PL!Y18,"")</f>
        <v/>
      </c>
      <c r="Q39" s="806" t="str">
        <f>IFERROR(Отель2_PL!Z18,"")</f>
        <v/>
      </c>
      <c r="S39" s="1036">
        <v>1000</v>
      </c>
    </row>
    <row r="40" spans="3:19" ht="14.25">
      <c r="C40" s="420" t="str">
        <f t="shared" si="13"/>
        <v>Хостел в составе МФЦ</v>
      </c>
      <c r="D40" s="525" t="s">
        <v>642</v>
      </c>
      <c r="E40" s="1036"/>
      <c r="F40" s="201">
        <f t="shared" si="14"/>
        <v>823.99038461538453</v>
      </c>
      <c r="G40" s="526"/>
      <c r="H40" s="803">
        <f>Хостел_PL!AO18</f>
        <v>1261.5224812770562</v>
      </c>
      <c r="I40" s="803">
        <f>Хостел_PL!AP18</f>
        <v>1228.4667720393561</v>
      </c>
      <c r="J40" s="803">
        <f>Хостел_PL!AQ18</f>
        <v>1196.6023068368768</v>
      </c>
      <c r="K40" s="803">
        <f>Хостел_PL!AR18</f>
        <v>1169.5647364522972</v>
      </c>
      <c r="L40" s="805">
        <f>Хостел_PL!AS18</f>
        <v>1127.6877382161533</v>
      </c>
      <c r="M40" s="806">
        <f>Хостел_PL!V18</f>
        <v>0.28107491033503773</v>
      </c>
      <c r="N40" s="806">
        <f>Хостел_PL!W18</f>
        <v>0.24563708661520475</v>
      </c>
      <c r="O40" s="806">
        <f>Хостел_PL!X18</f>
        <v>0.21568418245614038</v>
      </c>
      <c r="P40" s="806">
        <f>Хостел_PL!Y18</f>
        <v>0.1907789473684211</v>
      </c>
      <c r="Q40" s="806">
        <f>Хостел_PL!Z18</f>
        <v>0.167046783625731</v>
      </c>
      <c r="S40" s="1036">
        <v>800</v>
      </c>
    </row>
    <row r="41" spans="3:19" ht="14.25">
      <c r="C41" s="420" t="str">
        <f t="shared" si="13"/>
        <v>Шале</v>
      </c>
      <c r="D41" s="525" t="s">
        <v>642</v>
      </c>
      <c r="E41" s="1036"/>
      <c r="F41" s="201">
        <f t="shared" si="14"/>
        <v>22385.576923076918</v>
      </c>
      <c r="G41" s="526"/>
      <c r="H41" s="803">
        <f>Шале_PL!AO18</f>
        <v>32105.335518072643</v>
      </c>
      <c r="I41" s="803">
        <f>Шале_PL!AP18</f>
        <v>32739.509322788057</v>
      </c>
      <c r="J41" s="803">
        <f>Шале_PL!AQ18</f>
        <v>32842.030096840921</v>
      </c>
      <c r="K41" s="803">
        <f>Шале_PL!AR18</f>
        <v>32438.702675134333</v>
      </c>
      <c r="L41" s="805">
        <f>Шале_PL!AS18</f>
        <v>31861.656062485185</v>
      </c>
      <c r="M41" s="806">
        <f>Шале_PL!V18</f>
        <v>0.33319705403100841</v>
      </c>
      <c r="N41" s="806">
        <f>Шале_PL!W18</f>
        <v>0.29231970207376035</v>
      </c>
      <c r="O41" s="806">
        <f>Шале_PL!X18</f>
        <v>0.26785896222910222</v>
      </c>
      <c r="P41" s="806">
        <f>Шале_PL!Y18</f>
        <v>0.25439368421052633</v>
      </c>
      <c r="Q41" s="806">
        <f>Шале_PL!Z18</f>
        <v>0.24025799793601652</v>
      </c>
      <c r="S41" s="1036">
        <v>16500</v>
      </c>
    </row>
    <row r="42" spans="3:19" ht="14.25">
      <c r="C42" s="420" t="str">
        <f t="shared" si="13"/>
        <v>Туристские резиденции</v>
      </c>
      <c r="D42" s="525" t="s">
        <v>642</v>
      </c>
      <c r="E42" s="1036"/>
      <c r="F42" s="201">
        <f t="shared" si="14"/>
        <v>832.21153846153845</v>
      </c>
      <c r="G42" s="526"/>
      <c r="H42" s="803">
        <f>Резиденции_PL!AS18</f>
        <v>1283.9635180770563</v>
      </c>
      <c r="I42" s="803">
        <f>Резиденции_PL!AT18</f>
        <v>1248.4713534153561</v>
      </c>
      <c r="J42" s="803">
        <f>Резиденции_PL!AU18</f>
        <v>1213.9396106960769</v>
      </c>
      <c r="K42" s="803">
        <f>Резиденции_PL!AV18</f>
        <v>1191.2016916685786</v>
      </c>
      <c r="L42" s="805">
        <f>Резиденции_PL!AW18</f>
        <v>1138.93895492862</v>
      </c>
      <c r="M42" s="806">
        <f>Резиденции_PL!X18</f>
        <v>0.25031554654315796</v>
      </c>
      <c r="N42" s="806">
        <f>Резиденции_PL!Y18</f>
        <v>0.22026801760165129</v>
      </c>
      <c r="O42" s="806">
        <f>Резиденции_PL!Z18</f>
        <v>0.19449705107212484</v>
      </c>
      <c r="P42" s="806">
        <f>Резиденции_PL!AA18</f>
        <v>0.16516210526315794</v>
      </c>
      <c r="Q42" s="806">
        <f>Резиденции_PL!AB18</f>
        <v>0.15184210526315794</v>
      </c>
      <c r="S42" s="1036">
        <v>16500</v>
      </c>
    </row>
    <row r="45" spans="3:19" ht="19.5" customHeight="1">
      <c r="C45" s="204" t="s">
        <v>961</v>
      </c>
      <c r="D45" s="1063"/>
      <c r="E45" s="200" t="s">
        <v>510</v>
      </c>
      <c r="F45" s="200" t="s">
        <v>511</v>
      </c>
      <c r="G45" s="200" t="s">
        <v>512</v>
      </c>
      <c r="H45" s="200" t="s">
        <v>513</v>
      </c>
      <c r="I45" s="200" t="s">
        <v>514</v>
      </c>
    </row>
    <row r="46" spans="3:19">
      <c r="C46" s="202" t="str">
        <f>'Прогноз расходов'!C6</f>
        <v>Гостиница 5*</v>
      </c>
      <c r="D46" s="520" t="s">
        <v>643</v>
      </c>
      <c r="E46" s="810">
        <f>Отель5_PL!V47</f>
        <v>0.48162957642288406</v>
      </c>
      <c r="F46" s="810">
        <f>Отель5_PL!W47</f>
        <v>0.51929414358226467</v>
      </c>
      <c r="G46" s="810">
        <f>Отель5_PL!X47</f>
        <v>0.54700594532739977</v>
      </c>
      <c r="H46" s="810">
        <f>Отель5_PL!Y47</f>
        <v>0.56154168174629537</v>
      </c>
      <c r="I46" s="810">
        <f>Отель5_PL!Z47</f>
        <v>0.57534992884072811</v>
      </c>
    </row>
    <row r="47" spans="3:19">
      <c r="C47" s="202" t="str">
        <f>'Прогноз расходов'!C7</f>
        <v>Гостиница 4*</v>
      </c>
      <c r="D47" s="520" t="str">
        <f t="shared" ref="D47:D52" si="15">D46</f>
        <v>от валовой выручки</v>
      </c>
      <c r="E47" s="810">
        <f>Отель4_PL!V47</f>
        <v>0.51195158754124748</v>
      </c>
      <c r="F47" s="810">
        <f>Отель4_PL!W47</f>
        <v>0.55242005611083844</v>
      </c>
      <c r="G47" s="810">
        <f>Отель4_PL!X47</f>
        <v>0.57778957283645216</v>
      </c>
      <c r="H47" s="810">
        <f>Отель4_PL!Y47</f>
        <v>0.59291681714216915</v>
      </c>
      <c r="I47" s="810">
        <f>Отель4_PL!Z47</f>
        <v>0.60712330965852102</v>
      </c>
    </row>
    <row r="48" spans="3:19">
      <c r="C48" s="202" t="str">
        <f>'Прогноз расходов'!C8</f>
        <v>Гостиница 3*</v>
      </c>
      <c r="D48" s="520" t="str">
        <f t="shared" si="15"/>
        <v>от валовой выручки</v>
      </c>
      <c r="E48" s="810">
        <f>Отель3_PL!V47</f>
        <v>0.5456691308547752</v>
      </c>
      <c r="F48" s="810">
        <f>Отель3_PL!W47</f>
        <v>0.58042206297827437</v>
      </c>
      <c r="G48" s="810">
        <f>Отель3_PL!X47</f>
        <v>0.60086680530071357</v>
      </c>
      <c r="H48" s="810">
        <f>Отель3_PL!Y47</f>
        <v>0.61373625367767237</v>
      </c>
      <c r="I48" s="810">
        <f>Отель3_PL!Z47</f>
        <v>0.6263004385964912</v>
      </c>
    </row>
    <row r="49" spans="3:9" hidden="1">
      <c r="C49" s="202" t="str">
        <f>'Прогноз расходов'!C9</f>
        <v>Гостиница 2*</v>
      </c>
      <c r="D49" s="520" t="str">
        <f t="shared" si="15"/>
        <v>от валовой выручки</v>
      </c>
      <c r="E49" s="810" t="str">
        <f>IFERROR(Отель2_PL!V47,"")</f>
        <v/>
      </c>
      <c r="F49" s="810" t="str">
        <f>IFERROR(Отель2_PL!W47,"")</f>
        <v/>
      </c>
      <c r="G49" s="810" t="str">
        <f>IFERROR(Отель2_PL!X47,"")</f>
        <v/>
      </c>
      <c r="H49" s="810" t="str">
        <f>IFERROR(Отель2_PL!Y47,"")</f>
        <v/>
      </c>
      <c r="I49" s="810" t="str">
        <f>IFERROR(Отель2_PL!Z47,"")</f>
        <v/>
      </c>
    </row>
    <row r="50" spans="3:9">
      <c r="C50" s="202" t="str">
        <f>'Прогноз расходов'!C10</f>
        <v>Хостел в составе МФЦ</v>
      </c>
      <c r="D50" s="520" t="str">
        <f t="shared" si="15"/>
        <v>от валовой выручки</v>
      </c>
      <c r="E50" s="810">
        <f>Хостел_PL!V47</f>
        <v>0.72632709920849514</v>
      </c>
      <c r="F50" s="810">
        <f>Хостел_PL!W47</f>
        <v>0.76025159175578494</v>
      </c>
      <c r="G50" s="810">
        <f>Хостел_PL!X47</f>
        <v>0.78958451439603783</v>
      </c>
      <c r="H50" s="810">
        <f>Хостел_PL!Y47</f>
        <v>0.81309716599190274</v>
      </c>
      <c r="I50" s="810">
        <f>Хостел_PL!Z47</f>
        <v>0.83591655420602795</v>
      </c>
    </row>
    <row r="51" spans="3:9">
      <c r="C51" s="202" t="str">
        <f>'Прогноз расходов'!C11</f>
        <v>Шале</v>
      </c>
      <c r="D51" s="520" t="str">
        <f t="shared" si="15"/>
        <v>от валовой выручки</v>
      </c>
      <c r="E51" s="810">
        <f>Шале_PL!V47</f>
        <v>0.68384881988144042</v>
      </c>
      <c r="F51" s="810">
        <f>Шале_PL!W47</f>
        <v>0.72280027084203613</v>
      </c>
      <c r="G51" s="810">
        <f>Шале_PL!X47</f>
        <v>0.74606487467661897</v>
      </c>
      <c r="H51" s="810">
        <f>Шале_PL!Y47</f>
        <v>0.75802776171197217</v>
      </c>
      <c r="I51" s="810">
        <f>Шале_PL!Z47</f>
        <v>0.770772478957783</v>
      </c>
    </row>
    <row r="52" spans="3:9">
      <c r="C52" s="202" t="str">
        <f>'Прогноз расходов'!C12</f>
        <v>Туристские резиденции</v>
      </c>
      <c r="D52" s="520" t="str">
        <f t="shared" si="15"/>
        <v>от валовой выручки</v>
      </c>
      <c r="E52" s="810">
        <f>Резиденции_PL!X47</f>
        <v>0.63945122111601582</v>
      </c>
      <c r="F52" s="810">
        <f>Резиденции_PL!Y47</f>
        <v>0.66810973458364531</v>
      </c>
      <c r="G52" s="810">
        <f>Резиденции_PL!Z47</f>
        <v>0.6924563728409342</v>
      </c>
      <c r="H52" s="810">
        <f>Резиденции_PL!AA47</f>
        <v>0.71617621832358669</v>
      </c>
      <c r="I52" s="810">
        <f>Резиденции_PL!AB47</f>
        <v>0.72899842890809119</v>
      </c>
    </row>
  </sheetData>
  <mergeCells count="3">
    <mergeCell ref="I5:L5"/>
    <mergeCell ref="I15:L15"/>
    <mergeCell ref="I25:L25"/>
  </mergeCells>
  <conditionalFormatting sqref="I6:L7 Q16:Q17 E26:E31 E6:E11">
    <cfRule type="expression" dxfId="486" priority="122">
      <formula>$A$1=1</formula>
    </cfRule>
  </conditionalFormatting>
  <conditionalFormatting sqref="I6:L7 Q16:Q17 E26:E31 E6:E11">
    <cfRule type="cellIs" dxfId="485" priority="121" operator="equal">
      <formula>0</formula>
    </cfRule>
  </conditionalFormatting>
  <conditionalFormatting sqref="I9:L9">
    <cfRule type="expression" dxfId="484" priority="98">
      <formula>$A$1=1</formula>
    </cfRule>
  </conditionalFormatting>
  <conditionalFormatting sqref="I9:L9">
    <cfRule type="cellIs" dxfId="483" priority="97" operator="equal">
      <formula>0</formula>
    </cfRule>
  </conditionalFormatting>
  <conditionalFormatting sqref="I8:L8">
    <cfRule type="expression" dxfId="482" priority="100">
      <formula>$A$1=1</formula>
    </cfRule>
  </conditionalFormatting>
  <conditionalFormatting sqref="I8:L8">
    <cfRule type="cellIs" dxfId="481" priority="99" operator="equal">
      <formula>0</formula>
    </cfRule>
  </conditionalFormatting>
  <conditionalFormatting sqref="I10:L10">
    <cfRule type="expression" dxfId="480" priority="96">
      <formula>$A$1=1</formula>
    </cfRule>
  </conditionalFormatting>
  <conditionalFormatting sqref="I10:L10">
    <cfRule type="cellIs" dxfId="479" priority="95" operator="equal">
      <formula>0</formula>
    </cfRule>
  </conditionalFormatting>
  <conditionalFormatting sqref="I11:L11">
    <cfRule type="expression" dxfId="478" priority="94">
      <formula>$A$1=1</formula>
    </cfRule>
  </conditionalFormatting>
  <conditionalFormatting sqref="I11:L11">
    <cfRule type="cellIs" dxfId="477" priority="93" operator="equal">
      <formula>0</formula>
    </cfRule>
  </conditionalFormatting>
  <conditionalFormatting sqref="Q18">
    <cfRule type="expression" dxfId="476" priority="42">
      <formula>$A$1=1</formula>
    </cfRule>
  </conditionalFormatting>
  <conditionalFormatting sqref="Q18">
    <cfRule type="cellIs" dxfId="475" priority="41" operator="equal">
      <formula>0</formula>
    </cfRule>
  </conditionalFormatting>
  <conditionalFormatting sqref="Q19">
    <cfRule type="expression" dxfId="474" priority="40">
      <formula>$A$1=1</formula>
    </cfRule>
  </conditionalFormatting>
  <conditionalFormatting sqref="Q19">
    <cfRule type="cellIs" dxfId="473" priority="39" operator="equal">
      <formula>0</formula>
    </cfRule>
  </conditionalFormatting>
  <conditionalFormatting sqref="Q20">
    <cfRule type="expression" dxfId="472" priority="36">
      <formula>$A$1=1</formula>
    </cfRule>
  </conditionalFormatting>
  <conditionalFormatting sqref="Q20">
    <cfRule type="cellIs" dxfId="471" priority="35" operator="equal">
      <formula>0</formula>
    </cfRule>
  </conditionalFormatting>
  <conditionalFormatting sqref="S36:S41">
    <cfRule type="expression" dxfId="470" priority="20">
      <formula>$A$1=1</formula>
    </cfRule>
  </conditionalFormatting>
  <conditionalFormatting sqref="S36:S41">
    <cfRule type="cellIs" dxfId="469" priority="19" operator="equal">
      <formula>0</formula>
    </cfRule>
  </conditionalFormatting>
  <conditionalFormatting sqref="I26:L31">
    <cfRule type="expression" dxfId="468" priority="18">
      <formula>$A$1=1</formula>
    </cfRule>
  </conditionalFormatting>
  <conditionalFormatting sqref="I26:L31">
    <cfRule type="cellIs" dxfId="467" priority="17" operator="equal">
      <formula>0</formula>
    </cfRule>
  </conditionalFormatting>
  <conditionalFormatting sqref="E12">
    <cfRule type="expression" dxfId="466" priority="16">
      <formula>$A$1=1</formula>
    </cfRule>
  </conditionalFormatting>
  <conditionalFormatting sqref="E12">
    <cfRule type="cellIs" dxfId="465" priority="15" operator="equal">
      <formula>0</formula>
    </cfRule>
  </conditionalFormatting>
  <conditionalFormatting sqref="I12:L12">
    <cfRule type="expression" dxfId="464" priority="14">
      <formula>$A$1=1</formula>
    </cfRule>
  </conditionalFormatting>
  <conditionalFormatting sqref="I12:L12">
    <cfRule type="cellIs" dxfId="463" priority="13" operator="equal">
      <formula>0</formula>
    </cfRule>
  </conditionalFormatting>
  <conditionalFormatting sqref="I32:L32">
    <cfRule type="expression" dxfId="462" priority="10">
      <formula>$A$1=1</formula>
    </cfRule>
  </conditionalFormatting>
  <conditionalFormatting sqref="I32:L32">
    <cfRule type="cellIs" dxfId="461" priority="9" operator="equal">
      <formula>0</formula>
    </cfRule>
  </conditionalFormatting>
  <conditionalFormatting sqref="E32">
    <cfRule type="expression" dxfId="460" priority="8">
      <formula>$A$1=1</formula>
    </cfRule>
  </conditionalFormatting>
  <conditionalFormatting sqref="E32">
    <cfRule type="cellIs" dxfId="459" priority="7" operator="equal">
      <formula>0</formula>
    </cfRule>
  </conditionalFormatting>
  <conditionalFormatting sqref="S42">
    <cfRule type="expression" dxfId="458" priority="6">
      <formula>$A$1=1</formula>
    </cfRule>
  </conditionalFormatting>
  <conditionalFormatting sqref="S42">
    <cfRule type="cellIs" dxfId="457" priority="5" operator="equal">
      <formula>0</formula>
    </cfRule>
  </conditionalFormatting>
  <conditionalFormatting sqref="E42">
    <cfRule type="cellIs" dxfId="456" priority="1" operator="equal">
      <formula>0</formula>
    </cfRule>
  </conditionalFormatting>
  <conditionalFormatting sqref="E36:E41">
    <cfRule type="expression" dxfId="455" priority="4">
      <formula>$A$1=1</formula>
    </cfRule>
  </conditionalFormatting>
  <conditionalFormatting sqref="E36:E41">
    <cfRule type="cellIs" dxfId="454" priority="3" operator="equal">
      <formula>0</formula>
    </cfRule>
  </conditionalFormatting>
  <conditionalFormatting sqref="E42">
    <cfRule type="expression" dxfId="453" priority="2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R101"/>
  <sheetViews>
    <sheetView showGridLines="0" zoomScale="85" zoomScaleNormal="85" workbookViewId="0">
      <selection activeCell="L11" sqref="L11"/>
    </sheetView>
  </sheetViews>
  <sheetFormatPr defaultColWidth="8.7109375" defaultRowHeight="12.75" outlineLevelRow="2"/>
  <cols>
    <col min="1" max="2" width="4.5703125" style="140" customWidth="1"/>
    <col min="3" max="3" width="21.5703125" style="140" customWidth="1"/>
    <col min="4" max="4" width="1.5703125" style="140" customWidth="1"/>
    <col min="5" max="5" width="25.28515625" style="140" customWidth="1"/>
    <col min="6" max="10" width="8.140625" style="140" customWidth="1"/>
    <col min="11" max="11" width="8" style="140" customWidth="1"/>
    <col min="12" max="12" width="59.140625" style="140" bestFit="1" customWidth="1"/>
    <col min="13" max="17" width="8" style="140" customWidth="1"/>
    <col min="18" max="18" width="9" style="140" bestFit="1" customWidth="1"/>
    <col min="19" max="16384" width="8.7109375" style="140"/>
  </cols>
  <sheetData>
    <row r="1" spans="1:18" ht="15" thickBot="1">
      <c r="A1" s="415">
        <v>0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</row>
    <row r="2" spans="1:18" ht="15">
      <c r="C2" s="1037" t="s">
        <v>728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</row>
    <row r="3" spans="1:18" ht="14.25"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</row>
    <row r="4" spans="1:18" ht="14.25">
      <c r="C4" s="510"/>
    </row>
    <row r="5" spans="1:18">
      <c r="C5" s="1838" t="s">
        <v>17</v>
      </c>
      <c r="D5" s="1838"/>
      <c r="E5" s="1838" t="s">
        <v>1374</v>
      </c>
      <c r="F5" s="799" t="s">
        <v>510</v>
      </c>
      <c r="G5" s="799" t="s">
        <v>511</v>
      </c>
      <c r="H5" s="799" t="s">
        <v>512</v>
      </c>
      <c r="I5" s="799" t="s">
        <v>513</v>
      </c>
      <c r="J5" s="799" t="s">
        <v>514</v>
      </c>
      <c r="L5" s="203" t="s">
        <v>111</v>
      </c>
      <c r="M5" s="203"/>
      <c r="N5" s="203"/>
      <c r="O5" s="203"/>
      <c r="P5" s="203"/>
      <c r="Q5" s="203"/>
    </row>
    <row r="6" spans="1:18">
      <c r="C6" s="517" t="s">
        <v>45</v>
      </c>
      <c r="D6" s="517"/>
      <c r="E6" s="518"/>
      <c r="F6" s="517"/>
      <c r="G6" s="517"/>
      <c r="H6" s="517"/>
      <c r="I6" s="517"/>
      <c r="J6" s="517"/>
    </row>
    <row r="7" spans="1:18">
      <c r="C7" s="807" t="str">
        <f>'Прогноз расходов'!C6</f>
        <v>Гостиница 5*</v>
      </c>
      <c r="D7" s="519"/>
      <c r="E7" s="520" t="s">
        <v>515</v>
      </c>
      <c r="F7" s="182">
        <v>0.5</v>
      </c>
      <c r="G7" s="182">
        <v>0.48</v>
      </c>
      <c r="H7" s="182">
        <v>0.45</v>
      </c>
      <c r="I7" s="182">
        <v>0.42</v>
      </c>
      <c r="J7" s="182">
        <v>0.4</v>
      </c>
      <c r="L7" s="1038" t="str">
        <f>Объекты!C32&amp;" на "&amp;Объекты!F32&amp;" посадочных мест "</f>
        <v xml:space="preserve">Ресторан на 100 посадочных мест </v>
      </c>
      <c r="M7" s="520"/>
      <c r="N7" s="520"/>
      <c r="O7" s="520"/>
      <c r="P7" s="520"/>
      <c r="Q7" s="520"/>
    </row>
    <row r="8" spans="1:18">
      <c r="C8" s="807" t="str">
        <f>'Прогноз расходов'!C7</f>
        <v>Гостиница 4*</v>
      </c>
      <c r="D8" s="519"/>
      <c r="E8" s="520" t="str">
        <f t="shared" ref="E8:E13" si="0">E7</f>
        <v>от выручки по номерам</v>
      </c>
      <c r="F8" s="182">
        <f>G8+5%</f>
        <v>0.47</v>
      </c>
      <c r="G8" s="182">
        <v>0.42</v>
      </c>
      <c r="H8" s="182">
        <v>0.4</v>
      </c>
      <c r="I8" s="182">
        <v>0.37</v>
      </c>
      <c r="J8" s="182">
        <v>0.35</v>
      </c>
      <c r="L8" s="1038" t="str">
        <f>Объекты!C38&amp;" на "&amp;Объекты!F38&amp;" посадочных мест "</f>
        <v xml:space="preserve">Ресторан на 150 посадочных мест </v>
      </c>
      <c r="M8" s="1038"/>
      <c r="N8" s="1038"/>
      <c r="O8" s="1038"/>
      <c r="P8" s="1038"/>
      <c r="Q8" s="1038"/>
    </row>
    <row r="9" spans="1:18">
      <c r="C9" s="807" t="str">
        <f>'Прогноз расходов'!C8</f>
        <v>Гостиница 3*</v>
      </c>
      <c r="D9" s="519"/>
      <c r="E9" s="520" t="str">
        <f t="shared" si="0"/>
        <v>от выручки по номерам</v>
      </c>
      <c r="F9" s="182">
        <f>G9+5%</f>
        <v>0.47</v>
      </c>
      <c r="G9" s="182">
        <v>0.42</v>
      </c>
      <c r="H9" s="182">
        <v>0.4</v>
      </c>
      <c r="I9" s="182">
        <v>0.37</v>
      </c>
      <c r="J9" s="182">
        <v>0.35</v>
      </c>
      <c r="L9" s="1038" t="str">
        <f>Объекты!C44&amp;" на "&amp;Объекты!F44&amp;" посадочных мест "</f>
        <v xml:space="preserve">Ресторан на 160 посадочных мест </v>
      </c>
      <c r="M9" s="1038"/>
      <c r="N9" s="1038"/>
      <c r="O9" s="1038"/>
      <c r="P9" s="1038"/>
      <c r="Q9" s="1038"/>
    </row>
    <row r="10" spans="1:18" outlineLevel="1">
      <c r="C10" s="807" t="str">
        <f>'Прогноз расходов'!C9</f>
        <v>Гостиница 2*</v>
      </c>
      <c r="D10" s="519"/>
      <c r="E10" s="520" t="str">
        <f t="shared" si="0"/>
        <v>от выручки по номерам</v>
      </c>
      <c r="F10" s="182">
        <f>G10+5%</f>
        <v>0.27</v>
      </c>
      <c r="G10" s="182">
        <v>0.22</v>
      </c>
      <c r="H10" s="182">
        <v>0.2</v>
      </c>
      <c r="I10" s="182">
        <v>0.17</v>
      </c>
      <c r="J10" s="182">
        <v>0.15</v>
      </c>
      <c r="L10" s="1038" t="str">
        <f>Объекты!C49&amp;" на "&amp;Объекты!F49&amp;" посадочных мест "</f>
        <v xml:space="preserve">Ресторан на  посадочных мест </v>
      </c>
      <c r="M10" s="1038"/>
      <c r="N10" s="1038"/>
      <c r="O10" s="1038"/>
      <c r="P10" s="1038"/>
      <c r="Q10" s="1038"/>
    </row>
    <row r="11" spans="1:18" outlineLevel="1">
      <c r="C11" s="807" t="str">
        <f>'Прогноз расходов'!C10</f>
        <v>Хостел в составе МФЦ</v>
      </c>
      <c r="D11" s="519"/>
      <c r="E11" s="520" t="str">
        <f t="shared" si="0"/>
        <v>от выручки по номерам</v>
      </c>
      <c r="F11" s="1041"/>
      <c r="G11" s="1041"/>
      <c r="H11" s="1041"/>
      <c r="I11" s="1041"/>
      <c r="J11" s="1041"/>
      <c r="K11" s="817"/>
      <c r="L11" s="520" t="s">
        <v>723</v>
      </c>
      <c r="M11" s="520"/>
      <c r="N11" s="520"/>
      <c r="O11" s="520"/>
      <c r="P11" s="520"/>
      <c r="Q11" s="520"/>
    </row>
    <row r="12" spans="1:18" outlineLevel="1">
      <c r="C12" s="807" t="str">
        <f>'Прогноз расходов'!C11</f>
        <v>Шале</v>
      </c>
      <c r="D12" s="519"/>
      <c r="E12" s="520" t="str">
        <f t="shared" si="0"/>
        <v>от выручки по номерам</v>
      </c>
      <c r="F12" s="1041"/>
      <c r="G12" s="1041"/>
      <c r="H12" s="1041"/>
      <c r="I12" s="1041"/>
      <c r="J12" s="1041"/>
      <c r="L12" s="520" t="s">
        <v>724</v>
      </c>
      <c r="M12" s="520"/>
      <c r="N12" s="520"/>
      <c r="O12" s="520"/>
      <c r="P12" s="520"/>
      <c r="Q12" s="520"/>
    </row>
    <row r="13" spans="1:18">
      <c r="C13" s="807" t="str">
        <f>'Прогноз расходов'!C12</f>
        <v>Туристские резиденции</v>
      </c>
      <c r="D13" s="519"/>
      <c r="E13" s="520" t="str">
        <f t="shared" si="0"/>
        <v>от выручки по номерам</v>
      </c>
      <c r="F13" s="182">
        <v>0.35</v>
      </c>
      <c r="G13" s="182">
        <v>0.35</v>
      </c>
      <c r="H13" s="182">
        <v>0.33</v>
      </c>
      <c r="I13" s="182">
        <v>0.32</v>
      </c>
      <c r="J13" s="182">
        <v>0.31</v>
      </c>
      <c r="L13" s="1038" t="str">
        <f>Объекты!C51&amp;" на "&amp;Объекты!F51&amp;" посадочных мест "</f>
        <v xml:space="preserve">Ресторан тур.резиденций на 200 посадочных мест </v>
      </c>
      <c r="M13" s="520"/>
      <c r="N13" s="520"/>
      <c r="O13" s="520"/>
      <c r="P13" s="520"/>
      <c r="Q13" s="520"/>
    </row>
    <row r="14" spans="1:18">
      <c r="C14" s="517" t="s">
        <v>509</v>
      </c>
      <c r="D14" s="517"/>
      <c r="E14" s="518"/>
      <c r="F14" s="517"/>
      <c r="G14" s="517"/>
      <c r="H14" s="517"/>
      <c r="I14" s="517"/>
      <c r="J14" s="517"/>
    </row>
    <row r="15" spans="1:18">
      <c r="C15" s="202" t="str">
        <f t="shared" ref="C15:C20" si="1">C7</f>
        <v>Гостиница 5*</v>
      </c>
      <c r="D15" s="519"/>
      <c r="E15" s="520" t="str">
        <f>E7</f>
        <v>от выручки по номерам</v>
      </c>
      <c r="F15" s="182">
        <v>0.02</v>
      </c>
      <c r="G15" s="182">
        <v>0.03</v>
      </c>
      <c r="H15" s="182">
        <v>0.04</v>
      </c>
      <c r="I15" s="182">
        <v>0.05</v>
      </c>
      <c r="J15" s="182">
        <v>0.06</v>
      </c>
      <c r="L15" s="1038" t="str">
        <f>Объекты!C33&amp;" - "&amp;Объекты!E33&amp;" кв.м "</f>
        <v xml:space="preserve">Залы и переговорные - 175 кв.м </v>
      </c>
      <c r="M15" s="1038"/>
      <c r="N15" s="1038"/>
      <c r="O15" s="1038"/>
      <c r="P15" s="1038"/>
      <c r="Q15" s="1038"/>
    </row>
    <row r="16" spans="1:18">
      <c r="C16" s="202" t="str">
        <f t="shared" si="1"/>
        <v>Гостиница 4*</v>
      </c>
      <c r="D16" s="519"/>
      <c r="E16" s="520" t="str">
        <f>E15</f>
        <v>от выручки по номерам</v>
      </c>
      <c r="F16" s="182">
        <v>0.05</v>
      </c>
      <c r="G16" s="182">
        <v>0.06</v>
      </c>
      <c r="H16" s="182">
        <v>7.0000000000000007E-2</v>
      </c>
      <c r="I16" s="182">
        <v>0.09</v>
      </c>
      <c r="J16" s="182">
        <v>0.11</v>
      </c>
      <c r="L16" s="1038" t="str">
        <f>Объекты!C39&amp;" - "&amp;Объекты!E39&amp;" кв.м, "&amp;Объекты!I39</f>
        <v>Залы и переговорные - 520 кв.м, в т.ч. многофункциональный конференц-зал (с мобильной перегородкой) на 300 кв.м</v>
      </c>
      <c r="M16" s="1038"/>
      <c r="N16" s="1038"/>
      <c r="O16" s="1038"/>
      <c r="P16" s="1038"/>
      <c r="Q16" s="1038"/>
    </row>
    <row r="17" spans="3:17">
      <c r="C17" s="202" t="str">
        <f t="shared" si="1"/>
        <v>Гостиница 3*</v>
      </c>
      <c r="D17" s="519"/>
      <c r="E17" s="520" t="str">
        <f>E16</f>
        <v>от выручки по номерам</v>
      </c>
      <c r="F17" s="182">
        <v>0.02</v>
      </c>
      <c r="G17" s="182">
        <v>0.03</v>
      </c>
      <c r="H17" s="182">
        <v>0.04</v>
      </c>
      <c r="I17" s="182">
        <v>0.05</v>
      </c>
      <c r="J17" s="182">
        <v>0.06</v>
      </c>
      <c r="L17" s="1038" t="str">
        <f>Объекты!C45&amp;" - "&amp;Объекты!E45&amp;" кв.м "</f>
        <v xml:space="preserve">Залы и переговорные - 100 кв.м </v>
      </c>
      <c r="M17" s="1038"/>
      <c r="N17" s="1038"/>
      <c r="O17" s="1038"/>
      <c r="P17" s="1038"/>
      <c r="Q17" s="1038"/>
    </row>
    <row r="18" spans="3:17" outlineLevel="1">
      <c r="C18" s="202" t="str">
        <f t="shared" si="1"/>
        <v>Гостиница 2*</v>
      </c>
      <c r="D18" s="519"/>
      <c r="E18" s="520" t="str">
        <f>E17</f>
        <v>от выручки по номерам</v>
      </c>
      <c r="F18" s="1041"/>
      <c r="G18" s="1041"/>
      <c r="H18" s="1041"/>
      <c r="I18" s="1041"/>
      <c r="J18" s="1041"/>
      <c r="L18" s="1038" t="s">
        <v>729</v>
      </c>
      <c r="M18" s="1038"/>
      <c r="N18" s="1038"/>
      <c r="O18" s="1038"/>
      <c r="P18" s="1038"/>
      <c r="Q18" s="1038"/>
    </row>
    <row r="19" spans="3:17" outlineLevel="1">
      <c r="C19" s="202" t="str">
        <f t="shared" si="1"/>
        <v>Хостел в составе МФЦ</v>
      </c>
      <c r="D19" s="519"/>
      <c r="E19" s="520" t="str">
        <f>E18</f>
        <v>от выручки по номерам</v>
      </c>
      <c r="F19" s="1041"/>
      <c r="G19" s="1041"/>
      <c r="H19" s="1041"/>
      <c r="I19" s="1041"/>
      <c r="J19" s="1041"/>
      <c r="L19" s="520" t="str">
        <f>L18</f>
        <v>Помещения для проведения мероприятий не предусмотрены</v>
      </c>
      <c r="M19" s="520"/>
      <c r="N19" s="520"/>
      <c r="O19" s="520"/>
      <c r="P19" s="520"/>
      <c r="Q19" s="520"/>
    </row>
    <row r="20" spans="3:17" outlineLevel="1">
      <c r="C20" s="202" t="str">
        <f t="shared" si="1"/>
        <v>Шале</v>
      </c>
      <c r="D20" s="519"/>
      <c r="E20" s="520" t="str">
        <f>E19</f>
        <v>от выручки по номерам</v>
      </c>
      <c r="F20" s="1041"/>
      <c r="G20" s="1041"/>
      <c r="H20" s="1041"/>
      <c r="I20" s="1041"/>
      <c r="J20" s="1041"/>
      <c r="L20" s="520" t="str">
        <f>L19</f>
        <v>Помещения для проведения мероприятий не предусмотрены</v>
      </c>
      <c r="M20" s="520"/>
      <c r="N20" s="520"/>
      <c r="O20" s="520"/>
      <c r="P20" s="520"/>
      <c r="Q20" s="520"/>
    </row>
    <row r="21" spans="3:17" outlineLevel="1" collapsed="1">
      <c r="L21" s="1039"/>
      <c r="M21" s="1039"/>
      <c r="N21" s="1039"/>
      <c r="O21" s="1039"/>
      <c r="P21" s="1039"/>
      <c r="Q21" s="1039"/>
    </row>
    <row r="22" spans="3:17">
      <c r="C22" s="1838" t="s">
        <v>17</v>
      </c>
      <c r="D22" s="1838"/>
      <c r="E22" s="1838" t="s">
        <v>1373</v>
      </c>
      <c r="F22" s="821" t="s">
        <v>510</v>
      </c>
      <c r="G22" s="821" t="s">
        <v>511</v>
      </c>
      <c r="H22" s="821" t="s">
        <v>512</v>
      </c>
      <c r="I22" s="821" t="s">
        <v>513</v>
      </c>
      <c r="J22" s="821" t="s">
        <v>514</v>
      </c>
      <c r="L22" s="1039"/>
      <c r="M22" s="1039"/>
      <c r="N22" s="1039"/>
      <c r="O22" s="1039"/>
      <c r="P22" s="1039"/>
      <c r="Q22" s="1039"/>
    </row>
    <row r="23" spans="3:17">
      <c r="C23" s="517" t="str">
        <f>C6&amp;" и "&amp;C14</f>
        <v>Рестораны и бары и Банкетная служба</v>
      </c>
      <c r="D23" s="517"/>
      <c r="E23" s="518"/>
      <c r="F23" s="517"/>
      <c r="G23" s="517"/>
      <c r="H23" s="517"/>
      <c r="I23" s="517"/>
      <c r="J23" s="517"/>
      <c r="L23" s="1039"/>
      <c r="M23" s="1039"/>
      <c r="N23" s="1039"/>
      <c r="O23" s="1039"/>
      <c r="P23" s="1039"/>
      <c r="Q23" s="1039"/>
    </row>
    <row r="24" spans="3:17">
      <c r="C24" s="807" t="str">
        <f t="shared" ref="C24:C30" si="2">C7</f>
        <v>Гостиница 5*</v>
      </c>
      <c r="D24" s="519"/>
      <c r="E24" s="520" t="s">
        <v>643</v>
      </c>
      <c r="F24" s="810">
        <f>Отель5_PL!V20</f>
        <v>0.30057803468208094</v>
      </c>
      <c r="G24" s="810">
        <f>Отель5_PL!W20</f>
        <v>0.29737609329446069</v>
      </c>
      <c r="H24" s="810">
        <f>Отель5_PL!X20</f>
        <v>0.28994082840236685</v>
      </c>
      <c r="I24" s="810">
        <f>Отель5_PL!Y20</f>
        <v>0.28194361127774437</v>
      </c>
      <c r="J24" s="810">
        <f>Отель5_PL!Z20</f>
        <v>0.27794561933534739</v>
      </c>
      <c r="L24" s="1039"/>
      <c r="M24" s="1039"/>
      <c r="N24" s="1039"/>
      <c r="O24" s="1039"/>
      <c r="P24" s="1039"/>
      <c r="Q24" s="1039"/>
    </row>
    <row r="25" spans="3:17">
      <c r="C25" s="807" t="str">
        <f t="shared" si="2"/>
        <v>Гостиница 4*</v>
      </c>
      <c r="D25" s="519"/>
      <c r="E25" s="520" t="s">
        <v>643</v>
      </c>
      <c r="F25" s="810">
        <f>Отель4_PL!V20</f>
        <v>0.2857142857142857</v>
      </c>
      <c r="G25" s="810">
        <f>Отель4_PL!W20</f>
        <v>0.27042253521126758</v>
      </c>
      <c r="H25" s="810">
        <f>Отель4_PL!X20</f>
        <v>0.26628895184135976</v>
      </c>
      <c r="I25" s="810">
        <f>Отель4_PL!Y20</f>
        <v>0.2621082621082621</v>
      </c>
      <c r="J25" s="810">
        <f>Отель4_PL!Z20</f>
        <v>0.2621082621082621</v>
      </c>
      <c r="L25" s="1039"/>
      <c r="M25" s="1039"/>
      <c r="N25" s="1039"/>
      <c r="O25" s="1039"/>
      <c r="P25" s="1039"/>
      <c r="Q25" s="1039"/>
    </row>
    <row r="26" spans="3:17">
      <c r="C26" s="807" t="str">
        <f t="shared" si="2"/>
        <v>Гостиница 3*</v>
      </c>
      <c r="D26" s="519"/>
      <c r="E26" s="520" t="s">
        <v>643</v>
      </c>
      <c r="F26" s="810">
        <f>Отель3_PL!V20</f>
        <v>0.28908554572271383</v>
      </c>
      <c r="G26" s="810">
        <f>Отель3_PL!W20</f>
        <v>0.2735562310030395</v>
      </c>
      <c r="H26" s="810">
        <f>Отель3_PL!X20</f>
        <v>0.26911314984709478</v>
      </c>
      <c r="I26" s="810">
        <f>Отель3_PL!Y20</f>
        <v>0.26086956521739135</v>
      </c>
      <c r="J26" s="810">
        <f>Отель3_PL!Z20</f>
        <v>0.25625000000000003</v>
      </c>
      <c r="L26" s="1039"/>
      <c r="M26" s="1039"/>
      <c r="N26" s="1039"/>
      <c r="O26" s="1039"/>
      <c r="P26" s="1039"/>
      <c r="Q26" s="1039"/>
    </row>
    <row r="27" spans="3:17" outlineLevel="1">
      <c r="C27" s="807" t="str">
        <f t="shared" si="2"/>
        <v>Гостиница 2*</v>
      </c>
      <c r="D27" s="519"/>
      <c r="E27" s="520" t="s">
        <v>643</v>
      </c>
      <c r="F27" s="810" t="str">
        <f>IFERROR(Отель2_PL!V20,"")</f>
        <v/>
      </c>
      <c r="G27" s="810" t="str">
        <f>IFERROR(Отель2_PL!W20,"")</f>
        <v/>
      </c>
      <c r="H27" s="810" t="str">
        <f>IFERROR(Отель2_PL!X20,"")</f>
        <v/>
      </c>
      <c r="I27" s="810" t="str">
        <f>IFERROR(Отель2_PL!Y20,"")</f>
        <v/>
      </c>
      <c r="J27" s="810" t="str">
        <f>IFERROR(Отель2_PL!Z20,"")</f>
        <v/>
      </c>
      <c r="L27" s="1039"/>
      <c r="M27" s="1039"/>
      <c r="N27" s="1039"/>
      <c r="O27" s="1039"/>
      <c r="P27" s="1039"/>
      <c r="Q27" s="1039"/>
    </row>
    <row r="28" spans="3:17" outlineLevel="1">
      <c r="C28" s="807" t="str">
        <f t="shared" si="2"/>
        <v>Хостел в составе МФЦ</v>
      </c>
      <c r="D28" s="519"/>
      <c r="E28" s="520" t="s">
        <v>643</v>
      </c>
      <c r="F28" s="1041"/>
      <c r="G28" s="1041"/>
      <c r="H28" s="1041"/>
      <c r="I28" s="1041"/>
      <c r="J28" s="1041"/>
      <c r="L28" s="1039"/>
      <c r="M28" s="1039"/>
      <c r="N28" s="1039"/>
      <c r="O28" s="1039"/>
      <c r="P28" s="1039"/>
      <c r="Q28" s="1039"/>
    </row>
    <row r="29" spans="3:17" outlineLevel="1">
      <c r="C29" s="807" t="str">
        <f t="shared" si="2"/>
        <v>Шале</v>
      </c>
      <c r="D29" s="519"/>
      <c r="E29" s="520" t="s">
        <v>643</v>
      </c>
      <c r="F29" s="1041"/>
      <c r="G29" s="1041"/>
      <c r="H29" s="1041"/>
      <c r="I29" s="1041"/>
      <c r="J29" s="1041"/>
      <c r="L29" s="1039"/>
      <c r="M29" s="1039"/>
      <c r="N29" s="1039"/>
      <c r="O29" s="1039"/>
      <c r="P29" s="1039"/>
      <c r="Q29" s="1039"/>
    </row>
    <row r="30" spans="3:17">
      <c r="C30" s="807" t="str">
        <f t="shared" si="2"/>
        <v>Туристские резиденции</v>
      </c>
      <c r="D30" s="519"/>
      <c r="E30" s="520" t="s">
        <v>643</v>
      </c>
      <c r="F30" s="810">
        <f>Резиденции_PL!X20</f>
        <v>0.25089605734767023</v>
      </c>
      <c r="G30" s="810">
        <f>Резиденции_PL!Y20</f>
        <v>0.25270758122743681</v>
      </c>
      <c r="H30" s="810">
        <f>Резиденции_PL!Z20</f>
        <v>0.24175824175824173</v>
      </c>
      <c r="I30" s="810">
        <f>Резиденции_PL!AA20</f>
        <v>0.23703703703703702</v>
      </c>
      <c r="J30" s="810">
        <f>Резиденции_PL!AB20</f>
        <v>0.23134328358208953</v>
      </c>
      <c r="L30" s="1039"/>
      <c r="M30" s="1039"/>
      <c r="N30" s="1039"/>
      <c r="O30" s="1039"/>
      <c r="P30" s="1039"/>
      <c r="Q30" s="1039"/>
    </row>
    <row r="31" spans="3:17">
      <c r="L31" s="1039"/>
      <c r="M31" s="1039"/>
      <c r="N31" s="1039"/>
      <c r="O31" s="1039"/>
      <c r="P31" s="1039"/>
      <c r="Q31" s="1039"/>
    </row>
    <row r="32" spans="3:17">
      <c r="C32" s="1838" t="s">
        <v>727</v>
      </c>
      <c r="D32" s="1838"/>
      <c r="E32" s="1838"/>
      <c r="F32" s="821" t="s">
        <v>510</v>
      </c>
      <c r="G32" s="821" t="s">
        <v>511</v>
      </c>
      <c r="H32" s="821" t="s">
        <v>512</v>
      </c>
      <c r="I32" s="821" t="s">
        <v>513</v>
      </c>
      <c r="J32" s="821" t="s">
        <v>514</v>
      </c>
      <c r="L32" s="1039"/>
      <c r="M32" s="1039"/>
      <c r="N32" s="1039"/>
      <c r="O32" s="1039"/>
      <c r="P32" s="1039"/>
      <c r="Q32" s="1039"/>
    </row>
    <row r="33" spans="3:10" outlineLevel="1">
      <c r="C33" s="517" t="s">
        <v>1375</v>
      </c>
      <c r="D33" s="517"/>
      <c r="E33" s="518"/>
      <c r="F33" s="517"/>
      <c r="G33" s="517"/>
      <c r="H33" s="517"/>
      <c r="I33" s="517"/>
      <c r="J33" s="517"/>
    </row>
    <row r="34" spans="3:10" outlineLevel="1">
      <c r="C34" s="202" t="str">
        <f t="shared" ref="C34:C39" si="3">C15</f>
        <v>Гостиница 5*</v>
      </c>
      <c r="D34" s="519"/>
      <c r="E34" s="520" t="s">
        <v>640</v>
      </c>
      <c r="F34" s="182">
        <v>0.47</v>
      </c>
      <c r="G34" s="182">
        <v>0.45</v>
      </c>
      <c r="H34" s="182">
        <v>0.43</v>
      </c>
      <c r="I34" s="182">
        <f t="shared" ref="I34:J37" si="4">H34</f>
        <v>0.43</v>
      </c>
      <c r="J34" s="182">
        <f t="shared" si="4"/>
        <v>0.43</v>
      </c>
    </row>
    <row r="35" spans="3:10" outlineLevel="1">
      <c r="C35" s="202" t="str">
        <f t="shared" si="3"/>
        <v>Гостиница 4*</v>
      </c>
      <c r="D35" s="519"/>
      <c r="E35" s="520" t="s">
        <v>640</v>
      </c>
      <c r="F35" s="182">
        <v>0.45</v>
      </c>
      <c r="G35" s="182">
        <v>0.43</v>
      </c>
      <c r="H35" s="182">
        <v>0.41</v>
      </c>
      <c r="I35" s="182">
        <f t="shared" si="4"/>
        <v>0.41</v>
      </c>
      <c r="J35" s="182">
        <f t="shared" si="4"/>
        <v>0.41</v>
      </c>
    </row>
    <row r="36" spans="3:10" outlineLevel="1">
      <c r="C36" s="202" t="str">
        <f t="shared" si="3"/>
        <v>Гостиница 3*</v>
      </c>
      <c r="D36" s="519"/>
      <c r="E36" s="520" t="s">
        <v>640</v>
      </c>
      <c r="F36" s="182">
        <v>0.4</v>
      </c>
      <c r="G36" s="182">
        <v>0.38</v>
      </c>
      <c r="H36" s="182">
        <v>0.37</v>
      </c>
      <c r="I36" s="182">
        <f t="shared" si="4"/>
        <v>0.37</v>
      </c>
      <c r="J36" s="182">
        <f t="shared" si="4"/>
        <v>0.37</v>
      </c>
    </row>
    <row r="37" spans="3:10" outlineLevel="2">
      <c r="C37" s="202" t="str">
        <f t="shared" si="3"/>
        <v>Гостиница 2*</v>
      </c>
      <c r="D37" s="519"/>
      <c r="E37" s="520" t="s">
        <v>640</v>
      </c>
      <c r="F37" s="182">
        <v>0.38</v>
      </c>
      <c r="G37" s="182">
        <v>0.35</v>
      </c>
      <c r="H37" s="182">
        <v>0.33</v>
      </c>
      <c r="I37" s="182">
        <f t="shared" si="4"/>
        <v>0.33</v>
      </c>
      <c r="J37" s="182">
        <f t="shared" si="4"/>
        <v>0.33</v>
      </c>
    </row>
    <row r="38" spans="3:10" outlineLevel="2">
      <c r="C38" s="202" t="str">
        <f t="shared" si="3"/>
        <v>Хостел в составе МФЦ</v>
      </c>
      <c r="D38" s="519"/>
      <c r="E38" s="520" t="s">
        <v>640</v>
      </c>
      <c r="F38" s="1041"/>
      <c r="G38" s="1041"/>
      <c r="H38" s="1041"/>
      <c r="I38" s="1041"/>
      <c r="J38" s="1041"/>
    </row>
    <row r="39" spans="3:10" outlineLevel="2">
      <c r="C39" s="202" t="str">
        <f t="shared" si="3"/>
        <v>Шале</v>
      </c>
      <c r="D39" s="519"/>
      <c r="E39" s="520" t="s">
        <v>640</v>
      </c>
      <c r="F39" s="1041"/>
      <c r="G39" s="1041"/>
      <c r="H39" s="1041"/>
      <c r="I39" s="1041"/>
      <c r="J39" s="1041"/>
    </row>
    <row r="40" spans="3:10" outlineLevel="1">
      <c r="C40" s="807" t="str">
        <f>C13</f>
        <v>Туристские резиденции</v>
      </c>
      <c r="D40" s="519"/>
      <c r="E40" s="520" t="s">
        <v>640</v>
      </c>
      <c r="F40" s="182">
        <v>0.38</v>
      </c>
      <c r="G40" s="182">
        <v>0.35</v>
      </c>
      <c r="H40" s="182">
        <v>0.35</v>
      </c>
      <c r="I40" s="182">
        <v>0.35</v>
      </c>
      <c r="J40" s="182">
        <v>0.35</v>
      </c>
    </row>
    <row r="41" spans="3:10" outlineLevel="1">
      <c r="C41" s="517" t="s">
        <v>1376</v>
      </c>
      <c r="D41" s="517"/>
      <c r="E41" s="518"/>
      <c r="F41" s="517"/>
      <c r="G41" s="517"/>
      <c r="H41" s="517"/>
      <c r="I41" s="517"/>
      <c r="J41" s="517"/>
    </row>
    <row r="42" spans="3:10" outlineLevel="1">
      <c r="C42" s="202" t="str">
        <f t="shared" ref="C42:C47" si="5">C34</f>
        <v>Гостиница 5*</v>
      </c>
      <c r="D42" s="519"/>
      <c r="E42" s="520" t="s">
        <v>641</v>
      </c>
      <c r="F42" s="182">
        <v>0.12</v>
      </c>
      <c r="G42" s="182">
        <v>0.12</v>
      </c>
      <c r="H42" s="182">
        <v>0.12</v>
      </c>
      <c r="I42" s="182">
        <v>0.12</v>
      </c>
      <c r="J42" s="182">
        <v>0.12</v>
      </c>
    </row>
    <row r="43" spans="3:10" outlineLevel="1">
      <c r="C43" s="202" t="str">
        <f t="shared" si="5"/>
        <v>Гостиница 4*</v>
      </c>
      <c r="D43" s="519"/>
      <c r="E43" s="520" t="s">
        <v>641</v>
      </c>
      <c r="F43" s="182">
        <v>0.1</v>
      </c>
      <c r="G43" s="182">
        <v>0.1</v>
      </c>
      <c r="H43" s="182">
        <v>0.1</v>
      </c>
      <c r="I43" s="182">
        <v>0.1</v>
      </c>
      <c r="J43" s="182">
        <v>0.1</v>
      </c>
    </row>
    <row r="44" spans="3:10" outlineLevel="1">
      <c r="C44" s="202" t="str">
        <f t="shared" si="5"/>
        <v>Гостиница 3*</v>
      </c>
      <c r="D44" s="519"/>
      <c r="E44" s="520" t="s">
        <v>641</v>
      </c>
      <c r="F44" s="182">
        <v>7.0000000000000007E-2</v>
      </c>
      <c r="G44" s="182">
        <f>F44</f>
        <v>7.0000000000000007E-2</v>
      </c>
      <c r="H44" s="182">
        <f>G44</f>
        <v>7.0000000000000007E-2</v>
      </c>
      <c r="I44" s="182">
        <f>H44</f>
        <v>7.0000000000000007E-2</v>
      </c>
      <c r="J44" s="182">
        <f>I44</f>
        <v>7.0000000000000007E-2</v>
      </c>
    </row>
    <row r="45" spans="3:10" outlineLevel="2">
      <c r="C45" s="202" t="str">
        <f t="shared" si="5"/>
        <v>Гостиница 2*</v>
      </c>
      <c r="D45" s="519"/>
      <c r="E45" s="520" t="s">
        <v>641</v>
      </c>
      <c r="F45" s="1041"/>
      <c r="G45" s="1041"/>
      <c r="H45" s="1041"/>
      <c r="I45" s="1041"/>
      <c r="J45" s="1041"/>
    </row>
    <row r="46" spans="3:10" outlineLevel="2">
      <c r="C46" s="202" t="str">
        <f t="shared" si="5"/>
        <v>Хостел в составе МФЦ</v>
      </c>
      <c r="D46" s="519"/>
      <c r="E46" s="520" t="s">
        <v>641</v>
      </c>
      <c r="F46" s="1041"/>
      <c r="G46" s="1041"/>
      <c r="H46" s="1041"/>
      <c r="I46" s="1041"/>
      <c r="J46" s="1041"/>
    </row>
    <row r="47" spans="3:10" outlineLevel="2">
      <c r="C47" s="202" t="str">
        <f t="shared" si="5"/>
        <v>Шале</v>
      </c>
      <c r="D47" s="519"/>
      <c r="E47" s="520" t="s">
        <v>641</v>
      </c>
      <c r="F47" s="1041"/>
      <c r="G47" s="1041"/>
      <c r="H47" s="1041"/>
      <c r="I47" s="1041"/>
      <c r="J47" s="1041"/>
    </row>
    <row r="48" spans="3:10" outlineLevel="1">
      <c r="C48" s="517" t="s">
        <v>1377</v>
      </c>
      <c r="D48" s="517"/>
      <c r="E48" s="518"/>
      <c r="F48" s="517"/>
      <c r="G48" s="517"/>
      <c r="H48" s="517"/>
      <c r="I48" s="517"/>
      <c r="J48" s="517"/>
    </row>
    <row r="49" spans="3:10" outlineLevel="1">
      <c r="C49" s="202" t="str">
        <f t="shared" ref="C49:C54" si="6">C42</f>
        <v>Гостиница 5*</v>
      </c>
      <c r="D49" s="519"/>
      <c r="E49" s="520" t="s">
        <v>640</v>
      </c>
      <c r="F49" s="182">
        <v>0.27</v>
      </c>
      <c r="G49" s="182">
        <v>0.27</v>
      </c>
      <c r="H49" s="182">
        <v>0.27</v>
      </c>
      <c r="I49" s="182">
        <v>0.27</v>
      </c>
      <c r="J49" s="182">
        <v>0.27</v>
      </c>
    </row>
    <row r="50" spans="3:10" outlineLevel="1">
      <c r="C50" s="202" t="str">
        <f t="shared" si="6"/>
        <v>Гостиница 4*</v>
      </c>
      <c r="D50" s="519"/>
      <c r="E50" s="520" t="s">
        <v>640</v>
      </c>
      <c r="F50" s="182">
        <v>0.27</v>
      </c>
      <c r="G50" s="182">
        <v>0.27</v>
      </c>
      <c r="H50" s="182">
        <v>0.27</v>
      </c>
      <c r="I50" s="182">
        <v>0.27</v>
      </c>
      <c r="J50" s="182">
        <v>0.27</v>
      </c>
    </row>
    <row r="51" spans="3:10" outlineLevel="1">
      <c r="C51" s="202" t="str">
        <f t="shared" si="6"/>
        <v>Гостиница 3*</v>
      </c>
      <c r="D51" s="519"/>
      <c r="E51" s="520" t="s">
        <v>640</v>
      </c>
      <c r="F51" s="182">
        <v>0.27</v>
      </c>
      <c r="G51" s="182">
        <v>0.27</v>
      </c>
      <c r="H51" s="182">
        <v>0.27</v>
      </c>
      <c r="I51" s="182">
        <v>0.27</v>
      </c>
      <c r="J51" s="182">
        <v>0.27</v>
      </c>
    </row>
    <row r="52" spans="3:10" outlineLevel="2">
      <c r="C52" s="202" t="str">
        <f t="shared" si="6"/>
        <v>Гостиница 2*</v>
      </c>
      <c r="D52" s="519"/>
      <c r="E52" s="520" t="s">
        <v>640</v>
      </c>
      <c r="F52" s="182">
        <v>0.25</v>
      </c>
      <c r="G52" s="182">
        <f>F52</f>
        <v>0.25</v>
      </c>
      <c r="H52" s="182">
        <f>G52</f>
        <v>0.25</v>
      </c>
      <c r="I52" s="182">
        <v>0.24</v>
      </c>
      <c r="J52" s="182">
        <f>I52</f>
        <v>0.24</v>
      </c>
    </row>
    <row r="53" spans="3:10" outlineLevel="2">
      <c r="C53" s="202" t="str">
        <f t="shared" si="6"/>
        <v>Хостел в составе МФЦ</v>
      </c>
      <c r="D53" s="519"/>
      <c r="E53" s="520" t="s">
        <v>640</v>
      </c>
      <c r="F53" s="1041"/>
      <c r="G53" s="1041"/>
      <c r="H53" s="1041"/>
      <c r="I53" s="1041"/>
      <c r="J53" s="1041"/>
    </row>
    <row r="54" spans="3:10" outlineLevel="2">
      <c r="C54" s="202" t="str">
        <f t="shared" si="6"/>
        <v>Шале</v>
      </c>
      <c r="D54" s="519"/>
      <c r="E54" s="520" t="s">
        <v>640</v>
      </c>
      <c r="F54" s="1041"/>
      <c r="G54" s="1041"/>
      <c r="H54" s="1041"/>
      <c r="I54" s="1041"/>
      <c r="J54" s="1041"/>
    </row>
    <row r="55" spans="3:10" outlineLevel="1">
      <c r="C55" s="807" t="str">
        <f>C40</f>
        <v>Туристские резиденции</v>
      </c>
      <c r="D55" s="519"/>
      <c r="E55" s="520" t="s">
        <v>640</v>
      </c>
      <c r="F55" s="182">
        <v>0.27</v>
      </c>
      <c r="G55" s="182">
        <v>0.27</v>
      </c>
      <c r="H55" s="182">
        <v>0.27</v>
      </c>
      <c r="I55" s="182">
        <v>0.27</v>
      </c>
      <c r="J55" s="182">
        <v>0.27</v>
      </c>
    </row>
    <row r="56" spans="3:10" outlineLevel="1">
      <c r="C56" s="517" t="s">
        <v>1378</v>
      </c>
      <c r="D56" s="517"/>
      <c r="E56" s="518"/>
      <c r="F56" s="517"/>
      <c r="G56" s="517"/>
      <c r="H56" s="517"/>
      <c r="I56" s="517"/>
      <c r="J56" s="517"/>
    </row>
    <row r="57" spans="3:10" outlineLevel="1">
      <c r="C57" s="202" t="str">
        <f t="shared" ref="C57:C62" si="7">C49</f>
        <v>Гостиница 5*</v>
      </c>
      <c r="D57" s="519"/>
      <c r="E57" s="520" t="s">
        <v>641</v>
      </c>
      <c r="F57" s="182">
        <v>0.19</v>
      </c>
      <c r="G57" s="182">
        <v>0.19</v>
      </c>
      <c r="H57" s="182">
        <v>0.19</v>
      </c>
      <c r="I57" s="182">
        <v>0.19</v>
      </c>
      <c r="J57" s="182">
        <v>0.19</v>
      </c>
    </row>
    <row r="58" spans="3:10" outlineLevel="1">
      <c r="C58" s="202" t="str">
        <f t="shared" si="7"/>
        <v>Гостиница 4*</v>
      </c>
      <c r="D58" s="519"/>
      <c r="E58" s="520" t="s">
        <v>641</v>
      </c>
      <c r="F58" s="182">
        <v>0.19</v>
      </c>
      <c r="G58" s="182">
        <v>0.19</v>
      </c>
      <c r="H58" s="182">
        <v>0.19</v>
      </c>
      <c r="I58" s="182">
        <v>0.19</v>
      </c>
      <c r="J58" s="182">
        <v>0.19</v>
      </c>
    </row>
    <row r="59" spans="3:10" outlineLevel="1">
      <c r="C59" s="202" t="str">
        <f t="shared" si="7"/>
        <v>Гостиница 3*</v>
      </c>
      <c r="D59" s="519"/>
      <c r="E59" s="520" t="s">
        <v>641</v>
      </c>
      <c r="F59" s="182">
        <v>0.19</v>
      </c>
      <c r="G59" s="182">
        <v>0.19</v>
      </c>
      <c r="H59" s="182">
        <v>0.19</v>
      </c>
      <c r="I59" s="182">
        <v>0.19</v>
      </c>
      <c r="J59" s="182">
        <v>0.19</v>
      </c>
    </row>
    <row r="60" spans="3:10" outlineLevel="2">
      <c r="C60" s="202" t="str">
        <f t="shared" si="7"/>
        <v>Гостиница 2*</v>
      </c>
      <c r="D60" s="519"/>
      <c r="E60" s="520" t="s">
        <v>641</v>
      </c>
      <c r="F60" s="1041"/>
      <c r="G60" s="1041"/>
      <c r="H60" s="1041"/>
      <c r="I60" s="1041"/>
      <c r="J60" s="1041"/>
    </row>
    <row r="61" spans="3:10" outlineLevel="2">
      <c r="C61" s="202" t="str">
        <f t="shared" si="7"/>
        <v>Хостел в составе МФЦ</v>
      </c>
      <c r="D61" s="519"/>
      <c r="E61" s="520" t="s">
        <v>641</v>
      </c>
      <c r="F61" s="1041"/>
      <c r="G61" s="1041"/>
      <c r="H61" s="1041"/>
      <c r="I61" s="1041"/>
      <c r="J61" s="1041"/>
    </row>
    <row r="62" spans="3:10" outlineLevel="2">
      <c r="C62" s="202" t="str">
        <f t="shared" si="7"/>
        <v>Шале</v>
      </c>
      <c r="D62" s="519"/>
      <c r="E62" s="520" t="s">
        <v>641</v>
      </c>
      <c r="F62" s="1041"/>
      <c r="G62" s="1041"/>
      <c r="H62" s="1041"/>
      <c r="I62" s="1041"/>
      <c r="J62" s="1041"/>
    </row>
    <row r="63" spans="3:10" outlineLevel="1">
      <c r="C63" s="517" t="s">
        <v>1379</v>
      </c>
      <c r="D63" s="517"/>
      <c r="E63" s="518"/>
      <c r="F63" s="517"/>
      <c r="G63" s="517"/>
      <c r="H63" s="517"/>
      <c r="I63" s="517"/>
      <c r="J63" s="517"/>
    </row>
    <row r="64" spans="3:10" outlineLevel="1">
      <c r="C64" s="202" t="str">
        <f t="shared" ref="C64:C69" si="8">C57</f>
        <v>Гостиница 5*</v>
      </c>
      <c r="D64" s="519"/>
      <c r="E64" s="520" t="s">
        <v>640</v>
      </c>
      <c r="F64" s="182">
        <v>0.05</v>
      </c>
      <c r="G64" s="182">
        <v>0.05</v>
      </c>
      <c r="H64" s="182">
        <v>0.05</v>
      </c>
      <c r="I64" s="182">
        <v>0.05</v>
      </c>
      <c r="J64" s="182">
        <v>0.05</v>
      </c>
    </row>
    <row r="65" spans="3:10" outlineLevel="1">
      <c r="C65" s="202" t="str">
        <f t="shared" si="8"/>
        <v>Гостиница 4*</v>
      </c>
      <c r="D65" s="519"/>
      <c r="E65" s="520" t="s">
        <v>640</v>
      </c>
      <c r="F65" s="182">
        <v>0.05</v>
      </c>
      <c r="G65" s="182">
        <v>0.05</v>
      </c>
      <c r="H65" s="182">
        <v>0.05</v>
      </c>
      <c r="I65" s="182">
        <v>0.05</v>
      </c>
      <c r="J65" s="182">
        <v>0.05</v>
      </c>
    </row>
    <row r="66" spans="3:10" outlineLevel="1">
      <c r="C66" s="202" t="str">
        <f t="shared" si="8"/>
        <v>Гостиница 3*</v>
      </c>
      <c r="D66" s="519"/>
      <c r="E66" s="520" t="s">
        <v>640</v>
      </c>
      <c r="F66" s="182">
        <v>0.05</v>
      </c>
      <c r="G66" s="182">
        <v>0.05</v>
      </c>
      <c r="H66" s="182">
        <v>0.05</v>
      </c>
      <c r="I66" s="182">
        <v>0.05</v>
      </c>
      <c r="J66" s="182">
        <v>0.05</v>
      </c>
    </row>
    <row r="67" spans="3:10" outlineLevel="2">
      <c r="C67" s="202" t="str">
        <f t="shared" si="8"/>
        <v>Гостиница 2*</v>
      </c>
      <c r="D67" s="519"/>
      <c r="E67" s="520" t="s">
        <v>640</v>
      </c>
      <c r="F67" s="182">
        <v>0.05</v>
      </c>
      <c r="G67" s="182">
        <v>0.05</v>
      </c>
      <c r="H67" s="182">
        <v>0.05</v>
      </c>
      <c r="I67" s="182">
        <v>0.05</v>
      </c>
      <c r="J67" s="182">
        <v>0.05</v>
      </c>
    </row>
    <row r="68" spans="3:10" outlineLevel="2">
      <c r="C68" s="202" t="str">
        <f t="shared" si="8"/>
        <v>Хостел в составе МФЦ</v>
      </c>
      <c r="D68" s="519"/>
      <c r="E68" s="520" t="s">
        <v>640</v>
      </c>
      <c r="F68" s="1041"/>
      <c r="G68" s="1041"/>
      <c r="H68" s="1041"/>
      <c r="I68" s="1041"/>
      <c r="J68" s="1041"/>
    </row>
    <row r="69" spans="3:10" outlineLevel="2">
      <c r="C69" s="202" t="str">
        <f t="shared" si="8"/>
        <v>Шале</v>
      </c>
      <c r="D69" s="519"/>
      <c r="E69" s="520" t="s">
        <v>640</v>
      </c>
      <c r="F69" s="1041"/>
      <c r="G69" s="1041"/>
      <c r="H69" s="1041"/>
      <c r="I69" s="1041"/>
      <c r="J69" s="1041"/>
    </row>
    <row r="70" spans="3:10" outlineLevel="1">
      <c r="C70" s="807" t="str">
        <f>C55</f>
        <v>Туристские резиденции</v>
      </c>
      <c r="D70" s="519"/>
      <c r="E70" s="520" t="s">
        <v>640</v>
      </c>
      <c r="F70" s="182">
        <v>0.05</v>
      </c>
      <c r="G70" s="182">
        <v>0.05</v>
      </c>
      <c r="H70" s="182">
        <v>0.05</v>
      </c>
      <c r="I70" s="182">
        <v>0.05</v>
      </c>
      <c r="J70" s="182">
        <v>0.05</v>
      </c>
    </row>
    <row r="71" spans="3:10" outlineLevel="1">
      <c r="C71" s="517" t="s">
        <v>1380</v>
      </c>
      <c r="D71" s="517"/>
      <c r="E71" s="518"/>
      <c r="F71" s="517"/>
      <c r="G71" s="517"/>
      <c r="H71" s="517"/>
      <c r="I71" s="517"/>
      <c r="J71" s="517"/>
    </row>
    <row r="72" spans="3:10" outlineLevel="1">
      <c r="C72" s="202" t="str">
        <f t="shared" ref="C72:C77" si="9">C64</f>
        <v>Гостиница 5*</v>
      </c>
      <c r="D72" s="519"/>
      <c r="E72" s="520" t="s">
        <v>641</v>
      </c>
      <c r="F72" s="182">
        <v>0.05</v>
      </c>
      <c r="G72" s="182">
        <f>F72</f>
        <v>0.05</v>
      </c>
      <c r="H72" s="182">
        <f>G72</f>
        <v>0.05</v>
      </c>
      <c r="I72" s="182">
        <f>H72</f>
        <v>0.05</v>
      </c>
      <c r="J72" s="182">
        <f>I72</f>
        <v>0.05</v>
      </c>
    </row>
    <row r="73" spans="3:10" outlineLevel="1">
      <c r="C73" s="202" t="str">
        <f t="shared" si="9"/>
        <v>Гостиница 4*</v>
      </c>
      <c r="D73" s="519"/>
      <c r="E73" s="520" t="s">
        <v>641</v>
      </c>
      <c r="F73" s="182">
        <v>0.05</v>
      </c>
      <c r="G73" s="182">
        <v>0.05</v>
      </c>
      <c r="H73" s="182">
        <v>0.05</v>
      </c>
      <c r="I73" s="182">
        <v>0.05</v>
      </c>
      <c r="J73" s="182">
        <v>0.05</v>
      </c>
    </row>
    <row r="74" spans="3:10" outlineLevel="1">
      <c r="C74" s="202" t="str">
        <f t="shared" si="9"/>
        <v>Гостиница 3*</v>
      </c>
      <c r="D74" s="519"/>
      <c r="E74" s="520" t="s">
        <v>641</v>
      </c>
      <c r="F74" s="182">
        <v>0.05</v>
      </c>
      <c r="G74" s="182">
        <v>0.05</v>
      </c>
      <c r="H74" s="182">
        <v>0.05</v>
      </c>
      <c r="I74" s="182">
        <v>0.05</v>
      </c>
      <c r="J74" s="182">
        <v>0.05</v>
      </c>
    </row>
    <row r="75" spans="3:10" outlineLevel="2">
      <c r="C75" s="202" t="str">
        <f t="shared" si="9"/>
        <v>Гостиница 2*</v>
      </c>
      <c r="D75" s="519"/>
      <c r="E75" s="520" t="s">
        <v>641</v>
      </c>
      <c r="F75" s="1041"/>
      <c r="G75" s="1041"/>
      <c r="H75" s="1041"/>
      <c r="I75" s="1041"/>
      <c r="J75" s="1041"/>
    </row>
    <row r="76" spans="3:10" outlineLevel="1">
      <c r="C76" s="202" t="str">
        <f t="shared" si="9"/>
        <v>Хостел в составе МФЦ</v>
      </c>
      <c r="D76" s="519"/>
      <c r="E76" s="520" t="s">
        <v>641</v>
      </c>
      <c r="F76" s="1041"/>
      <c r="G76" s="1041"/>
      <c r="H76" s="1041"/>
      <c r="I76" s="1041"/>
      <c r="J76" s="1041"/>
    </row>
    <row r="77" spans="3:10" outlineLevel="1">
      <c r="C77" s="202" t="str">
        <f t="shared" si="9"/>
        <v>Шале</v>
      </c>
      <c r="D77" s="519"/>
      <c r="E77" s="520" t="s">
        <v>641</v>
      </c>
      <c r="F77" s="1041"/>
      <c r="G77" s="1041"/>
      <c r="H77" s="1041"/>
      <c r="I77" s="1041"/>
      <c r="J77" s="1041"/>
    </row>
    <row r="78" spans="3:10">
      <c r="C78" s="521" t="s">
        <v>28</v>
      </c>
      <c r="D78" s="521"/>
      <c r="E78" s="809"/>
      <c r="F78" s="809"/>
      <c r="G78" s="809"/>
      <c r="H78" s="809"/>
      <c r="I78" s="809"/>
      <c r="J78" s="809"/>
    </row>
    <row r="79" spans="3:10">
      <c r="C79" s="202" t="str">
        <f t="shared" ref="C79:C84" si="10">C72</f>
        <v>Гостиница 5*</v>
      </c>
      <c r="D79" s="519"/>
      <c r="E79" s="520" t="s">
        <v>642</v>
      </c>
      <c r="F79" s="810">
        <f>Отель5_PL!V30</f>
        <v>0.77153846153846162</v>
      </c>
      <c r="G79" s="810">
        <f>Отель5_PL!W30</f>
        <v>0.74294117647058833</v>
      </c>
      <c r="H79" s="810">
        <f>Отель5_PL!X30</f>
        <v>0.71408163265306124</v>
      </c>
      <c r="I79" s="810">
        <f>Отель5_PL!Y30</f>
        <v>0.70319148936170217</v>
      </c>
      <c r="J79" s="810">
        <f>Отель5_PL!Z30</f>
        <v>0.69260869565217387</v>
      </c>
    </row>
    <row r="80" spans="3:10">
      <c r="C80" s="202" t="str">
        <f t="shared" si="10"/>
        <v>Гостиница 4*</v>
      </c>
      <c r="D80" s="519"/>
      <c r="E80" s="520" t="s">
        <v>642</v>
      </c>
      <c r="F80" s="810">
        <f>Отель4_PL!V30</f>
        <v>0.72384615384615392</v>
      </c>
      <c r="G80" s="810">
        <f>Отель4_PL!W30</f>
        <v>0.6925</v>
      </c>
      <c r="H80" s="810">
        <f>Отель4_PL!X30</f>
        <v>0.664468085106383</v>
      </c>
      <c r="I80" s="810">
        <f>Отель4_PL!Y30</f>
        <v>0.64391304347826095</v>
      </c>
      <c r="J80" s="810">
        <f>Отель4_PL!Z30</f>
        <v>0.62478260869565216</v>
      </c>
    </row>
    <row r="81" spans="3:10">
      <c r="C81" s="202" t="str">
        <f t="shared" si="10"/>
        <v>Гостиница 3*</v>
      </c>
      <c r="D81" s="519"/>
      <c r="E81" s="520" t="s">
        <v>642</v>
      </c>
      <c r="F81" s="810">
        <f>Отель3_PL!V30</f>
        <v>0.70122448979591834</v>
      </c>
      <c r="G81" s="810">
        <f>Отель3_PL!W30</f>
        <v>0.67066666666666663</v>
      </c>
      <c r="H81" s="810">
        <f>Отель3_PL!X30</f>
        <v>0.65090909090909099</v>
      </c>
      <c r="I81" s="810">
        <f>Отель3_PL!Y30</f>
        <v>0.63880952380952383</v>
      </c>
      <c r="J81" s="810">
        <f>Отель3_PL!Z30</f>
        <v>0.62707317073170721</v>
      </c>
    </row>
    <row r="82" spans="3:10" outlineLevel="1">
      <c r="C82" s="202" t="str">
        <f t="shared" si="10"/>
        <v>Гостиница 2*</v>
      </c>
      <c r="D82" s="519"/>
      <c r="E82" s="520" t="s">
        <v>642</v>
      </c>
      <c r="F82" s="810" t="str">
        <f>IFERROR(Отель2_PL!V30,"")</f>
        <v/>
      </c>
      <c r="G82" s="810" t="str">
        <f>IFERROR(Отель2_PL!W30,"")</f>
        <v/>
      </c>
      <c r="H82" s="810" t="str">
        <f>IFERROR(Отель2_PL!X30,"")</f>
        <v/>
      </c>
      <c r="I82" s="810" t="str">
        <f>IFERROR(Отель2_PL!Y30,"")</f>
        <v/>
      </c>
      <c r="J82" s="810" t="str">
        <f>IFERROR(Отель2_PL!Z30,"")</f>
        <v/>
      </c>
    </row>
    <row r="83" spans="3:10" outlineLevel="1">
      <c r="C83" s="202" t="str">
        <f t="shared" si="10"/>
        <v>Хостел в составе МФЦ</v>
      </c>
      <c r="D83" s="519"/>
      <c r="E83" s="520" t="s">
        <v>642</v>
      </c>
      <c r="F83" s="1041"/>
      <c r="G83" s="1041"/>
      <c r="H83" s="1041"/>
      <c r="I83" s="1041"/>
      <c r="J83" s="1041"/>
    </row>
    <row r="84" spans="3:10" outlineLevel="1">
      <c r="C84" s="202" t="str">
        <f t="shared" si="10"/>
        <v>Шале</v>
      </c>
      <c r="D84" s="519"/>
      <c r="E84" s="520" t="s">
        <v>642</v>
      </c>
      <c r="F84" s="1041"/>
      <c r="G84" s="1041"/>
      <c r="H84" s="1041"/>
      <c r="I84" s="1041"/>
      <c r="J84" s="1041"/>
    </row>
    <row r="85" spans="3:10">
      <c r="C85" s="807" t="str">
        <f>C70</f>
        <v>Туристские резиденции</v>
      </c>
      <c r="D85" s="519"/>
      <c r="E85" s="520" t="s">
        <v>642</v>
      </c>
      <c r="F85" s="810">
        <f>Резиденции_PL!X30</f>
        <v>0.7</v>
      </c>
      <c r="G85" s="810">
        <f>Резиденции_PL!Y30</f>
        <v>0.67</v>
      </c>
      <c r="H85" s="810">
        <f>Резиденции_PL!Z30</f>
        <v>0.67</v>
      </c>
      <c r="I85" s="810">
        <f>Резиденции_PL!AA30</f>
        <v>0.67</v>
      </c>
      <c r="J85" s="810">
        <f>Резиденции_PL!AB30</f>
        <v>0.67</v>
      </c>
    </row>
    <row r="86" spans="3:10">
      <c r="C86" s="521" t="s">
        <v>1381</v>
      </c>
      <c r="D86" s="521"/>
      <c r="E86" s="809"/>
      <c r="F86" s="809"/>
      <c r="G86" s="809"/>
      <c r="H86" s="809"/>
      <c r="I86" s="809"/>
      <c r="J86" s="809"/>
    </row>
    <row r="87" spans="3:10">
      <c r="C87" s="202" t="str">
        <f>C79</f>
        <v>Гостиница 5*</v>
      </c>
      <c r="D87" s="519">
        <f t="shared" ref="D87:E87" si="11">D79</f>
        <v>0</v>
      </c>
      <c r="E87" s="520" t="str">
        <f t="shared" si="11"/>
        <v>% от выручки департамента</v>
      </c>
      <c r="F87" s="810">
        <f>Отель5_PL!V31</f>
        <v>0.22846153846153841</v>
      </c>
      <c r="G87" s="810">
        <f>Отель5_PL!W31</f>
        <v>0.25705882352941173</v>
      </c>
      <c r="H87" s="810">
        <f>Отель5_PL!X31</f>
        <v>0.28591836734693882</v>
      </c>
      <c r="I87" s="810">
        <f>Отель5_PL!Y31</f>
        <v>0.29680851063829783</v>
      </c>
      <c r="J87" s="810">
        <f>Отель5_PL!Z31</f>
        <v>0.30739130434782613</v>
      </c>
    </row>
    <row r="88" spans="3:10">
      <c r="C88" s="202" t="str">
        <f t="shared" ref="C88:E93" si="12">C80</f>
        <v>Гостиница 4*</v>
      </c>
      <c r="D88" s="519">
        <f t="shared" si="12"/>
        <v>0</v>
      </c>
      <c r="E88" s="520" t="str">
        <f t="shared" si="12"/>
        <v>% от выручки департамента</v>
      </c>
      <c r="F88" s="810">
        <f>Отель4_PL!V31</f>
        <v>0.27615384615384614</v>
      </c>
      <c r="G88" s="810">
        <f>Отель4_PL!W31</f>
        <v>0.30750000000000005</v>
      </c>
      <c r="H88" s="810">
        <f>Отель4_PL!X31</f>
        <v>0.33553191489361706</v>
      </c>
      <c r="I88" s="810">
        <f>Отель4_PL!Y31</f>
        <v>0.35608695652173905</v>
      </c>
      <c r="J88" s="810">
        <f>Отель4_PL!Z31</f>
        <v>0.37521739130434784</v>
      </c>
    </row>
    <row r="89" spans="3:10">
      <c r="C89" s="202" t="str">
        <f t="shared" si="12"/>
        <v>Гостиница 3*</v>
      </c>
      <c r="D89" s="519">
        <f t="shared" si="12"/>
        <v>0</v>
      </c>
      <c r="E89" s="520" t="str">
        <f t="shared" si="12"/>
        <v>% от выручки департамента</v>
      </c>
      <c r="F89" s="810">
        <f>Отель3_PL!V31</f>
        <v>0.29877551020408172</v>
      </c>
      <c r="G89" s="810">
        <f>Отель3_PL!W31</f>
        <v>0.32933333333333331</v>
      </c>
      <c r="H89" s="810">
        <f>Отель3_PL!X31</f>
        <v>0.34909090909090906</v>
      </c>
      <c r="I89" s="810">
        <f>Отель3_PL!Y31</f>
        <v>0.36119047619047617</v>
      </c>
      <c r="J89" s="810">
        <f>Отель3_PL!Z31</f>
        <v>0.37292682926829279</v>
      </c>
    </row>
    <row r="90" spans="3:10" outlineLevel="1">
      <c r="C90" s="202" t="str">
        <f t="shared" si="12"/>
        <v>Гостиница 2*</v>
      </c>
      <c r="D90" s="519">
        <f t="shared" si="12"/>
        <v>0</v>
      </c>
      <c r="E90" s="520" t="str">
        <f t="shared" si="12"/>
        <v>% от выручки департамента</v>
      </c>
      <c r="F90" s="810" t="str">
        <f>IFERROR(Отель2_PL!V31,"")</f>
        <v/>
      </c>
      <c r="G90" s="810" t="str">
        <f>IFERROR(Отель2_PL!W31,"")</f>
        <v/>
      </c>
      <c r="H90" s="810" t="str">
        <f>IFERROR(Отель2_PL!X31,"")</f>
        <v/>
      </c>
      <c r="I90" s="810" t="str">
        <f>IFERROR(Отель2_PL!Y31,"")</f>
        <v/>
      </c>
      <c r="J90" s="810" t="str">
        <f>IFERROR(Отель2_PL!Z31,"")</f>
        <v/>
      </c>
    </row>
    <row r="91" spans="3:10" outlineLevel="1">
      <c r="C91" s="202" t="str">
        <f t="shared" si="12"/>
        <v>Хостел в составе МФЦ</v>
      </c>
      <c r="D91" s="519">
        <f t="shared" si="12"/>
        <v>0</v>
      </c>
      <c r="E91" s="520" t="str">
        <f t="shared" si="12"/>
        <v>% от выручки департамента</v>
      </c>
      <c r="F91" s="1041"/>
      <c r="G91" s="1041"/>
      <c r="H91" s="1041"/>
      <c r="I91" s="1041"/>
      <c r="J91" s="1041"/>
    </row>
    <row r="92" spans="3:10" outlineLevel="1">
      <c r="C92" s="202" t="str">
        <f t="shared" si="12"/>
        <v>Шале</v>
      </c>
      <c r="D92" s="519">
        <f t="shared" si="12"/>
        <v>0</v>
      </c>
      <c r="E92" s="520" t="str">
        <f t="shared" si="12"/>
        <v>% от выручки департамента</v>
      </c>
      <c r="F92" s="1041"/>
      <c r="G92" s="1041"/>
      <c r="H92" s="1041"/>
      <c r="I92" s="1041"/>
      <c r="J92" s="1041"/>
    </row>
    <row r="93" spans="3:10">
      <c r="C93" s="807" t="str">
        <f t="shared" si="12"/>
        <v>Туристские резиденции</v>
      </c>
      <c r="D93" s="519">
        <f t="shared" si="12"/>
        <v>0</v>
      </c>
      <c r="E93" s="520" t="str">
        <f t="shared" si="12"/>
        <v>% от выручки департамента</v>
      </c>
      <c r="F93" s="810">
        <f>Резиденции_PL!X31</f>
        <v>0.30000000000000004</v>
      </c>
      <c r="G93" s="810">
        <f>Резиденции_PL!Y31</f>
        <v>0.33</v>
      </c>
      <c r="H93" s="810">
        <f>Резиденции_PL!Z31</f>
        <v>0.33</v>
      </c>
      <c r="I93" s="810">
        <f>Резиденции_PL!AA31</f>
        <v>0.33</v>
      </c>
      <c r="J93" s="810">
        <f>Резиденции_PL!AB31</f>
        <v>0.33</v>
      </c>
    </row>
    <row r="95" spans="3:10">
      <c r="F95" s="1842"/>
      <c r="G95" s="1842"/>
      <c r="H95" s="1842"/>
      <c r="I95" s="1842"/>
      <c r="J95" s="1842"/>
    </row>
    <row r="96" spans="3:10">
      <c r="F96" s="1842"/>
      <c r="G96" s="1842"/>
      <c r="H96" s="1842"/>
      <c r="I96" s="1842"/>
      <c r="J96" s="1842"/>
    </row>
    <row r="97" spans="6:10">
      <c r="F97" s="1842"/>
      <c r="G97" s="1842"/>
      <c r="H97" s="1842"/>
      <c r="I97" s="1842"/>
      <c r="J97" s="1842"/>
    </row>
    <row r="98" spans="6:10">
      <c r="F98" s="1842"/>
      <c r="G98" s="1842"/>
      <c r="H98" s="1842"/>
      <c r="I98" s="1842"/>
      <c r="J98" s="1842"/>
    </row>
    <row r="99" spans="6:10">
      <c r="F99" s="1842"/>
      <c r="G99" s="1842"/>
      <c r="H99" s="1842"/>
      <c r="I99" s="1842"/>
      <c r="J99" s="1842"/>
    </row>
    <row r="100" spans="6:10">
      <c r="F100" s="1842"/>
      <c r="G100" s="1842"/>
      <c r="H100" s="1842"/>
      <c r="I100" s="1842"/>
      <c r="J100" s="1842"/>
    </row>
    <row r="101" spans="6:10">
      <c r="F101" s="1842"/>
      <c r="G101" s="1842"/>
      <c r="H101" s="1842"/>
      <c r="I101" s="1842"/>
      <c r="J101" s="1842"/>
    </row>
  </sheetData>
  <conditionalFormatting sqref="F34:J35">
    <cfRule type="expression" dxfId="452" priority="115">
      <formula>$A$1=1</formula>
    </cfRule>
  </conditionalFormatting>
  <conditionalFormatting sqref="F34:J35">
    <cfRule type="cellIs" dxfId="451" priority="114" operator="equal">
      <formula>0</formula>
    </cfRule>
  </conditionalFormatting>
  <conditionalFormatting sqref="F49:J51">
    <cfRule type="expression" dxfId="450" priority="66">
      <formula>$A$1=1</formula>
    </cfRule>
  </conditionalFormatting>
  <conditionalFormatting sqref="F49:J51">
    <cfRule type="cellIs" dxfId="449" priority="65" operator="equal">
      <formula>0</formula>
    </cfRule>
  </conditionalFormatting>
  <conditionalFormatting sqref="F47:J47 G46:J46">
    <cfRule type="expression" dxfId="448" priority="74">
      <formula>$A$1=1</formula>
    </cfRule>
  </conditionalFormatting>
  <conditionalFormatting sqref="F12:J12 G11:J11">
    <cfRule type="expression" dxfId="447" priority="103">
      <formula>$A$1=1</formula>
    </cfRule>
  </conditionalFormatting>
  <conditionalFormatting sqref="F7:J10">
    <cfRule type="expression" dxfId="446" priority="100">
      <formula>$A$1=1</formula>
    </cfRule>
  </conditionalFormatting>
  <conditionalFormatting sqref="F7:J10">
    <cfRule type="cellIs" dxfId="445" priority="99" operator="equal">
      <formula>0</formula>
    </cfRule>
  </conditionalFormatting>
  <conditionalFormatting sqref="F11:J12">
    <cfRule type="expression" dxfId="444" priority="98">
      <formula>$A$1=1</formula>
    </cfRule>
  </conditionalFormatting>
  <conditionalFormatting sqref="F11:J12">
    <cfRule type="cellIs" dxfId="443" priority="97" operator="equal">
      <formula>0</formula>
    </cfRule>
  </conditionalFormatting>
  <conditionalFormatting sqref="F29:J29 G28:J28">
    <cfRule type="expression" dxfId="442" priority="96">
      <formula>$A$1=1</formula>
    </cfRule>
  </conditionalFormatting>
  <conditionalFormatting sqref="F28:J29">
    <cfRule type="expression" dxfId="441" priority="95">
      <formula>$A$1=1</formula>
    </cfRule>
  </conditionalFormatting>
  <conditionalFormatting sqref="F28:J29">
    <cfRule type="cellIs" dxfId="440" priority="94" operator="equal">
      <formula>0</formula>
    </cfRule>
  </conditionalFormatting>
  <conditionalFormatting sqref="F15:J17">
    <cfRule type="expression" dxfId="439" priority="93">
      <formula>$A$1=1</formula>
    </cfRule>
  </conditionalFormatting>
  <conditionalFormatting sqref="F15:J17">
    <cfRule type="cellIs" dxfId="438" priority="92" operator="equal">
      <formula>0</formula>
    </cfRule>
  </conditionalFormatting>
  <conditionalFormatting sqref="G18:J18">
    <cfRule type="expression" dxfId="437" priority="91">
      <formula>$A$1=1</formula>
    </cfRule>
  </conditionalFormatting>
  <conditionalFormatting sqref="F18:J18">
    <cfRule type="expression" dxfId="436" priority="90">
      <formula>$A$1=1</formula>
    </cfRule>
  </conditionalFormatting>
  <conditionalFormatting sqref="F18:J18">
    <cfRule type="cellIs" dxfId="435" priority="89" operator="equal">
      <formula>0</formula>
    </cfRule>
  </conditionalFormatting>
  <conditionalFormatting sqref="F20:J20 G19:J19">
    <cfRule type="expression" dxfId="434" priority="88">
      <formula>$A$1=1</formula>
    </cfRule>
  </conditionalFormatting>
  <conditionalFormatting sqref="F19:J20">
    <cfRule type="expression" dxfId="433" priority="87">
      <formula>$A$1=1</formula>
    </cfRule>
  </conditionalFormatting>
  <conditionalFormatting sqref="F19:J20">
    <cfRule type="cellIs" dxfId="432" priority="86" operator="equal">
      <formula>0</formula>
    </cfRule>
  </conditionalFormatting>
  <conditionalFormatting sqref="F75:J75">
    <cfRule type="cellIs" dxfId="431" priority="30" operator="equal">
      <formula>0</formula>
    </cfRule>
  </conditionalFormatting>
  <conditionalFormatting sqref="F39:J39 G38:J38">
    <cfRule type="expression" dxfId="430" priority="82">
      <formula>$A$1=1</formula>
    </cfRule>
  </conditionalFormatting>
  <conditionalFormatting sqref="F38:J39">
    <cfRule type="expression" dxfId="429" priority="81">
      <formula>$A$1=1</formula>
    </cfRule>
  </conditionalFormatting>
  <conditionalFormatting sqref="F38:J39">
    <cfRule type="cellIs" dxfId="428" priority="80" operator="equal">
      <formula>0</formula>
    </cfRule>
  </conditionalFormatting>
  <conditionalFormatting sqref="F42:J43">
    <cfRule type="expression" dxfId="427" priority="76">
      <formula>$A$1=1</formula>
    </cfRule>
  </conditionalFormatting>
  <conditionalFormatting sqref="F42:J43">
    <cfRule type="cellIs" dxfId="426" priority="75" operator="equal">
      <formula>0</formula>
    </cfRule>
  </conditionalFormatting>
  <conditionalFormatting sqref="F46:J47">
    <cfRule type="expression" dxfId="425" priority="73">
      <formula>$A$1=1</formula>
    </cfRule>
  </conditionalFormatting>
  <conditionalFormatting sqref="F46:J47">
    <cfRule type="cellIs" dxfId="424" priority="72" operator="equal">
      <formula>0</formula>
    </cfRule>
  </conditionalFormatting>
  <conditionalFormatting sqref="G45:J45">
    <cfRule type="expression" dxfId="423" priority="71">
      <formula>$A$1=1</formula>
    </cfRule>
  </conditionalFormatting>
  <conditionalFormatting sqref="F45:J45">
    <cfRule type="expression" dxfId="422" priority="70">
      <formula>$A$1=1</formula>
    </cfRule>
  </conditionalFormatting>
  <conditionalFormatting sqref="F45:J45">
    <cfRule type="cellIs" dxfId="421" priority="69" operator="equal">
      <formula>0</formula>
    </cfRule>
  </conditionalFormatting>
  <conditionalFormatting sqref="F54:J54 G53:J53">
    <cfRule type="expression" dxfId="420" priority="64">
      <formula>$A$1=1</formula>
    </cfRule>
  </conditionalFormatting>
  <conditionalFormatting sqref="F53:J54">
    <cfRule type="expression" dxfId="419" priority="63">
      <formula>$A$1=1</formula>
    </cfRule>
  </conditionalFormatting>
  <conditionalFormatting sqref="F53:J54">
    <cfRule type="cellIs" dxfId="418" priority="62" operator="equal">
      <formula>0</formula>
    </cfRule>
  </conditionalFormatting>
  <conditionalFormatting sqref="F52:J52">
    <cfRule type="expression" dxfId="417" priority="61">
      <formula>$A$1=1</formula>
    </cfRule>
  </conditionalFormatting>
  <conditionalFormatting sqref="F52:J52">
    <cfRule type="cellIs" dxfId="416" priority="60" operator="equal">
      <formula>0</formula>
    </cfRule>
  </conditionalFormatting>
  <conditionalFormatting sqref="F64:J66">
    <cfRule type="expression" dxfId="415" priority="59">
      <formula>$A$1=1</formula>
    </cfRule>
  </conditionalFormatting>
  <conditionalFormatting sqref="F64:J66">
    <cfRule type="cellIs" dxfId="414" priority="58" operator="equal">
      <formula>0</formula>
    </cfRule>
  </conditionalFormatting>
  <conditionalFormatting sqref="F69:J69 G68:J68">
    <cfRule type="expression" dxfId="413" priority="57">
      <formula>$A$1=1</formula>
    </cfRule>
  </conditionalFormatting>
  <conditionalFormatting sqref="F68:J69">
    <cfRule type="expression" dxfId="412" priority="56">
      <formula>$A$1=1</formula>
    </cfRule>
  </conditionalFormatting>
  <conditionalFormatting sqref="F68:J69">
    <cfRule type="cellIs" dxfId="411" priority="55" operator="equal">
      <formula>0</formula>
    </cfRule>
  </conditionalFormatting>
  <conditionalFormatting sqref="F67:J67">
    <cfRule type="expression" dxfId="410" priority="54">
      <formula>$A$1=1</formula>
    </cfRule>
  </conditionalFormatting>
  <conditionalFormatting sqref="F67:J67">
    <cfRule type="cellIs" dxfId="409" priority="53" operator="equal">
      <formula>0</formula>
    </cfRule>
  </conditionalFormatting>
  <conditionalFormatting sqref="F62:J62 G61:J61">
    <cfRule type="expression" dxfId="408" priority="50">
      <formula>$A$1=1</formula>
    </cfRule>
  </conditionalFormatting>
  <conditionalFormatting sqref="F61:J62">
    <cfRule type="expression" dxfId="407" priority="49">
      <formula>$A$1=1</formula>
    </cfRule>
  </conditionalFormatting>
  <conditionalFormatting sqref="F61:J62">
    <cfRule type="cellIs" dxfId="406" priority="48" operator="equal">
      <formula>0</formula>
    </cfRule>
  </conditionalFormatting>
  <conditionalFormatting sqref="F72:J74">
    <cfRule type="expression" dxfId="405" priority="45">
      <formula>$A$1=1</formula>
    </cfRule>
  </conditionalFormatting>
  <conditionalFormatting sqref="F72:J74">
    <cfRule type="cellIs" dxfId="404" priority="44" operator="equal">
      <formula>0</formula>
    </cfRule>
  </conditionalFormatting>
  <conditionalFormatting sqref="F77:J77 G76:J76">
    <cfRule type="expression" dxfId="403" priority="43">
      <formula>$A$1=1</formula>
    </cfRule>
  </conditionalFormatting>
  <conditionalFormatting sqref="F76:J77">
    <cfRule type="expression" dxfId="402" priority="42">
      <formula>$A$1=1</formula>
    </cfRule>
  </conditionalFormatting>
  <conditionalFormatting sqref="F76:J77">
    <cfRule type="cellIs" dxfId="401" priority="41" operator="equal">
      <formula>0</formula>
    </cfRule>
  </conditionalFormatting>
  <conditionalFormatting sqref="G75:J75">
    <cfRule type="expression" dxfId="400" priority="32">
      <formula>$A$1=1</formula>
    </cfRule>
  </conditionalFormatting>
  <conditionalFormatting sqref="F75:J75">
    <cfRule type="expression" dxfId="399" priority="31">
      <formula>$A$1=1</formula>
    </cfRule>
  </conditionalFormatting>
  <conditionalFormatting sqref="G60:J60">
    <cfRule type="expression" dxfId="398" priority="35">
      <formula>$A$1=1</formula>
    </cfRule>
  </conditionalFormatting>
  <conditionalFormatting sqref="F60:J60">
    <cfRule type="expression" dxfId="397" priority="34">
      <formula>$A$1=1</formula>
    </cfRule>
  </conditionalFormatting>
  <conditionalFormatting sqref="F60:J60">
    <cfRule type="cellIs" dxfId="396" priority="33" operator="equal">
      <formula>0</formula>
    </cfRule>
  </conditionalFormatting>
  <conditionalFormatting sqref="F36:J36">
    <cfRule type="expression" dxfId="395" priority="29">
      <formula>$A$1=1</formula>
    </cfRule>
  </conditionalFormatting>
  <conditionalFormatting sqref="F36:J36">
    <cfRule type="cellIs" dxfId="394" priority="28" operator="equal">
      <formula>0</formula>
    </cfRule>
  </conditionalFormatting>
  <conditionalFormatting sqref="F37:J37">
    <cfRule type="expression" dxfId="393" priority="27">
      <formula>$A$1=1</formula>
    </cfRule>
  </conditionalFormatting>
  <conditionalFormatting sqref="F37:J37">
    <cfRule type="cellIs" dxfId="392" priority="26" operator="equal">
      <formula>0</formula>
    </cfRule>
  </conditionalFormatting>
  <conditionalFormatting sqref="F44:J44">
    <cfRule type="expression" dxfId="391" priority="25">
      <formula>$A$1=1</formula>
    </cfRule>
  </conditionalFormatting>
  <conditionalFormatting sqref="F44:J44">
    <cfRule type="cellIs" dxfId="390" priority="24" operator="equal">
      <formula>0</formula>
    </cfRule>
  </conditionalFormatting>
  <conditionalFormatting sqref="F57:J59">
    <cfRule type="expression" dxfId="389" priority="23">
      <formula>$A$1=1</formula>
    </cfRule>
  </conditionalFormatting>
  <conditionalFormatting sqref="F57:J59">
    <cfRule type="cellIs" dxfId="388" priority="22" operator="equal">
      <formula>0</formula>
    </cfRule>
  </conditionalFormatting>
  <conditionalFormatting sqref="F40:J40">
    <cfRule type="expression" dxfId="387" priority="13">
      <formula>$A$1=1</formula>
    </cfRule>
  </conditionalFormatting>
  <conditionalFormatting sqref="F40:J40">
    <cfRule type="cellIs" dxfId="386" priority="12" operator="equal">
      <formula>0</formula>
    </cfRule>
  </conditionalFormatting>
  <conditionalFormatting sqref="F55:J55">
    <cfRule type="expression" dxfId="385" priority="8">
      <formula>$A$1=1</formula>
    </cfRule>
  </conditionalFormatting>
  <conditionalFormatting sqref="F55:J55">
    <cfRule type="cellIs" dxfId="384" priority="7" operator="equal">
      <formula>0</formula>
    </cfRule>
  </conditionalFormatting>
  <conditionalFormatting sqref="F70:J70">
    <cfRule type="expression" dxfId="383" priority="4">
      <formula>$A$1=1</formula>
    </cfRule>
  </conditionalFormatting>
  <conditionalFormatting sqref="F70:J70">
    <cfRule type="cellIs" dxfId="382" priority="3" operator="equal">
      <formula>0</formula>
    </cfRule>
  </conditionalFormatting>
  <conditionalFormatting sqref="F13:J13">
    <cfRule type="expression" dxfId="381" priority="2">
      <formula>$A$1=1</formula>
    </cfRule>
  </conditionalFormatting>
  <conditionalFormatting sqref="F13:J13">
    <cfRule type="cellIs" dxfId="380" priority="1" operator="equal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R80"/>
  <sheetViews>
    <sheetView showGridLines="0" topLeftCell="A24" zoomScaleNormal="100" workbookViewId="0">
      <selection activeCell="C28" sqref="C28:J67"/>
    </sheetView>
  </sheetViews>
  <sheetFormatPr defaultColWidth="8.7109375" defaultRowHeight="12.75" outlineLevelRow="2" outlineLevelCol="1"/>
  <cols>
    <col min="1" max="2" width="4.5703125" style="140" customWidth="1"/>
    <col min="3" max="3" width="26.85546875" style="140" customWidth="1"/>
    <col min="4" max="4" width="14" style="140" hidden="1" customWidth="1" outlineLevel="1"/>
    <col min="5" max="5" width="19" style="140" customWidth="1" collapsed="1"/>
    <col min="6" max="10" width="9.42578125" style="140" customWidth="1"/>
    <col min="11" max="11" width="8" style="140" customWidth="1"/>
    <col min="12" max="12" width="10.7109375" style="140" customWidth="1"/>
    <col min="13" max="17" width="8" style="140" customWidth="1"/>
    <col min="18" max="18" width="9" style="140" bestFit="1" customWidth="1"/>
    <col min="19" max="16384" width="8.7109375" style="140"/>
  </cols>
  <sheetData>
    <row r="1" spans="1:18" ht="15" thickBot="1">
      <c r="A1" s="415">
        <v>0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</row>
    <row r="2" spans="1:18" ht="14.25">
      <c r="C2" s="510" t="s">
        <v>61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</row>
    <row r="3" spans="1:18" ht="14.25"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</row>
    <row r="4" spans="1:18" ht="14.25">
      <c r="C4" s="510" t="s">
        <v>252</v>
      </c>
    </row>
    <row r="5" spans="1:18">
      <c r="C5" s="1838" t="s">
        <v>17</v>
      </c>
      <c r="D5" s="200"/>
      <c r="E5" s="200"/>
      <c r="F5" s="200" t="s">
        <v>510</v>
      </c>
      <c r="G5" s="200" t="s">
        <v>511</v>
      </c>
      <c r="H5" s="200" t="s">
        <v>512</v>
      </c>
      <c r="I5" s="200" t="s">
        <v>513</v>
      </c>
      <c r="J5" s="200" t="s">
        <v>514</v>
      </c>
    </row>
    <row r="6" spans="1:18" hidden="1" outlineLevel="1">
      <c r="C6" s="807" t="str">
        <f>'Прогноз расходов'!C6</f>
        <v>Гостиница 5*</v>
      </c>
      <c r="D6" s="519"/>
      <c r="E6" s="520" t="s">
        <v>515</v>
      </c>
      <c r="F6" s="182">
        <v>0.15</v>
      </c>
      <c r="G6" s="182">
        <v>0.15</v>
      </c>
      <c r="H6" s="182">
        <v>0.15</v>
      </c>
      <c r="I6" s="182">
        <v>0.15</v>
      </c>
      <c r="J6" s="182">
        <v>0.15</v>
      </c>
      <c r="K6" s="474" t="s">
        <v>639</v>
      </c>
      <c r="L6" s="808"/>
      <c r="M6" s="808"/>
      <c r="N6" s="831">
        <f>Объекты!E35</f>
        <v>1943</v>
      </c>
      <c r="O6" s="474" t="s">
        <v>216</v>
      </c>
    </row>
    <row r="7" spans="1:18" hidden="1" outlineLevel="1">
      <c r="C7" s="202" t="str">
        <f>'Прогноз расходов'!C7</f>
        <v>Гостиница 4*</v>
      </c>
      <c r="D7" s="519"/>
      <c r="E7" s="520" t="str">
        <f>E6</f>
        <v>от выручки по номерам</v>
      </c>
      <c r="F7" s="182">
        <v>0.2</v>
      </c>
      <c r="G7" s="182">
        <v>0.2</v>
      </c>
      <c r="H7" s="182">
        <v>0.2</v>
      </c>
      <c r="I7" s="182">
        <v>0.2</v>
      </c>
      <c r="J7" s="182">
        <v>0.2</v>
      </c>
      <c r="K7" s="474" t="s">
        <v>639</v>
      </c>
      <c r="L7" s="808"/>
      <c r="M7" s="808"/>
      <c r="N7" s="831">
        <f>Объекты!E41</f>
        <v>3561</v>
      </c>
      <c r="O7" s="474" t="s">
        <v>216</v>
      </c>
    </row>
    <row r="8" spans="1:18" hidden="1" outlineLevel="1">
      <c r="C8" s="202" t="str">
        <f>'Прогноз расходов'!C8</f>
        <v>Гостиница 3*</v>
      </c>
      <c r="D8" s="519"/>
      <c r="E8" s="520" t="str">
        <f>E7</f>
        <v>от выручки по номерам</v>
      </c>
      <c r="F8" s="182">
        <v>0.15</v>
      </c>
      <c r="G8" s="182">
        <v>0.15</v>
      </c>
      <c r="H8" s="182">
        <v>0.15</v>
      </c>
      <c r="I8" s="182">
        <v>0.15</v>
      </c>
      <c r="J8" s="182">
        <v>0.15</v>
      </c>
      <c r="K8" s="474" t="s">
        <v>638</v>
      </c>
      <c r="L8" s="808"/>
      <c r="M8" s="808"/>
      <c r="N8" s="831">
        <f>Бюджет_Синара!B233</f>
        <v>1900</v>
      </c>
      <c r="O8" s="474" t="s">
        <v>216</v>
      </c>
    </row>
    <row r="9" spans="1:18" hidden="1" outlineLevel="1">
      <c r="C9" s="521" t="s">
        <v>538</v>
      </c>
      <c r="D9" s="517"/>
      <c r="E9" s="518"/>
      <c r="F9" s="517"/>
      <c r="G9" s="517"/>
      <c r="H9" s="517"/>
      <c r="I9" s="517"/>
      <c r="J9" s="517"/>
    </row>
    <row r="10" spans="1:18" hidden="1" outlineLevel="1">
      <c r="C10" s="202" t="str">
        <f>C6</f>
        <v>Гостиница 5*</v>
      </c>
      <c r="D10" s="519"/>
      <c r="E10" s="520" t="s">
        <v>539</v>
      </c>
      <c r="F10" s="182">
        <v>0.45</v>
      </c>
      <c r="G10" s="182">
        <f>F10</f>
        <v>0.45</v>
      </c>
      <c r="H10" s="182">
        <f t="shared" ref="H10:J11" si="0">G10</f>
        <v>0.45</v>
      </c>
      <c r="I10" s="182">
        <f t="shared" si="0"/>
        <v>0.45</v>
      </c>
      <c r="J10" s="182">
        <f t="shared" si="0"/>
        <v>0.45</v>
      </c>
    </row>
    <row r="11" spans="1:18" hidden="1" outlineLevel="1">
      <c r="C11" s="202" t="str">
        <f>C7</f>
        <v>Гостиница 4*</v>
      </c>
      <c r="D11" s="519"/>
      <c r="E11" s="520" t="s">
        <v>539</v>
      </c>
      <c r="F11" s="182">
        <v>0.4</v>
      </c>
      <c r="G11" s="182">
        <f>F11</f>
        <v>0.4</v>
      </c>
      <c r="H11" s="182">
        <f t="shared" si="0"/>
        <v>0.4</v>
      </c>
      <c r="I11" s="182">
        <f t="shared" si="0"/>
        <v>0.4</v>
      </c>
      <c r="J11" s="182">
        <f t="shared" si="0"/>
        <v>0.4</v>
      </c>
    </row>
    <row r="12" spans="1:18" hidden="1" outlineLevel="1">
      <c r="C12" s="202" t="str">
        <f>C8</f>
        <v>Гостиница 3*</v>
      </c>
      <c r="D12" s="519"/>
      <c r="E12" s="520" t="s">
        <v>539</v>
      </c>
      <c r="F12" s="182">
        <f>F11</f>
        <v>0.4</v>
      </c>
      <c r="G12" s="182">
        <f>G11</f>
        <v>0.4</v>
      </c>
      <c r="H12" s="182">
        <f>H11</f>
        <v>0.4</v>
      </c>
      <c r="I12" s="182">
        <f>I11</f>
        <v>0.4</v>
      </c>
      <c r="J12" s="182">
        <f>J11</f>
        <v>0.4</v>
      </c>
    </row>
    <row r="13" spans="1:18" hidden="1" outlineLevel="1">
      <c r="C13" s="521" t="s">
        <v>540</v>
      </c>
      <c r="D13" s="517"/>
      <c r="E13" s="518"/>
      <c r="F13" s="517"/>
      <c r="G13" s="517"/>
      <c r="H13" s="517"/>
      <c r="I13" s="517"/>
      <c r="J13" s="517"/>
    </row>
    <row r="14" spans="1:18" hidden="1" outlineLevel="1">
      <c r="C14" s="202" t="str">
        <f>C10</f>
        <v>Гостиница 5*</v>
      </c>
      <c r="D14" s="519"/>
      <c r="E14" s="520" t="s">
        <v>539</v>
      </c>
      <c r="F14" s="182">
        <v>0.28000000000000003</v>
      </c>
      <c r="G14" s="182">
        <f>F14</f>
        <v>0.28000000000000003</v>
      </c>
      <c r="H14" s="182">
        <f>G14</f>
        <v>0.28000000000000003</v>
      </c>
      <c r="I14" s="182">
        <f>H14</f>
        <v>0.28000000000000003</v>
      </c>
      <c r="J14" s="182">
        <f>I14</f>
        <v>0.28000000000000003</v>
      </c>
    </row>
    <row r="15" spans="1:18" hidden="1" outlineLevel="1">
      <c r="C15" s="202" t="str">
        <f>C11</f>
        <v>Гостиница 4*</v>
      </c>
      <c r="D15" s="519"/>
      <c r="E15" s="520" t="s">
        <v>539</v>
      </c>
      <c r="F15" s="182">
        <v>0.23</v>
      </c>
      <c r="G15" s="182">
        <v>0.23</v>
      </c>
      <c r="H15" s="182">
        <v>0.23</v>
      </c>
      <c r="I15" s="182">
        <v>0.23</v>
      </c>
      <c r="J15" s="182">
        <v>0.23</v>
      </c>
    </row>
    <row r="16" spans="1:18" hidden="1" outlineLevel="1">
      <c r="C16" s="202" t="str">
        <f>C12</f>
        <v>Гостиница 3*</v>
      </c>
      <c r="D16" s="519"/>
      <c r="E16" s="520" t="s">
        <v>539</v>
      </c>
      <c r="F16" s="182">
        <v>0.23</v>
      </c>
      <c r="G16" s="182">
        <v>0.23</v>
      </c>
      <c r="H16" s="182">
        <v>0.23</v>
      </c>
      <c r="I16" s="182">
        <v>0.23</v>
      </c>
      <c r="J16" s="182">
        <v>0.23</v>
      </c>
    </row>
    <row r="17" spans="3:10" collapsed="1">
      <c r="C17" s="521" t="s">
        <v>541</v>
      </c>
      <c r="D17" s="517"/>
      <c r="E17" s="518"/>
      <c r="F17" s="517"/>
      <c r="G17" s="517"/>
      <c r="H17" s="517"/>
      <c r="I17" s="517"/>
      <c r="J17" s="517"/>
    </row>
    <row r="18" spans="3:10">
      <c r="C18" s="202" t="str">
        <f>C14</f>
        <v>Гостиница 5*</v>
      </c>
      <c r="D18" s="519"/>
      <c r="E18" s="520" t="s">
        <v>539</v>
      </c>
      <c r="F18" s="182">
        <f t="shared" ref="F18:J20" si="1">F14+F10</f>
        <v>0.73</v>
      </c>
      <c r="G18" s="182">
        <f t="shared" si="1"/>
        <v>0.73</v>
      </c>
      <c r="H18" s="182">
        <f t="shared" si="1"/>
        <v>0.73</v>
      </c>
      <c r="I18" s="182">
        <f t="shared" si="1"/>
        <v>0.73</v>
      </c>
      <c r="J18" s="182">
        <f t="shared" si="1"/>
        <v>0.73</v>
      </c>
    </row>
    <row r="19" spans="3:10">
      <c r="C19" s="202" t="str">
        <f>C15</f>
        <v>Гостиница 4*</v>
      </c>
      <c r="D19" s="519"/>
      <c r="E19" s="520" t="s">
        <v>539</v>
      </c>
      <c r="F19" s="182">
        <f t="shared" si="1"/>
        <v>0.63</v>
      </c>
      <c r="G19" s="182">
        <f t="shared" si="1"/>
        <v>0.63</v>
      </c>
      <c r="H19" s="182">
        <f t="shared" si="1"/>
        <v>0.63</v>
      </c>
      <c r="I19" s="182">
        <f t="shared" si="1"/>
        <v>0.63</v>
      </c>
      <c r="J19" s="182">
        <f t="shared" si="1"/>
        <v>0.63</v>
      </c>
    </row>
    <row r="20" spans="3:10">
      <c r="C20" s="202" t="str">
        <f>C16</f>
        <v>Гостиница 3*</v>
      </c>
      <c r="D20" s="519"/>
      <c r="E20" s="520" t="s">
        <v>539</v>
      </c>
      <c r="F20" s="182">
        <f t="shared" si="1"/>
        <v>0.63</v>
      </c>
      <c r="G20" s="182">
        <f t="shared" si="1"/>
        <v>0.63</v>
      </c>
      <c r="H20" s="182">
        <f t="shared" si="1"/>
        <v>0.63</v>
      </c>
      <c r="I20" s="182">
        <f t="shared" si="1"/>
        <v>0.63</v>
      </c>
      <c r="J20" s="182">
        <f t="shared" si="1"/>
        <v>0.63</v>
      </c>
    </row>
    <row r="21" spans="3:10">
      <c r="C21" s="521" t="s">
        <v>1381</v>
      </c>
      <c r="D21" s="521"/>
      <c r="E21" s="809"/>
      <c r="F21" s="809"/>
      <c r="G21" s="809"/>
      <c r="H21" s="809"/>
      <c r="I21" s="809"/>
      <c r="J21" s="809"/>
    </row>
    <row r="22" spans="3:10">
      <c r="C22" s="202" t="str">
        <f>C18</f>
        <v>Гостиница 5*</v>
      </c>
      <c r="D22" s="519"/>
      <c r="E22" s="520" t="s">
        <v>539</v>
      </c>
      <c r="F22" s="182">
        <f>1-F18</f>
        <v>0.27</v>
      </c>
      <c r="G22" s="182">
        <f t="shared" ref="G22:J22" si="2">1-G18</f>
        <v>0.27</v>
      </c>
      <c r="H22" s="182">
        <f t="shared" si="2"/>
        <v>0.27</v>
      </c>
      <c r="I22" s="182">
        <f t="shared" si="2"/>
        <v>0.27</v>
      </c>
      <c r="J22" s="182">
        <f t="shared" si="2"/>
        <v>0.27</v>
      </c>
    </row>
    <row r="23" spans="3:10">
      <c r="C23" s="202" t="str">
        <f>C19</f>
        <v>Гостиница 4*</v>
      </c>
      <c r="D23" s="519"/>
      <c r="E23" s="520" t="s">
        <v>539</v>
      </c>
      <c r="F23" s="182">
        <f t="shared" ref="F23:J23" si="3">1-F19</f>
        <v>0.37</v>
      </c>
      <c r="G23" s="182">
        <f t="shared" si="3"/>
        <v>0.37</v>
      </c>
      <c r="H23" s="182">
        <f t="shared" si="3"/>
        <v>0.37</v>
      </c>
      <c r="I23" s="182">
        <f t="shared" si="3"/>
        <v>0.37</v>
      </c>
      <c r="J23" s="182">
        <f t="shared" si="3"/>
        <v>0.37</v>
      </c>
    </row>
    <row r="24" spans="3:10">
      <c r="C24" s="202" t="str">
        <f>C20</f>
        <v>Гостиница 3*</v>
      </c>
      <c r="D24" s="519"/>
      <c r="E24" s="520" t="s">
        <v>539</v>
      </c>
      <c r="F24" s="182">
        <f t="shared" ref="F24:J24" si="4">1-F20</f>
        <v>0.37</v>
      </c>
      <c r="G24" s="182">
        <f t="shared" si="4"/>
        <v>0.37</v>
      </c>
      <c r="H24" s="182">
        <f t="shared" si="4"/>
        <v>0.37</v>
      </c>
      <c r="I24" s="182">
        <f t="shared" si="4"/>
        <v>0.37</v>
      </c>
      <c r="J24" s="182">
        <f t="shared" si="4"/>
        <v>0.37</v>
      </c>
    </row>
    <row r="27" spans="3:10" ht="14.25">
      <c r="C27" s="510" t="s">
        <v>542</v>
      </c>
    </row>
    <row r="28" spans="3:10">
      <c r="C28" s="1838"/>
      <c r="D28" s="200"/>
      <c r="E28" s="200"/>
      <c r="F28" s="200" t="s">
        <v>510</v>
      </c>
      <c r="G28" s="200" t="s">
        <v>511</v>
      </c>
      <c r="H28" s="200" t="s">
        <v>512</v>
      </c>
      <c r="I28" s="200" t="s">
        <v>513</v>
      </c>
      <c r="J28" s="200" t="s">
        <v>514</v>
      </c>
    </row>
    <row r="29" spans="3:10" hidden="1" outlineLevel="1">
      <c r="C29" s="807" t="str">
        <f>'Прогноз расходов'!C6</f>
        <v>Гостиница 5*</v>
      </c>
      <c r="D29" s="519"/>
      <c r="E29" s="520" t="s">
        <v>543</v>
      </c>
      <c r="F29" s="182">
        <v>0.05</v>
      </c>
      <c r="G29" s="182">
        <v>4.4999999999999998E-2</v>
      </c>
      <c r="H29" s="182">
        <v>0.04</v>
      </c>
      <c r="I29" s="182">
        <v>3.6999999999999998E-2</v>
      </c>
      <c r="J29" s="182">
        <v>3.5000000000000003E-2</v>
      </c>
    </row>
    <row r="30" spans="3:10" hidden="1" outlineLevel="1">
      <c r="C30" s="807" t="str">
        <f>'Прогноз расходов'!C7</f>
        <v>Гостиница 4*</v>
      </c>
      <c r="D30" s="519"/>
      <c r="E30" s="520" t="s">
        <v>543</v>
      </c>
      <c r="F30" s="182">
        <v>0.03</v>
      </c>
      <c r="G30" s="182">
        <v>2.5000000000000001E-2</v>
      </c>
      <c r="H30" s="182">
        <f>G30</f>
        <v>2.5000000000000001E-2</v>
      </c>
      <c r="I30" s="182">
        <f>H30</f>
        <v>2.5000000000000001E-2</v>
      </c>
      <c r="J30" s="182">
        <f>I30</f>
        <v>2.5000000000000001E-2</v>
      </c>
    </row>
    <row r="31" spans="3:10" hidden="1" outlineLevel="1">
      <c r="C31" s="807" t="str">
        <f>'Прогноз расходов'!C8</f>
        <v>Гостиница 3*</v>
      </c>
      <c r="D31" s="519"/>
      <c r="E31" s="520" t="s">
        <v>543</v>
      </c>
      <c r="F31" s="182">
        <v>4.4999999999999998E-2</v>
      </c>
      <c r="G31" s="182">
        <v>3.5000000000000003E-2</v>
      </c>
      <c r="H31" s="182">
        <v>3.5000000000000003E-2</v>
      </c>
      <c r="I31" s="182">
        <v>0.03</v>
      </c>
      <c r="J31" s="182">
        <v>0.03</v>
      </c>
    </row>
    <row r="32" spans="3:10" hidden="1" outlineLevel="2">
      <c r="C32" s="807" t="str">
        <f>'Прогноз расходов'!C9</f>
        <v>Гостиница 2*</v>
      </c>
      <c r="D32" s="519"/>
      <c r="E32" s="520" t="s">
        <v>543</v>
      </c>
      <c r="F32" s="182">
        <v>4.4999999999999998E-2</v>
      </c>
      <c r="G32" s="182">
        <v>3.5000000000000003E-2</v>
      </c>
      <c r="H32" s="182">
        <v>3.5000000000000003E-2</v>
      </c>
      <c r="I32" s="182">
        <v>0.03</v>
      </c>
      <c r="J32" s="182">
        <v>0.03</v>
      </c>
    </row>
    <row r="33" spans="3:10" ht="14.1" hidden="1" customHeight="1" outlineLevel="1" collapsed="1">
      <c r="C33" s="807" t="str">
        <f>'Прогноз расходов'!C10</f>
        <v>Хостел в составе МФЦ</v>
      </c>
      <c r="D33" s="519"/>
      <c r="E33" s="520" t="s">
        <v>543</v>
      </c>
      <c r="F33" s="182">
        <v>4.4999999999999998E-2</v>
      </c>
      <c r="G33" s="182">
        <v>3.5000000000000003E-2</v>
      </c>
      <c r="H33" s="182">
        <v>3.5000000000000003E-2</v>
      </c>
      <c r="I33" s="182">
        <v>0.03</v>
      </c>
      <c r="J33" s="182">
        <v>0.03</v>
      </c>
    </row>
    <row r="34" spans="3:10" hidden="1" outlineLevel="1">
      <c r="C34" s="807" t="str">
        <f>'Прогноз расходов'!C11</f>
        <v>Шале</v>
      </c>
      <c r="D34" s="519"/>
      <c r="E34" s="520" t="s">
        <v>543</v>
      </c>
      <c r="F34" s="182">
        <v>9.5000000000000001E-2</v>
      </c>
      <c r="G34" s="182">
        <v>0.09</v>
      </c>
      <c r="H34" s="182">
        <v>8.5000000000000006E-2</v>
      </c>
      <c r="I34" s="182">
        <v>8.2000000000000003E-2</v>
      </c>
      <c r="J34" s="182">
        <v>0.08</v>
      </c>
    </row>
    <row r="35" spans="3:10" hidden="1" outlineLevel="1">
      <c r="C35" s="807" t="str">
        <f>'Прогноз расходов'!C12</f>
        <v>Туристские резиденции</v>
      </c>
      <c r="D35" s="519"/>
      <c r="E35" s="520" t="s">
        <v>543</v>
      </c>
      <c r="F35" s="810">
        <f>F33</f>
        <v>4.4999999999999998E-2</v>
      </c>
      <c r="G35" s="810">
        <f>G33</f>
        <v>3.5000000000000003E-2</v>
      </c>
      <c r="H35" s="810">
        <f>H33</f>
        <v>3.5000000000000003E-2</v>
      </c>
      <c r="I35" s="810">
        <f>I33</f>
        <v>0.03</v>
      </c>
      <c r="J35" s="810">
        <f>J33</f>
        <v>0.03</v>
      </c>
    </row>
    <row r="36" spans="3:10" hidden="1" outlineLevel="1" collapsed="1">
      <c r="C36" s="521" t="s">
        <v>538</v>
      </c>
      <c r="D36" s="517"/>
      <c r="E36" s="518"/>
      <c r="F36" s="517"/>
      <c r="G36" s="517"/>
      <c r="H36" s="517"/>
      <c r="I36" s="517"/>
      <c r="J36" s="517"/>
    </row>
    <row r="37" spans="3:10" hidden="1" outlineLevel="1">
      <c r="C37" s="202" t="str">
        <f t="shared" ref="C37:C43" si="5">C29</f>
        <v>Гостиница 5*</v>
      </c>
      <c r="D37" s="519"/>
      <c r="E37" s="520" t="s">
        <v>544</v>
      </c>
      <c r="F37" s="182">
        <v>0.09</v>
      </c>
      <c r="G37" s="182">
        <v>7.0000000000000007E-2</v>
      </c>
      <c r="H37" s="182">
        <v>0.06</v>
      </c>
      <c r="I37" s="182">
        <v>0.06</v>
      </c>
      <c r="J37" s="182">
        <v>0.06</v>
      </c>
    </row>
    <row r="38" spans="3:10" hidden="1" outlineLevel="1">
      <c r="C38" s="202" t="str">
        <f t="shared" si="5"/>
        <v>Гостиница 4*</v>
      </c>
      <c r="D38" s="519"/>
      <c r="E38" s="520" t="s">
        <v>544</v>
      </c>
      <c r="F38" s="182">
        <v>0.09</v>
      </c>
      <c r="G38" s="182">
        <v>7.0000000000000007E-2</v>
      </c>
      <c r="H38" s="182">
        <v>0.06</v>
      </c>
      <c r="I38" s="182">
        <v>0.06</v>
      </c>
      <c r="J38" s="182">
        <v>0.06</v>
      </c>
    </row>
    <row r="39" spans="3:10" hidden="1" outlineLevel="1">
      <c r="C39" s="202" t="str">
        <f t="shared" si="5"/>
        <v>Гостиница 3*</v>
      </c>
      <c r="D39" s="519"/>
      <c r="E39" s="520" t="s">
        <v>544</v>
      </c>
      <c r="F39" s="182">
        <v>0.09</v>
      </c>
      <c r="G39" s="182">
        <v>7.0000000000000007E-2</v>
      </c>
      <c r="H39" s="182">
        <v>0.06</v>
      </c>
      <c r="I39" s="182">
        <v>0.06</v>
      </c>
      <c r="J39" s="182">
        <v>0.06</v>
      </c>
    </row>
    <row r="40" spans="3:10" hidden="1" outlineLevel="2">
      <c r="C40" s="202" t="str">
        <f t="shared" si="5"/>
        <v>Гостиница 2*</v>
      </c>
      <c r="D40" s="519"/>
      <c r="E40" s="520" t="s">
        <v>544</v>
      </c>
      <c r="F40" s="182">
        <v>0.09</v>
      </c>
      <c r="G40" s="182">
        <v>7.0000000000000007E-2</v>
      </c>
      <c r="H40" s="182">
        <v>0.06</v>
      </c>
      <c r="I40" s="182">
        <v>0.06</v>
      </c>
      <c r="J40" s="182">
        <v>0.06</v>
      </c>
    </row>
    <row r="41" spans="3:10" hidden="1" outlineLevel="1">
      <c r="C41" s="202" t="str">
        <f t="shared" si="5"/>
        <v>Хостел в составе МФЦ</v>
      </c>
      <c r="D41" s="519"/>
      <c r="E41" s="520" t="s">
        <v>544</v>
      </c>
      <c r="F41" s="182">
        <v>0.09</v>
      </c>
      <c r="G41" s="182">
        <v>7.0000000000000007E-2</v>
      </c>
      <c r="H41" s="182">
        <v>0.06</v>
      </c>
      <c r="I41" s="182">
        <v>0.06</v>
      </c>
      <c r="J41" s="182">
        <v>0.06</v>
      </c>
    </row>
    <row r="42" spans="3:10" hidden="1" outlineLevel="1">
      <c r="C42" s="202" t="str">
        <f t="shared" si="5"/>
        <v>Шале</v>
      </c>
      <c r="D42" s="519"/>
      <c r="E42" s="520" t="s">
        <v>544</v>
      </c>
      <c r="F42" s="182">
        <v>0.09</v>
      </c>
      <c r="G42" s="182">
        <v>7.0000000000000007E-2</v>
      </c>
      <c r="H42" s="182">
        <v>0.06</v>
      </c>
      <c r="I42" s="182">
        <v>0.06</v>
      </c>
      <c r="J42" s="182">
        <v>0.06</v>
      </c>
    </row>
    <row r="43" spans="3:10" hidden="1" outlineLevel="1">
      <c r="C43" s="202" t="str">
        <f t="shared" si="5"/>
        <v>Туристские резиденции</v>
      </c>
      <c r="D43" s="519"/>
      <c r="E43" s="520" t="s">
        <v>544</v>
      </c>
      <c r="F43" s="182">
        <v>0.09</v>
      </c>
      <c r="G43" s="182">
        <v>7.0000000000000007E-2</v>
      </c>
      <c r="H43" s="182">
        <v>0.06</v>
      </c>
      <c r="I43" s="182">
        <v>0.06</v>
      </c>
      <c r="J43" s="182">
        <v>0.06</v>
      </c>
    </row>
    <row r="44" spans="3:10" hidden="1" outlineLevel="1">
      <c r="C44" s="521" t="s">
        <v>540</v>
      </c>
      <c r="D44" s="517"/>
      <c r="E44" s="518"/>
      <c r="F44" s="517"/>
      <c r="G44" s="517"/>
      <c r="H44" s="517"/>
      <c r="I44" s="517"/>
      <c r="J44" s="517"/>
    </row>
    <row r="45" spans="3:10" hidden="1" outlineLevel="1">
      <c r="C45" s="202" t="str">
        <f t="shared" ref="C45:C51" si="6">C37</f>
        <v>Гостиница 5*</v>
      </c>
      <c r="D45" s="519"/>
      <c r="E45" s="520" t="s">
        <v>544</v>
      </c>
      <c r="F45" s="182">
        <v>0.08</v>
      </c>
      <c r="G45" s="182">
        <v>7.0000000000000007E-2</v>
      </c>
      <c r="H45" s="182">
        <v>0.06</v>
      </c>
      <c r="I45" s="182">
        <f t="shared" ref="I45:J50" si="7">H45</f>
        <v>0.06</v>
      </c>
      <c r="J45" s="182">
        <f t="shared" si="7"/>
        <v>0.06</v>
      </c>
    </row>
    <row r="46" spans="3:10" hidden="1" outlineLevel="1">
      <c r="C46" s="202" t="str">
        <f t="shared" si="6"/>
        <v>Гостиница 4*</v>
      </c>
      <c r="D46" s="519"/>
      <c r="E46" s="520" t="s">
        <v>544</v>
      </c>
      <c r="F46" s="182">
        <v>0.08</v>
      </c>
      <c r="G46" s="182">
        <v>7.0000000000000007E-2</v>
      </c>
      <c r="H46" s="182">
        <v>0.06</v>
      </c>
      <c r="I46" s="182">
        <f t="shared" si="7"/>
        <v>0.06</v>
      </c>
      <c r="J46" s="182">
        <f t="shared" si="7"/>
        <v>0.06</v>
      </c>
    </row>
    <row r="47" spans="3:10" hidden="1" outlineLevel="1">
      <c r="C47" s="202" t="str">
        <f t="shared" si="6"/>
        <v>Гостиница 3*</v>
      </c>
      <c r="D47" s="519"/>
      <c r="E47" s="520" t="s">
        <v>544</v>
      </c>
      <c r="F47" s="182">
        <v>0.08</v>
      </c>
      <c r="G47" s="182">
        <v>7.0000000000000007E-2</v>
      </c>
      <c r="H47" s="182">
        <v>0.06</v>
      </c>
      <c r="I47" s="182">
        <f t="shared" si="7"/>
        <v>0.06</v>
      </c>
      <c r="J47" s="182">
        <f t="shared" si="7"/>
        <v>0.06</v>
      </c>
    </row>
    <row r="48" spans="3:10" hidden="1" outlineLevel="2">
      <c r="C48" s="202" t="str">
        <f t="shared" si="6"/>
        <v>Гостиница 2*</v>
      </c>
      <c r="D48" s="519"/>
      <c r="E48" s="520" t="s">
        <v>544</v>
      </c>
      <c r="F48" s="182">
        <v>0.08</v>
      </c>
      <c r="G48" s="182">
        <v>7.0000000000000007E-2</v>
      </c>
      <c r="H48" s="182">
        <v>0.06</v>
      </c>
      <c r="I48" s="182">
        <f t="shared" si="7"/>
        <v>0.06</v>
      </c>
      <c r="J48" s="182">
        <f t="shared" si="7"/>
        <v>0.06</v>
      </c>
    </row>
    <row r="49" spans="3:10" hidden="1" outlineLevel="1">
      <c r="C49" s="202" t="str">
        <f t="shared" si="6"/>
        <v>Хостел в составе МФЦ</v>
      </c>
      <c r="D49" s="519"/>
      <c r="E49" s="520" t="s">
        <v>544</v>
      </c>
      <c r="F49" s="182">
        <v>0.08</v>
      </c>
      <c r="G49" s="182">
        <v>7.0000000000000007E-2</v>
      </c>
      <c r="H49" s="182">
        <v>0.06</v>
      </c>
      <c r="I49" s="182">
        <f t="shared" si="7"/>
        <v>0.06</v>
      </c>
      <c r="J49" s="182">
        <f t="shared" si="7"/>
        <v>0.06</v>
      </c>
    </row>
    <row r="50" spans="3:10" hidden="1" outlineLevel="1">
      <c r="C50" s="202" t="str">
        <f t="shared" si="6"/>
        <v>Шале</v>
      </c>
      <c r="D50" s="519"/>
      <c r="E50" s="520" t="s">
        <v>544</v>
      </c>
      <c r="F50" s="182">
        <v>0.08</v>
      </c>
      <c r="G50" s="182">
        <v>7.0000000000000007E-2</v>
      </c>
      <c r="H50" s="182">
        <v>0.06</v>
      </c>
      <c r="I50" s="182">
        <f t="shared" si="7"/>
        <v>0.06</v>
      </c>
      <c r="J50" s="182">
        <f t="shared" si="7"/>
        <v>0.06</v>
      </c>
    </row>
    <row r="51" spans="3:10" hidden="1" outlineLevel="1">
      <c r="C51" s="202" t="str">
        <f t="shared" si="6"/>
        <v>Туристские резиденции</v>
      </c>
      <c r="D51" s="519"/>
      <c r="E51" s="520" t="s">
        <v>544</v>
      </c>
      <c r="F51" s="182">
        <v>0.08</v>
      </c>
      <c r="G51" s="182">
        <v>7.0000000000000007E-2</v>
      </c>
      <c r="H51" s="182">
        <v>0.06</v>
      </c>
      <c r="I51" s="182">
        <f>H51</f>
        <v>0.06</v>
      </c>
      <c r="J51" s="182">
        <f>I51</f>
        <v>0.06</v>
      </c>
    </row>
    <row r="52" spans="3:10" collapsed="1">
      <c r="C52" s="521" t="s">
        <v>541</v>
      </c>
      <c r="D52" s="517"/>
      <c r="E52" s="518"/>
      <c r="F52" s="517"/>
      <c r="G52" s="517"/>
      <c r="H52" s="517"/>
      <c r="I52" s="517"/>
      <c r="J52" s="517"/>
    </row>
    <row r="53" spans="3:10">
      <c r="C53" s="202" t="str">
        <f t="shared" ref="C53:C59" si="8">C45</f>
        <v>Гостиница 5*</v>
      </c>
      <c r="D53" s="519"/>
      <c r="E53" s="520" t="s">
        <v>544</v>
      </c>
      <c r="F53" s="182">
        <f t="shared" ref="F53:J59" si="9">F45+F37</f>
        <v>0.16999999999999998</v>
      </c>
      <c r="G53" s="182">
        <f t="shared" si="9"/>
        <v>0.14000000000000001</v>
      </c>
      <c r="H53" s="182">
        <f t="shared" si="9"/>
        <v>0.12</v>
      </c>
      <c r="I53" s="182">
        <f t="shared" si="9"/>
        <v>0.12</v>
      </c>
      <c r="J53" s="182">
        <f t="shared" si="9"/>
        <v>0.12</v>
      </c>
    </row>
    <row r="54" spans="3:10">
      <c r="C54" s="202" t="str">
        <f t="shared" si="8"/>
        <v>Гостиница 4*</v>
      </c>
      <c r="D54" s="519"/>
      <c r="E54" s="520" t="s">
        <v>544</v>
      </c>
      <c r="F54" s="182">
        <f t="shared" si="9"/>
        <v>0.16999999999999998</v>
      </c>
      <c r="G54" s="182">
        <f t="shared" si="9"/>
        <v>0.14000000000000001</v>
      </c>
      <c r="H54" s="182">
        <f t="shared" si="9"/>
        <v>0.12</v>
      </c>
      <c r="I54" s="182">
        <f t="shared" si="9"/>
        <v>0.12</v>
      </c>
      <c r="J54" s="182">
        <f t="shared" si="9"/>
        <v>0.12</v>
      </c>
    </row>
    <row r="55" spans="3:10">
      <c r="C55" s="202" t="str">
        <f t="shared" si="8"/>
        <v>Гостиница 3*</v>
      </c>
      <c r="D55" s="519"/>
      <c r="E55" s="520" t="s">
        <v>544</v>
      </c>
      <c r="F55" s="182">
        <f t="shared" si="9"/>
        <v>0.16999999999999998</v>
      </c>
      <c r="G55" s="182">
        <f t="shared" si="9"/>
        <v>0.14000000000000001</v>
      </c>
      <c r="H55" s="182">
        <f t="shared" si="9"/>
        <v>0.12</v>
      </c>
      <c r="I55" s="182">
        <f t="shared" si="9"/>
        <v>0.12</v>
      </c>
      <c r="J55" s="182">
        <f t="shared" si="9"/>
        <v>0.12</v>
      </c>
    </row>
    <row r="56" spans="3:10" hidden="1" outlineLevel="1">
      <c r="C56" s="202" t="str">
        <f t="shared" si="8"/>
        <v>Гостиница 2*</v>
      </c>
      <c r="D56" s="519"/>
      <c r="E56" s="520" t="s">
        <v>544</v>
      </c>
      <c r="F56" s="182">
        <f t="shared" si="9"/>
        <v>0.16999999999999998</v>
      </c>
      <c r="G56" s="182">
        <f t="shared" si="9"/>
        <v>0.14000000000000001</v>
      </c>
      <c r="H56" s="182">
        <f t="shared" si="9"/>
        <v>0.12</v>
      </c>
      <c r="I56" s="182">
        <f t="shared" si="9"/>
        <v>0.12</v>
      </c>
      <c r="J56" s="182">
        <f t="shared" si="9"/>
        <v>0.12</v>
      </c>
    </row>
    <row r="57" spans="3:10" collapsed="1">
      <c r="C57" s="202" t="str">
        <f t="shared" si="8"/>
        <v>Хостел в составе МФЦ</v>
      </c>
      <c r="D57" s="519"/>
      <c r="E57" s="520" t="s">
        <v>544</v>
      </c>
      <c r="F57" s="182">
        <f t="shared" si="9"/>
        <v>0.16999999999999998</v>
      </c>
      <c r="G57" s="182">
        <f t="shared" si="9"/>
        <v>0.14000000000000001</v>
      </c>
      <c r="H57" s="182">
        <f t="shared" si="9"/>
        <v>0.12</v>
      </c>
      <c r="I57" s="182">
        <f t="shared" si="9"/>
        <v>0.12</v>
      </c>
      <c r="J57" s="182">
        <f t="shared" si="9"/>
        <v>0.12</v>
      </c>
    </row>
    <row r="58" spans="3:10">
      <c r="C58" s="202" t="str">
        <f t="shared" si="8"/>
        <v>Шале</v>
      </c>
      <c r="D58" s="519"/>
      <c r="E58" s="520" t="s">
        <v>544</v>
      </c>
      <c r="F58" s="182">
        <f t="shared" si="9"/>
        <v>0.16999999999999998</v>
      </c>
      <c r="G58" s="182">
        <f t="shared" si="9"/>
        <v>0.14000000000000001</v>
      </c>
      <c r="H58" s="182">
        <f t="shared" si="9"/>
        <v>0.12</v>
      </c>
      <c r="I58" s="182">
        <f t="shared" si="9"/>
        <v>0.12</v>
      </c>
      <c r="J58" s="182">
        <f t="shared" si="9"/>
        <v>0.12</v>
      </c>
    </row>
    <row r="59" spans="3:10">
      <c r="C59" s="202" t="str">
        <f t="shared" si="8"/>
        <v>Туристские резиденции</v>
      </c>
      <c r="D59" s="519"/>
      <c r="E59" s="520" t="s">
        <v>544</v>
      </c>
      <c r="F59" s="182">
        <f t="shared" si="9"/>
        <v>0.16999999999999998</v>
      </c>
      <c r="G59" s="182">
        <f t="shared" si="9"/>
        <v>0.14000000000000001</v>
      </c>
      <c r="H59" s="182">
        <f t="shared" si="9"/>
        <v>0.12</v>
      </c>
      <c r="I59" s="182">
        <f t="shared" si="9"/>
        <v>0.12</v>
      </c>
      <c r="J59" s="182">
        <f t="shared" si="9"/>
        <v>0.12</v>
      </c>
    </row>
    <row r="60" spans="3:10">
      <c r="C60" s="521" t="s">
        <v>1381</v>
      </c>
      <c r="D60" s="521"/>
      <c r="E60" s="809"/>
      <c r="F60" s="809"/>
      <c r="G60" s="809"/>
      <c r="H60" s="809"/>
      <c r="I60" s="809"/>
      <c r="J60" s="809"/>
    </row>
    <row r="61" spans="3:10">
      <c r="C61" s="202" t="str">
        <f>C53</f>
        <v>Гостиница 5*</v>
      </c>
      <c r="D61" s="519"/>
      <c r="E61" s="520" t="s">
        <v>544</v>
      </c>
      <c r="F61" s="182">
        <f>1-F53</f>
        <v>0.83000000000000007</v>
      </c>
      <c r="G61" s="182">
        <f t="shared" ref="G61:J61" si="10">1-G53</f>
        <v>0.86</v>
      </c>
      <c r="H61" s="182">
        <f t="shared" si="10"/>
        <v>0.88</v>
      </c>
      <c r="I61" s="182">
        <f t="shared" si="10"/>
        <v>0.88</v>
      </c>
      <c r="J61" s="182">
        <f t="shared" si="10"/>
        <v>0.88</v>
      </c>
    </row>
    <row r="62" spans="3:10">
      <c r="C62" s="202" t="str">
        <f t="shared" ref="C62:C67" si="11">C54</f>
        <v>Гостиница 4*</v>
      </c>
      <c r="D62" s="519"/>
      <c r="E62" s="520" t="s">
        <v>544</v>
      </c>
      <c r="F62" s="182">
        <f t="shared" ref="F62:J67" si="12">1-F54</f>
        <v>0.83000000000000007</v>
      </c>
      <c r="G62" s="182">
        <f t="shared" si="12"/>
        <v>0.86</v>
      </c>
      <c r="H62" s="182">
        <f t="shared" si="12"/>
        <v>0.88</v>
      </c>
      <c r="I62" s="182">
        <f t="shared" si="12"/>
        <v>0.88</v>
      </c>
      <c r="J62" s="182">
        <f t="shared" si="12"/>
        <v>0.88</v>
      </c>
    </row>
    <row r="63" spans="3:10">
      <c r="C63" s="202" t="str">
        <f t="shared" si="11"/>
        <v>Гостиница 3*</v>
      </c>
      <c r="D63" s="519"/>
      <c r="E63" s="520" t="s">
        <v>544</v>
      </c>
      <c r="F63" s="182">
        <f t="shared" si="12"/>
        <v>0.83000000000000007</v>
      </c>
      <c r="G63" s="182">
        <f t="shared" si="12"/>
        <v>0.86</v>
      </c>
      <c r="H63" s="182">
        <f t="shared" si="12"/>
        <v>0.88</v>
      </c>
      <c r="I63" s="182">
        <f t="shared" si="12"/>
        <v>0.88</v>
      </c>
      <c r="J63" s="182">
        <f t="shared" si="12"/>
        <v>0.88</v>
      </c>
    </row>
    <row r="64" spans="3:10" hidden="1" outlineLevel="1">
      <c r="C64" s="202" t="str">
        <f t="shared" si="11"/>
        <v>Гостиница 2*</v>
      </c>
      <c r="D64" s="519"/>
      <c r="E64" s="520" t="s">
        <v>544</v>
      </c>
      <c r="F64" s="182">
        <f t="shared" si="12"/>
        <v>0.83000000000000007</v>
      </c>
      <c r="G64" s="182">
        <f t="shared" si="12"/>
        <v>0.86</v>
      </c>
      <c r="H64" s="182">
        <f t="shared" si="12"/>
        <v>0.88</v>
      </c>
      <c r="I64" s="182">
        <f t="shared" si="12"/>
        <v>0.88</v>
      </c>
      <c r="J64" s="182">
        <f t="shared" si="12"/>
        <v>0.88</v>
      </c>
    </row>
    <row r="65" spans="3:18" collapsed="1">
      <c r="C65" s="202" t="str">
        <f t="shared" si="11"/>
        <v>Хостел в составе МФЦ</v>
      </c>
      <c r="D65" s="519"/>
      <c r="E65" s="520" t="s">
        <v>544</v>
      </c>
      <c r="F65" s="182">
        <f t="shared" si="12"/>
        <v>0.83000000000000007</v>
      </c>
      <c r="G65" s="182">
        <f t="shared" si="12"/>
        <v>0.86</v>
      </c>
      <c r="H65" s="182">
        <f t="shared" si="12"/>
        <v>0.88</v>
      </c>
      <c r="I65" s="182">
        <f t="shared" si="12"/>
        <v>0.88</v>
      </c>
      <c r="J65" s="182">
        <f t="shared" si="12"/>
        <v>0.88</v>
      </c>
    </row>
    <row r="66" spans="3:18">
      <c r="C66" s="202" t="str">
        <f t="shared" si="11"/>
        <v>Шале</v>
      </c>
      <c r="D66" s="519"/>
      <c r="E66" s="520" t="s">
        <v>544</v>
      </c>
      <c r="F66" s="182">
        <f t="shared" si="12"/>
        <v>0.83000000000000007</v>
      </c>
      <c r="G66" s="182">
        <f t="shared" si="12"/>
        <v>0.86</v>
      </c>
      <c r="H66" s="182">
        <f t="shared" si="12"/>
        <v>0.88</v>
      </c>
      <c r="I66" s="182">
        <f t="shared" si="12"/>
        <v>0.88</v>
      </c>
      <c r="J66" s="182">
        <f t="shared" si="12"/>
        <v>0.88</v>
      </c>
    </row>
    <row r="67" spans="3:18">
      <c r="C67" s="202" t="str">
        <f t="shared" si="11"/>
        <v>Туристские резиденции</v>
      </c>
      <c r="D67" s="519"/>
      <c r="E67" s="520" t="s">
        <v>544</v>
      </c>
      <c r="F67" s="182">
        <f t="shared" si="12"/>
        <v>0.83000000000000007</v>
      </c>
      <c r="G67" s="182">
        <f t="shared" si="12"/>
        <v>0.86</v>
      </c>
      <c r="H67" s="182">
        <f t="shared" si="12"/>
        <v>0.88</v>
      </c>
      <c r="I67" s="182">
        <f t="shared" si="12"/>
        <v>0.88</v>
      </c>
      <c r="J67" s="182">
        <f t="shared" si="12"/>
        <v>0.88</v>
      </c>
    </row>
    <row r="68" spans="3:18">
      <c r="C68" s="1843"/>
      <c r="D68" s="1844"/>
      <c r="E68" s="1039"/>
      <c r="F68" s="1845"/>
      <c r="G68" s="1845"/>
      <c r="H68" s="1845"/>
      <c r="I68" s="1845"/>
      <c r="J68" s="1845"/>
    </row>
    <row r="69" spans="3:18">
      <c r="C69" s="531"/>
      <c r="D69" s="532"/>
      <c r="E69" s="533"/>
      <c r="F69" s="533"/>
      <c r="G69" s="533"/>
      <c r="H69" s="533"/>
      <c r="I69" s="533"/>
      <c r="J69" s="533"/>
      <c r="K69" s="533"/>
      <c r="L69" s="533"/>
      <c r="M69" s="533"/>
      <c r="N69" s="533"/>
      <c r="O69" s="533"/>
      <c r="P69" s="533"/>
      <c r="Q69" s="533"/>
      <c r="R69" s="533"/>
    </row>
    <row r="71" spans="3:18" ht="14.25">
      <c r="C71" s="510" t="s">
        <v>29</v>
      </c>
    </row>
    <row r="72" spans="3:18">
      <c r="C72" s="204" t="s">
        <v>17</v>
      </c>
      <c r="D72" s="203"/>
      <c r="E72" s="203"/>
      <c r="F72" s="200" t="s">
        <v>510</v>
      </c>
      <c r="G72" s="200" t="s">
        <v>511</v>
      </c>
      <c r="H72" s="200" t="s">
        <v>512</v>
      </c>
      <c r="I72" s="200" t="s">
        <v>513</v>
      </c>
      <c r="J72" s="200" t="s">
        <v>514</v>
      </c>
    </row>
    <row r="73" spans="3:18">
      <c r="C73" s="202" t="str">
        <f t="shared" ref="C73:C78" si="13">C45</f>
        <v>Гостиница 5*</v>
      </c>
      <c r="D73" s="519"/>
      <c r="E73" s="520" t="s">
        <v>543</v>
      </c>
      <c r="F73" s="182">
        <v>0.01</v>
      </c>
      <c r="G73" s="182">
        <v>0.01</v>
      </c>
      <c r="H73" s="182">
        <v>0.01</v>
      </c>
      <c r="I73" s="182">
        <v>0.01</v>
      </c>
      <c r="J73" s="182">
        <v>0.01</v>
      </c>
    </row>
    <row r="74" spans="3:18">
      <c r="C74" s="202" t="str">
        <f t="shared" si="13"/>
        <v>Гостиница 4*</v>
      </c>
      <c r="D74" s="519"/>
      <c r="E74" s="520" t="s">
        <v>543</v>
      </c>
      <c r="F74" s="182">
        <v>7.0000000000000007E-2</v>
      </c>
      <c r="G74" s="182">
        <v>7.0000000000000007E-2</v>
      </c>
      <c r="H74" s="182">
        <v>7.0000000000000007E-2</v>
      </c>
      <c r="I74" s="182">
        <v>7.0000000000000007E-2</v>
      </c>
      <c r="J74" s="182">
        <v>7.0000000000000007E-2</v>
      </c>
      <c r="K74" s="474" t="str">
        <f>Объекты!C42</f>
        <v>Торговая зона отеля 4*</v>
      </c>
      <c r="L74" s="808"/>
      <c r="M74" s="808"/>
      <c r="N74" s="831">
        <f>Объекты!E42</f>
        <v>1000</v>
      </c>
      <c r="O74" s="474" t="s">
        <v>216</v>
      </c>
    </row>
    <row r="75" spans="3:18">
      <c r="C75" s="202" t="str">
        <f t="shared" si="13"/>
        <v>Гостиница 3*</v>
      </c>
      <c r="D75" s="519"/>
      <c r="E75" s="520" t="s">
        <v>543</v>
      </c>
      <c r="F75" s="182">
        <v>0.01</v>
      </c>
      <c r="G75" s="182">
        <v>0.01</v>
      </c>
      <c r="H75" s="182">
        <v>0.01</v>
      </c>
      <c r="I75" s="182">
        <v>0.01</v>
      </c>
      <c r="J75" s="182">
        <v>0.01</v>
      </c>
    </row>
    <row r="76" spans="3:18" hidden="1" outlineLevel="1">
      <c r="C76" s="202" t="str">
        <f t="shared" si="13"/>
        <v>Гостиница 2*</v>
      </c>
      <c r="D76" s="519"/>
      <c r="E76" s="520" t="s">
        <v>543</v>
      </c>
      <c r="F76" s="182">
        <v>0.01</v>
      </c>
      <c r="G76" s="182">
        <v>0.01</v>
      </c>
      <c r="H76" s="182">
        <v>0.01</v>
      </c>
      <c r="I76" s="182">
        <v>0.01</v>
      </c>
      <c r="J76" s="182">
        <v>0.01</v>
      </c>
    </row>
    <row r="77" spans="3:18" collapsed="1">
      <c r="C77" s="202" t="str">
        <f t="shared" si="13"/>
        <v>Хостел в составе МФЦ</v>
      </c>
      <c r="D77" s="519"/>
      <c r="E77" s="520" t="s">
        <v>543</v>
      </c>
      <c r="F77" s="182">
        <v>0.01</v>
      </c>
      <c r="G77" s="182">
        <v>0.01</v>
      </c>
      <c r="H77" s="182">
        <v>0.01</v>
      </c>
      <c r="I77" s="182">
        <v>0.01</v>
      </c>
      <c r="J77" s="182">
        <v>0.01</v>
      </c>
    </row>
    <row r="78" spans="3:18">
      <c r="C78" s="202" t="str">
        <f t="shared" si="13"/>
        <v>Шале</v>
      </c>
      <c r="D78" s="519"/>
      <c r="E78" s="520" t="s">
        <v>543</v>
      </c>
      <c r="F78" s="182">
        <v>0.01</v>
      </c>
      <c r="G78" s="182">
        <v>0.01</v>
      </c>
      <c r="H78" s="182">
        <v>0.01</v>
      </c>
      <c r="I78" s="182">
        <v>0.01</v>
      </c>
      <c r="J78" s="182">
        <v>0.01</v>
      </c>
    </row>
    <row r="79" spans="3:18" hidden="1" outlineLevel="1">
      <c r="C79" s="202" t="str">
        <f>C59</f>
        <v>Туристские резиденции</v>
      </c>
      <c r="D79" s="519"/>
      <c r="E79" s="520" t="s">
        <v>543</v>
      </c>
      <c r="F79" s="1128"/>
      <c r="G79" s="1128"/>
      <c r="H79" s="1128"/>
      <c r="I79" s="1128"/>
      <c r="J79" s="1128"/>
      <c r="K79" s="1129" t="str">
        <f>Объекты!C52</f>
        <v>Торговая зона тур.резиденций</v>
      </c>
      <c r="N79" s="831">
        <f>Объекты!E52</f>
        <v>3400</v>
      </c>
      <c r="O79" s="474" t="s">
        <v>216</v>
      </c>
      <c r="P79" s="1130" t="s">
        <v>814</v>
      </c>
    </row>
    <row r="80" spans="3:18" collapsed="1"/>
  </sheetData>
  <conditionalFormatting sqref="F37:J38 F45:J46">
    <cfRule type="expression" dxfId="379" priority="83">
      <formula>$A$1=1</formula>
    </cfRule>
  </conditionalFormatting>
  <conditionalFormatting sqref="F37:J38 F45:J46">
    <cfRule type="cellIs" dxfId="378" priority="84" operator="equal">
      <formula>0</formula>
    </cfRule>
  </conditionalFormatting>
  <conditionalFormatting sqref="F29:J34">
    <cfRule type="expression" dxfId="377" priority="82">
      <formula>$A$1=1</formula>
    </cfRule>
  </conditionalFormatting>
  <conditionalFormatting sqref="F29:J34">
    <cfRule type="cellIs" dxfId="376" priority="81" operator="equal">
      <formula>0</formula>
    </cfRule>
  </conditionalFormatting>
  <conditionalFormatting sqref="F73:J73">
    <cfRule type="expression" dxfId="375" priority="78">
      <formula>$A$1=1</formula>
    </cfRule>
  </conditionalFormatting>
  <conditionalFormatting sqref="F73:J73">
    <cfRule type="cellIs" dxfId="374" priority="77" operator="equal">
      <formula>0</formula>
    </cfRule>
  </conditionalFormatting>
  <conditionalFormatting sqref="F39:J39">
    <cfRule type="expression" dxfId="373" priority="61">
      <formula>$A$1=1</formula>
    </cfRule>
  </conditionalFormatting>
  <conditionalFormatting sqref="F39:J39">
    <cfRule type="cellIs" dxfId="372" priority="62" operator="equal">
      <formula>0</formula>
    </cfRule>
  </conditionalFormatting>
  <conditionalFormatting sqref="F41:J41">
    <cfRule type="expression" dxfId="371" priority="57">
      <formula>$A$1=1</formula>
    </cfRule>
  </conditionalFormatting>
  <conditionalFormatting sqref="F78:J78">
    <cfRule type="cellIs" dxfId="370" priority="31" operator="equal">
      <formula>0</formula>
    </cfRule>
  </conditionalFormatting>
  <conditionalFormatting sqref="F40:J40">
    <cfRule type="expression" dxfId="369" priority="59">
      <formula>$A$1=1</formula>
    </cfRule>
  </conditionalFormatting>
  <conditionalFormatting sqref="F40:J40">
    <cfRule type="cellIs" dxfId="368" priority="60" operator="equal">
      <formula>0</formula>
    </cfRule>
  </conditionalFormatting>
  <conditionalFormatting sqref="F42:J42">
    <cfRule type="expression" dxfId="367" priority="55">
      <formula>$A$1=1</formula>
    </cfRule>
  </conditionalFormatting>
  <conditionalFormatting sqref="F41:J41">
    <cfRule type="cellIs" dxfId="366" priority="58" operator="equal">
      <formula>0</formula>
    </cfRule>
  </conditionalFormatting>
  <conditionalFormatting sqref="F50:J50">
    <cfRule type="expression" dxfId="365" priority="47">
      <formula>$A$1=1</formula>
    </cfRule>
  </conditionalFormatting>
  <conditionalFormatting sqref="F42:J42">
    <cfRule type="cellIs" dxfId="364" priority="56" operator="equal">
      <formula>0</formula>
    </cfRule>
  </conditionalFormatting>
  <conditionalFormatting sqref="F47:J47">
    <cfRule type="expression" dxfId="363" priority="53">
      <formula>$A$1=1</formula>
    </cfRule>
  </conditionalFormatting>
  <conditionalFormatting sqref="F47:J47">
    <cfRule type="cellIs" dxfId="362" priority="54" operator="equal">
      <formula>0</formula>
    </cfRule>
  </conditionalFormatting>
  <conditionalFormatting sqref="F48:J48">
    <cfRule type="expression" dxfId="361" priority="51">
      <formula>$A$1=1</formula>
    </cfRule>
  </conditionalFormatting>
  <conditionalFormatting sqref="F48:J48">
    <cfRule type="cellIs" dxfId="360" priority="52" operator="equal">
      <formula>0</formula>
    </cfRule>
  </conditionalFormatting>
  <conditionalFormatting sqref="F49:J49">
    <cfRule type="expression" dxfId="359" priority="49">
      <formula>$A$1=1</formula>
    </cfRule>
  </conditionalFormatting>
  <conditionalFormatting sqref="F49:J49">
    <cfRule type="cellIs" dxfId="358" priority="50" operator="equal">
      <formula>0</formula>
    </cfRule>
  </conditionalFormatting>
  <conditionalFormatting sqref="F50:J50">
    <cfRule type="cellIs" dxfId="357" priority="48" operator="equal">
      <formula>0</formula>
    </cfRule>
  </conditionalFormatting>
  <conditionalFormatting sqref="F75:J75">
    <cfRule type="expression" dxfId="356" priority="38">
      <formula>$A$1=1</formula>
    </cfRule>
  </conditionalFormatting>
  <conditionalFormatting sqref="F75:J75">
    <cfRule type="cellIs" dxfId="355" priority="37" operator="equal">
      <formula>0</formula>
    </cfRule>
  </conditionalFormatting>
  <conditionalFormatting sqref="F76:J76">
    <cfRule type="expression" dxfId="354" priority="36">
      <formula>$A$1=1</formula>
    </cfRule>
  </conditionalFormatting>
  <conditionalFormatting sqref="F76:J76">
    <cfRule type="cellIs" dxfId="353" priority="35" operator="equal">
      <formula>0</formula>
    </cfRule>
  </conditionalFormatting>
  <conditionalFormatting sqref="F77:J77">
    <cfRule type="expression" dxfId="352" priority="34">
      <formula>$A$1=1</formula>
    </cfRule>
  </conditionalFormatting>
  <conditionalFormatting sqref="F77:J77">
    <cfRule type="cellIs" dxfId="351" priority="33" operator="equal">
      <formula>0</formula>
    </cfRule>
  </conditionalFormatting>
  <conditionalFormatting sqref="F78:J78">
    <cfRule type="expression" dxfId="350" priority="32">
      <formula>$A$1=1</formula>
    </cfRule>
  </conditionalFormatting>
  <conditionalFormatting sqref="F6:J6">
    <cfRule type="expression" dxfId="349" priority="28">
      <formula>$A$1=1</formula>
    </cfRule>
  </conditionalFormatting>
  <conditionalFormatting sqref="F6:J6">
    <cfRule type="cellIs" dxfId="348" priority="27" operator="equal">
      <formula>0</formula>
    </cfRule>
  </conditionalFormatting>
  <conditionalFormatting sqref="F7:J7">
    <cfRule type="expression" dxfId="347" priority="26">
      <formula>$A$1=1</formula>
    </cfRule>
  </conditionalFormatting>
  <conditionalFormatting sqref="F7:J7">
    <cfRule type="cellIs" dxfId="346" priority="25" operator="equal">
      <formula>0</formula>
    </cfRule>
  </conditionalFormatting>
  <conditionalFormatting sqref="F10:J12">
    <cfRule type="expression" dxfId="345" priority="20">
      <formula>$A$1=1</formula>
    </cfRule>
  </conditionalFormatting>
  <conditionalFormatting sqref="F10:J12">
    <cfRule type="cellIs" dxfId="344" priority="19" operator="equal">
      <formula>0</formula>
    </cfRule>
  </conditionalFormatting>
  <conditionalFormatting sqref="F14:J16">
    <cfRule type="expression" dxfId="343" priority="18">
      <formula>$A$1=1</formula>
    </cfRule>
  </conditionalFormatting>
  <conditionalFormatting sqref="F14:J16">
    <cfRule type="cellIs" dxfId="342" priority="17" operator="equal">
      <formula>0</formula>
    </cfRule>
  </conditionalFormatting>
  <conditionalFormatting sqref="F8:J8">
    <cfRule type="expression" dxfId="341" priority="14">
      <formula>$A$1=1</formula>
    </cfRule>
  </conditionalFormatting>
  <conditionalFormatting sqref="F8:J8">
    <cfRule type="cellIs" dxfId="340" priority="13" operator="equal">
      <formula>0</formula>
    </cfRule>
  </conditionalFormatting>
  <conditionalFormatting sqref="F43:J43">
    <cfRule type="expression" dxfId="339" priority="9">
      <formula>$A$1=1</formula>
    </cfRule>
  </conditionalFormatting>
  <conditionalFormatting sqref="F43:J43">
    <cfRule type="cellIs" dxfId="338" priority="10" operator="equal">
      <formula>0</formula>
    </cfRule>
  </conditionalFormatting>
  <conditionalFormatting sqref="F51:J51">
    <cfRule type="expression" dxfId="337" priority="7">
      <formula>$A$1=1</formula>
    </cfRule>
  </conditionalFormatting>
  <conditionalFormatting sqref="F51:J51">
    <cfRule type="cellIs" dxfId="336" priority="8" operator="equal">
      <formula>0</formula>
    </cfRule>
  </conditionalFormatting>
  <conditionalFormatting sqref="F79:J79">
    <cfRule type="cellIs" dxfId="335" priority="5" operator="equal">
      <formula>0</formula>
    </cfRule>
  </conditionalFormatting>
  <conditionalFormatting sqref="F79:J79">
    <cfRule type="expression" dxfId="334" priority="6">
      <formula>$A$1=1</formula>
    </cfRule>
  </conditionalFormatting>
  <conditionalFormatting sqref="F74:J74">
    <cfRule type="expression" dxfId="333" priority="2">
      <formula>$A$1=1</formula>
    </cfRule>
  </conditionalFormatting>
  <conditionalFormatting sqref="F74:J74">
    <cfRule type="cellIs" dxfId="33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8B8E6"/>
  </sheetPr>
  <dimension ref="A1:BL50"/>
  <sheetViews>
    <sheetView showGridLines="0" zoomScale="70" zoomScaleNormal="70" workbookViewId="0">
      <pane xSplit="3" ySplit="6" topLeftCell="D25" activePane="bottomRight" state="frozen"/>
      <selection activeCell="I13" sqref="I13"/>
      <selection pane="topRight" activeCell="I13" sqref="I13"/>
      <selection pane="bottomLeft" activeCell="I13" sqref="I13"/>
      <selection pane="bottomRight" activeCell="D47" sqref="D47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2.7109375" style="197" customWidth="1"/>
    <col min="4" max="4" width="12.28515625" style="199" customWidth="1"/>
    <col min="5" max="8" width="12.28515625" style="197" customWidth="1"/>
    <col min="9" max="9" width="14.28515625" style="197" customWidth="1" outlineLevel="1"/>
    <col min="10" max="19" width="14.5703125" style="197" customWidth="1" outlineLevel="1"/>
    <col min="20" max="20" width="16.5703125" style="197" customWidth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8.14062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 s="823" customFormat="1">
      <c r="A3" s="1537"/>
      <c r="B3" s="1537"/>
      <c r="C3" s="536" t="str">
        <f>Объекты!C31</f>
        <v xml:space="preserve">Гостиница 5* - Mövenpick </v>
      </c>
      <c r="D3" s="1764">
        <f>YEAR(D4)</f>
        <v>2026</v>
      </c>
      <c r="E3" s="1764">
        <f>D3+1</f>
        <v>2027</v>
      </c>
      <c r="F3" s="1764">
        <f t="shared" ref="F3:T3" si="0">E3+1</f>
        <v>2028</v>
      </c>
      <c r="G3" s="1764">
        <f t="shared" si="0"/>
        <v>2029</v>
      </c>
      <c r="H3" s="1764">
        <f t="shared" si="0"/>
        <v>2030</v>
      </c>
      <c r="I3" s="1764">
        <f t="shared" si="0"/>
        <v>2031</v>
      </c>
      <c r="J3" s="1764">
        <f t="shared" si="0"/>
        <v>2032</v>
      </c>
      <c r="K3" s="1764">
        <f t="shared" si="0"/>
        <v>2033</v>
      </c>
      <c r="L3" s="1764">
        <f t="shared" si="0"/>
        <v>2034</v>
      </c>
      <c r="M3" s="1764">
        <f>L3+1</f>
        <v>2035</v>
      </c>
      <c r="N3" s="1764">
        <f t="shared" si="0"/>
        <v>2036</v>
      </c>
      <c r="O3" s="1764">
        <f t="shared" si="0"/>
        <v>2037</v>
      </c>
      <c r="P3" s="1764">
        <f t="shared" si="0"/>
        <v>2038</v>
      </c>
      <c r="Q3" s="1764">
        <f t="shared" si="0"/>
        <v>2039</v>
      </c>
      <c r="R3" s="1764">
        <f t="shared" si="0"/>
        <v>2040</v>
      </c>
      <c r="S3" s="1764">
        <f t="shared" si="0"/>
        <v>2041</v>
      </c>
      <c r="T3" s="1764">
        <f t="shared" si="0"/>
        <v>2042</v>
      </c>
      <c r="V3" s="1435">
        <f t="shared" ref="V3:AL3" si="1">D3</f>
        <v>2026</v>
      </c>
      <c r="W3" s="1435">
        <f t="shared" si="1"/>
        <v>2027</v>
      </c>
      <c r="X3" s="1435">
        <f t="shared" si="1"/>
        <v>2028</v>
      </c>
      <c r="Y3" s="1435">
        <f t="shared" si="1"/>
        <v>2029</v>
      </c>
      <c r="Z3" s="1435">
        <f t="shared" si="1"/>
        <v>2030</v>
      </c>
      <c r="AA3" s="1435">
        <f t="shared" si="1"/>
        <v>2031</v>
      </c>
      <c r="AB3" s="1435">
        <f t="shared" si="1"/>
        <v>2032</v>
      </c>
      <c r="AC3" s="1435">
        <f t="shared" si="1"/>
        <v>2033</v>
      </c>
      <c r="AD3" s="1435">
        <f t="shared" si="1"/>
        <v>2034</v>
      </c>
      <c r="AE3" s="1435">
        <f t="shared" si="1"/>
        <v>2035</v>
      </c>
      <c r="AF3" s="1435">
        <f t="shared" si="1"/>
        <v>2036</v>
      </c>
      <c r="AG3" s="1435">
        <f t="shared" si="1"/>
        <v>2037</v>
      </c>
      <c r="AH3" s="1435">
        <f t="shared" si="1"/>
        <v>2038</v>
      </c>
      <c r="AI3" s="1435">
        <f t="shared" si="1"/>
        <v>2039</v>
      </c>
      <c r="AJ3" s="1435">
        <f t="shared" si="1"/>
        <v>2040</v>
      </c>
      <c r="AK3" s="1435">
        <f t="shared" si="1"/>
        <v>2041</v>
      </c>
      <c r="AL3" s="1435">
        <f t="shared" si="1"/>
        <v>2042</v>
      </c>
      <c r="AO3" s="1435">
        <f t="shared" ref="AO3:BE3" si="2">V3</f>
        <v>2026</v>
      </c>
      <c r="AP3" s="1435">
        <f t="shared" si="2"/>
        <v>2027</v>
      </c>
      <c r="AQ3" s="1435">
        <f t="shared" si="2"/>
        <v>2028</v>
      </c>
      <c r="AR3" s="1435">
        <f t="shared" si="2"/>
        <v>2029</v>
      </c>
      <c r="AS3" s="1435">
        <f t="shared" si="2"/>
        <v>2030</v>
      </c>
      <c r="AT3" s="1435">
        <f t="shared" si="2"/>
        <v>2031</v>
      </c>
      <c r="AU3" s="1435">
        <f t="shared" si="2"/>
        <v>2032</v>
      </c>
      <c r="AV3" s="1435">
        <f t="shared" si="2"/>
        <v>2033</v>
      </c>
      <c r="AW3" s="1435">
        <f t="shared" si="2"/>
        <v>2034</v>
      </c>
      <c r="AX3" s="1435">
        <f t="shared" si="2"/>
        <v>2035</v>
      </c>
      <c r="AY3" s="1435">
        <f t="shared" si="2"/>
        <v>2036</v>
      </c>
      <c r="AZ3" s="1435">
        <f t="shared" si="2"/>
        <v>2037</v>
      </c>
      <c r="BA3" s="1435">
        <f t="shared" si="2"/>
        <v>2038</v>
      </c>
      <c r="BB3" s="1435">
        <f t="shared" si="2"/>
        <v>2039</v>
      </c>
      <c r="BC3" s="1435">
        <f t="shared" si="2"/>
        <v>2040</v>
      </c>
      <c r="BD3" s="1435">
        <f t="shared" si="2"/>
        <v>2041</v>
      </c>
      <c r="BE3" s="1435">
        <f t="shared" si="2"/>
        <v>2042</v>
      </c>
    </row>
    <row r="4" spans="1:57">
      <c r="A4" s="511"/>
      <c r="B4" s="511"/>
      <c r="C4" s="512" t="s">
        <v>1</v>
      </c>
      <c r="D4" s="782">
        <f>Объекты!K5</f>
        <v>46204</v>
      </c>
      <c r="E4" s="514">
        <f>D5+1</f>
        <v>46388</v>
      </c>
      <c r="F4" s="514">
        <f t="shared" ref="F4:T4" si="3">E5+1</f>
        <v>46753</v>
      </c>
      <c r="G4" s="514">
        <f t="shared" si="3"/>
        <v>47119</v>
      </c>
      <c r="H4" s="514">
        <f t="shared" si="3"/>
        <v>47484</v>
      </c>
      <c r="I4" s="514">
        <f t="shared" si="3"/>
        <v>47849</v>
      </c>
      <c r="J4" s="514">
        <f t="shared" si="3"/>
        <v>48214</v>
      </c>
      <c r="K4" s="514">
        <f t="shared" si="3"/>
        <v>48580</v>
      </c>
      <c r="L4" s="514">
        <f>K5+1</f>
        <v>48945</v>
      </c>
      <c r="M4" s="514">
        <f t="shared" si="3"/>
        <v>49310</v>
      </c>
      <c r="N4" s="514">
        <f t="shared" si="3"/>
        <v>49675</v>
      </c>
      <c r="O4" s="514">
        <f t="shared" si="3"/>
        <v>50041</v>
      </c>
      <c r="P4" s="514">
        <f t="shared" si="3"/>
        <v>50406</v>
      </c>
      <c r="Q4" s="514">
        <f t="shared" si="3"/>
        <v>50771</v>
      </c>
      <c r="R4" s="514">
        <f t="shared" si="3"/>
        <v>51136</v>
      </c>
      <c r="S4" s="514">
        <f t="shared" si="3"/>
        <v>51502</v>
      </c>
      <c r="T4" s="514">
        <f t="shared" si="3"/>
        <v>51867</v>
      </c>
      <c r="AO4" s="537" t="s">
        <v>548</v>
      </c>
    </row>
    <row r="5" spans="1:57">
      <c r="A5" s="511"/>
      <c r="B5" s="511"/>
      <c r="C5" s="512" t="s">
        <v>2</v>
      </c>
      <c r="D5" s="513">
        <f>DATE(D3,12,31)</f>
        <v>46387</v>
      </c>
      <c r="E5" s="514">
        <f>DATE(E3,12,31)</f>
        <v>46752</v>
      </c>
      <c r="F5" s="514">
        <f t="shared" ref="F5:K5" si="4">DATE(F3,12,31)</f>
        <v>47118</v>
      </c>
      <c r="G5" s="514">
        <f t="shared" si="4"/>
        <v>47483</v>
      </c>
      <c r="H5" s="514">
        <f t="shared" si="4"/>
        <v>47848</v>
      </c>
      <c r="I5" s="514">
        <f t="shared" si="4"/>
        <v>48213</v>
      </c>
      <c r="J5" s="514">
        <f t="shared" si="4"/>
        <v>48579</v>
      </c>
      <c r="K5" s="514">
        <f t="shared" si="4"/>
        <v>48944</v>
      </c>
      <c r="L5" s="514">
        <f>DATE(L3,12,31)</f>
        <v>49309</v>
      </c>
      <c r="M5" s="514">
        <f t="shared" ref="M5:T5" si="5">DATE(M3,12,31)</f>
        <v>49674</v>
      </c>
      <c r="N5" s="514">
        <f t="shared" si="5"/>
        <v>50040</v>
      </c>
      <c r="O5" s="514">
        <f t="shared" si="5"/>
        <v>50405</v>
      </c>
      <c r="P5" s="514">
        <f t="shared" si="5"/>
        <v>50770</v>
      </c>
      <c r="Q5" s="514">
        <f t="shared" si="5"/>
        <v>51135</v>
      </c>
      <c r="R5" s="514">
        <f t="shared" si="5"/>
        <v>51501</v>
      </c>
      <c r="S5" s="514">
        <f t="shared" si="5"/>
        <v>51866</v>
      </c>
      <c r="T5" s="514">
        <f t="shared" si="5"/>
        <v>52231</v>
      </c>
      <c r="AO5" s="814">
        <f>'К дв.загр'!G7</f>
        <v>2.1679999999999997</v>
      </c>
    </row>
    <row r="6" spans="1:57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366</v>
      </c>
      <c r="G6" s="515">
        <f t="shared" si="6"/>
        <v>365</v>
      </c>
      <c r="H6" s="515">
        <f t="shared" si="6"/>
        <v>365</v>
      </c>
      <c r="I6" s="515">
        <f t="shared" si="6"/>
        <v>365</v>
      </c>
      <c r="J6" s="515">
        <f t="shared" si="6"/>
        <v>366</v>
      </c>
      <c r="K6" s="515">
        <f t="shared" si="6"/>
        <v>365</v>
      </c>
      <c r="L6" s="515">
        <f t="shared" si="6"/>
        <v>365</v>
      </c>
      <c r="M6" s="515">
        <f t="shared" si="6"/>
        <v>365</v>
      </c>
      <c r="N6" s="515">
        <f t="shared" si="6"/>
        <v>366</v>
      </c>
      <c r="O6" s="515">
        <f t="shared" si="6"/>
        <v>365</v>
      </c>
      <c r="P6" s="515">
        <f t="shared" si="6"/>
        <v>365</v>
      </c>
      <c r="Q6" s="515">
        <f t="shared" si="6"/>
        <v>365</v>
      </c>
      <c r="R6" s="515">
        <f t="shared" si="6"/>
        <v>366</v>
      </c>
      <c r="S6" s="515">
        <f t="shared" si="6"/>
        <v>365</v>
      </c>
      <c r="T6" s="515">
        <f t="shared" si="6"/>
        <v>365</v>
      </c>
    </row>
    <row r="7" spans="1:57" outlineLevel="1">
      <c r="A7" s="509"/>
      <c r="B7" s="509"/>
      <c r="C7" s="512" t="s">
        <v>549</v>
      </c>
      <c r="D7" s="535">
        <f>Объекты!F5</f>
        <v>125</v>
      </c>
      <c r="E7" s="538">
        <f>D7</f>
        <v>125</v>
      </c>
      <c r="F7" s="538">
        <f t="shared" ref="F7:T7" si="7">E7</f>
        <v>125</v>
      </c>
      <c r="G7" s="538">
        <f t="shared" si="7"/>
        <v>125</v>
      </c>
      <c r="H7" s="538">
        <f t="shared" si="7"/>
        <v>125</v>
      </c>
      <c r="I7" s="538">
        <f t="shared" si="7"/>
        <v>125</v>
      </c>
      <c r="J7" s="538">
        <f t="shared" si="7"/>
        <v>125</v>
      </c>
      <c r="K7" s="538">
        <f t="shared" si="7"/>
        <v>125</v>
      </c>
      <c r="L7" s="538">
        <f t="shared" si="7"/>
        <v>125</v>
      </c>
      <c r="M7" s="538">
        <f t="shared" si="7"/>
        <v>125</v>
      </c>
      <c r="N7" s="538">
        <f t="shared" si="7"/>
        <v>125</v>
      </c>
      <c r="O7" s="538">
        <f t="shared" si="7"/>
        <v>125</v>
      </c>
      <c r="P7" s="538">
        <f t="shared" si="7"/>
        <v>125</v>
      </c>
      <c r="Q7" s="538">
        <f t="shared" si="7"/>
        <v>125</v>
      </c>
      <c r="R7" s="538">
        <f t="shared" si="7"/>
        <v>125</v>
      </c>
      <c r="S7" s="538">
        <f t="shared" si="7"/>
        <v>125</v>
      </c>
      <c r="T7" s="538">
        <f t="shared" si="7"/>
        <v>125</v>
      </c>
      <c r="V7" s="539"/>
      <c r="W7" s="540"/>
      <c r="X7" s="540"/>
      <c r="Y7" s="540"/>
      <c r="Z7" s="540"/>
    </row>
    <row r="8" spans="1:57">
      <c r="A8" s="509"/>
      <c r="B8" s="509"/>
      <c r="C8" s="512" t="s">
        <v>546</v>
      </c>
      <c r="D8" s="208">
        <f>D7*D6</f>
        <v>23000</v>
      </c>
      <c r="E8" s="201">
        <f t="shared" ref="E8:T8" si="8">E7*E6</f>
        <v>45625</v>
      </c>
      <c r="F8" s="201">
        <f t="shared" si="8"/>
        <v>45750</v>
      </c>
      <c r="G8" s="201">
        <f t="shared" si="8"/>
        <v>45625</v>
      </c>
      <c r="H8" s="201">
        <f t="shared" si="8"/>
        <v>45625</v>
      </c>
      <c r="I8" s="201">
        <f t="shared" si="8"/>
        <v>45625</v>
      </c>
      <c r="J8" s="201">
        <f t="shared" si="8"/>
        <v>45750</v>
      </c>
      <c r="K8" s="201">
        <f t="shared" si="8"/>
        <v>45625</v>
      </c>
      <c r="L8" s="201">
        <f t="shared" si="8"/>
        <v>45625</v>
      </c>
      <c r="M8" s="201">
        <f t="shared" si="8"/>
        <v>45625</v>
      </c>
      <c r="N8" s="201">
        <f t="shared" si="8"/>
        <v>45750</v>
      </c>
      <c r="O8" s="201">
        <f t="shared" si="8"/>
        <v>45625</v>
      </c>
      <c r="P8" s="201">
        <f t="shared" si="8"/>
        <v>45625</v>
      </c>
      <c r="Q8" s="201">
        <f t="shared" si="8"/>
        <v>45625</v>
      </c>
      <c r="R8" s="201">
        <f t="shared" si="8"/>
        <v>45750</v>
      </c>
      <c r="S8" s="201">
        <f t="shared" si="8"/>
        <v>45625</v>
      </c>
      <c r="T8" s="201">
        <f t="shared" si="8"/>
        <v>45625</v>
      </c>
      <c r="AO8" s="537"/>
    </row>
    <row r="9" spans="1:57">
      <c r="A9" s="509"/>
      <c r="B9" s="509"/>
      <c r="C9" s="512" t="s">
        <v>547</v>
      </c>
      <c r="D9" s="208">
        <f>D8*D10</f>
        <v>10964.481435916334</v>
      </c>
      <c r="E9" s="208">
        <f t="shared" ref="E9:T9" si="9">E8*E10</f>
        <v>23203.130237430167</v>
      </c>
      <c r="F9" s="208">
        <f t="shared" si="9"/>
        <v>24635.329895921022</v>
      </c>
      <c r="G9" s="208">
        <f t="shared" si="9"/>
        <v>25932.910265363127</v>
      </c>
      <c r="H9" s="208">
        <f t="shared" si="9"/>
        <v>27297.800279329611</v>
      </c>
      <c r="I9" s="208">
        <f t="shared" si="9"/>
        <v>27297.800279329611</v>
      </c>
      <c r="J9" s="208">
        <f t="shared" si="9"/>
        <v>27372.588773245581</v>
      </c>
      <c r="K9" s="208">
        <f t="shared" si="9"/>
        <v>27297.800279329611</v>
      </c>
      <c r="L9" s="208">
        <f t="shared" si="9"/>
        <v>27297.800279329611</v>
      </c>
      <c r="M9" s="208">
        <f t="shared" si="9"/>
        <v>27297.800279329611</v>
      </c>
      <c r="N9" s="208">
        <f t="shared" si="9"/>
        <v>27372.588773245581</v>
      </c>
      <c r="O9" s="208">
        <f t="shared" si="9"/>
        <v>27297.800279329611</v>
      </c>
      <c r="P9" s="208">
        <f t="shared" si="9"/>
        <v>27297.800279329611</v>
      </c>
      <c r="Q9" s="208">
        <f t="shared" si="9"/>
        <v>27297.800279329611</v>
      </c>
      <c r="R9" s="208">
        <f t="shared" si="9"/>
        <v>27372.588773245581</v>
      </c>
      <c r="S9" s="208">
        <f t="shared" si="9"/>
        <v>27297.800279329611</v>
      </c>
      <c r="T9" s="208">
        <f t="shared" si="9"/>
        <v>27297.800279329611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SUMIF(ADR_OCC!$91:$91,D$3,ADR_OCC!92:92)</f>
        <v>0.47671658417027535</v>
      </c>
      <c r="E10" s="542">
        <f>SUMIF(ADR_OCC!$91:$91,E$3,ADR_OCC!92:92)</f>
        <v>0.50856175862860642</v>
      </c>
      <c r="F10" s="542">
        <f>SUMIF(ADR_OCC!$91:$91,F$3,ADR_OCC!92:92)</f>
        <v>0.53847715619499503</v>
      </c>
      <c r="G10" s="542">
        <f>SUMIF(ADR_OCC!$91:$91,G$3,ADR_OCC!92:92)</f>
        <v>0.56839255376138365</v>
      </c>
      <c r="H10" s="542">
        <f>SUMIF(ADR_OCC!$91:$91,H$3,ADR_OCC!92:92)</f>
        <v>0.59830795132777226</v>
      </c>
      <c r="I10" s="542">
        <f>SUMIF(ADR_OCC!$91:$91,I$3,ADR_OCC!92:92)</f>
        <v>0.59830795132777226</v>
      </c>
      <c r="J10" s="542">
        <f>SUMIF(ADR_OCC!$91:$91,J$3,ADR_OCC!92:92)</f>
        <v>0.59830795132777226</v>
      </c>
      <c r="K10" s="542">
        <f>SUMIF(ADR_OCC!$91:$91,K$3,ADR_OCC!92:92)</f>
        <v>0.59830795132777226</v>
      </c>
      <c r="L10" s="542">
        <f>SUMIF(ADR_OCC!$91:$91,L$3,ADR_OCC!92:92)</f>
        <v>0.59830795132777226</v>
      </c>
      <c r="M10" s="542">
        <f>SUMIF(ADR_OCC!$91:$91,M$3,ADR_OCC!92:92)</f>
        <v>0.59830795132777226</v>
      </c>
      <c r="N10" s="542">
        <f>SUMIF(ADR_OCC!$91:$91,N$3,ADR_OCC!92:92)</f>
        <v>0.59830795132777226</v>
      </c>
      <c r="O10" s="542">
        <f>SUMIF(ADR_OCC!$91:$91,O$3,ADR_OCC!92:92)</f>
        <v>0.59830795132777226</v>
      </c>
      <c r="P10" s="542">
        <f>SUMIF(ADR_OCC!$91:$91,P$3,ADR_OCC!92:92)</f>
        <v>0.59830795132777226</v>
      </c>
      <c r="Q10" s="542">
        <f>SUMIF(ADR_OCC!$91:$91,Q$3,ADR_OCC!92:92)</f>
        <v>0.59830795132777226</v>
      </c>
      <c r="R10" s="542">
        <f>SUMIF(ADR_OCC!$91:$91,R$3,ADR_OCC!92:92)</f>
        <v>0.59830795132777226</v>
      </c>
      <c r="S10" s="542">
        <f>SUMIF(ADR_OCC!$91:$91,S$3,ADR_OCC!92:92)</f>
        <v>0.59830795132777226</v>
      </c>
      <c r="T10" s="542">
        <f>SUMIF(ADR_OCC!$91:$91,T$3,ADR_OCC!92:92)</f>
        <v>0.59830795132777226</v>
      </c>
      <c r="V10" s="543"/>
      <c r="W10" s="544" t="str">
        <f t="shared" ref="W10:AL10" si="10">ROUND((E10-D10),2)*100 &amp; "пп."</f>
        <v>3пп.</v>
      </c>
      <c r="X10" s="544" t="str">
        <f t="shared" si="10"/>
        <v>3пп.</v>
      </c>
      <c r="Y10" s="544" t="str">
        <f t="shared" si="10"/>
        <v>3пп.</v>
      </c>
      <c r="Z10" s="544" t="str">
        <f t="shared" si="10"/>
        <v>3пп.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SUMIF(ADR_OCC!$65:$65,D$3,ADR_OCC!66:66)</f>
        <v>12031.9952896</v>
      </c>
      <c r="E11" s="208">
        <f>SUMIF(ADR_OCC!$65:$65,E$3,ADR_OCC!66:66)</f>
        <v>13985.425113088</v>
      </c>
      <c r="F11" s="208">
        <f>SUMIF(ADR_OCC!$65:$65,F$3,ADR_OCC!66:66)</f>
        <v>15310.360123801602</v>
      </c>
      <c r="G11" s="208">
        <f>SUMIF(ADR_OCC!$65:$65,G$3,ADR_OCC!66:66)</f>
        <v>15922.774528753665</v>
      </c>
      <c r="H11" s="208">
        <f>SUMIF(ADR_OCC!$65:$65,H$3,ADR_OCC!66:66)</f>
        <v>16559.685509903811</v>
      </c>
      <c r="I11" s="208">
        <f>SUMIF(ADR_OCC!$65:$65,I$3,ADR_OCC!66:66)</f>
        <v>17222.072930299964</v>
      </c>
      <c r="J11" s="208">
        <f>SUMIF(ADR_OCC!$65:$65,J$3,ADR_OCC!66:66)</f>
        <v>17910.955847511963</v>
      </c>
      <c r="K11" s="208">
        <f>SUMIF(ADR_OCC!$65:$65,K$3,ADR_OCC!66:66)</f>
        <v>18627.394081412443</v>
      </c>
      <c r="L11" s="208">
        <f>SUMIF(ADR_OCC!$65:$65,L$3,ADR_OCC!66:66)</f>
        <v>19372.48984466894</v>
      </c>
      <c r="M11" s="208">
        <f>SUMIF(ADR_OCC!$65:$65,M$3,ADR_OCC!66:66)</f>
        <v>20147.389438455699</v>
      </c>
      <c r="N11" s="208">
        <f>SUMIF(ADR_OCC!$65:$65,N$3,ADR_OCC!66:66)</f>
        <v>20953.285015993926</v>
      </c>
      <c r="O11" s="208">
        <f>SUMIF(ADR_OCC!$65:$65,O$3,ADR_OCC!66:66)</f>
        <v>21791.416416633685</v>
      </c>
      <c r="P11" s="208">
        <f>SUMIF(ADR_OCC!$65:$65,P$3,ADR_OCC!66:66)</f>
        <v>22663.073073299034</v>
      </c>
      <c r="Q11" s="208">
        <f>SUMIF(ADR_OCC!$65:$65,Q$3,ADR_OCC!66:66)</f>
        <v>23569.595996230997</v>
      </c>
      <c r="R11" s="208">
        <f>SUMIF(ADR_OCC!$65:$65,R$3,ADR_OCC!66:66)</f>
        <v>24512.379836080239</v>
      </c>
      <c r="S11" s="208">
        <f>SUMIF(ADR_OCC!$65:$65,S$3,ADR_OCC!66:66)</f>
        <v>25492.875029523449</v>
      </c>
      <c r="T11" s="208">
        <f>SUMIF(ADR_OCC!$65:$65,T$3,ADR_OCC!66:66)</f>
        <v>26512.590030704388</v>
      </c>
      <c r="V11" s="543"/>
      <c r="W11" s="522">
        <f t="shared" ref="W11:AL11" si="11">E11/D11-1</f>
        <v>0.16235294117647059</v>
      </c>
      <c r="X11" s="522">
        <f t="shared" si="11"/>
        <v>9.473684210526323E-2</v>
      </c>
      <c r="Y11" s="522">
        <f t="shared" si="11"/>
        <v>4.0000000000000036E-2</v>
      </c>
      <c r="Z11" s="522">
        <f t="shared" si="11"/>
        <v>4.0000000000000036E-2</v>
      </c>
      <c r="AA11" s="522">
        <f t="shared" si="11"/>
        <v>4.0000000000000036E-2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4.0000000000000036E-2</v>
      </c>
      <c r="AG11" s="522">
        <f t="shared" si="11"/>
        <v>4.0000000000000036E-2</v>
      </c>
      <c r="AH11" s="522">
        <f t="shared" si="11"/>
        <v>4.0000000000000036E-2</v>
      </c>
      <c r="AI11" s="522">
        <f t="shared" si="11"/>
        <v>4.0000000000000036E-2</v>
      </c>
      <c r="AJ11" s="522">
        <f t="shared" si="11"/>
        <v>4.0000000000000036E-2</v>
      </c>
      <c r="AK11" s="522">
        <f t="shared" si="11"/>
        <v>4.0000000000000036E-2</v>
      </c>
      <c r="AL11" s="522">
        <f t="shared" si="11"/>
        <v>4.0000000000000036E-2</v>
      </c>
      <c r="AO11" s="545">
        <f>SUMIF(CPI!3:3,AO3,CPI!4:4)</f>
        <v>0.04</v>
      </c>
      <c r="AP11" s="546">
        <f>SUMIF(CPI!3:3,AP3,CPI!4:4)</f>
        <v>0.04</v>
      </c>
      <c r="AQ11" s="546">
        <f>SUMIF(CPI!3:3,AQ3,CPI!4:4)</f>
        <v>0.04</v>
      </c>
      <c r="AR11" s="546">
        <f>SUMIF(CPI!3:3,AR3,CPI!4:4)</f>
        <v>0.04</v>
      </c>
      <c r="AS11" s="546">
        <f>SUMIF(CPI!3:3,AS3,CPI!4:4)</f>
        <v>0.04</v>
      </c>
      <c r="AT11" s="546">
        <f>SUMIF(CPI!3:3,AT3,CPI!4:4)</f>
        <v>0.04</v>
      </c>
      <c r="AU11" s="546">
        <f>SUMIF(CPI!3:3,AU3,CPI!4:4)</f>
        <v>0.04</v>
      </c>
      <c r="AV11" s="546">
        <f>SUMIF(CPI!3:3,AV3,CPI!4:4)</f>
        <v>0.04</v>
      </c>
      <c r="AW11" s="546">
        <f>SUMIF(CPI!3:3,AW3,CPI!4:4)</f>
        <v>0.04</v>
      </c>
      <c r="AX11" s="546">
        <f>SUMIF(CPI!3:3,AX3,CPI!4:4)</f>
        <v>0.04</v>
      </c>
      <c r="AY11" s="546">
        <f>SUMIF(CPI!3:3,AY3,CPI!4:4)</f>
        <v>0.04</v>
      </c>
      <c r="AZ11" s="546">
        <f>SUMIF(CPI!3:3,AZ3,CPI!4:4)</f>
        <v>0.04</v>
      </c>
      <c r="BA11" s="546">
        <f>SUMIF(CPI!3:3,BA3,CPI!4:4)</f>
        <v>0.04</v>
      </c>
      <c r="BB11" s="546">
        <f>SUMIF(CPI!3:3,BB3,CPI!4:4)</f>
        <v>0.04</v>
      </c>
      <c r="BC11" s="546">
        <f>SUMIF(CPI!3:3,BC3,CPI!4:4)</f>
        <v>0.04</v>
      </c>
      <c r="BD11" s="546">
        <f>SUMIF(CPI!3:3,BD3,CPI!4:4)</f>
        <v>0.04</v>
      </c>
      <c r="BE11" s="546">
        <f>SUMIF(CPI!3:3,BE3,CPI!4:4)</f>
        <v>0.04</v>
      </c>
    </row>
    <row r="12" spans="1:57" outlineLevel="1">
      <c r="A12" s="509"/>
      <c r="B12" s="509"/>
      <c r="C12" s="547" t="s">
        <v>31</v>
      </c>
      <c r="D12" s="1035">
        <f t="shared" ref="D12:T12" si="12">D14+D21+D39+D45+D33</f>
        <v>228229538.9524439</v>
      </c>
      <c r="E12" s="1035">
        <f t="shared" si="12"/>
        <v>556527173.15704465</v>
      </c>
      <c r="F12" s="1035">
        <f t="shared" si="12"/>
        <v>637427055.48309934</v>
      </c>
      <c r="G12" s="1035">
        <f t="shared" si="12"/>
        <v>688344113.01064086</v>
      </c>
      <c r="H12" s="1035">
        <f t="shared" si="12"/>
        <v>748131144.70616293</v>
      </c>
      <c r="I12" s="1035">
        <f t="shared" si="12"/>
        <v>778056390.49440932</v>
      </c>
      <c r="J12" s="1035">
        <f t="shared" si="12"/>
        <v>811395573.9117589</v>
      </c>
      <c r="K12" s="1035">
        <f t="shared" si="12"/>
        <v>841545791.95875335</v>
      </c>
      <c r="L12" s="1035">
        <f t="shared" si="12"/>
        <v>875207623.63710344</v>
      </c>
      <c r="M12" s="1035">
        <f t="shared" si="12"/>
        <v>910215928.58258772</v>
      </c>
      <c r="N12" s="1035">
        <f t="shared" si="12"/>
        <v>949218057.68678379</v>
      </c>
      <c r="O12" s="1035">
        <f t="shared" si="12"/>
        <v>984489548.35492694</v>
      </c>
      <c r="P12" s="1035">
        <f t="shared" si="12"/>
        <v>1023869130.2891239</v>
      </c>
      <c r="Q12" s="1035">
        <f t="shared" si="12"/>
        <v>1064823895.5006891</v>
      </c>
      <c r="R12" s="1035">
        <f t="shared" si="12"/>
        <v>1110450870.0914581</v>
      </c>
      <c r="S12" s="1035">
        <f t="shared" si="12"/>
        <v>1151713525.3735454</v>
      </c>
      <c r="T12" s="1035">
        <f t="shared" si="12"/>
        <v>1197782066.3884871</v>
      </c>
      <c r="V12" s="549"/>
      <c r="W12" s="549"/>
      <c r="X12" s="549"/>
      <c r="Y12" s="549"/>
      <c r="Z12" s="549"/>
      <c r="AO12" s="548">
        <f t="shared" ref="AO12:BE12" si="13">D12/D9</f>
        <v>20815.351851007999</v>
      </c>
      <c r="AP12" s="1035">
        <f t="shared" si="13"/>
        <v>23985.00406894592</v>
      </c>
      <c r="AQ12" s="548">
        <f t="shared" si="13"/>
        <v>25874.508609224707</v>
      </c>
      <c r="AR12" s="548">
        <f t="shared" si="13"/>
        <v>26543.265139432366</v>
      </c>
      <c r="AS12" s="548">
        <f t="shared" si="13"/>
        <v>27406.279518890809</v>
      </c>
      <c r="AT12" s="548">
        <f t="shared" si="13"/>
        <v>28502.530699646439</v>
      </c>
      <c r="AU12" s="548">
        <f t="shared" si="13"/>
        <v>29642.631927632301</v>
      </c>
      <c r="AV12" s="548">
        <f t="shared" si="13"/>
        <v>30828.337204737596</v>
      </c>
      <c r="AW12" s="548">
        <f t="shared" si="13"/>
        <v>32061.470692927098</v>
      </c>
      <c r="AX12" s="548">
        <f t="shared" si="13"/>
        <v>33343.929520644189</v>
      </c>
      <c r="AY12" s="548">
        <f t="shared" si="13"/>
        <v>34677.686701469946</v>
      </c>
      <c r="AZ12" s="548">
        <f t="shared" si="13"/>
        <v>36064.794169528752</v>
      </c>
      <c r="BA12" s="548">
        <f t="shared" si="13"/>
        <v>37507.385936309896</v>
      </c>
      <c r="BB12" s="548">
        <f t="shared" si="13"/>
        <v>39007.681373762309</v>
      </c>
      <c r="BC12" s="548">
        <f t="shared" si="13"/>
        <v>40567.988628712788</v>
      </c>
      <c r="BD12" s="548">
        <f t="shared" si="13"/>
        <v>42190.708173861312</v>
      </c>
      <c r="BE12" s="1035">
        <f t="shared" si="13"/>
        <v>43878.336500815756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>
        <f t="shared" ref="AO13:BE13" si="14">D14/D9</f>
        <v>12031.9952896</v>
      </c>
      <c r="AP13" s="552">
        <f t="shared" si="14"/>
        <v>13985.425113088</v>
      </c>
      <c r="AQ13" s="552">
        <f t="shared" si="14"/>
        <v>15310.360123801602</v>
      </c>
      <c r="AR13" s="552">
        <f t="shared" si="14"/>
        <v>15922.774528753665</v>
      </c>
      <c r="AS13" s="552">
        <f t="shared" si="14"/>
        <v>16559.685509903811</v>
      </c>
      <c r="AT13" s="552">
        <f t="shared" si="14"/>
        <v>17222.072930299964</v>
      </c>
      <c r="AU13" s="552">
        <f t="shared" si="14"/>
        <v>17910.955847511963</v>
      </c>
      <c r="AV13" s="552">
        <f t="shared" si="14"/>
        <v>18627.394081412443</v>
      </c>
      <c r="AW13" s="552">
        <f t="shared" si="14"/>
        <v>19372.48984466894</v>
      </c>
      <c r="AX13" s="552">
        <f t="shared" si="14"/>
        <v>20147.389438455702</v>
      </c>
      <c r="AY13" s="552">
        <f t="shared" si="14"/>
        <v>20953.285015993926</v>
      </c>
      <c r="AZ13" s="552">
        <f t="shared" si="14"/>
        <v>21791.416416633685</v>
      </c>
      <c r="BA13" s="552">
        <f t="shared" si="14"/>
        <v>22663.073073299034</v>
      </c>
      <c r="BB13" s="552">
        <f t="shared" si="14"/>
        <v>23569.595996230997</v>
      </c>
      <c r="BC13" s="552">
        <f t="shared" si="14"/>
        <v>24512.379836080236</v>
      </c>
      <c r="BD13" s="552">
        <f t="shared" si="14"/>
        <v>25492.875029523453</v>
      </c>
      <c r="BE13" s="552">
        <f t="shared" si="14"/>
        <v>26512.590030704388</v>
      </c>
    </row>
    <row r="14" spans="1:57">
      <c r="A14" s="553"/>
      <c r="B14" s="553"/>
      <c r="C14" s="521" t="s">
        <v>17</v>
      </c>
      <c r="D14" s="554">
        <f>D11*D9</f>
        <v>131924588.98985197</v>
      </c>
      <c r="E14" s="554">
        <f t="shared" ref="E14:T14" si="15">E11*E9</f>
        <v>324505640.32480741</v>
      </c>
      <c r="F14" s="554">
        <f t="shared" si="15"/>
        <v>377175772.47520667</v>
      </c>
      <c r="G14" s="554">
        <f t="shared" si="15"/>
        <v>412923883.02977848</v>
      </c>
      <c r="H14" s="554">
        <f t="shared" si="15"/>
        <v>452042987.73786277</v>
      </c>
      <c r="I14" s="554">
        <f t="shared" si="15"/>
        <v>470124707.24737728</v>
      </c>
      <c r="J14" s="554">
        <f t="shared" si="15"/>
        <v>490269228.94970328</v>
      </c>
      <c r="K14" s="554">
        <f t="shared" si="15"/>
        <v>508486883.35876334</v>
      </c>
      <c r="L14" s="554">
        <f t="shared" si="15"/>
        <v>528826358.69311386</v>
      </c>
      <c r="M14" s="554">
        <f t="shared" si="15"/>
        <v>549979413.04083848</v>
      </c>
      <c r="N14" s="554">
        <f t="shared" si="15"/>
        <v>573545654.19141018</v>
      </c>
      <c r="O14" s="554">
        <f t="shared" si="15"/>
        <v>594857733.14497089</v>
      </c>
      <c r="P14" s="554">
        <f t="shared" si="15"/>
        <v>618652042.47076976</v>
      </c>
      <c r="Q14" s="554">
        <f t="shared" si="15"/>
        <v>643398124.16960061</v>
      </c>
      <c r="R14" s="554">
        <f t="shared" si="15"/>
        <v>670967293.10662127</v>
      </c>
      <c r="S14" s="554">
        <f t="shared" si="15"/>
        <v>695899411.10184014</v>
      </c>
      <c r="T14" s="554">
        <f t="shared" si="15"/>
        <v>723735387.5459137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20412485.735819075</v>
      </c>
      <c r="E15" s="201">
        <f t="shared" si="16"/>
        <v>42008168.055856571</v>
      </c>
      <c r="F15" s="201">
        <f t="shared" si="16"/>
        <v>43759567.542618163</v>
      </c>
      <c r="G15" s="201">
        <f t="shared" si="16"/>
        <v>45178595.833657064</v>
      </c>
      <c r="H15" s="201">
        <f t="shared" si="16"/>
        <v>46623937.908830829</v>
      </c>
      <c r="I15" s="201">
        <f t="shared" si="16"/>
        <v>48488895.425184064</v>
      </c>
      <c r="J15" s="201">
        <f t="shared" si="16"/>
        <v>50566611.382580996</v>
      </c>
      <c r="K15" s="201">
        <f t="shared" si="16"/>
        <v>52445589.291879088</v>
      </c>
      <c r="L15" s="201">
        <f t="shared" si="16"/>
        <v>54543412.863554247</v>
      </c>
      <c r="M15" s="201">
        <f t="shared" si="16"/>
        <v>56725149.378096417</v>
      </c>
      <c r="N15" s="201">
        <f t="shared" si="16"/>
        <v>59155783.176105812</v>
      </c>
      <c r="O15" s="201">
        <f t="shared" si="16"/>
        <v>61353921.567349099</v>
      </c>
      <c r="P15" s="201">
        <f t="shared" si="16"/>
        <v>63808078.430043057</v>
      </c>
      <c r="Q15" s="201">
        <f t="shared" si="16"/>
        <v>66360401.56724479</v>
      </c>
      <c r="R15" s="201">
        <f t="shared" si="16"/>
        <v>69203899.322071388</v>
      </c>
      <c r="S15" s="201">
        <f t="shared" si="16"/>
        <v>71775410.335131973</v>
      </c>
      <c r="T15" s="208">
        <f t="shared" si="16"/>
        <v>74646426.748537242</v>
      </c>
      <c r="V15" s="522">
        <f>D15/D14</f>
        <v>0.15472843911902781</v>
      </c>
      <c r="W15" s="522">
        <f>E15/E14</f>
        <v>0.12945281325097874</v>
      </c>
      <c r="X15" s="522">
        <f>F15/F14</f>
        <v>0.11601903074380171</v>
      </c>
      <c r="Y15" s="522">
        <f>G15/G14</f>
        <v>0.10941143801652896</v>
      </c>
      <c r="Z15" s="522">
        <f>H15/H14</f>
        <v>0.10314049586776865</v>
      </c>
      <c r="AA15" s="522">
        <f>Z15</f>
        <v>0.10314049586776865</v>
      </c>
      <c r="AB15" s="522">
        <f t="shared" ref="AB15:AL17" si="17">AA15</f>
        <v>0.10314049586776865</v>
      </c>
      <c r="AC15" s="522">
        <f t="shared" si="17"/>
        <v>0.10314049586776865</v>
      </c>
      <c r="AD15" s="522">
        <f t="shared" si="17"/>
        <v>0.10314049586776865</v>
      </c>
      <c r="AE15" s="522">
        <f t="shared" si="17"/>
        <v>0.10314049586776865</v>
      </c>
      <c r="AF15" s="522">
        <f t="shared" si="17"/>
        <v>0.10314049586776865</v>
      </c>
      <c r="AG15" s="522">
        <f t="shared" si="17"/>
        <v>0.10314049586776865</v>
      </c>
      <c r="AH15" s="522">
        <f t="shared" si="17"/>
        <v>0.10314049586776865</v>
      </c>
      <c r="AI15" s="522">
        <f t="shared" si="17"/>
        <v>0.10314049586776865</v>
      </c>
      <c r="AJ15" s="522">
        <f t="shared" si="17"/>
        <v>0.10314049586776865</v>
      </c>
      <c r="AK15" s="522">
        <f t="shared" si="17"/>
        <v>0.10314049586776865</v>
      </c>
      <c r="AL15" s="522">
        <f t="shared" si="17"/>
        <v>0.10314049586776865</v>
      </c>
      <c r="AO15" s="557">
        <f>'Прогноз расходов'!M6</f>
        <v>1861.6918506473028</v>
      </c>
      <c r="AP15" s="557">
        <f>'Прогноз расходов'!N6</f>
        <v>1810.4526254001294</v>
      </c>
      <c r="AQ15" s="557">
        <f>'Прогноз расходов'!O6</f>
        <v>1776.2931419020138</v>
      </c>
      <c r="AR15" s="557">
        <f>'Прогноз расходов'!P6</f>
        <v>1742.1336584038979</v>
      </c>
      <c r="AS15" s="557">
        <f>'Прогноз расходов'!Q6</f>
        <v>1707.9741749057823</v>
      </c>
      <c r="AT15" s="201">
        <f t="shared" ref="AT15:BE15" si="18">AS15*(1+AT11)</f>
        <v>1776.2931419020138</v>
      </c>
      <c r="AU15" s="201">
        <f t="shared" si="18"/>
        <v>1847.3448675780944</v>
      </c>
      <c r="AV15" s="201">
        <f t="shared" si="18"/>
        <v>1921.2386622812182</v>
      </c>
      <c r="AW15" s="201">
        <f t="shared" si="18"/>
        <v>1998.0882087724669</v>
      </c>
      <c r="AX15" s="201">
        <f t="shared" si="18"/>
        <v>2078.0117371233655</v>
      </c>
      <c r="AY15" s="201">
        <f t="shared" si="18"/>
        <v>2161.1322066083003</v>
      </c>
      <c r="AZ15" s="201">
        <f t="shared" si="18"/>
        <v>2247.5774948726325</v>
      </c>
      <c r="BA15" s="201">
        <f t="shared" si="18"/>
        <v>2337.4805946675378</v>
      </c>
      <c r="BB15" s="201">
        <f t="shared" si="18"/>
        <v>2430.9798184542396</v>
      </c>
      <c r="BC15" s="201">
        <f t="shared" si="18"/>
        <v>2528.2190111924092</v>
      </c>
      <c r="BD15" s="201">
        <f t="shared" si="18"/>
        <v>2629.3477716401057</v>
      </c>
      <c r="BE15" s="208">
        <f t="shared" si="18"/>
        <v>2734.52168250571</v>
      </c>
    </row>
    <row r="16" spans="1:57">
      <c r="A16" s="553"/>
      <c r="B16" s="553"/>
      <c r="C16" s="519" t="s">
        <v>529</v>
      </c>
      <c r="D16" s="201">
        <f t="shared" ref="D16:T16" si="19">V16*D14</f>
        <v>14511704.788883718</v>
      </c>
      <c r="E16" s="201">
        <f t="shared" si="19"/>
        <v>34073092.234104782</v>
      </c>
      <c r="F16" s="201">
        <f t="shared" si="19"/>
        <v>37717577.24752067</v>
      </c>
      <c r="G16" s="201">
        <f t="shared" si="19"/>
        <v>39227768.887828954</v>
      </c>
      <c r="H16" s="201">
        <f t="shared" si="19"/>
        <v>40683868.896407649</v>
      </c>
      <c r="I16" s="201">
        <f t="shared" si="19"/>
        <v>42311223.652263954</v>
      </c>
      <c r="J16" s="201">
        <f t="shared" si="19"/>
        <v>44124230.605473295</v>
      </c>
      <c r="K16" s="201">
        <f t="shared" si="19"/>
        <v>45763819.502288699</v>
      </c>
      <c r="L16" s="201">
        <f t="shared" si="19"/>
        <v>47594372.282380246</v>
      </c>
      <c r="M16" s="201">
        <f t="shared" si="19"/>
        <v>49498147.173675463</v>
      </c>
      <c r="N16" s="201">
        <f t="shared" si="19"/>
        <v>51619108.877226911</v>
      </c>
      <c r="O16" s="201">
        <f t="shared" si="19"/>
        <v>53537195.983047381</v>
      </c>
      <c r="P16" s="201">
        <f t="shared" si="19"/>
        <v>55678683.822369277</v>
      </c>
      <c r="Q16" s="201">
        <f t="shared" si="19"/>
        <v>57905831.175264053</v>
      </c>
      <c r="R16" s="201">
        <f t="shared" si="19"/>
        <v>60387056.379595913</v>
      </c>
      <c r="S16" s="201">
        <f t="shared" si="19"/>
        <v>62630946.999165609</v>
      </c>
      <c r="T16" s="201">
        <f t="shared" si="19"/>
        <v>65136184.879132234</v>
      </c>
      <c r="V16" s="522">
        <f>'Прогноз расходов'!M16</f>
        <v>0.11000000000000001</v>
      </c>
      <c r="W16" s="522">
        <f>'Прогноз расходов'!N16</f>
        <v>0.10500000000000001</v>
      </c>
      <c r="X16" s="522">
        <f>'Прогноз расходов'!O16</f>
        <v>0.1</v>
      </c>
      <c r="Y16" s="522">
        <f>'Прогноз расходов'!P16</f>
        <v>9.5000000000000001E-2</v>
      </c>
      <c r="Z16" s="522">
        <f>'Прогноз расходов'!Q16</f>
        <v>0.09</v>
      </c>
      <c r="AA16" s="522">
        <f>Z16</f>
        <v>0.09</v>
      </c>
      <c r="AB16" s="522">
        <f t="shared" si="17"/>
        <v>0.09</v>
      </c>
      <c r="AC16" s="522">
        <f t="shared" si="17"/>
        <v>0.09</v>
      </c>
      <c r="AD16" s="522">
        <f t="shared" si="17"/>
        <v>0.09</v>
      </c>
      <c r="AE16" s="522">
        <f t="shared" si="17"/>
        <v>0.09</v>
      </c>
      <c r="AF16" s="522">
        <f t="shared" si="17"/>
        <v>0.09</v>
      </c>
      <c r="AG16" s="522">
        <f t="shared" si="17"/>
        <v>0.09</v>
      </c>
      <c r="AH16" s="522">
        <f t="shared" si="17"/>
        <v>0.09</v>
      </c>
      <c r="AI16" s="522">
        <f t="shared" si="17"/>
        <v>0.09</v>
      </c>
      <c r="AJ16" s="522">
        <f t="shared" si="17"/>
        <v>0.09</v>
      </c>
      <c r="AK16" s="522">
        <f t="shared" si="17"/>
        <v>0.09</v>
      </c>
      <c r="AL16" s="522">
        <f t="shared" si="17"/>
        <v>0.09</v>
      </c>
      <c r="AO16" s="201">
        <f t="shared" ref="AO16:BE16" si="20">D16/D9</f>
        <v>1323.5194818560001</v>
      </c>
      <c r="AP16" s="201">
        <f t="shared" si="20"/>
        <v>1468.4696368742402</v>
      </c>
      <c r="AQ16" s="201">
        <f t="shared" si="20"/>
        <v>1531.0360123801602</v>
      </c>
      <c r="AR16" s="201">
        <f t="shared" si="20"/>
        <v>1512.6635802315982</v>
      </c>
      <c r="AS16" s="201">
        <f t="shared" si="20"/>
        <v>1490.3716958913431</v>
      </c>
      <c r="AT16" s="201">
        <f t="shared" si="20"/>
        <v>1549.9865637269968</v>
      </c>
      <c r="AU16" s="201">
        <f t="shared" si="20"/>
        <v>1611.9860262760767</v>
      </c>
      <c r="AV16" s="201">
        <f t="shared" si="20"/>
        <v>1676.4654673271198</v>
      </c>
      <c r="AW16" s="201">
        <f t="shared" si="20"/>
        <v>1743.5240860202045</v>
      </c>
      <c r="AX16" s="201">
        <f t="shared" si="20"/>
        <v>1813.2650494610129</v>
      </c>
      <c r="AY16" s="201">
        <f t="shared" si="20"/>
        <v>1885.7956514394532</v>
      </c>
      <c r="AZ16" s="201">
        <f t="shared" si="20"/>
        <v>1961.2274774970317</v>
      </c>
      <c r="BA16" s="201">
        <f t="shared" si="20"/>
        <v>2039.676576596913</v>
      </c>
      <c r="BB16" s="201">
        <f t="shared" si="20"/>
        <v>2121.2636396607895</v>
      </c>
      <c r="BC16" s="201">
        <f t="shared" si="20"/>
        <v>2206.1141852472215</v>
      </c>
      <c r="BD16" s="201">
        <f t="shared" si="20"/>
        <v>2294.3587526571105</v>
      </c>
      <c r="BE16" s="201">
        <f t="shared" si="20"/>
        <v>2386.1331027633951</v>
      </c>
    </row>
    <row r="17" spans="1:64">
      <c r="A17" s="553"/>
      <c r="B17" s="553"/>
      <c r="C17" s="519" t="s">
        <v>27</v>
      </c>
      <c r="D17" s="201">
        <f t="shared" ref="D17:T17" si="21">AO17*D9</f>
        <v>14888005.651354278</v>
      </c>
      <c r="E17" s="201">
        <f t="shared" si="21"/>
        <v>30911670.83355483</v>
      </c>
      <c r="F17" s="201">
        <f t="shared" si="21"/>
        <v>32188528.048175856</v>
      </c>
      <c r="G17" s="201">
        <f t="shared" si="21"/>
        <v>33883946.8752428</v>
      </c>
      <c r="H17" s="201">
        <f t="shared" si="21"/>
        <v>34967953.431623116</v>
      </c>
      <c r="I17" s="201">
        <f t="shared" si="21"/>
        <v>36366671.568888038</v>
      </c>
      <c r="J17" s="201">
        <f t="shared" si="21"/>
        <v>37924958.536935739</v>
      </c>
      <c r="K17" s="201">
        <f t="shared" si="21"/>
        <v>39334191.968909308</v>
      </c>
      <c r="L17" s="201">
        <f t="shared" si="21"/>
        <v>40907559.647665679</v>
      </c>
      <c r="M17" s="201">
        <f t="shared" si="21"/>
        <v>42543862.033572309</v>
      </c>
      <c r="N17" s="201">
        <f t="shared" si="21"/>
        <v>44366837.382079355</v>
      </c>
      <c r="O17" s="201">
        <f t="shared" si="21"/>
        <v>46015441.175511822</v>
      </c>
      <c r="P17" s="201">
        <f t="shared" si="21"/>
        <v>47856058.822532296</v>
      </c>
      <c r="Q17" s="201">
        <f t="shared" si="21"/>
        <v>49770301.175433584</v>
      </c>
      <c r="R17" s="201">
        <f t="shared" si="21"/>
        <v>51902924.49155353</v>
      </c>
      <c r="S17" s="201">
        <f t="shared" si="21"/>
        <v>53831557.751348972</v>
      </c>
      <c r="T17" s="201">
        <f t="shared" si="21"/>
        <v>55984820.061402932</v>
      </c>
      <c r="V17" s="522">
        <f>D17/D14</f>
        <v>0.11285239366938264</v>
      </c>
      <c r="W17" s="522">
        <f>E17/E14</f>
        <v>9.5257730505437177E-2</v>
      </c>
      <c r="X17" s="522">
        <f>F17/F14</f>
        <v>8.5340921652892601E-2</v>
      </c>
      <c r="Y17" s="522">
        <f>G17/G14</f>
        <v>8.2058578512396729E-2</v>
      </c>
      <c r="Z17" s="522">
        <f>H17/H14</f>
        <v>7.7355371900826475E-2</v>
      </c>
      <c r="AA17" s="522">
        <f>Z17</f>
        <v>7.7355371900826475E-2</v>
      </c>
      <c r="AB17" s="522">
        <f t="shared" si="17"/>
        <v>7.7355371900826475E-2</v>
      </c>
      <c r="AC17" s="522">
        <f t="shared" si="17"/>
        <v>7.7355371900826475E-2</v>
      </c>
      <c r="AD17" s="522">
        <f t="shared" si="17"/>
        <v>7.7355371900826475E-2</v>
      </c>
      <c r="AE17" s="522">
        <f t="shared" si="17"/>
        <v>7.7355371900826475E-2</v>
      </c>
      <c r="AF17" s="522">
        <f t="shared" si="17"/>
        <v>7.7355371900826475E-2</v>
      </c>
      <c r="AG17" s="522">
        <f t="shared" si="17"/>
        <v>7.7355371900826475E-2</v>
      </c>
      <c r="AH17" s="522">
        <f t="shared" si="17"/>
        <v>7.7355371900826475E-2</v>
      </c>
      <c r="AI17" s="522">
        <f t="shared" si="17"/>
        <v>7.7355371900826475E-2</v>
      </c>
      <c r="AJ17" s="522">
        <f t="shared" si="17"/>
        <v>7.7355371900826475E-2</v>
      </c>
      <c r="AK17" s="522">
        <f t="shared" si="17"/>
        <v>7.7355371900826475E-2</v>
      </c>
      <c r="AL17" s="522">
        <f t="shared" si="17"/>
        <v>7.7355371900826475E-2</v>
      </c>
      <c r="AO17" s="557">
        <f>'Прогноз расходов'!M26</f>
        <v>1357.8394690500968</v>
      </c>
      <c r="AP17" s="557">
        <f>'Прогноз расходов'!N26</f>
        <v>1332.21985642651</v>
      </c>
      <c r="AQ17" s="557">
        <f>'Прогноз расходов'!O26</f>
        <v>1306.6002438029234</v>
      </c>
      <c r="AR17" s="557">
        <f>'Прогноз расходов'!P26</f>
        <v>1306.6002438029234</v>
      </c>
      <c r="AS17" s="557">
        <f>'Прогноз расходов'!Q26</f>
        <v>1280.9806311793366</v>
      </c>
      <c r="AT17" s="201">
        <f t="shared" ref="AT17:BE17" si="22">AS17*(1+AT11)</f>
        <v>1332.21985642651</v>
      </c>
      <c r="AU17" s="201">
        <f t="shared" si="22"/>
        <v>1385.5086506835705</v>
      </c>
      <c r="AV17" s="201">
        <f t="shared" si="22"/>
        <v>1440.9289967109135</v>
      </c>
      <c r="AW17" s="201">
        <f t="shared" si="22"/>
        <v>1498.56615657935</v>
      </c>
      <c r="AX17" s="201">
        <f t="shared" si="22"/>
        <v>1558.5088028425241</v>
      </c>
      <c r="AY17" s="201">
        <f t="shared" si="22"/>
        <v>1620.8491549562252</v>
      </c>
      <c r="AZ17" s="201">
        <f t="shared" si="22"/>
        <v>1685.6831211544743</v>
      </c>
      <c r="BA17" s="201">
        <f t="shared" si="22"/>
        <v>1753.1104460006534</v>
      </c>
      <c r="BB17" s="201">
        <f t="shared" si="22"/>
        <v>1823.2348638406795</v>
      </c>
      <c r="BC17" s="201">
        <f t="shared" si="22"/>
        <v>1896.1642583943067</v>
      </c>
      <c r="BD17" s="201">
        <f t="shared" si="22"/>
        <v>1972.0108287300791</v>
      </c>
      <c r="BE17" s="201">
        <f t="shared" si="22"/>
        <v>2050.8912618792824</v>
      </c>
    </row>
    <row r="18" spans="1:64">
      <c r="A18" s="553"/>
      <c r="B18" s="553"/>
      <c r="C18" s="521" t="s">
        <v>28</v>
      </c>
      <c r="D18" s="556">
        <f>SUM(D15:D17)</f>
        <v>49812196.17605707</v>
      </c>
      <c r="E18" s="556">
        <f t="shared" ref="E18:T18" si="23">SUM(E15:E17)</f>
        <v>106992931.12351619</v>
      </c>
      <c r="F18" s="556">
        <f t="shared" si="23"/>
        <v>113665672.8383147</v>
      </c>
      <c r="G18" s="554">
        <f t="shared" si="23"/>
        <v>118290311.59672882</v>
      </c>
      <c r="H18" s="556">
        <f t="shared" si="23"/>
        <v>122275760.2368616</v>
      </c>
      <c r="I18" s="556">
        <f t="shared" si="23"/>
        <v>127166790.64633605</v>
      </c>
      <c r="J18" s="556">
        <f t="shared" si="23"/>
        <v>132615800.52499002</v>
      </c>
      <c r="K18" s="556">
        <f t="shared" si="23"/>
        <v>137543600.76307708</v>
      </c>
      <c r="L18" s="556">
        <f t="shared" si="23"/>
        <v>143045344.79360017</v>
      </c>
      <c r="M18" s="556">
        <f t="shared" si="23"/>
        <v>148767158.5853442</v>
      </c>
      <c r="N18" s="556">
        <f t="shared" si="23"/>
        <v>155141729.43541208</v>
      </c>
      <c r="O18" s="556">
        <f t="shared" si="23"/>
        <v>160906558.72590828</v>
      </c>
      <c r="P18" s="556">
        <f t="shared" si="23"/>
        <v>167342821.07494462</v>
      </c>
      <c r="Q18" s="556">
        <f t="shared" si="23"/>
        <v>174036533.91794243</v>
      </c>
      <c r="R18" s="556">
        <f t="shared" si="23"/>
        <v>181493880.19322085</v>
      </c>
      <c r="S18" s="556">
        <f t="shared" si="23"/>
        <v>188237915.08564657</v>
      </c>
      <c r="T18" s="556">
        <f t="shared" si="23"/>
        <v>195767431.68907243</v>
      </c>
      <c r="V18" s="558">
        <f t="shared" ref="V18:AL18" si="24">D18/D14</f>
        <v>0.37758083278841048</v>
      </c>
      <c r="W18" s="559">
        <f t="shared" si="24"/>
        <v>0.32971054375641595</v>
      </c>
      <c r="X18" s="559">
        <f t="shared" si="24"/>
        <v>0.30135995239669433</v>
      </c>
      <c r="Y18" s="559">
        <f t="shared" si="24"/>
        <v>0.28647001652892568</v>
      </c>
      <c r="Z18" s="559">
        <f t="shared" si="24"/>
        <v>0.27049586776859513</v>
      </c>
      <c r="AA18" s="559">
        <f t="shared" si="24"/>
        <v>0.27049586776859513</v>
      </c>
      <c r="AB18" s="559">
        <f t="shared" si="24"/>
        <v>0.27049586776859513</v>
      </c>
      <c r="AC18" s="559">
        <f t="shared" si="24"/>
        <v>0.27049586776859508</v>
      </c>
      <c r="AD18" s="559">
        <f t="shared" si="24"/>
        <v>0.27049586776859508</v>
      </c>
      <c r="AE18" s="559">
        <f t="shared" si="24"/>
        <v>0.27049586776859508</v>
      </c>
      <c r="AF18" s="559">
        <f t="shared" si="24"/>
        <v>0.27049586776859513</v>
      </c>
      <c r="AG18" s="559">
        <f t="shared" si="24"/>
        <v>0.27049586776859508</v>
      </c>
      <c r="AH18" s="559">
        <f t="shared" si="24"/>
        <v>0.27049586776859508</v>
      </c>
      <c r="AI18" s="559">
        <f t="shared" si="24"/>
        <v>0.27049586776859513</v>
      </c>
      <c r="AJ18" s="559">
        <f t="shared" si="24"/>
        <v>0.27049586776859513</v>
      </c>
      <c r="AK18" s="559">
        <f t="shared" si="24"/>
        <v>0.27049586776859513</v>
      </c>
      <c r="AL18" s="559">
        <f t="shared" si="24"/>
        <v>0.27049586776859513</v>
      </c>
      <c r="AO18" s="554">
        <f t="shared" ref="AO18:BE18" si="25">D18/D$9</f>
        <v>4543.0508015533997</v>
      </c>
      <c r="AP18" s="556">
        <f t="shared" si="25"/>
        <v>4611.14211870088</v>
      </c>
      <c r="AQ18" s="556">
        <f t="shared" si="25"/>
        <v>4613.929398085098</v>
      </c>
      <c r="AR18" s="556">
        <f t="shared" si="25"/>
        <v>4561.3974824384195</v>
      </c>
      <c r="AS18" s="554">
        <f t="shared" si="25"/>
        <v>4479.3265019764622</v>
      </c>
      <c r="AT18" s="556">
        <f t="shared" si="25"/>
        <v>4658.4995620555201</v>
      </c>
      <c r="AU18" s="556">
        <f t="shared" si="25"/>
        <v>4844.8395445377419</v>
      </c>
      <c r="AV18" s="556">
        <f t="shared" si="25"/>
        <v>5038.6331263192506</v>
      </c>
      <c r="AW18" s="556">
        <f t="shared" si="25"/>
        <v>5240.1784513720213</v>
      </c>
      <c r="AX18" s="556">
        <f t="shared" si="25"/>
        <v>5449.7855894269032</v>
      </c>
      <c r="AY18" s="556">
        <f t="shared" si="25"/>
        <v>5667.7770130039789</v>
      </c>
      <c r="AZ18" s="556">
        <f t="shared" si="25"/>
        <v>5894.4880935241381</v>
      </c>
      <c r="BA18" s="556">
        <f t="shared" si="25"/>
        <v>6130.2676172651036</v>
      </c>
      <c r="BB18" s="556">
        <f t="shared" si="25"/>
        <v>6375.4783219557094</v>
      </c>
      <c r="BC18" s="556">
        <f t="shared" si="25"/>
        <v>6630.4974548339378</v>
      </c>
      <c r="BD18" s="556">
        <f t="shared" si="25"/>
        <v>6895.7173530272958</v>
      </c>
      <c r="BE18" s="556">
        <f t="shared" si="25"/>
        <v>7171.5460471483875</v>
      </c>
    </row>
    <row r="19" spans="1:64">
      <c r="A19" s="560"/>
      <c r="B19" s="560"/>
      <c r="C19" s="521" t="s">
        <v>18</v>
      </c>
      <c r="D19" s="554">
        <f t="shared" ref="D19:T19" si="26">D14-D18</f>
        <v>82112392.813794896</v>
      </c>
      <c r="E19" s="556">
        <f t="shared" si="26"/>
        <v>217512709.2012912</v>
      </c>
      <c r="F19" s="556">
        <f t="shared" si="26"/>
        <v>263510099.63689196</v>
      </c>
      <c r="G19" s="556">
        <f t="shared" si="26"/>
        <v>294633571.43304968</v>
      </c>
      <c r="H19" s="556">
        <f t="shared" si="26"/>
        <v>329767227.50100118</v>
      </c>
      <c r="I19" s="556">
        <f t="shared" si="26"/>
        <v>342957916.6010412</v>
      </c>
      <c r="J19" s="556">
        <f t="shared" si="26"/>
        <v>357653428.42471325</v>
      </c>
      <c r="K19" s="556">
        <f t="shared" si="26"/>
        <v>370943282.59568626</v>
      </c>
      <c r="L19" s="556">
        <f t="shared" si="26"/>
        <v>385781013.89951372</v>
      </c>
      <c r="M19" s="556">
        <f t="shared" si="26"/>
        <v>401212254.45549428</v>
      </c>
      <c r="N19" s="556">
        <f t="shared" si="26"/>
        <v>418403924.75599813</v>
      </c>
      <c r="O19" s="556">
        <f t="shared" si="26"/>
        <v>433951174.41906261</v>
      </c>
      <c r="P19" s="556">
        <f t="shared" si="26"/>
        <v>451309221.39582515</v>
      </c>
      <c r="Q19" s="556">
        <f t="shared" si="26"/>
        <v>469361590.2516582</v>
      </c>
      <c r="R19" s="556">
        <f t="shared" si="26"/>
        <v>489473412.91340041</v>
      </c>
      <c r="S19" s="556">
        <f t="shared" si="26"/>
        <v>507661496.01619357</v>
      </c>
      <c r="T19" s="556">
        <f t="shared" si="26"/>
        <v>527967955.85684127</v>
      </c>
      <c r="V19" s="559">
        <f t="shared" ref="V19:AL19" si="27">D19/D14</f>
        <v>0.62241916721158952</v>
      </c>
      <c r="W19" s="559">
        <f t="shared" si="27"/>
        <v>0.67028945624358405</v>
      </c>
      <c r="X19" s="559">
        <f t="shared" si="27"/>
        <v>0.69864004760330567</v>
      </c>
      <c r="Y19" s="559">
        <f t="shared" si="27"/>
        <v>0.71352998347107432</v>
      </c>
      <c r="Z19" s="559">
        <f t="shared" si="27"/>
        <v>0.72950413223140487</v>
      </c>
      <c r="AA19" s="559">
        <f t="shared" si="27"/>
        <v>0.72950413223140487</v>
      </c>
      <c r="AB19" s="559">
        <f t="shared" si="27"/>
        <v>0.72950413223140487</v>
      </c>
      <c r="AC19" s="559">
        <f t="shared" si="27"/>
        <v>0.72950413223140487</v>
      </c>
      <c r="AD19" s="559">
        <f t="shared" si="27"/>
        <v>0.72950413223140498</v>
      </c>
      <c r="AE19" s="559">
        <f t="shared" si="27"/>
        <v>0.72950413223140487</v>
      </c>
      <c r="AF19" s="559">
        <f t="shared" si="27"/>
        <v>0.72950413223140487</v>
      </c>
      <c r="AG19" s="559">
        <f t="shared" si="27"/>
        <v>0.72950413223140487</v>
      </c>
      <c r="AH19" s="559">
        <f t="shared" si="27"/>
        <v>0.72950413223140487</v>
      </c>
      <c r="AI19" s="559">
        <f t="shared" si="27"/>
        <v>0.72950413223140487</v>
      </c>
      <c r="AJ19" s="559">
        <f t="shared" si="27"/>
        <v>0.72950413223140487</v>
      </c>
      <c r="AK19" s="559">
        <f t="shared" si="27"/>
        <v>0.72950413223140487</v>
      </c>
      <c r="AL19" s="559">
        <f t="shared" si="27"/>
        <v>0.72950413223140487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64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>
        <f>D21/D12</f>
        <v>0.30057803468208094</v>
      </c>
      <c r="W20" s="563">
        <f>E21/E12</f>
        <v>0.29737609329446069</v>
      </c>
      <c r="X20" s="563">
        <f>F21/F12</f>
        <v>0.28994082840236685</v>
      </c>
      <c r="Y20" s="563">
        <f>G21/G12</f>
        <v>0.28194361127774437</v>
      </c>
      <c r="Z20" s="1040">
        <f>H21/H12</f>
        <v>0.27794561933534739</v>
      </c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1044">
        <f>AO21/LOOKUP(AO$3,CPI!$3:$3,CPI!$5:$5)</f>
        <v>5142.4999999999982</v>
      </c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64">
      <c r="A21" s="560"/>
      <c r="B21" s="560"/>
      <c r="C21" s="521" t="s">
        <v>17</v>
      </c>
      <c r="D21" s="556">
        <f>D22+D23</f>
        <v>68600786.274723023</v>
      </c>
      <c r="E21" s="556">
        <f t="shared" ref="E21:T21" si="28">E22+E23</f>
        <v>165497876.56565177</v>
      </c>
      <c r="F21" s="556">
        <f t="shared" si="28"/>
        <v>184816128.51285127</v>
      </c>
      <c r="G21" s="556">
        <f t="shared" si="28"/>
        <v>194074225.02399588</v>
      </c>
      <c r="H21" s="556">
        <f t="shared" si="28"/>
        <v>207939774.35941687</v>
      </c>
      <c r="I21" s="556">
        <f t="shared" si="28"/>
        <v>216257365.33379358</v>
      </c>
      <c r="J21" s="556">
        <f t="shared" si="28"/>
        <v>225523845.31686351</v>
      </c>
      <c r="K21" s="556">
        <f t="shared" si="28"/>
        <v>233903966.34503114</v>
      </c>
      <c r="L21" s="556">
        <f t="shared" si="28"/>
        <v>243260124.9988324</v>
      </c>
      <c r="M21" s="556">
        <f t="shared" si="28"/>
        <v>252990529.99878573</v>
      </c>
      <c r="N21" s="556">
        <f t="shared" si="28"/>
        <v>263831000.9280487</v>
      </c>
      <c r="O21" s="556">
        <f t="shared" si="28"/>
        <v>273634557.24668664</v>
      </c>
      <c r="P21" s="556">
        <f t="shared" si="28"/>
        <v>284579939.5365541</v>
      </c>
      <c r="Q21" s="556">
        <f t="shared" si="28"/>
        <v>295963137.1180163</v>
      </c>
      <c r="R21" s="556">
        <f t="shared" si="28"/>
        <v>308644954.82904577</v>
      </c>
      <c r="S21" s="556">
        <f t="shared" si="28"/>
        <v>320113729.10684645</v>
      </c>
      <c r="T21" s="556">
        <f t="shared" si="28"/>
        <v>332918278.27112031</v>
      </c>
      <c r="V21" s="555">
        <f>D21/D14</f>
        <v>0.52</v>
      </c>
      <c r="W21" s="555">
        <f t="shared" ref="W21:AL21" si="29">E21/E14</f>
        <v>0.51</v>
      </c>
      <c r="X21" s="555">
        <f t="shared" si="29"/>
        <v>0.49</v>
      </c>
      <c r="Y21" s="555">
        <f t="shared" si="29"/>
        <v>0.47</v>
      </c>
      <c r="Z21" s="555">
        <f>H21/H14</f>
        <v>0.46</v>
      </c>
      <c r="AA21" s="555">
        <f t="shared" si="29"/>
        <v>0.46000000000000008</v>
      </c>
      <c r="AB21" s="555">
        <f t="shared" si="29"/>
        <v>0.46</v>
      </c>
      <c r="AC21" s="555">
        <f t="shared" si="29"/>
        <v>0.46</v>
      </c>
      <c r="AD21" s="555">
        <f t="shared" si="29"/>
        <v>0.46000000000000008</v>
      </c>
      <c r="AE21" s="555">
        <f t="shared" si="29"/>
        <v>0.46000000000000008</v>
      </c>
      <c r="AF21" s="555">
        <f t="shared" si="29"/>
        <v>0.46</v>
      </c>
      <c r="AG21" s="555">
        <f t="shared" si="29"/>
        <v>0.46</v>
      </c>
      <c r="AH21" s="555">
        <f t="shared" si="29"/>
        <v>0.46</v>
      </c>
      <c r="AI21" s="555">
        <f t="shared" si="29"/>
        <v>0.46</v>
      </c>
      <c r="AJ21" s="555">
        <f t="shared" si="29"/>
        <v>0.45999999999999996</v>
      </c>
      <c r="AK21" s="555">
        <f t="shared" si="29"/>
        <v>0.45999999999999996</v>
      </c>
      <c r="AL21" s="555">
        <f t="shared" si="29"/>
        <v>0.46</v>
      </c>
      <c r="AO21" s="556">
        <f>D21/D9</f>
        <v>6256.6375505919996</v>
      </c>
      <c r="AP21" s="556">
        <f t="shared" ref="AP21:BE21" si="30">E21/E9</f>
        <v>7132.5668076748807</v>
      </c>
      <c r="AQ21" s="556">
        <f t="shared" si="30"/>
        <v>7502.0764606627845</v>
      </c>
      <c r="AR21" s="556">
        <f t="shared" si="30"/>
        <v>7483.704028514223</v>
      </c>
      <c r="AS21" s="556">
        <f t="shared" si="30"/>
        <v>7617.4553345557533</v>
      </c>
      <c r="AT21" s="556">
        <f t="shared" si="30"/>
        <v>7922.1535479379845</v>
      </c>
      <c r="AU21" s="556">
        <f t="shared" si="30"/>
        <v>8239.0396898555027</v>
      </c>
      <c r="AV21" s="556">
        <f t="shared" si="30"/>
        <v>8568.6012774497249</v>
      </c>
      <c r="AW21" s="556">
        <f t="shared" si="30"/>
        <v>8911.3453285477135</v>
      </c>
      <c r="AX21" s="556">
        <f t="shared" si="30"/>
        <v>9267.7991416896239</v>
      </c>
      <c r="AY21" s="556">
        <f t="shared" si="30"/>
        <v>9638.5111073572061</v>
      </c>
      <c r="AZ21" s="556">
        <f t="shared" si="30"/>
        <v>10024.051551651497</v>
      </c>
      <c r="BA21" s="556">
        <f t="shared" si="30"/>
        <v>10425.013613717556</v>
      </c>
      <c r="BB21" s="556">
        <f t="shared" si="30"/>
        <v>10842.01415826626</v>
      </c>
      <c r="BC21" s="556">
        <f t="shared" si="30"/>
        <v>11275.69472459691</v>
      </c>
      <c r="BD21" s="556">
        <f t="shared" si="30"/>
        <v>11726.722513580788</v>
      </c>
      <c r="BE21" s="556">
        <f t="shared" si="30"/>
        <v>12195.791414124018</v>
      </c>
      <c r="BF21" s="1367" t="s">
        <v>725</v>
      </c>
      <c r="BG21" s="1368"/>
      <c r="BH21" s="1368"/>
      <c r="BI21" s="1368"/>
      <c r="BJ21" s="1368"/>
      <c r="BK21" s="1368"/>
      <c r="BL21" s="1368"/>
    </row>
    <row r="22" spans="1:64">
      <c r="A22" s="560"/>
      <c r="B22" s="560"/>
      <c r="C22" s="517" t="s">
        <v>45</v>
      </c>
      <c r="D22" s="811">
        <f>D14*V22</f>
        <v>65962294.494925983</v>
      </c>
      <c r="E22" s="811">
        <f t="shared" ref="E22:T22" si="31">E14*W22</f>
        <v>155762707.35590756</v>
      </c>
      <c r="F22" s="811">
        <f t="shared" si="31"/>
        <v>169729097.61384299</v>
      </c>
      <c r="G22" s="1042">
        <f t="shared" si="31"/>
        <v>173428030.87250695</v>
      </c>
      <c r="H22" s="1042">
        <f t="shared" si="31"/>
        <v>180817195.09514511</v>
      </c>
      <c r="I22" s="811">
        <f t="shared" si="31"/>
        <v>188049882.89895093</v>
      </c>
      <c r="J22" s="811">
        <f t="shared" si="31"/>
        <v>196107691.57988131</v>
      </c>
      <c r="K22" s="811">
        <f t="shared" si="31"/>
        <v>203394753.34350535</v>
      </c>
      <c r="L22" s="811">
        <f t="shared" si="31"/>
        <v>211530543.47724557</v>
      </c>
      <c r="M22" s="811">
        <f t="shared" si="31"/>
        <v>219991765.21633542</v>
      </c>
      <c r="N22" s="811">
        <f t="shared" si="31"/>
        <v>229418261.6765641</v>
      </c>
      <c r="O22" s="811">
        <f t="shared" si="31"/>
        <v>237943093.25798836</v>
      </c>
      <c r="P22" s="811">
        <f t="shared" si="31"/>
        <v>247460816.98830792</v>
      </c>
      <c r="Q22" s="811">
        <f t="shared" si="31"/>
        <v>257359249.66784024</v>
      </c>
      <c r="R22" s="811">
        <f t="shared" si="31"/>
        <v>268386917.24264851</v>
      </c>
      <c r="S22" s="811">
        <f t="shared" si="31"/>
        <v>278359764.44073606</v>
      </c>
      <c r="T22" s="811">
        <f t="shared" si="31"/>
        <v>289494155.0183655</v>
      </c>
      <c r="V22" s="816">
        <f>'Прогноз F&amp;B'!F7</f>
        <v>0.5</v>
      </c>
      <c r="W22" s="816">
        <f>'Прогноз F&amp;B'!G7</f>
        <v>0.48</v>
      </c>
      <c r="X22" s="813">
        <f>'Прогноз F&amp;B'!H7</f>
        <v>0.45</v>
      </c>
      <c r="Y22" s="816">
        <f>'Прогноз F&amp;B'!I7</f>
        <v>0.42</v>
      </c>
      <c r="Z22" s="816">
        <f>'Прогноз F&amp;B'!J7</f>
        <v>0.4</v>
      </c>
      <c r="AA22" s="812">
        <f t="shared" ref="AA22:AL22" si="32">Z22</f>
        <v>0.4</v>
      </c>
      <c r="AB22" s="812">
        <f t="shared" si="32"/>
        <v>0.4</v>
      </c>
      <c r="AC22" s="812">
        <f t="shared" si="32"/>
        <v>0.4</v>
      </c>
      <c r="AD22" s="812">
        <f t="shared" si="32"/>
        <v>0.4</v>
      </c>
      <c r="AE22" s="812">
        <f t="shared" si="32"/>
        <v>0.4</v>
      </c>
      <c r="AF22" s="812">
        <f t="shared" si="32"/>
        <v>0.4</v>
      </c>
      <c r="AG22" s="812">
        <f t="shared" si="32"/>
        <v>0.4</v>
      </c>
      <c r="AH22" s="812">
        <f t="shared" si="32"/>
        <v>0.4</v>
      </c>
      <c r="AI22" s="812">
        <f t="shared" si="32"/>
        <v>0.4</v>
      </c>
      <c r="AJ22" s="812">
        <f t="shared" si="32"/>
        <v>0.4</v>
      </c>
      <c r="AK22" s="812">
        <f t="shared" si="32"/>
        <v>0.4</v>
      </c>
      <c r="AL22" s="812">
        <f t="shared" si="32"/>
        <v>0.4</v>
      </c>
      <c r="AO22" s="556">
        <f>D22/D9/$AO$5</f>
        <v>2774.9066627306274</v>
      </c>
      <c r="AP22" s="556">
        <f t="shared" ref="AP22:BE22" si="33">E22/E9/$AO$5</f>
        <v>3096.4040840785246</v>
      </c>
      <c r="AQ22" s="556">
        <f t="shared" si="33"/>
        <v>3177.8884020805908</v>
      </c>
      <c r="AR22" s="554">
        <f t="shared" si="33"/>
        <v>3084.670342286227</v>
      </c>
      <c r="AS22" s="554">
        <f t="shared" si="33"/>
        <v>3055.2925295025484</v>
      </c>
      <c r="AT22" s="556">
        <f t="shared" si="33"/>
        <v>3177.5042306826513</v>
      </c>
      <c r="AU22" s="556">
        <f t="shared" si="33"/>
        <v>3304.604399909957</v>
      </c>
      <c r="AV22" s="556">
        <f t="shared" si="33"/>
        <v>3436.7885759063556</v>
      </c>
      <c r="AW22" s="556">
        <f t="shared" si="33"/>
        <v>3574.26011894261</v>
      </c>
      <c r="AX22" s="556">
        <f t="shared" si="33"/>
        <v>3717.2305237003147</v>
      </c>
      <c r="AY22" s="556">
        <f t="shared" si="33"/>
        <v>3865.9197446483267</v>
      </c>
      <c r="AZ22" s="556">
        <f t="shared" si="33"/>
        <v>4020.5565344342604</v>
      </c>
      <c r="BA22" s="556">
        <f t="shared" si="33"/>
        <v>4181.3787958116309</v>
      </c>
      <c r="BB22" s="556">
        <f t="shared" si="33"/>
        <v>4348.6339476440962</v>
      </c>
      <c r="BC22" s="556">
        <f t="shared" si="33"/>
        <v>4522.5793055498598</v>
      </c>
      <c r="BD22" s="556">
        <f t="shared" si="33"/>
        <v>4703.482477771855</v>
      </c>
      <c r="BE22" s="556">
        <f t="shared" si="33"/>
        <v>4891.62177688273</v>
      </c>
      <c r="BF22" s="1367" t="s">
        <v>550</v>
      </c>
      <c r="BG22" s="1368"/>
      <c r="BH22" s="1368"/>
      <c r="BI22" s="1368"/>
      <c r="BJ22" s="1368"/>
      <c r="BK22" s="1368"/>
      <c r="BL22" s="1368"/>
    </row>
    <row r="23" spans="1:64">
      <c r="A23" s="560"/>
      <c r="B23" s="560"/>
      <c r="C23" s="517" t="s">
        <v>509</v>
      </c>
      <c r="D23" s="811">
        <f>D14*V23</f>
        <v>2638491.7797970395</v>
      </c>
      <c r="E23" s="811">
        <f t="shared" ref="E23:T23" si="34">E14*W23</f>
        <v>9735169.2097442225</v>
      </c>
      <c r="F23" s="811">
        <f t="shared" si="34"/>
        <v>15087030.899008267</v>
      </c>
      <c r="G23" s="811">
        <f t="shared" si="34"/>
        <v>20646194.151488926</v>
      </c>
      <c r="H23" s="811">
        <f t="shared" si="34"/>
        <v>27122579.264271766</v>
      </c>
      <c r="I23" s="811">
        <f t="shared" si="34"/>
        <v>28207482.434842635</v>
      </c>
      <c r="J23" s="811">
        <f t="shared" si="34"/>
        <v>29416153.736982197</v>
      </c>
      <c r="K23" s="811">
        <f t="shared" si="34"/>
        <v>30509213.001525801</v>
      </c>
      <c r="L23" s="811">
        <f t="shared" si="34"/>
        <v>31729581.521586832</v>
      </c>
      <c r="M23" s="811">
        <f t="shared" si="34"/>
        <v>32998764.782450307</v>
      </c>
      <c r="N23" s="811">
        <f t="shared" si="34"/>
        <v>34412739.25148461</v>
      </c>
      <c r="O23" s="811">
        <f t="shared" si="34"/>
        <v>35691463.988698252</v>
      </c>
      <c r="P23" s="811">
        <f t="shared" si="34"/>
        <v>37119122.548246183</v>
      </c>
      <c r="Q23" s="811">
        <f t="shared" si="34"/>
        <v>38603887.450176038</v>
      </c>
      <c r="R23" s="811">
        <f t="shared" si="34"/>
        <v>40258037.586397275</v>
      </c>
      <c r="S23" s="811">
        <f t="shared" si="34"/>
        <v>41753964.666110404</v>
      </c>
      <c r="T23" s="811">
        <f t="shared" si="34"/>
        <v>43424123.252754822</v>
      </c>
      <c r="V23" s="816">
        <f>'Прогноз F&amp;B'!F15</f>
        <v>0.02</v>
      </c>
      <c r="W23" s="813">
        <f>'Прогноз F&amp;B'!G15</f>
        <v>0.03</v>
      </c>
      <c r="X23" s="813">
        <f>'Прогноз F&amp;B'!H15</f>
        <v>0.04</v>
      </c>
      <c r="Y23" s="813">
        <f>'Прогноз F&amp;B'!I15</f>
        <v>0.05</v>
      </c>
      <c r="Z23" s="813">
        <f>'Прогноз F&amp;B'!J15</f>
        <v>0.06</v>
      </c>
      <c r="AA23" s="812">
        <f t="shared" ref="AA23:AL23" si="35">Z23</f>
        <v>0.06</v>
      </c>
      <c r="AB23" s="812">
        <f t="shared" si="35"/>
        <v>0.06</v>
      </c>
      <c r="AC23" s="812">
        <f t="shared" si="35"/>
        <v>0.06</v>
      </c>
      <c r="AD23" s="812">
        <f t="shared" si="35"/>
        <v>0.06</v>
      </c>
      <c r="AE23" s="812">
        <f t="shared" si="35"/>
        <v>0.06</v>
      </c>
      <c r="AF23" s="812">
        <f t="shared" si="35"/>
        <v>0.06</v>
      </c>
      <c r="AG23" s="812">
        <f t="shared" si="35"/>
        <v>0.06</v>
      </c>
      <c r="AH23" s="812">
        <f t="shared" si="35"/>
        <v>0.06</v>
      </c>
      <c r="AI23" s="812">
        <f t="shared" si="35"/>
        <v>0.06</v>
      </c>
      <c r="AJ23" s="812">
        <f t="shared" si="35"/>
        <v>0.06</v>
      </c>
      <c r="AK23" s="812">
        <f t="shared" si="35"/>
        <v>0.06</v>
      </c>
      <c r="AL23" s="812">
        <f t="shared" si="35"/>
        <v>0.06</v>
      </c>
      <c r="AO23" s="556">
        <f>D23/D9</f>
        <v>240.63990579200001</v>
      </c>
      <c r="AP23" s="556">
        <f t="shared" ref="AP23:BE23" si="36">E23/E9</f>
        <v>419.56275339264005</v>
      </c>
      <c r="AQ23" s="556">
        <f t="shared" si="36"/>
        <v>612.41440495206405</v>
      </c>
      <c r="AR23" s="556">
        <f t="shared" si="36"/>
        <v>796.13872643768343</v>
      </c>
      <c r="AS23" s="556">
        <f t="shared" si="36"/>
        <v>993.58113059422863</v>
      </c>
      <c r="AT23" s="556">
        <f t="shared" si="36"/>
        <v>1033.3243758179979</v>
      </c>
      <c r="AU23" s="556">
        <f t="shared" si="36"/>
        <v>1074.6573508507179</v>
      </c>
      <c r="AV23" s="556">
        <f t="shared" si="36"/>
        <v>1117.6436448847467</v>
      </c>
      <c r="AW23" s="556">
        <f t="shared" si="36"/>
        <v>1162.3493906801364</v>
      </c>
      <c r="AX23" s="556">
        <f t="shared" si="36"/>
        <v>1208.843366307342</v>
      </c>
      <c r="AY23" s="556">
        <f t="shared" si="36"/>
        <v>1257.1971009596355</v>
      </c>
      <c r="AZ23" s="556">
        <f t="shared" si="36"/>
        <v>1307.484984998021</v>
      </c>
      <c r="BA23" s="556">
        <f t="shared" si="36"/>
        <v>1359.7843843979419</v>
      </c>
      <c r="BB23" s="556">
        <f t="shared" si="36"/>
        <v>1414.1757597738599</v>
      </c>
      <c r="BC23" s="556">
        <f t="shared" si="36"/>
        <v>1470.7427901648143</v>
      </c>
      <c r="BD23" s="556">
        <f t="shared" si="36"/>
        <v>1529.5725017714069</v>
      </c>
      <c r="BE23" s="556">
        <f t="shared" si="36"/>
        <v>1590.7554018422634</v>
      </c>
      <c r="BF23" s="1367" t="s">
        <v>725</v>
      </c>
      <c r="BG23" s="1368"/>
      <c r="BH23" s="1368"/>
      <c r="BI23" s="1368"/>
      <c r="BJ23" s="1368"/>
      <c r="BK23" s="1368"/>
      <c r="BL23" s="1368"/>
    </row>
    <row r="24" spans="1:64">
      <c r="A24" s="560"/>
      <c r="B24" s="560"/>
      <c r="C24" s="519" t="s">
        <v>516</v>
      </c>
      <c r="D24" s="201">
        <f t="shared" ref="D24:T25" si="37">V24*D22</f>
        <v>31002278.41261521</v>
      </c>
      <c r="E24" s="201">
        <f t="shared" si="37"/>
        <v>70093218.310158402</v>
      </c>
      <c r="F24" s="201">
        <f t="shared" si="37"/>
        <v>72983511.973952487</v>
      </c>
      <c r="G24" s="201">
        <f t="shared" si="37"/>
        <v>74574053.275177985</v>
      </c>
      <c r="H24" s="201">
        <f t="shared" si="37"/>
        <v>77751393.890912399</v>
      </c>
      <c r="I24" s="201">
        <f t="shared" si="37"/>
        <v>80861449.646548897</v>
      </c>
      <c r="J24" s="201">
        <f t="shared" si="37"/>
        <v>84326307.379348963</v>
      </c>
      <c r="K24" s="201">
        <f t="shared" si="37"/>
        <v>87459743.937707305</v>
      </c>
      <c r="L24" s="201">
        <f t="shared" si="37"/>
        <v>90958133.695215598</v>
      </c>
      <c r="M24" s="201">
        <f t="shared" si="37"/>
        <v>94596459.043024227</v>
      </c>
      <c r="N24" s="201">
        <f t="shared" si="37"/>
        <v>98649852.520922557</v>
      </c>
      <c r="O24" s="201">
        <f t="shared" si="37"/>
        <v>102315530.100935</v>
      </c>
      <c r="P24" s="201">
        <f t="shared" si="37"/>
        <v>106408151.30497241</v>
      </c>
      <c r="Q24" s="201">
        <f t="shared" si="37"/>
        <v>110664477.3571713</v>
      </c>
      <c r="R24" s="201">
        <f t="shared" si="37"/>
        <v>115406374.41433886</v>
      </c>
      <c r="S24" s="201">
        <f t="shared" si="37"/>
        <v>119694698.7095165</v>
      </c>
      <c r="T24" s="201">
        <f t="shared" si="37"/>
        <v>124482486.65789716</v>
      </c>
      <c r="V24" s="522">
        <f>'Прогноз F&amp;B'!F34</f>
        <v>0.47</v>
      </c>
      <c r="W24" s="522">
        <f>'Прогноз F&amp;B'!G34</f>
        <v>0.45</v>
      </c>
      <c r="X24" s="522">
        <f>'Прогноз F&amp;B'!H34</f>
        <v>0.43</v>
      </c>
      <c r="Y24" s="522">
        <f>'Прогноз F&amp;B'!I34</f>
        <v>0.43</v>
      </c>
      <c r="Z24" s="522">
        <f>'Прогноз F&amp;B'!J34</f>
        <v>0.43</v>
      </c>
      <c r="AA24" s="567">
        <f t="shared" ref="AA24:AL29" si="38">Z24</f>
        <v>0.43</v>
      </c>
      <c r="AB24" s="567">
        <f t="shared" si="38"/>
        <v>0.43</v>
      </c>
      <c r="AC24" s="567">
        <f t="shared" si="38"/>
        <v>0.43</v>
      </c>
      <c r="AD24" s="567">
        <f t="shared" si="38"/>
        <v>0.43</v>
      </c>
      <c r="AE24" s="567">
        <f t="shared" si="38"/>
        <v>0.43</v>
      </c>
      <c r="AF24" s="567">
        <f t="shared" si="38"/>
        <v>0.43</v>
      </c>
      <c r="AG24" s="567">
        <f t="shared" si="38"/>
        <v>0.43</v>
      </c>
      <c r="AH24" s="567">
        <f t="shared" si="38"/>
        <v>0.43</v>
      </c>
      <c r="AI24" s="567">
        <f t="shared" si="38"/>
        <v>0.43</v>
      </c>
      <c r="AJ24" s="567">
        <f t="shared" si="38"/>
        <v>0.43</v>
      </c>
      <c r="AK24" s="567">
        <f t="shared" si="38"/>
        <v>0.43</v>
      </c>
      <c r="AL24" s="567">
        <f t="shared" si="38"/>
        <v>0.43</v>
      </c>
      <c r="AO24" s="201">
        <f t="shared" ref="AO24:BE24" si="39">D24/D$9</f>
        <v>2827.5188930559998</v>
      </c>
      <c r="AP24" s="201">
        <f t="shared" si="39"/>
        <v>3020.8518244270085</v>
      </c>
      <c r="AQ24" s="201">
        <f t="shared" si="39"/>
        <v>2962.5546839556096</v>
      </c>
      <c r="AR24" s="201">
        <f t="shared" si="39"/>
        <v>2875.6530798929116</v>
      </c>
      <c r="AS24" s="201">
        <f t="shared" si="39"/>
        <v>2848.2659077034555</v>
      </c>
      <c r="AT24" s="201">
        <f t="shared" si="39"/>
        <v>2962.1965440115941</v>
      </c>
      <c r="AU24" s="201">
        <f t="shared" si="39"/>
        <v>3080.6844057720577</v>
      </c>
      <c r="AV24" s="201">
        <f t="shared" si="39"/>
        <v>3203.9117820029405</v>
      </c>
      <c r="AW24" s="201">
        <f t="shared" si="39"/>
        <v>3332.0682532830583</v>
      </c>
      <c r="AX24" s="201">
        <f t="shared" si="39"/>
        <v>3465.3509834143806</v>
      </c>
      <c r="AY24" s="201">
        <f t="shared" si="39"/>
        <v>3603.9650227509555</v>
      </c>
      <c r="AZ24" s="201">
        <f t="shared" si="39"/>
        <v>3748.1236236609939</v>
      </c>
      <c r="BA24" s="201">
        <f t="shared" si="39"/>
        <v>3898.0485686074344</v>
      </c>
      <c r="BB24" s="201">
        <f t="shared" si="39"/>
        <v>4053.9705113517311</v>
      </c>
      <c r="BC24" s="201">
        <f t="shared" si="39"/>
        <v>4216.1293318058006</v>
      </c>
      <c r="BD24" s="201">
        <f t="shared" si="39"/>
        <v>4384.7745050780331</v>
      </c>
      <c r="BE24" s="201">
        <f t="shared" si="39"/>
        <v>4560.1654852811553</v>
      </c>
      <c r="BF24" s="1368"/>
      <c r="BG24" s="1368"/>
      <c r="BH24" s="1368"/>
      <c r="BI24" s="1368"/>
      <c r="BJ24" s="1368"/>
      <c r="BK24" s="1368"/>
      <c r="BL24" s="1368"/>
    </row>
    <row r="25" spans="1:64">
      <c r="A25" s="560"/>
      <c r="B25" s="560"/>
      <c r="C25" s="519" t="s">
        <v>517</v>
      </c>
      <c r="D25" s="201">
        <f t="shared" si="37"/>
        <v>316619.0135756447</v>
      </c>
      <c r="E25" s="201">
        <f t="shared" si="37"/>
        <v>1168220.3051693067</v>
      </c>
      <c r="F25" s="201">
        <f t="shared" si="37"/>
        <v>1810443.707880992</v>
      </c>
      <c r="G25" s="201">
        <f t="shared" si="37"/>
        <v>2477543.2981786709</v>
      </c>
      <c r="H25" s="201">
        <f t="shared" si="37"/>
        <v>3254709.5117126117</v>
      </c>
      <c r="I25" s="201">
        <f t="shared" si="37"/>
        <v>3384897.8921811162</v>
      </c>
      <c r="J25" s="201">
        <f t="shared" si="37"/>
        <v>3529938.4484378635</v>
      </c>
      <c r="K25" s="201">
        <f t="shared" si="37"/>
        <v>3661105.5601830957</v>
      </c>
      <c r="L25" s="201">
        <f t="shared" si="37"/>
        <v>3807549.7825904195</v>
      </c>
      <c r="M25" s="201">
        <f t="shared" si="37"/>
        <v>3959851.7738940367</v>
      </c>
      <c r="N25" s="201">
        <f t="shared" si="37"/>
        <v>4129528.7101781531</v>
      </c>
      <c r="O25" s="201">
        <f t="shared" si="37"/>
        <v>4282975.6786437901</v>
      </c>
      <c r="P25" s="201">
        <f t="shared" si="37"/>
        <v>4454294.7057895418</v>
      </c>
      <c r="Q25" s="201">
        <f t="shared" si="37"/>
        <v>4632466.4940211242</v>
      </c>
      <c r="R25" s="201">
        <f t="shared" si="37"/>
        <v>4830964.5103676729</v>
      </c>
      <c r="S25" s="201">
        <f t="shared" si="37"/>
        <v>5010475.7599332482</v>
      </c>
      <c r="T25" s="201">
        <f t="shared" si="37"/>
        <v>5210894.7903305786</v>
      </c>
      <c r="V25" s="522">
        <f>'Прогноз F&amp;B'!F42</f>
        <v>0.12</v>
      </c>
      <c r="W25" s="522">
        <f>'Прогноз F&amp;B'!G42</f>
        <v>0.12</v>
      </c>
      <c r="X25" s="522">
        <f>'Прогноз F&amp;B'!H42</f>
        <v>0.12</v>
      </c>
      <c r="Y25" s="522">
        <f>'Прогноз F&amp;B'!I42</f>
        <v>0.12</v>
      </c>
      <c r="Z25" s="522">
        <f>'Прогноз F&amp;B'!J42</f>
        <v>0.12</v>
      </c>
      <c r="AA25" s="567">
        <f t="shared" si="38"/>
        <v>0.12</v>
      </c>
      <c r="AB25" s="567">
        <f t="shared" si="38"/>
        <v>0.12</v>
      </c>
      <c r="AC25" s="567">
        <f t="shared" si="38"/>
        <v>0.12</v>
      </c>
      <c r="AD25" s="567">
        <f t="shared" si="38"/>
        <v>0.12</v>
      </c>
      <c r="AE25" s="567">
        <f t="shared" si="38"/>
        <v>0.12</v>
      </c>
      <c r="AF25" s="567">
        <f t="shared" si="38"/>
        <v>0.12</v>
      </c>
      <c r="AG25" s="567">
        <f t="shared" si="38"/>
        <v>0.12</v>
      </c>
      <c r="AH25" s="567">
        <f t="shared" si="38"/>
        <v>0.12</v>
      </c>
      <c r="AI25" s="567">
        <f t="shared" si="38"/>
        <v>0.12</v>
      </c>
      <c r="AJ25" s="567">
        <f t="shared" si="38"/>
        <v>0.12</v>
      </c>
      <c r="AK25" s="567">
        <f t="shared" si="38"/>
        <v>0.12</v>
      </c>
      <c r="AL25" s="567">
        <f t="shared" si="38"/>
        <v>0.12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64">
      <c r="A26" s="560"/>
      <c r="B26" s="560"/>
      <c r="C26" s="519" t="s">
        <v>518</v>
      </c>
      <c r="D26" s="201">
        <f t="shared" ref="D26:T27" si="40">V26*D22</f>
        <v>17809819.513630018</v>
      </c>
      <c r="E26" s="201">
        <f t="shared" si="40"/>
        <v>42055930.986095041</v>
      </c>
      <c r="F26" s="201">
        <f t="shared" si="40"/>
        <v>45826856.355737612</v>
      </c>
      <c r="G26" s="201">
        <f t="shared" si="40"/>
        <v>46825568.335576877</v>
      </c>
      <c r="H26" s="201">
        <f t="shared" si="40"/>
        <v>48820642.675689183</v>
      </c>
      <c r="I26" s="201">
        <f t="shared" si="40"/>
        <v>50773468.382716753</v>
      </c>
      <c r="J26" s="201">
        <f t="shared" si="40"/>
        <v>52949076.726567954</v>
      </c>
      <c r="K26" s="201">
        <f t="shared" si="40"/>
        <v>54916583.402746446</v>
      </c>
      <c r="L26" s="201">
        <f t="shared" si="40"/>
        <v>57113246.738856308</v>
      </c>
      <c r="M26" s="201">
        <f t="shared" si="40"/>
        <v>59397776.608410567</v>
      </c>
      <c r="N26" s="201">
        <f t="shared" si="40"/>
        <v>61942930.652672313</v>
      </c>
      <c r="O26" s="201">
        <f t="shared" si="40"/>
        <v>64244635.179656863</v>
      </c>
      <c r="P26" s="201">
        <f t="shared" si="40"/>
        <v>66814420.58684314</v>
      </c>
      <c r="Q26" s="201">
        <f t="shared" si="40"/>
        <v>69486997.41031687</v>
      </c>
      <c r="R26" s="201">
        <f t="shared" si="40"/>
        <v>72464467.655515105</v>
      </c>
      <c r="S26" s="201">
        <f t="shared" si="40"/>
        <v>75157136.398998737</v>
      </c>
      <c r="T26" s="201">
        <f t="shared" si="40"/>
        <v>78163421.854958698</v>
      </c>
      <c r="V26" s="522">
        <f>'Прогноз F&amp;B'!F49</f>
        <v>0.27</v>
      </c>
      <c r="W26" s="522">
        <f>'Прогноз F&amp;B'!G49</f>
        <v>0.27</v>
      </c>
      <c r="X26" s="522">
        <f>'Прогноз F&amp;B'!H49</f>
        <v>0.27</v>
      </c>
      <c r="Y26" s="522">
        <f>'Прогноз F&amp;B'!I49</f>
        <v>0.27</v>
      </c>
      <c r="Z26" s="522">
        <f>'Прогноз F&amp;B'!J49</f>
        <v>0.27</v>
      </c>
      <c r="AA26" s="567">
        <f t="shared" si="38"/>
        <v>0.27</v>
      </c>
      <c r="AB26" s="567">
        <f t="shared" si="38"/>
        <v>0.27</v>
      </c>
      <c r="AC26" s="567">
        <f t="shared" si="38"/>
        <v>0.27</v>
      </c>
      <c r="AD26" s="567">
        <f t="shared" si="38"/>
        <v>0.27</v>
      </c>
      <c r="AE26" s="567">
        <f t="shared" si="38"/>
        <v>0.27</v>
      </c>
      <c r="AF26" s="567">
        <f t="shared" si="38"/>
        <v>0.27</v>
      </c>
      <c r="AG26" s="567">
        <f t="shared" si="38"/>
        <v>0.27</v>
      </c>
      <c r="AH26" s="567">
        <f t="shared" si="38"/>
        <v>0.27</v>
      </c>
      <c r="AI26" s="567">
        <f t="shared" si="38"/>
        <v>0.27</v>
      </c>
      <c r="AJ26" s="567">
        <f t="shared" si="38"/>
        <v>0.27</v>
      </c>
      <c r="AK26" s="567">
        <f t="shared" si="38"/>
        <v>0.27</v>
      </c>
      <c r="AL26" s="567">
        <f t="shared" si="38"/>
        <v>0.27</v>
      </c>
      <c r="AO26" s="201">
        <f t="shared" ref="AO26:BE26" si="41">D26/D$9</f>
        <v>1624.3193640960001</v>
      </c>
      <c r="AP26" s="201">
        <f t="shared" si="41"/>
        <v>1812.5110946562049</v>
      </c>
      <c r="AQ26" s="201">
        <f t="shared" si="41"/>
        <v>1860.2087550418946</v>
      </c>
      <c r="AR26" s="201">
        <f t="shared" si="41"/>
        <v>1805.6426315606657</v>
      </c>
      <c r="AS26" s="201">
        <f t="shared" si="41"/>
        <v>1788.4460350696118</v>
      </c>
      <c r="AT26" s="201">
        <f t="shared" si="41"/>
        <v>1859.9838764723963</v>
      </c>
      <c r="AU26" s="201">
        <f t="shared" si="41"/>
        <v>1934.383231531292</v>
      </c>
      <c r="AV26" s="201">
        <f t="shared" si="41"/>
        <v>2011.7585607925441</v>
      </c>
      <c r="AW26" s="201">
        <f t="shared" si="41"/>
        <v>2092.2289032242461</v>
      </c>
      <c r="AX26" s="201">
        <f t="shared" si="41"/>
        <v>2175.918059353216</v>
      </c>
      <c r="AY26" s="201">
        <f t="shared" si="41"/>
        <v>2262.9547817273447</v>
      </c>
      <c r="AZ26" s="201">
        <f t="shared" si="41"/>
        <v>2353.4729729964383</v>
      </c>
      <c r="BA26" s="201">
        <f t="shared" si="41"/>
        <v>2447.6118919162959</v>
      </c>
      <c r="BB26" s="201">
        <f t="shared" si="41"/>
        <v>2545.516367592948</v>
      </c>
      <c r="BC26" s="201">
        <f t="shared" si="41"/>
        <v>2647.337022296666</v>
      </c>
      <c r="BD26" s="201">
        <f t="shared" si="41"/>
        <v>2753.230503188533</v>
      </c>
      <c r="BE26" s="201">
        <f t="shared" si="41"/>
        <v>2863.3597233160745</v>
      </c>
    </row>
    <row r="27" spans="1:64">
      <c r="A27" s="560"/>
      <c r="B27" s="560"/>
      <c r="C27" s="519" t="s">
        <v>519</v>
      </c>
      <c r="D27" s="201">
        <f t="shared" si="40"/>
        <v>501313.43816143752</v>
      </c>
      <c r="E27" s="201">
        <f t="shared" si="40"/>
        <v>1849682.1498514023</v>
      </c>
      <c r="F27" s="201">
        <f t="shared" si="40"/>
        <v>2866535.8708115709</v>
      </c>
      <c r="G27" s="201">
        <f t="shared" si="40"/>
        <v>3922776.8887828961</v>
      </c>
      <c r="H27" s="201">
        <f t="shared" si="40"/>
        <v>5153290.0602116352</v>
      </c>
      <c r="I27" s="201">
        <f t="shared" si="40"/>
        <v>5359421.6626201011</v>
      </c>
      <c r="J27" s="201">
        <f t="shared" si="40"/>
        <v>5589069.2100266172</v>
      </c>
      <c r="K27" s="201">
        <f t="shared" si="40"/>
        <v>5796750.4702899018</v>
      </c>
      <c r="L27" s="201">
        <f t="shared" si="40"/>
        <v>6028620.4891014984</v>
      </c>
      <c r="M27" s="201">
        <f t="shared" si="40"/>
        <v>6269765.3086655587</v>
      </c>
      <c r="N27" s="201">
        <f t="shared" si="40"/>
        <v>6538420.4577820757</v>
      </c>
      <c r="O27" s="201">
        <f t="shared" si="40"/>
        <v>6781378.1578526683</v>
      </c>
      <c r="P27" s="201">
        <f t="shared" si="40"/>
        <v>7052633.2841667747</v>
      </c>
      <c r="Q27" s="201">
        <f t="shared" si="40"/>
        <v>7334738.6155334469</v>
      </c>
      <c r="R27" s="201">
        <f t="shared" si="40"/>
        <v>7649027.1414154824</v>
      </c>
      <c r="S27" s="201">
        <f t="shared" si="40"/>
        <v>7933253.2865609769</v>
      </c>
      <c r="T27" s="201">
        <f t="shared" si="40"/>
        <v>8250583.4180234168</v>
      </c>
      <c r="V27" s="522">
        <f>'Прогноз F&amp;B'!F57</f>
        <v>0.19</v>
      </c>
      <c r="W27" s="522">
        <f>'Прогноз F&amp;B'!G57</f>
        <v>0.19</v>
      </c>
      <c r="X27" s="522">
        <f>'Прогноз F&amp;B'!H57</f>
        <v>0.19</v>
      </c>
      <c r="Y27" s="522">
        <f>'Прогноз F&amp;B'!I57</f>
        <v>0.19</v>
      </c>
      <c r="Z27" s="522">
        <f>'Прогноз F&amp;B'!J57</f>
        <v>0.19</v>
      </c>
      <c r="AA27" s="567">
        <f t="shared" si="38"/>
        <v>0.19</v>
      </c>
      <c r="AB27" s="567">
        <f t="shared" si="38"/>
        <v>0.19</v>
      </c>
      <c r="AC27" s="567">
        <f t="shared" si="38"/>
        <v>0.19</v>
      </c>
      <c r="AD27" s="567">
        <f t="shared" si="38"/>
        <v>0.19</v>
      </c>
      <c r="AE27" s="567">
        <f t="shared" si="38"/>
        <v>0.19</v>
      </c>
      <c r="AF27" s="567">
        <f t="shared" si="38"/>
        <v>0.19</v>
      </c>
      <c r="AG27" s="567">
        <f t="shared" si="38"/>
        <v>0.19</v>
      </c>
      <c r="AH27" s="567">
        <f t="shared" si="38"/>
        <v>0.19</v>
      </c>
      <c r="AI27" s="567">
        <f t="shared" si="38"/>
        <v>0.19</v>
      </c>
      <c r="AJ27" s="567">
        <f t="shared" si="38"/>
        <v>0.19</v>
      </c>
      <c r="AK27" s="567">
        <f t="shared" si="38"/>
        <v>0.19</v>
      </c>
      <c r="AL27" s="567">
        <f t="shared" si="38"/>
        <v>0.19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64">
      <c r="A28" s="560"/>
      <c r="B28" s="560"/>
      <c r="C28" s="519" t="s">
        <v>520</v>
      </c>
      <c r="D28" s="201">
        <f t="shared" ref="D28:T29" si="42">V28*D22</f>
        <v>3298114.7247462994</v>
      </c>
      <c r="E28" s="201">
        <f t="shared" si="42"/>
        <v>7788135.367795378</v>
      </c>
      <c r="F28" s="201">
        <f t="shared" si="42"/>
        <v>8486454.8806921504</v>
      </c>
      <c r="G28" s="201">
        <f t="shared" si="42"/>
        <v>8671401.5436253473</v>
      </c>
      <c r="H28" s="201">
        <f t="shared" si="42"/>
        <v>9040859.7547572553</v>
      </c>
      <c r="I28" s="201">
        <f t="shared" si="42"/>
        <v>9402494.1449475475</v>
      </c>
      <c r="J28" s="201">
        <f t="shared" si="42"/>
        <v>9805384.5789940655</v>
      </c>
      <c r="K28" s="201">
        <f t="shared" si="42"/>
        <v>10169737.667175269</v>
      </c>
      <c r="L28" s="201">
        <f t="shared" si="42"/>
        <v>10576527.173862278</v>
      </c>
      <c r="M28" s="201">
        <f t="shared" si="42"/>
        <v>10999588.260816772</v>
      </c>
      <c r="N28" s="201">
        <f t="shared" si="42"/>
        <v>11470913.083828205</v>
      </c>
      <c r="O28" s="201">
        <f t="shared" si="42"/>
        <v>11897154.66289942</v>
      </c>
      <c r="P28" s="201">
        <f t="shared" si="42"/>
        <v>12373040.849415397</v>
      </c>
      <c r="Q28" s="201">
        <f t="shared" si="42"/>
        <v>12867962.483392013</v>
      </c>
      <c r="R28" s="201">
        <f t="shared" si="42"/>
        <v>13419345.862132426</v>
      </c>
      <c r="S28" s="201">
        <f t="shared" si="42"/>
        <v>13917988.222036803</v>
      </c>
      <c r="T28" s="201">
        <f t="shared" si="42"/>
        <v>14474707.750918277</v>
      </c>
      <c r="V28" s="522">
        <f>'Прогноз F&amp;B'!F64</f>
        <v>0.05</v>
      </c>
      <c r="W28" s="522">
        <f>'Прогноз F&amp;B'!G64</f>
        <v>0.05</v>
      </c>
      <c r="X28" s="522">
        <f>'Прогноз F&amp;B'!H64</f>
        <v>0.05</v>
      </c>
      <c r="Y28" s="522">
        <f>'Прогноз F&amp;B'!I64</f>
        <v>0.05</v>
      </c>
      <c r="Z28" s="522">
        <f>'Прогноз F&amp;B'!J64</f>
        <v>0.05</v>
      </c>
      <c r="AA28" s="567">
        <f t="shared" si="38"/>
        <v>0.05</v>
      </c>
      <c r="AB28" s="567">
        <f t="shared" si="38"/>
        <v>0.05</v>
      </c>
      <c r="AC28" s="567">
        <f t="shared" si="38"/>
        <v>0.05</v>
      </c>
      <c r="AD28" s="567">
        <f t="shared" si="38"/>
        <v>0.05</v>
      </c>
      <c r="AE28" s="567">
        <f t="shared" si="38"/>
        <v>0.05</v>
      </c>
      <c r="AF28" s="567">
        <f t="shared" si="38"/>
        <v>0.05</v>
      </c>
      <c r="AG28" s="567">
        <f t="shared" si="38"/>
        <v>0.05</v>
      </c>
      <c r="AH28" s="567">
        <f t="shared" si="38"/>
        <v>0.05</v>
      </c>
      <c r="AI28" s="567">
        <f t="shared" si="38"/>
        <v>0.05</v>
      </c>
      <c r="AJ28" s="567">
        <f t="shared" si="38"/>
        <v>0.05</v>
      </c>
      <c r="AK28" s="567">
        <f t="shared" si="38"/>
        <v>0.05</v>
      </c>
      <c r="AL28" s="567">
        <f t="shared" si="38"/>
        <v>0.05</v>
      </c>
      <c r="AO28" s="201">
        <f t="shared" ref="AO28:BE28" si="43">D28/D$9</f>
        <v>300.79988223999999</v>
      </c>
      <c r="AP28" s="201">
        <f t="shared" si="43"/>
        <v>335.65020271411203</v>
      </c>
      <c r="AQ28" s="201">
        <f t="shared" si="43"/>
        <v>344.48310278553606</v>
      </c>
      <c r="AR28" s="201">
        <f t="shared" si="43"/>
        <v>334.37826510382695</v>
      </c>
      <c r="AS28" s="201">
        <f t="shared" si="43"/>
        <v>331.19371019807625</v>
      </c>
      <c r="AT28" s="201">
        <f t="shared" si="43"/>
        <v>344.44145860599934</v>
      </c>
      <c r="AU28" s="201">
        <f t="shared" si="43"/>
        <v>358.21911695023925</v>
      </c>
      <c r="AV28" s="201">
        <f t="shared" si="43"/>
        <v>372.54788162824894</v>
      </c>
      <c r="AW28" s="201">
        <f t="shared" si="43"/>
        <v>387.44979689337885</v>
      </c>
      <c r="AX28" s="201">
        <f t="shared" si="43"/>
        <v>402.94778876911408</v>
      </c>
      <c r="AY28" s="201">
        <f t="shared" si="43"/>
        <v>419.06570031987854</v>
      </c>
      <c r="AZ28" s="201">
        <f t="shared" si="43"/>
        <v>435.82832833267378</v>
      </c>
      <c r="BA28" s="201">
        <f t="shared" si="43"/>
        <v>453.26146146598074</v>
      </c>
      <c r="BB28" s="201">
        <f t="shared" si="43"/>
        <v>471.39191992461997</v>
      </c>
      <c r="BC28" s="201">
        <f t="shared" si="43"/>
        <v>490.24759672160479</v>
      </c>
      <c r="BD28" s="201">
        <f t="shared" si="43"/>
        <v>509.85750059046904</v>
      </c>
      <c r="BE28" s="201">
        <f t="shared" si="43"/>
        <v>530.25180061408787</v>
      </c>
    </row>
    <row r="29" spans="1:64">
      <c r="A29" s="560"/>
      <c r="B29" s="560"/>
      <c r="C29" s="519" t="s">
        <v>521</v>
      </c>
      <c r="D29" s="201">
        <f t="shared" si="42"/>
        <v>131924.58898985197</v>
      </c>
      <c r="E29" s="201">
        <f t="shared" si="42"/>
        <v>486758.46048721112</v>
      </c>
      <c r="F29" s="201">
        <f t="shared" si="42"/>
        <v>754351.5449504134</v>
      </c>
      <c r="G29" s="201">
        <f t="shared" si="42"/>
        <v>1032309.7075744463</v>
      </c>
      <c r="H29" s="201">
        <f t="shared" si="42"/>
        <v>1356128.9632135883</v>
      </c>
      <c r="I29" s="201">
        <f t="shared" si="42"/>
        <v>1410374.1217421319</v>
      </c>
      <c r="J29" s="201">
        <f t="shared" si="42"/>
        <v>1470807.6868491098</v>
      </c>
      <c r="K29" s="201">
        <f t="shared" si="42"/>
        <v>1525460.6500762901</v>
      </c>
      <c r="L29" s="201">
        <f t="shared" si="42"/>
        <v>1586479.0760793416</v>
      </c>
      <c r="M29" s="201">
        <f t="shared" si="42"/>
        <v>1649938.2391225155</v>
      </c>
      <c r="N29" s="201">
        <f t="shared" si="42"/>
        <v>1720636.9625742305</v>
      </c>
      <c r="O29" s="201">
        <f t="shared" si="42"/>
        <v>1784573.1994349128</v>
      </c>
      <c r="P29" s="201">
        <f t="shared" si="42"/>
        <v>1855956.1274123092</v>
      </c>
      <c r="Q29" s="201">
        <f t="shared" si="42"/>
        <v>1930194.372508802</v>
      </c>
      <c r="R29" s="201">
        <f t="shared" si="42"/>
        <v>2012901.8793198639</v>
      </c>
      <c r="S29" s="201">
        <f t="shared" si="42"/>
        <v>2087698.2333055204</v>
      </c>
      <c r="T29" s="201">
        <f t="shared" si="42"/>
        <v>2171206.1626377413</v>
      </c>
      <c r="V29" s="522">
        <f>'Прогноз F&amp;B'!F72</f>
        <v>0.05</v>
      </c>
      <c r="W29" s="522">
        <f>'Прогноз F&amp;B'!G72</f>
        <v>0.05</v>
      </c>
      <c r="X29" s="522">
        <f>'Прогноз F&amp;B'!H72</f>
        <v>0.05</v>
      </c>
      <c r="Y29" s="522">
        <f>'Прогноз F&amp;B'!I72</f>
        <v>0.05</v>
      </c>
      <c r="Z29" s="522">
        <f>'Прогноз F&amp;B'!J72</f>
        <v>0.05</v>
      </c>
      <c r="AA29" s="567">
        <f t="shared" si="38"/>
        <v>0.05</v>
      </c>
      <c r="AB29" s="567">
        <f t="shared" si="38"/>
        <v>0.05</v>
      </c>
      <c r="AC29" s="567">
        <f t="shared" si="38"/>
        <v>0.05</v>
      </c>
      <c r="AD29" s="567">
        <f t="shared" si="38"/>
        <v>0.05</v>
      </c>
      <c r="AE29" s="567">
        <f t="shared" si="38"/>
        <v>0.05</v>
      </c>
      <c r="AF29" s="567">
        <f t="shared" si="38"/>
        <v>0.05</v>
      </c>
      <c r="AG29" s="567">
        <f t="shared" si="38"/>
        <v>0.05</v>
      </c>
      <c r="AH29" s="567">
        <f t="shared" si="38"/>
        <v>0.05</v>
      </c>
      <c r="AI29" s="567">
        <f t="shared" si="38"/>
        <v>0.05</v>
      </c>
      <c r="AJ29" s="567">
        <f t="shared" si="38"/>
        <v>0.05</v>
      </c>
      <c r="AK29" s="567">
        <f t="shared" si="38"/>
        <v>0.05</v>
      </c>
      <c r="AL29" s="567">
        <f t="shared" si="38"/>
        <v>0.05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64">
      <c r="A30" s="560"/>
      <c r="B30" s="560"/>
      <c r="C30" s="521" t="s">
        <v>28</v>
      </c>
      <c r="D30" s="556">
        <f>SUM(D24:D28)</f>
        <v>52928145.102728613</v>
      </c>
      <c r="E30" s="556">
        <f t="shared" ref="E30:T30" si="44">SUM(E24:E28)</f>
        <v>122955187.11906953</v>
      </c>
      <c r="F30" s="556">
        <f t="shared" si="44"/>
        <v>131973802.78907481</v>
      </c>
      <c r="G30" s="556">
        <f t="shared" si="44"/>
        <v>136471343.34134179</v>
      </c>
      <c r="H30" s="556">
        <f t="shared" si="44"/>
        <v>144020895.89328307</v>
      </c>
      <c r="I30" s="556">
        <f t="shared" si="44"/>
        <v>149781731.72901443</v>
      </c>
      <c r="J30" s="556">
        <f t="shared" si="44"/>
        <v>156199776.34337547</v>
      </c>
      <c r="K30" s="556">
        <f t="shared" si="44"/>
        <v>162003921.03810203</v>
      </c>
      <c r="L30" s="556">
        <f t="shared" si="44"/>
        <v>168484077.8796261</v>
      </c>
      <c r="M30" s="556">
        <f t="shared" si="44"/>
        <v>175223440.99481121</v>
      </c>
      <c r="N30" s="556">
        <f t="shared" si="44"/>
        <v>182731645.42538333</v>
      </c>
      <c r="O30" s="556">
        <f t="shared" si="44"/>
        <v>189521673.77998775</v>
      </c>
      <c r="P30" s="556">
        <f t="shared" si="44"/>
        <v>197102540.73118725</v>
      </c>
      <c r="Q30" s="556">
        <f t="shared" si="44"/>
        <v>204986642.36043474</v>
      </c>
      <c r="R30" s="556">
        <f t="shared" si="44"/>
        <v>213770179.58376956</v>
      </c>
      <c r="S30" s="556">
        <f t="shared" si="44"/>
        <v>221713552.37704629</v>
      </c>
      <c r="T30" s="556">
        <f t="shared" si="44"/>
        <v>230582094.47212809</v>
      </c>
      <c r="V30" s="568">
        <f t="shared" ref="V30:AL30" si="45">D30/D21</f>
        <v>0.77153846153846162</v>
      </c>
      <c r="W30" s="555">
        <f t="shared" si="45"/>
        <v>0.74294117647058833</v>
      </c>
      <c r="X30" s="555">
        <f t="shared" si="45"/>
        <v>0.71408163265306124</v>
      </c>
      <c r="Y30" s="555">
        <f t="shared" si="45"/>
        <v>0.70319148936170217</v>
      </c>
      <c r="Z30" s="568">
        <f t="shared" si="45"/>
        <v>0.69260869565217387</v>
      </c>
      <c r="AA30" s="555">
        <f t="shared" si="45"/>
        <v>0.69260869565217398</v>
      </c>
      <c r="AB30" s="555">
        <f t="shared" si="45"/>
        <v>0.69260869565217398</v>
      </c>
      <c r="AC30" s="555">
        <f t="shared" si="45"/>
        <v>0.69260869565217398</v>
      </c>
      <c r="AD30" s="555">
        <f t="shared" si="45"/>
        <v>0.69260869565217387</v>
      </c>
      <c r="AE30" s="555">
        <f t="shared" si="45"/>
        <v>0.69260869565217409</v>
      </c>
      <c r="AF30" s="555">
        <f t="shared" si="45"/>
        <v>0.69260869565217409</v>
      </c>
      <c r="AG30" s="555">
        <f t="shared" si="45"/>
        <v>0.69260869565217398</v>
      </c>
      <c r="AH30" s="555">
        <f t="shared" si="45"/>
        <v>0.69260869565217398</v>
      </c>
      <c r="AI30" s="555">
        <f t="shared" si="45"/>
        <v>0.69260869565217387</v>
      </c>
      <c r="AJ30" s="555">
        <f t="shared" si="45"/>
        <v>0.69260869565217398</v>
      </c>
      <c r="AK30" s="555">
        <f t="shared" si="45"/>
        <v>0.69260869565217398</v>
      </c>
      <c r="AL30" s="555">
        <f t="shared" si="45"/>
        <v>0.69260869565217387</v>
      </c>
      <c r="AO30" s="556">
        <f t="shared" ref="AO30:BE30" si="46">D30/D$9</f>
        <v>4827.2365101875203</v>
      </c>
      <c r="AP30" s="556">
        <f t="shared" si="46"/>
        <v>5299.0775753490434</v>
      </c>
      <c r="AQ30" s="556">
        <f t="shared" si="46"/>
        <v>5357.0950073181803</v>
      </c>
      <c r="AR30" s="556">
        <f t="shared" si="46"/>
        <v>5262.4769817530869</v>
      </c>
      <c r="AS30" s="556">
        <f t="shared" si="46"/>
        <v>5275.9158034553539</v>
      </c>
      <c r="AT30" s="556">
        <f t="shared" si="46"/>
        <v>5486.9524355935691</v>
      </c>
      <c r="AU30" s="556">
        <f t="shared" si="46"/>
        <v>5706.430533017312</v>
      </c>
      <c r="AV30" s="556">
        <f t="shared" si="46"/>
        <v>5934.687754338006</v>
      </c>
      <c r="AW30" s="556">
        <f t="shared" si="46"/>
        <v>6172.0752645115253</v>
      </c>
      <c r="AX30" s="556">
        <f t="shared" si="46"/>
        <v>6418.958275091989</v>
      </c>
      <c r="AY30" s="556">
        <f t="shared" si="46"/>
        <v>6675.7166060956661</v>
      </c>
      <c r="AZ30" s="556">
        <f t="shared" si="46"/>
        <v>6942.7452703394929</v>
      </c>
      <c r="BA30" s="556">
        <f t="shared" si="46"/>
        <v>7220.4550811530726</v>
      </c>
      <c r="BB30" s="556">
        <f t="shared" si="46"/>
        <v>7509.2732843991953</v>
      </c>
      <c r="BC30" s="556">
        <f t="shared" si="46"/>
        <v>7809.6442157751644</v>
      </c>
      <c r="BD30" s="556">
        <f t="shared" si="46"/>
        <v>8122.0299844061719</v>
      </c>
      <c r="BE30" s="556">
        <f t="shared" si="46"/>
        <v>8446.9111837824184</v>
      </c>
    </row>
    <row r="31" spans="1:64">
      <c r="A31" s="511"/>
      <c r="B31" s="511"/>
      <c r="C31" s="521" t="s">
        <v>18</v>
      </c>
      <c r="D31" s="554">
        <f t="shared" ref="D31:T31" si="47">D21-D30</f>
        <v>15672641.17199441</v>
      </c>
      <c r="E31" s="556">
        <f t="shared" si="47"/>
        <v>42542689.446582243</v>
      </c>
      <c r="F31" s="556">
        <f t="shared" si="47"/>
        <v>52842325.72377646</v>
      </c>
      <c r="G31" s="556">
        <f t="shared" si="47"/>
        <v>57602881.682654083</v>
      </c>
      <c r="H31" s="556">
        <f t="shared" si="47"/>
        <v>63918878.466133803</v>
      </c>
      <c r="I31" s="556">
        <f t="shared" si="47"/>
        <v>66475633.604779154</v>
      </c>
      <c r="J31" s="556">
        <f t="shared" si="47"/>
        <v>69324068.973488033</v>
      </c>
      <c r="K31" s="556">
        <f t="shared" si="47"/>
        <v>71900045.306929111</v>
      </c>
      <c r="L31" s="556">
        <f t="shared" si="47"/>
        <v>74776047.119206309</v>
      </c>
      <c r="M31" s="556">
        <f t="shared" si="47"/>
        <v>77767089.003974527</v>
      </c>
      <c r="N31" s="556">
        <f t="shared" si="47"/>
        <v>81099355.502665371</v>
      </c>
      <c r="O31" s="556">
        <f t="shared" si="47"/>
        <v>84112883.466698885</v>
      </c>
      <c r="P31" s="556">
        <f t="shared" si="47"/>
        <v>87477398.805366844</v>
      </c>
      <c r="Q31" s="556">
        <f t="shared" si="47"/>
        <v>90976494.757581562</v>
      </c>
      <c r="R31" s="556">
        <f t="shared" si="47"/>
        <v>94874775.245276213</v>
      </c>
      <c r="S31" s="556">
        <f t="shared" si="47"/>
        <v>98400176.729800165</v>
      </c>
      <c r="T31" s="556">
        <f t="shared" si="47"/>
        <v>102336183.79899222</v>
      </c>
      <c r="V31" s="568">
        <f t="shared" ref="V31:AL31" si="48">D31/D21</f>
        <v>0.22846153846153841</v>
      </c>
      <c r="W31" s="555">
        <f t="shared" si="48"/>
        <v>0.25705882352941173</v>
      </c>
      <c r="X31" s="555">
        <f t="shared" si="48"/>
        <v>0.28591836734693882</v>
      </c>
      <c r="Y31" s="555">
        <f t="shared" si="48"/>
        <v>0.29680851063829783</v>
      </c>
      <c r="Z31" s="555">
        <f t="shared" si="48"/>
        <v>0.30739130434782613</v>
      </c>
      <c r="AA31" s="555">
        <f t="shared" si="48"/>
        <v>0.30739130434782608</v>
      </c>
      <c r="AB31" s="555">
        <f t="shared" si="48"/>
        <v>0.30739130434782602</v>
      </c>
      <c r="AC31" s="555">
        <f t="shared" si="48"/>
        <v>0.30739130434782597</v>
      </c>
      <c r="AD31" s="555">
        <f t="shared" si="48"/>
        <v>0.30739130434782608</v>
      </c>
      <c r="AE31" s="555">
        <f t="shared" si="48"/>
        <v>0.30739130434782591</v>
      </c>
      <c r="AF31" s="555">
        <f t="shared" si="48"/>
        <v>0.30739130434782597</v>
      </c>
      <c r="AG31" s="555">
        <f t="shared" si="48"/>
        <v>0.30739130434782608</v>
      </c>
      <c r="AH31" s="555">
        <f t="shared" si="48"/>
        <v>0.30739130434782608</v>
      </c>
      <c r="AI31" s="555">
        <f t="shared" si="48"/>
        <v>0.30739130434782619</v>
      </c>
      <c r="AJ31" s="555">
        <f t="shared" si="48"/>
        <v>0.30739130434782597</v>
      </c>
      <c r="AK31" s="555">
        <f t="shared" si="48"/>
        <v>0.30739130434782602</v>
      </c>
      <c r="AL31" s="555">
        <f t="shared" si="48"/>
        <v>0.30739130434782613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64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>
        <f>D33/D$12</f>
        <v>8.6705202312138727E-2</v>
      </c>
      <c r="W32" s="570">
        <f t="shared" ref="W32:AL32" si="49">E33/E$12</f>
        <v>8.7463556851311963E-2</v>
      </c>
      <c r="X32" s="570">
        <f t="shared" si="49"/>
        <v>8.8757396449704123E-2</v>
      </c>
      <c r="Y32" s="570">
        <f t="shared" si="49"/>
        <v>8.9982003599280116E-2</v>
      </c>
      <c r="Z32" s="570">
        <f t="shared" si="49"/>
        <v>9.0634441087613288E-2</v>
      </c>
      <c r="AA32" s="570">
        <f t="shared" si="49"/>
        <v>9.0634441087613288E-2</v>
      </c>
      <c r="AB32" s="570">
        <f t="shared" si="49"/>
        <v>9.0634441087613302E-2</v>
      </c>
      <c r="AC32" s="570">
        <f t="shared" si="49"/>
        <v>9.0634441087613288E-2</v>
      </c>
      <c r="AD32" s="570">
        <f t="shared" si="49"/>
        <v>9.0634441087613288E-2</v>
      </c>
      <c r="AE32" s="570">
        <f t="shared" si="49"/>
        <v>9.0634441087613288E-2</v>
      </c>
      <c r="AF32" s="570">
        <f t="shared" si="49"/>
        <v>9.0634441087613288E-2</v>
      </c>
      <c r="AG32" s="570">
        <f t="shared" si="49"/>
        <v>9.0634441087613274E-2</v>
      </c>
      <c r="AH32" s="570">
        <f t="shared" si="49"/>
        <v>9.0634441087613302E-2</v>
      </c>
      <c r="AI32" s="570">
        <f t="shared" si="49"/>
        <v>9.0634441087613274E-2</v>
      </c>
      <c r="AJ32" s="570">
        <f t="shared" si="49"/>
        <v>9.0634441087613288E-2</v>
      </c>
      <c r="AK32" s="570">
        <f t="shared" si="49"/>
        <v>9.0634441087613288E-2</v>
      </c>
      <c r="AL32" s="570">
        <f t="shared" si="49"/>
        <v>9.0634441087613288E-2</v>
      </c>
      <c r="AO32" s="1044">
        <f>AO33/LOOKUP(AO$3,CPI!$3:$3,CPI!$5:$5)</f>
        <v>1483.413461538461</v>
      </c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>
      <c r="A33" s="553"/>
      <c r="B33" s="553"/>
      <c r="C33" s="521" t="s">
        <v>17</v>
      </c>
      <c r="D33" s="556">
        <f t="shared" ref="D33:T33" si="50">V33*D14</f>
        <v>19788688.348477796</v>
      </c>
      <c r="E33" s="556">
        <f t="shared" si="50"/>
        <v>48675846.048721112</v>
      </c>
      <c r="F33" s="556">
        <f t="shared" si="50"/>
        <v>56576365.871280998</v>
      </c>
      <c r="G33" s="556">
        <f t="shared" si="50"/>
        <v>61938582.454466768</v>
      </c>
      <c r="H33" s="556">
        <f t="shared" si="50"/>
        <v>67806448.160679415</v>
      </c>
      <c r="I33" s="556">
        <f t="shared" si="50"/>
        <v>70518706.087106586</v>
      </c>
      <c r="J33" s="556">
        <f t="shared" si="50"/>
        <v>73540384.342455491</v>
      </c>
      <c r="K33" s="556">
        <f t="shared" si="50"/>
        <v>76273032.503814504</v>
      </c>
      <c r="L33" s="556">
        <f t="shared" si="50"/>
        <v>79323953.803967074</v>
      </c>
      <c r="M33" s="556">
        <f t="shared" si="50"/>
        <v>82496911.956125766</v>
      </c>
      <c r="N33" s="556">
        <f t="shared" si="50"/>
        <v>86031848.128711522</v>
      </c>
      <c r="O33" s="556">
        <f t="shared" si="50"/>
        <v>89228659.971745625</v>
      </c>
      <c r="P33" s="556">
        <f t="shared" si="50"/>
        <v>92797806.370615467</v>
      </c>
      <c r="Q33" s="556">
        <f t="shared" si="50"/>
        <v>96509718.625440091</v>
      </c>
      <c r="R33" s="556">
        <f t="shared" si="50"/>
        <v>100645093.96599318</v>
      </c>
      <c r="S33" s="556">
        <f t="shared" si="50"/>
        <v>104384911.66527602</v>
      </c>
      <c r="T33" s="556">
        <f t="shared" si="50"/>
        <v>108560308.13188705</v>
      </c>
      <c r="V33" s="558">
        <f>'Прогноз прочих'!F6</f>
        <v>0.15</v>
      </c>
      <c r="W33" s="559">
        <f>'Прогноз прочих'!G6</f>
        <v>0.15</v>
      </c>
      <c r="X33" s="559">
        <f>'Прогноз прочих'!H6</f>
        <v>0.15</v>
      </c>
      <c r="Y33" s="559">
        <f>'Прогноз прочих'!I6</f>
        <v>0.15</v>
      </c>
      <c r="Z33" s="559">
        <f>'Прогноз прочих'!J6</f>
        <v>0.15</v>
      </c>
      <c r="AA33" s="559">
        <f>Z33</f>
        <v>0.15</v>
      </c>
      <c r="AB33" s="559">
        <f t="shared" ref="AB33:AL35" si="51">AA33</f>
        <v>0.15</v>
      </c>
      <c r="AC33" s="559">
        <f t="shared" si="51"/>
        <v>0.15</v>
      </c>
      <c r="AD33" s="559">
        <f t="shared" si="51"/>
        <v>0.15</v>
      </c>
      <c r="AE33" s="559">
        <f t="shared" si="51"/>
        <v>0.15</v>
      </c>
      <c r="AF33" s="559">
        <f t="shared" si="51"/>
        <v>0.15</v>
      </c>
      <c r="AG33" s="559">
        <f t="shared" si="51"/>
        <v>0.15</v>
      </c>
      <c r="AH33" s="559">
        <f t="shared" si="51"/>
        <v>0.15</v>
      </c>
      <c r="AI33" s="559">
        <f t="shared" si="51"/>
        <v>0.15</v>
      </c>
      <c r="AJ33" s="559">
        <f t="shared" si="51"/>
        <v>0.15</v>
      </c>
      <c r="AK33" s="559">
        <f t="shared" si="51"/>
        <v>0.15</v>
      </c>
      <c r="AL33" s="559">
        <f t="shared" si="51"/>
        <v>0.15</v>
      </c>
      <c r="AO33" s="556">
        <f t="shared" ref="AO33:BD36" si="52">D33/D$9</f>
        <v>1804.7992934399999</v>
      </c>
      <c r="AP33" s="556">
        <f t="shared" si="52"/>
        <v>2097.8137669632001</v>
      </c>
      <c r="AQ33" s="556">
        <f t="shared" si="52"/>
        <v>2296.5540185702403</v>
      </c>
      <c r="AR33" s="556">
        <f t="shared" si="52"/>
        <v>2388.4161793130497</v>
      </c>
      <c r="AS33" s="556">
        <f t="shared" si="52"/>
        <v>2483.9528264855717</v>
      </c>
      <c r="AT33" s="556">
        <f t="shared" si="52"/>
        <v>2583.3109395449942</v>
      </c>
      <c r="AU33" s="556">
        <f t="shared" si="52"/>
        <v>2686.6433771267943</v>
      </c>
      <c r="AV33" s="556">
        <f t="shared" si="52"/>
        <v>2794.1091122118664</v>
      </c>
      <c r="AW33" s="556">
        <f t="shared" si="52"/>
        <v>2905.8734767003407</v>
      </c>
      <c r="AX33" s="556">
        <f t="shared" si="52"/>
        <v>3022.1084157683549</v>
      </c>
      <c r="AY33" s="556">
        <f t="shared" si="52"/>
        <v>3142.9927523990887</v>
      </c>
      <c r="AZ33" s="556">
        <f t="shared" si="52"/>
        <v>3268.7124624950525</v>
      </c>
      <c r="BA33" s="556">
        <f t="shared" si="52"/>
        <v>3399.4609609948552</v>
      </c>
      <c r="BB33" s="556">
        <f t="shared" si="52"/>
        <v>3535.4393994346497</v>
      </c>
      <c r="BC33" s="556">
        <f t="shared" si="52"/>
        <v>3676.8569754120354</v>
      </c>
      <c r="BD33" s="556">
        <f t="shared" si="52"/>
        <v>3823.9312544285176</v>
      </c>
      <c r="BE33" s="556">
        <f t="shared" ref="AY33:BE36" si="53">T33/T$9</f>
        <v>3976.888504605658</v>
      </c>
    </row>
    <row r="34" spans="1:57">
      <c r="A34" s="511"/>
      <c r="B34" s="511"/>
      <c r="C34" s="519" t="s">
        <v>25</v>
      </c>
      <c r="D34" s="201">
        <f t="shared" ref="D34:T34" si="54">V34*D33</f>
        <v>8904909.7568150088</v>
      </c>
      <c r="E34" s="201">
        <f t="shared" si="54"/>
        <v>21904130.721924502</v>
      </c>
      <c r="F34" s="201">
        <f t="shared" si="54"/>
        <v>25459364.642076451</v>
      </c>
      <c r="G34" s="201">
        <f t="shared" si="54"/>
        <v>27872362.104510047</v>
      </c>
      <c r="H34" s="201">
        <f t="shared" si="54"/>
        <v>30512901.672305737</v>
      </c>
      <c r="I34" s="201">
        <f t="shared" si="54"/>
        <v>31733417.739197966</v>
      </c>
      <c r="J34" s="201">
        <f t="shared" si="54"/>
        <v>33093172.954104971</v>
      </c>
      <c r="K34" s="201">
        <f t="shared" si="54"/>
        <v>34322864.626716524</v>
      </c>
      <c r="L34" s="201">
        <f t="shared" si="54"/>
        <v>35695779.211785182</v>
      </c>
      <c r="M34" s="201">
        <f t="shared" si="54"/>
        <v>37123610.380256593</v>
      </c>
      <c r="N34" s="201">
        <f t="shared" si="54"/>
        <v>38714331.657920189</v>
      </c>
      <c r="O34" s="201">
        <f t="shared" si="54"/>
        <v>40152896.987285532</v>
      </c>
      <c r="P34" s="201">
        <f t="shared" si="54"/>
        <v>41759012.866776958</v>
      </c>
      <c r="Q34" s="201">
        <f t="shared" si="54"/>
        <v>43429373.381448045</v>
      </c>
      <c r="R34" s="201">
        <f t="shared" si="54"/>
        <v>45290292.284696929</v>
      </c>
      <c r="S34" s="201">
        <f t="shared" si="54"/>
        <v>46973210.249374211</v>
      </c>
      <c r="T34" s="201">
        <f t="shared" si="54"/>
        <v>48852138.659349173</v>
      </c>
      <c r="V34" s="522">
        <f>'Прогноз прочих'!F10</f>
        <v>0.45</v>
      </c>
      <c r="W34" s="522">
        <f>'Прогноз прочих'!G10</f>
        <v>0.45</v>
      </c>
      <c r="X34" s="522">
        <f>'Прогноз прочих'!H10</f>
        <v>0.45</v>
      </c>
      <c r="Y34" s="522">
        <f>'Прогноз прочих'!I10</f>
        <v>0.45</v>
      </c>
      <c r="Z34" s="522">
        <f>'Прогноз прочих'!J10</f>
        <v>0.45</v>
      </c>
      <c r="AA34" s="522">
        <f>Z34</f>
        <v>0.45</v>
      </c>
      <c r="AB34" s="522">
        <f t="shared" si="51"/>
        <v>0.45</v>
      </c>
      <c r="AC34" s="522">
        <f t="shared" si="51"/>
        <v>0.45</v>
      </c>
      <c r="AD34" s="522">
        <f t="shared" si="51"/>
        <v>0.45</v>
      </c>
      <c r="AE34" s="522">
        <f t="shared" si="51"/>
        <v>0.45</v>
      </c>
      <c r="AF34" s="522">
        <f t="shared" si="51"/>
        <v>0.45</v>
      </c>
      <c r="AG34" s="522">
        <f t="shared" si="51"/>
        <v>0.45</v>
      </c>
      <c r="AH34" s="522">
        <f t="shared" si="51"/>
        <v>0.45</v>
      </c>
      <c r="AI34" s="522">
        <f t="shared" si="51"/>
        <v>0.45</v>
      </c>
      <c r="AJ34" s="522">
        <f t="shared" si="51"/>
        <v>0.45</v>
      </c>
      <c r="AK34" s="522">
        <f t="shared" si="51"/>
        <v>0.45</v>
      </c>
      <c r="AL34" s="522">
        <f t="shared" si="51"/>
        <v>0.45</v>
      </c>
      <c r="AO34" s="201">
        <f t="shared" si="52"/>
        <v>812.15968204800004</v>
      </c>
      <c r="AP34" s="201">
        <f t="shared" si="52"/>
        <v>944.01619513344019</v>
      </c>
      <c r="AQ34" s="201">
        <f t="shared" si="52"/>
        <v>1033.4493083566081</v>
      </c>
      <c r="AR34" s="201">
        <f t="shared" si="52"/>
        <v>1074.7872806908724</v>
      </c>
      <c r="AS34" s="201">
        <f t="shared" si="52"/>
        <v>1117.7787719185073</v>
      </c>
      <c r="AT34" s="201">
        <f t="shared" si="52"/>
        <v>1162.4899227952476</v>
      </c>
      <c r="AU34" s="201">
        <f t="shared" si="52"/>
        <v>1208.9895197070575</v>
      </c>
      <c r="AV34" s="201">
        <f t="shared" si="52"/>
        <v>1257.3491004953398</v>
      </c>
      <c r="AW34" s="201">
        <f t="shared" si="52"/>
        <v>1307.6430645151534</v>
      </c>
      <c r="AX34" s="201">
        <f t="shared" si="52"/>
        <v>1359.9487870957596</v>
      </c>
      <c r="AY34" s="201">
        <f t="shared" si="53"/>
        <v>1414.34673857959</v>
      </c>
      <c r="AZ34" s="201">
        <f t="shared" si="53"/>
        <v>1470.9206081227737</v>
      </c>
      <c r="BA34" s="201">
        <f t="shared" si="53"/>
        <v>1529.7574324476848</v>
      </c>
      <c r="BB34" s="201">
        <f t="shared" si="53"/>
        <v>1590.9477297455926</v>
      </c>
      <c r="BC34" s="201">
        <f t="shared" si="53"/>
        <v>1654.5856389354158</v>
      </c>
      <c r="BD34" s="201">
        <f t="shared" si="53"/>
        <v>1720.769064492833</v>
      </c>
      <c r="BE34" s="201">
        <f t="shared" si="53"/>
        <v>1789.5998270725461</v>
      </c>
    </row>
    <row r="35" spans="1:57">
      <c r="A35" s="511"/>
      <c r="B35" s="511"/>
      <c r="C35" s="519" t="s">
        <v>26</v>
      </c>
      <c r="D35" s="201">
        <f t="shared" ref="D35:T35" si="55">V35*D33</f>
        <v>5540832.7375737829</v>
      </c>
      <c r="E35" s="201">
        <f t="shared" si="55"/>
        <v>13629236.893641913</v>
      </c>
      <c r="F35" s="201">
        <f t="shared" si="55"/>
        <v>15841382.443958681</v>
      </c>
      <c r="G35" s="201">
        <f t="shared" si="55"/>
        <v>17342803.087250698</v>
      </c>
      <c r="H35" s="201">
        <f t="shared" si="55"/>
        <v>18985805.484990239</v>
      </c>
      <c r="I35" s="201">
        <f t="shared" si="55"/>
        <v>19745237.704389844</v>
      </c>
      <c r="J35" s="201">
        <f t="shared" si="55"/>
        <v>20591307.615887541</v>
      </c>
      <c r="K35" s="201">
        <f t="shared" si="55"/>
        <v>21356449.101068065</v>
      </c>
      <c r="L35" s="201">
        <f t="shared" si="55"/>
        <v>22210707.065110784</v>
      </c>
      <c r="M35" s="201">
        <f t="shared" si="55"/>
        <v>23099135.347715218</v>
      </c>
      <c r="N35" s="201">
        <f t="shared" si="55"/>
        <v>24088917.476039227</v>
      </c>
      <c r="O35" s="201">
        <f t="shared" si="55"/>
        <v>24984024.792088777</v>
      </c>
      <c r="P35" s="201">
        <f t="shared" si="55"/>
        <v>25983385.783772334</v>
      </c>
      <c r="Q35" s="201">
        <f t="shared" si="55"/>
        <v>27022721.215123229</v>
      </c>
      <c r="R35" s="201">
        <f t="shared" si="55"/>
        <v>28180626.310478095</v>
      </c>
      <c r="S35" s="201">
        <f t="shared" si="55"/>
        <v>29227775.266277287</v>
      </c>
      <c r="T35" s="201">
        <f t="shared" si="55"/>
        <v>30396886.276928376</v>
      </c>
      <c r="V35" s="522">
        <f>'Прогноз прочих'!F14</f>
        <v>0.28000000000000003</v>
      </c>
      <c r="W35" s="522">
        <f>'Прогноз прочих'!G14</f>
        <v>0.28000000000000003</v>
      </c>
      <c r="X35" s="522">
        <f>'Прогноз прочих'!H14</f>
        <v>0.28000000000000003</v>
      </c>
      <c r="Y35" s="522">
        <f>'Прогноз прочих'!I14</f>
        <v>0.28000000000000003</v>
      </c>
      <c r="Z35" s="522">
        <f>'Прогноз прочих'!J14</f>
        <v>0.28000000000000003</v>
      </c>
      <c r="AA35" s="522">
        <f>Z35</f>
        <v>0.28000000000000003</v>
      </c>
      <c r="AB35" s="522">
        <f t="shared" si="51"/>
        <v>0.28000000000000003</v>
      </c>
      <c r="AC35" s="522">
        <f t="shared" si="51"/>
        <v>0.28000000000000003</v>
      </c>
      <c r="AD35" s="522">
        <f t="shared" si="51"/>
        <v>0.28000000000000003</v>
      </c>
      <c r="AE35" s="522">
        <f t="shared" si="51"/>
        <v>0.28000000000000003</v>
      </c>
      <c r="AF35" s="522">
        <f t="shared" si="51"/>
        <v>0.28000000000000003</v>
      </c>
      <c r="AG35" s="522">
        <f t="shared" si="51"/>
        <v>0.28000000000000003</v>
      </c>
      <c r="AH35" s="522">
        <f t="shared" si="51"/>
        <v>0.28000000000000003</v>
      </c>
      <c r="AI35" s="522">
        <f t="shared" si="51"/>
        <v>0.28000000000000003</v>
      </c>
      <c r="AJ35" s="522">
        <f t="shared" si="51"/>
        <v>0.28000000000000003</v>
      </c>
      <c r="AK35" s="522">
        <f t="shared" si="51"/>
        <v>0.28000000000000003</v>
      </c>
      <c r="AL35" s="522">
        <f t="shared" si="51"/>
        <v>0.28000000000000003</v>
      </c>
      <c r="AO35" s="201">
        <f t="shared" si="52"/>
        <v>505.3438021632</v>
      </c>
      <c r="AP35" s="201">
        <f t="shared" si="52"/>
        <v>587.38785474969609</v>
      </c>
      <c r="AQ35" s="201">
        <f t="shared" si="52"/>
        <v>643.03512519966728</v>
      </c>
      <c r="AR35" s="201">
        <f t="shared" si="52"/>
        <v>668.75653020765412</v>
      </c>
      <c r="AS35" s="201">
        <f t="shared" si="52"/>
        <v>695.50679141596015</v>
      </c>
      <c r="AT35" s="201">
        <f t="shared" si="52"/>
        <v>723.32706307259843</v>
      </c>
      <c r="AU35" s="201">
        <f t="shared" si="52"/>
        <v>752.26014559550265</v>
      </c>
      <c r="AV35" s="201">
        <f t="shared" si="52"/>
        <v>782.35055141932276</v>
      </c>
      <c r="AW35" s="201">
        <f t="shared" si="52"/>
        <v>813.64457347609562</v>
      </c>
      <c r="AX35" s="201">
        <f t="shared" si="52"/>
        <v>846.19035641513949</v>
      </c>
      <c r="AY35" s="201">
        <f t="shared" si="53"/>
        <v>880.0379706717448</v>
      </c>
      <c r="AZ35" s="201">
        <f t="shared" si="53"/>
        <v>915.23948949861472</v>
      </c>
      <c r="BA35" s="201">
        <f t="shared" si="53"/>
        <v>951.84906907855964</v>
      </c>
      <c r="BB35" s="201">
        <f t="shared" si="53"/>
        <v>989.92303184170203</v>
      </c>
      <c r="BC35" s="201">
        <f t="shared" si="53"/>
        <v>1029.5199531153701</v>
      </c>
      <c r="BD35" s="201">
        <f t="shared" si="53"/>
        <v>1070.700751239985</v>
      </c>
      <c r="BE35" s="201">
        <f t="shared" si="53"/>
        <v>1113.5287812895842</v>
      </c>
    </row>
    <row r="36" spans="1:57">
      <c r="A36" s="511"/>
      <c r="B36" s="511"/>
      <c r="C36" s="521" t="s">
        <v>28</v>
      </c>
      <c r="D36" s="556">
        <f>D34+D35</f>
        <v>14445742.494388793</v>
      </c>
      <c r="E36" s="556">
        <f t="shared" ref="E36:T36" si="56">E34+E35</f>
        <v>35533367.615566418</v>
      </c>
      <c r="F36" s="556">
        <f t="shared" si="56"/>
        <v>41300747.086035132</v>
      </c>
      <c r="G36" s="556">
        <f t="shared" si="56"/>
        <v>45215165.191760749</v>
      </c>
      <c r="H36" s="556">
        <f t="shared" si="56"/>
        <v>49498707.157295972</v>
      </c>
      <c r="I36" s="556">
        <f t="shared" si="56"/>
        <v>51478655.44358781</v>
      </c>
      <c r="J36" s="556">
        <f t="shared" si="56"/>
        <v>53684480.569992512</v>
      </c>
      <c r="K36" s="556">
        <f t="shared" si="56"/>
        <v>55679313.727784589</v>
      </c>
      <c r="L36" s="556">
        <f t="shared" si="56"/>
        <v>57906486.27689597</v>
      </c>
      <c r="M36" s="556">
        <f t="shared" si="56"/>
        <v>60222745.727971807</v>
      </c>
      <c r="N36" s="556">
        <f t="shared" si="56"/>
        <v>62803249.133959413</v>
      </c>
      <c r="O36" s="556">
        <f t="shared" si="56"/>
        <v>65136921.779374309</v>
      </c>
      <c r="P36" s="556">
        <f t="shared" si="56"/>
        <v>67742398.650549293</v>
      </c>
      <c r="Q36" s="556">
        <f t="shared" si="56"/>
        <v>70452094.596571267</v>
      </c>
      <c r="R36" s="556">
        <f t="shared" si="56"/>
        <v>73470918.595175028</v>
      </c>
      <c r="S36" s="556">
        <f t="shared" si="56"/>
        <v>76200985.515651494</v>
      </c>
      <c r="T36" s="556">
        <f t="shared" si="56"/>
        <v>79249024.936277553</v>
      </c>
      <c r="V36" s="559">
        <f t="shared" ref="V36:AL36" si="57">D36/D33</f>
        <v>0.73000000000000009</v>
      </c>
      <c r="W36" s="559">
        <f t="shared" si="57"/>
        <v>0.73000000000000009</v>
      </c>
      <c r="X36" s="559">
        <f t="shared" si="57"/>
        <v>0.73000000000000009</v>
      </c>
      <c r="Y36" s="559">
        <f t="shared" si="57"/>
        <v>0.73000000000000009</v>
      </c>
      <c r="Z36" s="559">
        <f t="shared" si="57"/>
        <v>0.73</v>
      </c>
      <c r="AA36" s="559">
        <f t="shared" si="57"/>
        <v>0.73</v>
      </c>
      <c r="AB36" s="559">
        <f t="shared" si="57"/>
        <v>0.73000000000000009</v>
      </c>
      <c r="AC36" s="559">
        <f t="shared" si="57"/>
        <v>0.73</v>
      </c>
      <c r="AD36" s="559">
        <f t="shared" si="57"/>
        <v>0.73000000000000009</v>
      </c>
      <c r="AE36" s="559">
        <f t="shared" si="57"/>
        <v>0.73</v>
      </c>
      <c r="AF36" s="559">
        <f t="shared" si="57"/>
        <v>0.73</v>
      </c>
      <c r="AG36" s="559">
        <f t="shared" si="57"/>
        <v>0.73</v>
      </c>
      <c r="AH36" s="559">
        <f t="shared" si="57"/>
        <v>0.73</v>
      </c>
      <c r="AI36" s="559">
        <f t="shared" si="57"/>
        <v>0.73</v>
      </c>
      <c r="AJ36" s="559">
        <f t="shared" si="57"/>
        <v>0.73000000000000009</v>
      </c>
      <c r="AK36" s="559">
        <f t="shared" si="57"/>
        <v>0.73</v>
      </c>
      <c r="AL36" s="559">
        <f t="shared" si="57"/>
        <v>0.73000000000000009</v>
      </c>
      <c r="AO36" s="556">
        <f t="shared" si="52"/>
        <v>1317.5034842112002</v>
      </c>
      <c r="AP36" s="556">
        <f t="shared" si="52"/>
        <v>1531.4040498831364</v>
      </c>
      <c r="AQ36" s="556">
        <f t="shared" si="52"/>
        <v>1676.4844335562755</v>
      </c>
      <c r="AR36" s="556">
        <f t="shared" si="52"/>
        <v>1743.5438108985265</v>
      </c>
      <c r="AS36" s="556">
        <f t="shared" si="52"/>
        <v>1813.2855633344673</v>
      </c>
      <c r="AT36" s="556">
        <f t="shared" si="52"/>
        <v>1885.8169858678459</v>
      </c>
      <c r="AU36" s="556">
        <f t="shared" si="52"/>
        <v>1961.2496653025603</v>
      </c>
      <c r="AV36" s="556">
        <f t="shared" si="52"/>
        <v>2039.6996519146626</v>
      </c>
      <c r="AW36" s="556">
        <f t="shared" si="52"/>
        <v>2121.2876379912491</v>
      </c>
      <c r="AX36" s="556">
        <f t="shared" si="52"/>
        <v>2206.139143510899</v>
      </c>
      <c r="AY36" s="556">
        <f t="shared" si="53"/>
        <v>2294.3847092513347</v>
      </c>
      <c r="AZ36" s="556">
        <f t="shared" si="53"/>
        <v>2386.1600976213886</v>
      </c>
      <c r="BA36" s="556">
        <f t="shared" si="53"/>
        <v>2481.6065015262443</v>
      </c>
      <c r="BB36" s="556">
        <f t="shared" si="53"/>
        <v>2580.8707615872941</v>
      </c>
      <c r="BC36" s="556">
        <f t="shared" si="53"/>
        <v>2684.1055920507861</v>
      </c>
      <c r="BD36" s="556">
        <f t="shared" si="53"/>
        <v>2791.469815732818</v>
      </c>
      <c r="BE36" s="556">
        <f t="shared" si="53"/>
        <v>2903.1286083621308</v>
      </c>
    </row>
    <row r="37" spans="1:57">
      <c r="A37" s="511"/>
      <c r="B37" s="511"/>
      <c r="C37" s="521" t="s">
        <v>18</v>
      </c>
      <c r="D37" s="556">
        <f>D33-D36</f>
        <v>5342945.8540890031</v>
      </c>
      <c r="E37" s="556">
        <f t="shared" ref="E37:T37" si="58">E33-E36</f>
        <v>13142478.433154695</v>
      </c>
      <c r="F37" s="556">
        <f t="shared" si="58"/>
        <v>15275618.785245866</v>
      </c>
      <c r="G37" s="556">
        <f t="shared" si="58"/>
        <v>16723417.262706019</v>
      </c>
      <c r="H37" s="556">
        <f t="shared" si="58"/>
        <v>18307741.003383443</v>
      </c>
      <c r="I37" s="556">
        <f t="shared" si="58"/>
        <v>19040050.643518776</v>
      </c>
      <c r="J37" s="556">
        <f t="shared" si="58"/>
        <v>19855903.772462979</v>
      </c>
      <c r="K37" s="556">
        <f t="shared" si="58"/>
        <v>20593718.776029915</v>
      </c>
      <c r="L37" s="556">
        <f t="shared" si="58"/>
        <v>21417467.527071103</v>
      </c>
      <c r="M37" s="556">
        <f t="shared" si="58"/>
        <v>22274166.228153959</v>
      </c>
      <c r="N37" s="556">
        <f t="shared" si="58"/>
        <v>23228598.994752109</v>
      </c>
      <c r="O37" s="556">
        <f t="shared" si="58"/>
        <v>24091738.192371316</v>
      </c>
      <c r="P37" s="556">
        <f t="shared" si="58"/>
        <v>25055407.720066175</v>
      </c>
      <c r="Q37" s="556">
        <f t="shared" si="58"/>
        <v>26057624.028868824</v>
      </c>
      <c r="R37" s="556">
        <f t="shared" si="58"/>
        <v>27174175.370818153</v>
      </c>
      <c r="S37" s="556">
        <f t="shared" si="58"/>
        <v>28183926.149624527</v>
      </c>
      <c r="T37" s="556">
        <f t="shared" si="58"/>
        <v>29311283.195609495</v>
      </c>
      <c r="V37" s="559">
        <f t="shared" ref="V37:AL37" si="59">D37/D33</f>
        <v>0.26999999999999991</v>
      </c>
      <c r="W37" s="559">
        <f t="shared" si="59"/>
        <v>0.26999999999999991</v>
      </c>
      <c r="X37" s="559">
        <f t="shared" si="59"/>
        <v>0.26999999999999991</v>
      </c>
      <c r="Y37" s="559">
        <f t="shared" si="59"/>
        <v>0.26999999999999985</v>
      </c>
      <c r="Z37" s="559">
        <f t="shared" si="59"/>
        <v>0.27</v>
      </c>
      <c r="AA37" s="559">
        <f t="shared" si="59"/>
        <v>0.26999999999999996</v>
      </c>
      <c r="AB37" s="559">
        <f t="shared" si="59"/>
        <v>0.26999999999999996</v>
      </c>
      <c r="AC37" s="559">
        <f t="shared" si="59"/>
        <v>0.26999999999999996</v>
      </c>
      <c r="AD37" s="559">
        <f t="shared" si="59"/>
        <v>0.26999999999999991</v>
      </c>
      <c r="AE37" s="559">
        <f t="shared" si="59"/>
        <v>0.27</v>
      </c>
      <c r="AF37" s="559">
        <f t="shared" si="59"/>
        <v>0.26999999999999996</v>
      </c>
      <c r="AG37" s="559">
        <f t="shared" si="59"/>
        <v>0.26999999999999996</v>
      </c>
      <c r="AH37" s="559">
        <f t="shared" si="59"/>
        <v>0.26999999999999996</v>
      </c>
      <c r="AI37" s="559">
        <f t="shared" si="59"/>
        <v>0.27</v>
      </c>
      <c r="AJ37" s="559">
        <f t="shared" si="59"/>
        <v>0.26999999999999996</v>
      </c>
      <c r="AK37" s="559">
        <f t="shared" si="59"/>
        <v>0.27</v>
      </c>
      <c r="AL37" s="559">
        <f t="shared" si="59"/>
        <v>0.26999999999999991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>
        <f>D39/D$12</f>
        <v>2.8901734104046246E-2</v>
      </c>
      <c r="W38" s="570">
        <f t="shared" ref="W38:AL38" si="60">E39/E$12</f>
        <v>2.6239067055393587E-2</v>
      </c>
      <c r="X38" s="570">
        <f t="shared" si="60"/>
        <v>2.3668639053254434E-2</v>
      </c>
      <c r="Y38" s="570">
        <f t="shared" si="60"/>
        <v>2.219556088782243E-2</v>
      </c>
      <c r="Z38" s="570">
        <f t="shared" si="60"/>
        <v>2.1148036253776436E-2</v>
      </c>
      <c r="AA38" s="570">
        <f t="shared" si="60"/>
        <v>2.1148036253776439E-2</v>
      </c>
      <c r="AB38" s="570">
        <f t="shared" si="60"/>
        <v>2.1148036253776436E-2</v>
      </c>
      <c r="AC38" s="570">
        <f t="shared" si="60"/>
        <v>2.1148036253776436E-2</v>
      </c>
      <c r="AD38" s="570">
        <f t="shared" si="60"/>
        <v>2.1148036253776436E-2</v>
      </c>
      <c r="AE38" s="570">
        <f t="shared" si="60"/>
        <v>2.1148036253776436E-2</v>
      </c>
      <c r="AF38" s="570">
        <f t="shared" si="60"/>
        <v>2.1148036253776439E-2</v>
      </c>
      <c r="AG38" s="570">
        <f t="shared" si="60"/>
        <v>2.1148036253776436E-2</v>
      </c>
      <c r="AH38" s="570">
        <f t="shared" si="60"/>
        <v>2.1148036253776436E-2</v>
      </c>
      <c r="AI38" s="570">
        <f t="shared" si="60"/>
        <v>2.1148036253776432E-2</v>
      </c>
      <c r="AJ38" s="570">
        <f t="shared" si="60"/>
        <v>2.1148036253776439E-2</v>
      </c>
      <c r="AK38" s="570">
        <f t="shared" si="60"/>
        <v>2.1148036253776439E-2</v>
      </c>
      <c r="AL38" s="570">
        <f t="shared" si="60"/>
        <v>2.1148036253776439E-2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61">V39*D14</f>
        <v>6596229.4494925989</v>
      </c>
      <c r="E39" s="556">
        <f t="shared" si="61"/>
        <v>14602753.814616332</v>
      </c>
      <c r="F39" s="556">
        <f t="shared" si="61"/>
        <v>15087030.899008267</v>
      </c>
      <c r="G39" s="556">
        <f t="shared" si="61"/>
        <v>15278183.672101803</v>
      </c>
      <c r="H39" s="556">
        <f t="shared" si="61"/>
        <v>15821504.570825199</v>
      </c>
      <c r="I39" s="556">
        <f t="shared" si="61"/>
        <v>16454364.753658207</v>
      </c>
      <c r="J39" s="556">
        <f t="shared" si="61"/>
        <v>17159423.013239615</v>
      </c>
      <c r="K39" s="556">
        <f t="shared" si="61"/>
        <v>17797040.917556718</v>
      </c>
      <c r="L39" s="556">
        <f t="shared" si="61"/>
        <v>18508922.554258987</v>
      </c>
      <c r="M39" s="556">
        <f t="shared" si="61"/>
        <v>19249279.456429347</v>
      </c>
      <c r="N39" s="556">
        <f t="shared" si="61"/>
        <v>20074097.896699358</v>
      </c>
      <c r="O39" s="556">
        <f t="shared" si="61"/>
        <v>20820020.660073984</v>
      </c>
      <c r="P39" s="556">
        <f t="shared" si="61"/>
        <v>21652821.486476943</v>
      </c>
      <c r="Q39" s="556">
        <f t="shared" si="61"/>
        <v>22518934.345936023</v>
      </c>
      <c r="R39" s="556">
        <f t="shared" si="61"/>
        <v>23483855.258731745</v>
      </c>
      <c r="S39" s="556">
        <f t="shared" si="61"/>
        <v>24356479.388564408</v>
      </c>
      <c r="T39" s="556">
        <f t="shared" si="61"/>
        <v>25330738.564106982</v>
      </c>
      <c r="V39" s="559">
        <f>'Прогноз прочих'!F29</f>
        <v>0.05</v>
      </c>
      <c r="W39" s="559">
        <f>'Прогноз прочих'!G29</f>
        <v>4.4999999999999998E-2</v>
      </c>
      <c r="X39" s="559">
        <f>'Прогноз прочих'!H29</f>
        <v>0.04</v>
      </c>
      <c r="Y39" s="558">
        <f>'Прогноз прочих'!I29</f>
        <v>3.6999999999999998E-2</v>
      </c>
      <c r="Z39" s="559">
        <f>'Прогноз прочих'!J29</f>
        <v>3.5000000000000003E-2</v>
      </c>
      <c r="AA39" s="559">
        <f>Z39</f>
        <v>3.5000000000000003E-2</v>
      </c>
      <c r="AB39" s="559">
        <f t="shared" ref="AB39:AL41" si="62">AA39</f>
        <v>3.5000000000000003E-2</v>
      </c>
      <c r="AC39" s="559">
        <f t="shared" si="62"/>
        <v>3.5000000000000003E-2</v>
      </c>
      <c r="AD39" s="559">
        <f t="shared" si="62"/>
        <v>3.5000000000000003E-2</v>
      </c>
      <c r="AE39" s="559">
        <f t="shared" si="62"/>
        <v>3.5000000000000003E-2</v>
      </c>
      <c r="AF39" s="559">
        <f t="shared" si="62"/>
        <v>3.5000000000000003E-2</v>
      </c>
      <c r="AG39" s="559">
        <f t="shared" si="62"/>
        <v>3.5000000000000003E-2</v>
      </c>
      <c r="AH39" s="559">
        <f t="shared" si="62"/>
        <v>3.5000000000000003E-2</v>
      </c>
      <c r="AI39" s="559">
        <f t="shared" si="62"/>
        <v>3.5000000000000003E-2</v>
      </c>
      <c r="AJ39" s="559">
        <f t="shared" si="62"/>
        <v>3.5000000000000003E-2</v>
      </c>
      <c r="AK39" s="559">
        <f t="shared" si="62"/>
        <v>3.5000000000000003E-2</v>
      </c>
      <c r="AL39" s="559">
        <f t="shared" si="62"/>
        <v>3.5000000000000003E-2</v>
      </c>
      <c r="AO39" s="556">
        <f t="shared" ref="AO39:BE39" si="63">D39/D9</f>
        <v>601.59976447999998</v>
      </c>
      <c r="AP39" s="556">
        <f t="shared" si="63"/>
        <v>629.34413008896001</v>
      </c>
      <c r="AQ39" s="556">
        <f t="shared" si="63"/>
        <v>612.41440495206405</v>
      </c>
      <c r="AR39" s="556">
        <f t="shared" si="63"/>
        <v>589.14265756388568</v>
      </c>
      <c r="AS39" s="556">
        <f t="shared" si="63"/>
        <v>579.58899284663346</v>
      </c>
      <c r="AT39" s="556">
        <f t="shared" si="63"/>
        <v>602.77255256049887</v>
      </c>
      <c r="AU39" s="556">
        <f t="shared" si="63"/>
        <v>626.88345466291878</v>
      </c>
      <c r="AV39" s="556">
        <f t="shared" si="63"/>
        <v>651.95879284943555</v>
      </c>
      <c r="AW39" s="556">
        <f t="shared" si="63"/>
        <v>678.03714456341299</v>
      </c>
      <c r="AX39" s="556">
        <f t="shared" si="63"/>
        <v>705.15863034594952</v>
      </c>
      <c r="AY39" s="556">
        <f t="shared" si="63"/>
        <v>733.36497555978747</v>
      </c>
      <c r="AZ39" s="556">
        <f t="shared" si="63"/>
        <v>762.69957458217914</v>
      </c>
      <c r="BA39" s="556">
        <f t="shared" si="63"/>
        <v>793.20755756546623</v>
      </c>
      <c r="BB39" s="556">
        <f t="shared" si="63"/>
        <v>824.935859868085</v>
      </c>
      <c r="BC39" s="556">
        <f t="shared" si="63"/>
        <v>857.93329426280832</v>
      </c>
      <c r="BD39" s="556">
        <f t="shared" si="63"/>
        <v>892.25062603332094</v>
      </c>
      <c r="BE39" s="556">
        <f t="shared" si="63"/>
        <v>927.94065107465372</v>
      </c>
    </row>
    <row r="40" spans="1:57">
      <c r="A40" s="511"/>
      <c r="B40" s="511"/>
      <c r="C40" s="519" t="s">
        <v>25</v>
      </c>
      <c r="D40" s="201">
        <f t="shared" ref="D40:T40" si="64">V40*D39</f>
        <v>593660.65045433387</v>
      </c>
      <c r="E40" s="201">
        <f t="shared" si="64"/>
        <v>1022192.7670231434</v>
      </c>
      <c r="F40" s="201">
        <f t="shared" si="64"/>
        <v>905221.85394049599</v>
      </c>
      <c r="G40" s="201">
        <f t="shared" si="64"/>
        <v>916691.02032610821</v>
      </c>
      <c r="H40" s="201">
        <f t="shared" si="64"/>
        <v>949290.27424951189</v>
      </c>
      <c r="I40" s="201">
        <f t="shared" si="64"/>
        <v>987261.88521949237</v>
      </c>
      <c r="J40" s="201">
        <f t="shared" si="64"/>
        <v>1029565.3807943768</v>
      </c>
      <c r="K40" s="201">
        <f t="shared" si="64"/>
        <v>1067822.455053403</v>
      </c>
      <c r="L40" s="201">
        <f t="shared" si="64"/>
        <v>1110535.3532555392</v>
      </c>
      <c r="M40" s="201">
        <f t="shared" si="64"/>
        <v>1154956.7673857608</v>
      </c>
      <c r="N40" s="201">
        <f t="shared" si="64"/>
        <v>1204445.8738019613</v>
      </c>
      <c r="O40" s="201">
        <f t="shared" si="64"/>
        <v>1249201.2396044391</v>
      </c>
      <c r="P40" s="201">
        <f t="shared" si="64"/>
        <v>1299169.2891886164</v>
      </c>
      <c r="Q40" s="201">
        <f t="shared" si="64"/>
        <v>1351136.0607561613</v>
      </c>
      <c r="R40" s="201">
        <f t="shared" si="64"/>
        <v>1409031.3155239047</v>
      </c>
      <c r="S40" s="201">
        <f t="shared" si="64"/>
        <v>1461388.7633138644</v>
      </c>
      <c r="T40" s="201">
        <f t="shared" si="64"/>
        <v>1519844.3138464189</v>
      </c>
      <c r="V40" s="522">
        <f>'Прогноз прочих'!F37</f>
        <v>0.09</v>
      </c>
      <c r="W40" s="522">
        <f>'Прогноз прочих'!G37</f>
        <v>7.0000000000000007E-2</v>
      </c>
      <c r="X40" s="522">
        <f>'Прогноз прочих'!H37</f>
        <v>0.06</v>
      </c>
      <c r="Y40" s="522">
        <f>'Прогноз прочих'!I37</f>
        <v>0.06</v>
      </c>
      <c r="Z40" s="522">
        <f>'Прогноз прочих'!J37</f>
        <v>0.06</v>
      </c>
      <c r="AA40" s="522">
        <f>Z40</f>
        <v>0.06</v>
      </c>
      <c r="AB40" s="522">
        <f t="shared" si="62"/>
        <v>0.06</v>
      </c>
      <c r="AC40" s="522">
        <f t="shared" si="62"/>
        <v>0.06</v>
      </c>
      <c r="AD40" s="522">
        <f t="shared" si="62"/>
        <v>0.06</v>
      </c>
      <c r="AE40" s="522">
        <f t="shared" si="62"/>
        <v>0.06</v>
      </c>
      <c r="AF40" s="522">
        <f t="shared" si="62"/>
        <v>0.06</v>
      </c>
      <c r="AG40" s="522">
        <f t="shared" si="62"/>
        <v>0.06</v>
      </c>
      <c r="AH40" s="522">
        <f t="shared" si="62"/>
        <v>0.06</v>
      </c>
      <c r="AI40" s="522">
        <f t="shared" si="62"/>
        <v>0.06</v>
      </c>
      <c r="AJ40" s="522">
        <f t="shared" si="62"/>
        <v>0.06</v>
      </c>
      <c r="AK40" s="522">
        <f t="shared" si="62"/>
        <v>0.06</v>
      </c>
      <c r="AL40" s="522">
        <f t="shared" si="62"/>
        <v>0.06</v>
      </c>
      <c r="AO40" s="201">
        <f t="shared" ref="AO40:BD41" si="65">D40/D$9</f>
        <v>54.1439788032</v>
      </c>
      <c r="AP40" s="201">
        <f t="shared" si="65"/>
        <v>44.054089106227202</v>
      </c>
      <c r="AQ40" s="201">
        <f t="shared" si="65"/>
        <v>36.74486429712384</v>
      </c>
      <c r="AR40" s="201">
        <f t="shared" si="65"/>
        <v>35.34855945383314</v>
      </c>
      <c r="AS40" s="201">
        <f t="shared" si="65"/>
        <v>34.775339570798003</v>
      </c>
      <c r="AT40" s="201">
        <f t="shared" si="65"/>
        <v>36.166353153629927</v>
      </c>
      <c r="AU40" s="201">
        <f t="shared" si="65"/>
        <v>37.613007279775125</v>
      </c>
      <c r="AV40" s="201">
        <f t="shared" si="65"/>
        <v>39.117527570966132</v>
      </c>
      <c r="AW40" s="201">
        <f t="shared" si="65"/>
        <v>40.682228673804779</v>
      </c>
      <c r="AX40" s="201">
        <f t="shared" si="65"/>
        <v>42.309517820756973</v>
      </c>
      <c r="AY40" s="201">
        <f t="shared" si="65"/>
        <v>44.001898533587237</v>
      </c>
      <c r="AZ40" s="201">
        <f t="shared" si="65"/>
        <v>45.761974474930746</v>
      </c>
      <c r="BA40" s="201">
        <f t="shared" si="65"/>
        <v>47.592453453927973</v>
      </c>
      <c r="BB40" s="201">
        <f t="shared" si="65"/>
        <v>49.496151592085099</v>
      </c>
      <c r="BC40" s="201">
        <f t="shared" si="65"/>
        <v>51.475997655768502</v>
      </c>
      <c r="BD40" s="201">
        <f t="shared" si="65"/>
        <v>53.535037561999253</v>
      </c>
      <c r="BE40" s="201">
        <f t="shared" ref="AY40:BE41" si="66">T40/T$9</f>
        <v>55.676439064479219</v>
      </c>
    </row>
    <row r="41" spans="1:57">
      <c r="A41" s="511"/>
      <c r="B41" s="511"/>
      <c r="C41" s="519" t="s">
        <v>26</v>
      </c>
      <c r="D41" s="201">
        <f t="shared" ref="D41:T41" si="67">V41*D39</f>
        <v>527698.35595940787</v>
      </c>
      <c r="E41" s="201">
        <f t="shared" si="67"/>
        <v>1022192.7670231434</v>
      </c>
      <c r="F41" s="201">
        <f t="shared" si="67"/>
        <v>905221.85394049599</v>
      </c>
      <c r="G41" s="201">
        <f t="shared" si="67"/>
        <v>916691.02032610821</v>
      </c>
      <c r="H41" s="201">
        <f t="shared" si="67"/>
        <v>949290.27424951189</v>
      </c>
      <c r="I41" s="201">
        <f t="shared" si="67"/>
        <v>987261.88521949237</v>
      </c>
      <c r="J41" s="201">
        <f t="shared" si="67"/>
        <v>1029565.3807943768</v>
      </c>
      <c r="K41" s="201">
        <f t="shared" si="67"/>
        <v>1067822.455053403</v>
      </c>
      <c r="L41" s="201">
        <f t="shared" si="67"/>
        <v>1110535.3532555392</v>
      </c>
      <c r="M41" s="201">
        <f t="shared" si="67"/>
        <v>1154956.7673857608</v>
      </c>
      <c r="N41" s="201">
        <f t="shared" si="67"/>
        <v>1204445.8738019613</v>
      </c>
      <c r="O41" s="201">
        <f t="shared" si="67"/>
        <v>1249201.2396044391</v>
      </c>
      <c r="P41" s="201">
        <f t="shared" si="67"/>
        <v>1299169.2891886164</v>
      </c>
      <c r="Q41" s="201">
        <f t="shared" si="67"/>
        <v>1351136.0607561613</v>
      </c>
      <c r="R41" s="201">
        <f t="shared" si="67"/>
        <v>1409031.3155239047</v>
      </c>
      <c r="S41" s="201">
        <f t="shared" si="67"/>
        <v>1461388.7633138644</v>
      </c>
      <c r="T41" s="201">
        <f t="shared" si="67"/>
        <v>1519844.3138464189</v>
      </c>
      <c r="V41" s="522">
        <f>'Прогноз прочих'!F45</f>
        <v>0.08</v>
      </c>
      <c r="W41" s="522">
        <f>'Прогноз прочих'!G45</f>
        <v>7.0000000000000007E-2</v>
      </c>
      <c r="X41" s="522">
        <f>'Прогноз прочих'!H45</f>
        <v>0.06</v>
      </c>
      <c r="Y41" s="522">
        <f>'Прогноз прочих'!I45</f>
        <v>0.06</v>
      </c>
      <c r="Z41" s="522">
        <f>'Прогноз прочих'!J45</f>
        <v>0.06</v>
      </c>
      <c r="AA41" s="522">
        <f>Z41</f>
        <v>0.06</v>
      </c>
      <c r="AB41" s="522">
        <f t="shared" si="62"/>
        <v>0.06</v>
      </c>
      <c r="AC41" s="522">
        <f t="shared" si="62"/>
        <v>0.06</v>
      </c>
      <c r="AD41" s="522">
        <f t="shared" si="62"/>
        <v>0.06</v>
      </c>
      <c r="AE41" s="522">
        <f t="shared" si="62"/>
        <v>0.06</v>
      </c>
      <c r="AF41" s="522">
        <f t="shared" si="62"/>
        <v>0.06</v>
      </c>
      <c r="AG41" s="522">
        <f t="shared" si="62"/>
        <v>0.06</v>
      </c>
      <c r="AH41" s="522">
        <f t="shared" si="62"/>
        <v>0.06</v>
      </c>
      <c r="AI41" s="522">
        <f t="shared" si="62"/>
        <v>0.06</v>
      </c>
      <c r="AJ41" s="522">
        <f t="shared" si="62"/>
        <v>0.06</v>
      </c>
      <c r="AK41" s="522">
        <f t="shared" si="62"/>
        <v>0.06</v>
      </c>
      <c r="AL41" s="522">
        <f t="shared" si="62"/>
        <v>0.06</v>
      </c>
      <c r="AO41" s="201">
        <f t="shared" si="65"/>
        <v>48.127981158399997</v>
      </c>
      <c r="AP41" s="201">
        <f t="shared" si="65"/>
        <v>44.054089106227202</v>
      </c>
      <c r="AQ41" s="201">
        <f t="shared" si="65"/>
        <v>36.74486429712384</v>
      </c>
      <c r="AR41" s="201">
        <f t="shared" si="65"/>
        <v>35.34855945383314</v>
      </c>
      <c r="AS41" s="201">
        <f t="shared" si="65"/>
        <v>34.775339570798003</v>
      </c>
      <c r="AT41" s="201">
        <f t="shared" si="65"/>
        <v>36.166353153629927</v>
      </c>
      <c r="AU41" s="201">
        <f t="shared" si="65"/>
        <v>37.613007279775125</v>
      </c>
      <c r="AV41" s="201">
        <f t="shared" si="65"/>
        <v>39.117527570966132</v>
      </c>
      <c r="AW41" s="201">
        <f t="shared" si="65"/>
        <v>40.682228673804779</v>
      </c>
      <c r="AX41" s="201">
        <f t="shared" si="65"/>
        <v>42.309517820756973</v>
      </c>
      <c r="AY41" s="201">
        <f t="shared" si="66"/>
        <v>44.001898533587237</v>
      </c>
      <c r="AZ41" s="201">
        <f t="shared" si="66"/>
        <v>45.761974474930746</v>
      </c>
      <c r="BA41" s="201">
        <f t="shared" si="66"/>
        <v>47.592453453927973</v>
      </c>
      <c r="BB41" s="201">
        <f t="shared" si="66"/>
        <v>49.496151592085099</v>
      </c>
      <c r="BC41" s="201">
        <f t="shared" si="66"/>
        <v>51.475997655768502</v>
      </c>
      <c r="BD41" s="201">
        <f t="shared" si="66"/>
        <v>53.535037561999253</v>
      </c>
      <c r="BE41" s="201">
        <f t="shared" si="66"/>
        <v>55.676439064479219</v>
      </c>
    </row>
    <row r="42" spans="1:57">
      <c r="A42" s="511"/>
      <c r="B42" s="511"/>
      <c r="C42" s="521" t="s">
        <v>28</v>
      </c>
      <c r="D42" s="556">
        <f>D40+D41</f>
        <v>1121359.0064137417</v>
      </c>
      <c r="E42" s="556">
        <f t="shared" ref="E42:T42" si="68">E40+E41</f>
        <v>2044385.5340462867</v>
      </c>
      <c r="F42" s="556">
        <f t="shared" si="68"/>
        <v>1810443.707880992</v>
      </c>
      <c r="G42" s="556">
        <f t="shared" si="68"/>
        <v>1833382.0406522164</v>
      </c>
      <c r="H42" s="556">
        <f t="shared" si="68"/>
        <v>1898580.5484990238</v>
      </c>
      <c r="I42" s="556">
        <f t="shared" si="68"/>
        <v>1974523.7704389847</v>
      </c>
      <c r="J42" s="556">
        <f t="shared" si="68"/>
        <v>2059130.7615887537</v>
      </c>
      <c r="K42" s="556">
        <f t="shared" si="68"/>
        <v>2135644.9101068061</v>
      </c>
      <c r="L42" s="556">
        <f t="shared" si="68"/>
        <v>2221070.7065110784</v>
      </c>
      <c r="M42" s="556">
        <f t="shared" si="68"/>
        <v>2309913.5347715216</v>
      </c>
      <c r="N42" s="556">
        <f t="shared" si="68"/>
        <v>2408891.7476039226</v>
      </c>
      <c r="O42" s="556">
        <f t="shared" si="68"/>
        <v>2498402.4792088782</v>
      </c>
      <c r="P42" s="556">
        <f t="shared" si="68"/>
        <v>2598338.5783772329</v>
      </c>
      <c r="Q42" s="556">
        <f t="shared" si="68"/>
        <v>2702272.1215123227</v>
      </c>
      <c r="R42" s="556">
        <f t="shared" si="68"/>
        <v>2818062.6310478095</v>
      </c>
      <c r="S42" s="556">
        <f t="shared" si="68"/>
        <v>2922777.5266277287</v>
      </c>
      <c r="T42" s="556">
        <f t="shared" si="68"/>
        <v>3039688.6276928377</v>
      </c>
      <c r="V42" s="559">
        <f t="shared" ref="V42:AL42" si="69">D42/D39</f>
        <v>0.16999999999999998</v>
      </c>
      <c r="W42" s="559">
        <f t="shared" si="69"/>
        <v>0.14000000000000001</v>
      </c>
      <c r="X42" s="559">
        <f t="shared" si="69"/>
        <v>0.12</v>
      </c>
      <c r="Y42" s="559">
        <f t="shared" si="69"/>
        <v>0.12</v>
      </c>
      <c r="Z42" s="559">
        <f t="shared" si="69"/>
        <v>0.12</v>
      </c>
      <c r="AA42" s="559">
        <f t="shared" si="69"/>
        <v>0.12</v>
      </c>
      <c r="AB42" s="559">
        <f t="shared" si="69"/>
        <v>0.12</v>
      </c>
      <c r="AC42" s="559">
        <f t="shared" si="69"/>
        <v>0.12</v>
      </c>
      <c r="AD42" s="559">
        <f t="shared" si="69"/>
        <v>0.12</v>
      </c>
      <c r="AE42" s="559">
        <f t="shared" si="69"/>
        <v>0.12</v>
      </c>
      <c r="AF42" s="559">
        <f t="shared" si="69"/>
        <v>0.11999999999999998</v>
      </c>
      <c r="AG42" s="559">
        <f t="shared" si="69"/>
        <v>0.12000000000000001</v>
      </c>
      <c r="AH42" s="559">
        <f t="shared" si="69"/>
        <v>0.11999999999999998</v>
      </c>
      <c r="AI42" s="559">
        <f t="shared" si="69"/>
        <v>0.12</v>
      </c>
      <c r="AJ42" s="559">
        <f t="shared" si="69"/>
        <v>0.12000000000000001</v>
      </c>
      <c r="AK42" s="559">
        <f t="shared" si="69"/>
        <v>0.12</v>
      </c>
      <c r="AL42" s="559">
        <f t="shared" si="69"/>
        <v>0.12</v>
      </c>
      <c r="AO42" s="556">
        <f>AO41+AO40</f>
        <v>102.2719599616</v>
      </c>
      <c r="AP42" s="556">
        <f t="shared" ref="AP42:BE42" si="70">AP41+AP40</f>
        <v>88.108178212454405</v>
      </c>
      <c r="AQ42" s="556">
        <f t="shared" si="70"/>
        <v>73.48972859424768</v>
      </c>
      <c r="AR42" s="556">
        <f t="shared" si="70"/>
        <v>70.69711890766628</v>
      </c>
      <c r="AS42" s="556">
        <f t="shared" si="70"/>
        <v>69.550679141596007</v>
      </c>
      <c r="AT42" s="556">
        <f t="shared" si="70"/>
        <v>72.332706307259855</v>
      </c>
      <c r="AU42" s="556">
        <f t="shared" si="70"/>
        <v>75.226014559550251</v>
      </c>
      <c r="AV42" s="556">
        <f t="shared" si="70"/>
        <v>78.235055141932264</v>
      </c>
      <c r="AW42" s="556">
        <f t="shared" si="70"/>
        <v>81.364457347609559</v>
      </c>
      <c r="AX42" s="556">
        <f t="shared" si="70"/>
        <v>84.619035641513946</v>
      </c>
      <c r="AY42" s="556">
        <f t="shared" si="70"/>
        <v>88.003797067174474</v>
      </c>
      <c r="AZ42" s="556">
        <f t="shared" si="70"/>
        <v>91.523948949861492</v>
      </c>
      <c r="BA42" s="556">
        <f t="shared" si="70"/>
        <v>95.184906907855947</v>
      </c>
      <c r="BB42" s="556">
        <f t="shared" si="70"/>
        <v>98.992303184170197</v>
      </c>
      <c r="BC42" s="556">
        <f t="shared" si="70"/>
        <v>102.951995311537</v>
      </c>
      <c r="BD42" s="556">
        <f t="shared" si="70"/>
        <v>107.07007512399851</v>
      </c>
      <c r="BE42" s="556">
        <f t="shared" si="70"/>
        <v>111.35287812895844</v>
      </c>
    </row>
    <row r="43" spans="1:57">
      <c r="A43" s="511"/>
      <c r="B43" s="511"/>
      <c r="C43" s="521" t="s">
        <v>18</v>
      </c>
      <c r="D43" s="556">
        <f>D39-D42</f>
        <v>5474870.4430788569</v>
      </c>
      <c r="E43" s="556">
        <f t="shared" ref="E43:T43" si="71">E39-E42</f>
        <v>12558368.280570045</v>
      </c>
      <c r="F43" s="556">
        <f t="shared" si="71"/>
        <v>13276587.191127274</v>
      </c>
      <c r="G43" s="556">
        <f t="shared" si="71"/>
        <v>13444801.631449588</v>
      </c>
      <c r="H43" s="556">
        <f t="shared" si="71"/>
        <v>13922924.022326175</v>
      </c>
      <c r="I43" s="556">
        <f t="shared" si="71"/>
        <v>14479840.983219223</v>
      </c>
      <c r="J43" s="556">
        <f t="shared" si="71"/>
        <v>15100292.251650861</v>
      </c>
      <c r="K43" s="556">
        <f t="shared" si="71"/>
        <v>15661396.007449912</v>
      </c>
      <c r="L43" s="556">
        <f t="shared" si="71"/>
        <v>16287851.847747909</v>
      </c>
      <c r="M43" s="556">
        <f t="shared" si="71"/>
        <v>16939365.921657827</v>
      </c>
      <c r="N43" s="556">
        <f t="shared" si="71"/>
        <v>17665206.149095435</v>
      </c>
      <c r="O43" s="556">
        <f t="shared" si="71"/>
        <v>18321618.180865105</v>
      </c>
      <c r="P43" s="556">
        <f t="shared" si="71"/>
        <v>19054482.908099711</v>
      </c>
      <c r="Q43" s="556">
        <f t="shared" si="71"/>
        <v>19816662.224423699</v>
      </c>
      <c r="R43" s="556">
        <f t="shared" si="71"/>
        <v>20665792.627683938</v>
      </c>
      <c r="S43" s="556">
        <f t="shared" si="71"/>
        <v>21433701.861936681</v>
      </c>
      <c r="T43" s="556">
        <f t="shared" si="71"/>
        <v>22291049.936414145</v>
      </c>
      <c r="V43" s="559">
        <f t="shared" ref="V43:AL43" si="72">D43/D39</f>
        <v>0.83</v>
      </c>
      <c r="W43" s="559">
        <f t="shared" si="72"/>
        <v>0.86</v>
      </c>
      <c r="X43" s="559">
        <f t="shared" si="72"/>
        <v>0.88</v>
      </c>
      <c r="Y43" s="559">
        <f t="shared" si="72"/>
        <v>0.88</v>
      </c>
      <c r="Z43" s="559">
        <f t="shared" si="72"/>
        <v>0.88</v>
      </c>
      <c r="AA43" s="559">
        <f t="shared" si="72"/>
        <v>0.88</v>
      </c>
      <c r="AB43" s="559">
        <f t="shared" si="72"/>
        <v>0.88</v>
      </c>
      <c r="AC43" s="559">
        <f t="shared" si="72"/>
        <v>0.88</v>
      </c>
      <c r="AD43" s="559">
        <f t="shared" si="72"/>
        <v>0.88</v>
      </c>
      <c r="AE43" s="559">
        <f t="shared" si="72"/>
        <v>0.88</v>
      </c>
      <c r="AF43" s="559">
        <f t="shared" si="72"/>
        <v>0.88</v>
      </c>
      <c r="AG43" s="559">
        <f t="shared" si="72"/>
        <v>0.88</v>
      </c>
      <c r="AH43" s="559">
        <f t="shared" si="72"/>
        <v>0.88</v>
      </c>
      <c r="AI43" s="559">
        <f t="shared" si="72"/>
        <v>0.88</v>
      </c>
      <c r="AJ43" s="559">
        <f t="shared" si="72"/>
        <v>0.88000000000000012</v>
      </c>
      <c r="AK43" s="559">
        <f t="shared" si="72"/>
        <v>0.88000000000000012</v>
      </c>
      <c r="AL43" s="559">
        <f t="shared" si="72"/>
        <v>0.88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73">V45*D14</f>
        <v>1319245.8898985197</v>
      </c>
      <c r="E45" s="556">
        <f t="shared" si="73"/>
        <v>3245056.403248074</v>
      </c>
      <c r="F45" s="556">
        <f t="shared" si="73"/>
        <v>3771757.7247520667</v>
      </c>
      <c r="G45" s="556">
        <f t="shared" si="73"/>
        <v>4129238.8302977849</v>
      </c>
      <c r="H45" s="556">
        <f t="shared" si="73"/>
        <v>4520429.8773786277</v>
      </c>
      <c r="I45" s="556">
        <f t="shared" si="73"/>
        <v>4701247.0724737728</v>
      </c>
      <c r="J45" s="556">
        <f t="shared" si="73"/>
        <v>4902692.2894970328</v>
      </c>
      <c r="K45" s="556">
        <f t="shared" si="73"/>
        <v>5084868.8335876334</v>
      </c>
      <c r="L45" s="556">
        <f t="shared" si="73"/>
        <v>5288263.5869311383</v>
      </c>
      <c r="M45" s="556">
        <f t="shared" si="73"/>
        <v>5499794.1304083848</v>
      </c>
      <c r="N45" s="556">
        <f t="shared" si="73"/>
        <v>5735456.5419141017</v>
      </c>
      <c r="O45" s="556">
        <f t="shared" si="73"/>
        <v>5948577.3314497089</v>
      </c>
      <c r="P45" s="556">
        <f t="shared" si="73"/>
        <v>6186520.4247076977</v>
      </c>
      <c r="Q45" s="556">
        <f t="shared" si="73"/>
        <v>6433981.2416960066</v>
      </c>
      <c r="R45" s="556">
        <f t="shared" si="73"/>
        <v>6709672.9310662132</v>
      </c>
      <c r="S45" s="556">
        <f t="shared" si="73"/>
        <v>6958994.1110184016</v>
      </c>
      <c r="T45" s="556">
        <f t="shared" si="73"/>
        <v>7237353.8754591374</v>
      </c>
      <c r="V45" s="559">
        <f>'Прогноз прочих'!F73</f>
        <v>0.01</v>
      </c>
      <c r="W45" s="559">
        <f>'Прогноз прочих'!G73</f>
        <v>0.01</v>
      </c>
      <c r="X45" s="559">
        <f>'Прогноз прочих'!H73</f>
        <v>0.01</v>
      </c>
      <c r="Y45" s="559">
        <f>'Прогноз прочих'!I73</f>
        <v>0.01</v>
      </c>
      <c r="Z45" s="559">
        <f>'Прогноз прочих'!J73</f>
        <v>0.01</v>
      </c>
      <c r="AA45" s="559">
        <f>Z45</f>
        <v>0.01</v>
      </c>
      <c r="AB45" s="559">
        <f t="shared" ref="AB45:AL45" si="74">AA45</f>
        <v>0.01</v>
      </c>
      <c r="AC45" s="559">
        <f t="shared" si="74"/>
        <v>0.01</v>
      </c>
      <c r="AD45" s="559">
        <f t="shared" si="74"/>
        <v>0.01</v>
      </c>
      <c r="AE45" s="559">
        <f t="shared" si="74"/>
        <v>0.01</v>
      </c>
      <c r="AF45" s="559">
        <f t="shared" si="74"/>
        <v>0.01</v>
      </c>
      <c r="AG45" s="559">
        <f t="shared" si="74"/>
        <v>0.01</v>
      </c>
      <c r="AH45" s="559">
        <f t="shared" si="74"/>
        <v>0.01</v>
      </c>
      <c r="AI45" s="559">
        <f t="shared" si="74"/>
        <v>0.01</v>
      </c>
      <c r="AJ45" s="559">
        <f t="shared" si="74"/>
        <v>0.01</v>
      </c>
      <c r="AK45" s="559">
        <f t="shared" si="74"/>
        <v>0.01</v>
      </c>
      <c r="AL45" s="559">
        <f t="shared" si="74"/>
        <v>0.01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1035">
        <f>D42+D30+D18+D36</f>
        <v>118307442.77958822</v>
      </c>
      <c r="E46" s="548">
        <f t="shared" ref="E46:T46" si="75">E42+E30+E18+E36</f>
        <v>267525871.39219844</v>
      </c>
      <c r="F46" s="548">
        <f t="shared" si="75"/>
        <v>288750666.42130566</v>
      </c>
      <c r="G46" s="548">
        <f t="shared" si="75"/>
        <v>301810202.17048359</v>
      </c>
      <c r="H46" s="548">
        <f t="shared" si="75"/>
        <v>317693943.83593965</v>
      </c>
      <c r="I46" s="548">
        <f t="shared" si="75"/>
        <v>330401701.58937728</v>
      </c>
      <c r="J46" s="548">
        <f t="shared" si="75"/>
        <v>344559188.19994676</v>
      </c>
      <c r="K46" s="548">
        <f t="shared" si="75"/>
        <v>357362480.43907052</v>
      </c>
      <c r="L46" s="548">
        <f t="shared" si="75"/>
        <v>371656979.65663338</v>
      </c>
      <c r="M46" s="548">
        <f t="shared" si="75"/>
        <v>386523258.84289873</v>
      </c>
      <c r="N46" s="548">
        <f t="shared" si="75"/>
        <v>403085515.74235874</v>
      </c>
      <c r="O46" s="548">
        <f t="shared" si="75"/>
        <v>418063556.76447922</v>
      </c>
      <c r="P46" s="548">
        <f t="shared" si="75"/>
        <v>434786099.03505838</v>
      </c>
      <c r="Q46" s="548">
        <f t="shared" si="75"/>
        <v>452177542.99646074</v>
      </c>
      <c r="R46" s="548">
        <f t="shared" si="75"/>
        <v>471553041.00321329</v>
      </c>
      <c r="S46" s="548">
        <f t="shared" si="75"/>
        <v>489075230.5049721</v>
      </c>
      <c r="T46" s="548">
        <f t="shared" si="75"/>
        <v>508638239.72517091</v>
      </c>
      <c r="V46" s="573">
        <f t="shared" ref="V46:AL46" si="76">D46/D12</f>
        <v>0.51837042357711594</v>
      </c>
      <c r="W46" s="573">
        <f t="shared" si="76"/>
        <v>0.48070585641773533</v>
      </c>
      <c r="X46" s="573">
        <f t="shared" si="76"/>
        <v>0.45299405467260018</v>
      </c>
      <c r="Y46" s="573">
        <f t="shared" si="76"/>
        <v>0.43845831825370463</v>
      </c>
      <c r="Z46" s="573">
        <f t="shared" si="76"/>
        <v>0.42465007115927195</v>
      </c>
      <c r="AA46" s="573">
        <f t="shared" si="76"/>
        <v>0.42465007115927206</v>
      </c>
      <c r="AB46" s="573">
        <f t="shared" si="76"/>
        <v>0.424650071159272</v>
      </c>
      <c r="AC46" s="573">
        <f t="shared" si="76"/>
        <v>0.424650071159272</v>
      </c>
      <c r="AD46" s="573">
        <f t="shared" si="76"/>
        <v>0.42465007115927206</v>
      </c>
      <c r="AE46" s="573">
        <f t="shared" si="76"/>
        <v>0.424650071159272</v>
      </c>
      <c r="AF46" s="573">
        <f t="shared" si="76"/>
        <v>0.42465007115927206</v>
      </c>
      <c r="AG46" s="573">
        <f t="shared" si="76"/>
        <v>0.42465007115927195</v>
      </c>
      <c r="AH46" s="573">
        <f t="shared" si="76"/>
        <v>0.424650071159272</v>
      </c>
      <c r="AI46" s="573">
        <f t="shared" si="76"/>
        <v>0.42465007115927189</v>
      </c>
      <c r="AJ46" s="573">
        <f t="shared" si="76"/>
        <v>0.42465007115927211</v>
      </c>
      <c r="AK46" s="573">
        <f t="shared" si="76"/>
        <v>0.424650071159272</v>
      </c>
      <c r="AL46" s="573">
        <f t="shared" si="76"/>
        <v>0.424650071159272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7">D12-D46</f>
        <v>109922096.17285568</v>
      </c>
      <c r="E47" s="1035">
        <f t="shared" si="77"/>
        <v>289001301.76484621</v>
      </c>
      <c r="F47" s="1035">
        <f t="shared" si="77"/>
        <v>348676389.06179368</v>
      </c>
      <c r="G47" s="1035">
        <f t="shared" si="77"/>
        <v>386533910.84015727</v>
      </c>
      <c r="H47" s="1035">
        <f t="shared" si="77"/>
        <v>430437200.87022328</v>
      </c>
      <c r="I47" s="1035">
        <f t="shared" si="77"/>
        <v>447654688.90503204</v>
      </c>
      <c r="J47" s="1035">
        <f t="shared" si="77"/>
        <v>466836385.71181214</v>
      </c>
      <c r="K47" s="1035">
        <f t="shared" si="77"/>
        <v>484183311.51968282</v>
      </c>
      <c r="L47" s="1035">
        <f t="shared" si="77"/>
        <v>503550643.98047006</v>
      </c>
      <c r="M47" s="1035">
        <f t="shared" si="77"/>
        <v>523692669.73968899</v>
      </c>
      <c r="N47" s="1035">
        <f t="shared" si="77"/>
        <v>546132541.94442511</v>
      </c>
      <c r="O47" s="1035">
        <f t="shared" si="77"/>
        <v>566425991.59044766</v>
      </c>
      <c r="P47" s="1035">
        <f t="shared" si="77"/>
        <v>589083031.25406551</v>
      </c>
      <c r="Q47" s="1035">
        <f t="shared" si="77"/>
        <v>612646352.50422835</v>
      </c>
      <c r="R47" s="1035">
        <f t="shared" si="77"/>
        <v>638897829.0882448</v>
      </c>
      <c r="S47" s="1035">
        <f t="shared" si="77"/>
        <v>662638294.86857331</v>
      </c>
      <c r="T47" s="1035">
        <f t="shared" si="77"/>
        <v>689143826.66331625</v>
      </c>
      <c r="V47" s="573">
        <f t="shared" ref="V47:AL47" si="78">D47/D12</f>
        <v>0.48162957642288406</v>
      </c>
      <c r="W47" s="573">
        <f t="shared" si="78"/>
        <v>0.51929414358226467</v>
      </c>
      <c r="X47" s="573">
        <f t="shared" si="78"/>
        <v>0.54700594532739977</v>
      </c>
      <c r="Y47" s="573">
        <f t="shared" si="78"/>
        <v>0.56154168174629537</v>
      </c>
      <c r="Z47" s="573">
        <f t="shared" si="78"/>
        <v>0.57534992884072811</v>
      </c>
      <c r="AA47" s="573">
        <f t="shared" si="78"/>
        <v>0.575349928840728</v>
      </c>
      <c r="AB47" s="573">
        <f t="shared" si="78"/>
        <v>0.575349928840728</v>
      </c>
      <c r="AC47" s="573">
        <f t="shared" si="78"/>
        <v>0.575349928840728</v>
      </c>
      <c r="AD47" s="573">
        <f t="shared" si="78"/>
        <v>0.57534992884072789</v>
      </c>
      <c r="AE47" s="573">
        <f t="shared" si="78"/>
        <v>0.575349928840728</v>
      </c>
      <c r="AF47" s="573">
        <f t="shared" si="78"/>
        <v>0.575349928840728</v>
      </c>
      <c r="AG47" s="573">
        <f t="shared" si="78"/>
        <v>0.575349928840728</v>
      </c>
      <c r="AH47" s="573">
        <f t="shared" si="78"/>
        <v>0.575349928840728</v>
      </c>
      <c r="AI47" s="573">
        <f t="shared" si="78"/>
        <v>0.57534992884072811</v>
      </c>
      <c r="AJ47" s="573">
        <f t="shared" si="78"/>
        <v>0.57534992884072789</v>
      </c>
      <c r="AK47" s="573">
        <f t="shared" si="78"/>
        <v>0.575349928840728</v>
      </c>
      <c r="AL47" s="573">
        <f t="shared" si="78"/>
        <v>0.575349928840728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>
        <f>D47/D7</f>
        <v>879376.76938284538</v>
      </c>
      <c r="E48" s="1629">
        <f t="shared" ref="E48:T48" si="79">E47/E7</f>
        <v>2312010.4141187696</v>
      </c>
      <c r="F48" s="1629">
        <f t="shared" si="79"/>
        <v>2789411.1124943495</v>
      </c>
      <c r="G48" s="1629">
        <f t="shared" si="79"/>
        <v>3092271.286721258</v>
      </c>
      <c r="H48" s="1629">
        <f t="shared" si="79"/>
        <v>3443497.6069617863</v>
      </c>
      <c r="I48" s="1629">
        <f t="shared" si="79"/>
        <v>3581237.5112402565</v>
      </c>
      <c r="J48" s="1629">
        <f t="shared" si="79"/>
        <v>3734691.085694497</v>
      </c>
      <c r="K48" s="1629">
        <f t="shared" si="79"/>
        <v>3873466.4921574625</v>
      </c>
      <c r="L48" s="1629">
        <f t="shared" si="79"/>
        <v>4028405.1518437606</v>
      </c>
      <c r="M48" s="1629">
        <f t="shared" si="79"/>
        <v>4189541.3579175118</v>
      </c>
      <c r="N48" s="1629">
        <f t="shared" si="79"/>
        <v>4369060.3355554007</v>
      </c>
      <c r="O48" s="1629">
        <f t="shared" si="79"/>
        <v>4531407.9327235809</v>
      </c>
      <c r="P48" s="1629">
        <f t="shared" si="79"/>
        <v>4712664.2500325236</v>
      </c>
      <c r="Q48" s="1629">
        <f t="shared" si="79"/>
        <v>4901170.8200338269</v>
      </c>
      <c r="R48" s="1629">
        <f t="shared" si="79"/>
        <v>5111182.6327059586</v>
      </c>
      <c r="S48" s="1629">
        <f t="shared" si="79"/>
        <v>5301106.3589485865</v>
      </c>
      <c r="T48" s="1629">
        <f t="shared" si="79"/>
        <v>5513150.6133065298</v>
      </c>
    </row>
    <row r="50" spans="3:38" s="823" customFormat="1" ht="15" customHeight="1">
      <c r="C50" s="1538" t="s">
        <v>1081</v>
      </c>
      <c r="D50" s="1539">
        <f>D15+D24+D25+D34+D40</f>
        <v>61229953.569279268</v>
      </c>
      <c r="E50" s="1539">
        <f t="shared" ref="E50:T50" si="80">E15+E24+E25+E34+E40</f>
        <v>136195930.16013193</v>
      </c>
      <c r="F50" s="1539">
        <f t="shared" si="80"/>
        <v>144918109.72046858</v>
      </c>
      <c r="G50" s="1539">
        <f t="shared" si="80"/>
        <v>151019245.53184986</v>
      </c>
      <c r="H50" s="1539">
        <f t="shared" si="80"/>
        <v>159092233.2580111</v>
      </c>
      <c r="I50" s="1539">
        <f t="shared" si="80"/>
        <v>165455922.58833152</v>
      </c>
      <c r="J50" s="1539">
        <f t="shared" si="80"/>
        <v>172545595.54526716</v>
      </c>
      <c r="K50" s="1539">
        <f t="shared" si="80"/>
        <v>178957125.87153941</v>
      </c>
      <c r="L50" s="1539">
        <f t="shared" si="80"/>
        <v>186115410.90640101</v>
      </c>
      <c r="M50" s="1539">
        <f t="shared" si="80"/>
        <v>193560027.34265703</v>
      </c>
      <c r="N50" s="1539">
        <f t="shared" si="80"/>
        <v>201853941.93892866</v>
      </c>
      <c r="O50" s="1539">
        <f t="shared" si="80"/>
        <v>209354525.57381785</v>
      </c>
      <c r="P50" s="1539">
        <f t="shared" si="80"/>
        <v>217728706.59677058</v>
      </c>
      <c r="Q50" s="1539">
        <f t="shared" si="80"/>
        <v>226437854.86064142</v>
      </c>
      <c r="R50" s="1539">
        <f t="shared" si="80"/>
        <v>236140561.84699875</v>
      </c>
      <c r="S50" s="1539">
        <f t="shared" si="80"/>
        <v>244915183.81726977</v>
      </c>
      <c r="T50" s="1539">
        <f t="shared" si="80"/>
        <v>254711791.16996059</v>
      </c>
      <c r="V50" s="1540"/>
      <c r="W50" s="1540"/>
      <c r="X50" s="1540"/>
      <c r="Y50" s="1540"/>
      <c r="Z50" s="1540"/>
      <c r="AA50" s="1540"/>
      <c r="AB50" s="1540"/>
      <c r="AC50" s="1540"/>
      <c r="AD50" s="1540"/>
      <c r="AE50" s="1540"/>
      <c r="AF50" s="1540"/>
      <c r="AG50" s="1540"/>
      <c r="AH50" s="1540"/>
      <c r="AI50" s="1540"/>
      <c r="AJ50" s="1540"/>
      <c r="AK50" s="1540"/>
      <c r="AL50" s="1540"/>
    </row>
  </sheetData>
  <conditionalFormatting sqref="V40:Z41">
    <cfRule type="expression" dxfId="331" priority="33">
      <formula>$A$1=1</formula>
    </cfRule>
  </conditionalFormatting>
  <conditionalFormatting sqref="V33:Z35">
    <cfRule type="expression" dxfId="330" priority="9">
      <formula>$A$1=1</formula>
    </cfRule>
  </conditionalFormatting>
  <conditionalFormatting sqref="V24:Z29">
    <cfRule type="expression" dxfId="329" priority="8">
      <formula>$A$1=1</formula>
    </cfRule>
  </conditionalFormatting>
  <conditionalFormatting sqref="V23">
    <cfRule type="expression" dxfId="328" priority="7">
      <formula>$A$1=1</formula>
    </cfRule>
  </conditionalFormatting>
  <conditionalFormatting sqref="W23:Z23">
    <cfRule type="expression" dxfId="327" priority="6">
      <formula>$A$1=1</formula>
    </cfRule>
  </conditionalFormatting>
  <conditionalFormatting sqref="V22">
    <cfRule type="expression" dxfId="326" priority="5">
      <formula>$A$1=1</formula>
    </cfRule>
  </conditionalFormatting>
  <conditionalFormatting sqref="W22:Z22">
    <cfRule type="expression" dxfId="325" priority="4">
      <formula>$A$1=1</formula>
    </cfRule>
  </conditionalFormatting>
  <conditionalFormatting sqref="V39:Z39">
    <cfRule type="expression" dxfId="324" priority="3">
      <formula>$A$1=1</formula>
    </cfRule>
  </conditionalFormatting>
  <conditionalFormatting sqref="V45:Z45">
    <cfRule type="expression" dxfId="323" priority="2">
      <formula>$A$1=1</formula>
    </cfRule>
  </conditionalFormatting>
  <conditionalFormatting sqref="V16:Z16">
    <cfRule type="expression" dxfId="322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8B8E6"/>
  </sheetPr>
  <dimension ref="A1:BK56"/>
  <sheetViews>
    <sheetView showGridLines="0" zoomScale="70" zoomScaleNormal="70" workbookViewId="0">
      <pane xSplit="3" ySplit="6" topLeftCell="D7" activePane="bottomRight" state="frozen"/>
      <selection activeCell="I13" sqref="I13"/>
      <selection pane="topRight" activeCell="I13" sqref="I13"/>
      <selection pane="bottomLeft" activeCell="I13" sqref="I13"/>
      <selection pane="bottomRight" activeCell="E43" sqref="E43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2.7109375" style="197" customWidth="1"/>
    <col min="4" max="4" width="12.28515625" style="199" customWidth="1"/>
    <col min="5" max="5" width="12.28515625" style="197" customWidth="1"/>
    <col min="6" max="8" width="14" style="197" customWidth="1"/>
    <col min="9" max="19" width="14" style="197" customWidth="1" outlineLevel="1"/>
    <col min="20" max="20" width="14" style="197" customWidth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6.8554687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>
      <c r="A3" s="511"/>
      <c r="B3" s="511"/>
      <c r="C3" s="536" t="str">
        <f>Объекты!C37</f>
        <v>Гостиница 4* - Mercure</v>
      </c>
      <c r="D3" s="1764">
        <f>YEAR(D4)</f>
        <v>2026</v>
      </c>
      <c r="E3" s="1764">
        <f>D3+1</f>
        <v>2027</v>
      </c>
      <c r="F3" s="1764">
        <f t="shared" ref="F3:T3" si="0">E3+1</f>
        <v>2028</v>
      </c>
      <c r="G3" s="1764">
        <f t="shared" si="0"/>
        <v>2029</v>
      </c>
      <c r="H3" s="1764">
        <f t="shared" si="0"/>
        <v>2030</v>
      </c>
      <c r="I3" s="1764">
        <f t="shared" si="0"/>
        <v>2031</v>
      </c>
      <c r="J3" s="1764">
        <f t="shared" si="0"/>
        <v>2032</v>
      </c>
      <c r="K3" s="1764">
        <f t="shared" si="0"/>
        <v>2033</v>
      </c>
      <c r="L3" s="1764">
        <f t="shared" si="0"/>
        <v>2034</v>
      </c>
      <c r="M3" s="1764">
        <f>L3+1</f>
        <v>2035</v>
      </c>
      <c r="N3" s="1764">
        <f t="shared" si="0"/>
        <v>2036</v>
      </c>
      <c r="O3" s="1764">
        <f t="shared" si="0"/>
        <v>2037</v>
      </c>
      <c r="P3" s="1764">
        <f t="shared" si="0"/>
        <v>2038</v>
      </c>
      <c r="Q3" s="1764">
        <f t="shared" si="0"/>
        <v>2039</v>
      </c>
      <c r="R3" s="1764">
        <f t="shared" si="0"/>
        <v>2040</v>
      </c>
      <c r="S3" s="1764">
        <f t="shared" si="0"/>
        <v>2041</v>
      </c>
      <c r="T3" s="1764">
        <f t="shared" si="0"/>
        <v>2042</v>
      </c>
      <c r="V3" s="799">
        <f t="shared" ref="V3:AL3" si="1">D3</f>
        <v>2026</v>
      </c>
      <c r="W3" s="799">
        <f t="shared" si="1"/>
        <v>2027</v>
      </c>
      <c r="X3" s="799">
        <f t="shared" si="1"/>
        <v>2028</v>
      </c>
      <c r="Y3" s="799">
        <f t="shared" si="1"/>
        <v>2029</v>
      </c>
      <c r="Z3" s="799">
        <f t="shared" si="1"/>
        <v>2030</v>
      </c>
      <c r="AA3" s="799">
        <f t="shared" si="1"/>
        <v>2031</v>
      </c>
      <c r="AB3" s="799">
        <f t="shared" si="1"/>
        <v>2032</v>
      </c>
      <c r="AC3" s="799">
        <f t="shared" si="1"/>
        <v>2033</v>
      </c>
      <c r="AD3" s="799">
        <f t="shared" si="1"/>
        <v>2034</v>
      </c>
      <c r="AE3" s="799">
        <f t="shared" si="1"/>
        <v>2035</v>
      </c>
      <c r="AF3" s="799">
        <f t="shared" si="1"/>
        <v>2036</v>
      </c>
      <c r="AG3" s="799">
        <f t="shared" si="1"/>
        <v>2037</v>
      </c>
      <c r="AH3" s="799">
        <f t="shared" si="1"/>
        <v>2038</v>
      </c>
      <c r="AI3" s="799">
        <f t="shared" si="1"/>
        <v>2039</v>
      </c>
      <c r="AJ3" s="799">
        <f t="shared" si="1"/>
        <v>2040</v>
      </c>
      <c r="AK3" s="799">
        <f t="shared" si="1"/>
        <v>2041</v>
      </c>
      <c r="AL3" s="799">
        <f t="shared" si="1"/>
        <v>2042</v>
      </c>
      <c r="AO3" s="799">
        <f t="shared" ref="AO3:BE3" si="2">V3</f>
        <v>2026</v>
      </c>
      <c r="AP3" s="799">
        <f t="shared" si="2"/>
        <v>2027</v>
      </c>
      <c r="AQ3" s="799">
        <f t="shared" si="2"/>
        <v>2028</v>
      </c>
      <c r="AR3" s="799">
        <f t="shared" si="2"/>
        <v>2029</v>
      </c>
      <c r="AS3" s="799">
        <f t="shared" si="2"/>
        <v>2030</v>
      </c>
      <c r="AT3" s="799">
        <f t="shared" si="2"/>
        <v>2031</v>
      </c>
      <c r="AU3" s="799">
        <f t="shared" si="2"/>
        <v>2032</v>
      </c>
      <c r="AV3" s="799">
        <f t="shared" si="2"/>
        <v>2033</v>
      </c>
      <c r="AW3" s="799">
        <f t="shared" si="2"/>
        <v>2034</v>
      </c>
      <c r="AX3" s="799">
        <f t="shared" si="2"/>
        <v>2035</v>
      </c>
      <c r="AY3" s="799">
        <f t="shared" si="2"/>
        <v>2036</v>
      </c>
      <c r="AZ3" s="799">
        <f t="shared" si="2"/>
        <v>2037</v>
      </c>
      <c r="BA3" s="799">
        <f t="shared" si="2"/>
        <v>2038</v>
      </c>
      <c r="BB3" s="799">
        <f t="shared" si="2"/>
        <v>2039</v>
      </c>
      <c r="BC3" s="799">
        <f t="shared" si="2"/>
        <v>2040</v>
      </c>
      <c r="BD3" s="799">
        <f t="shared" si="2"/>
        <v>2041</v>
      </c>
      <c r="BE3" s="799">
        <f t="shared" si="2"/>
        <v>2042</v>
      </c>
    </row>
    <row r="4" spans="1:57">
      <c r="A4" s="511"/>
      <c r="B4" s="511"/>
      <c r="C4" s="512" t="s">
        <v>1</v>
      </c>
      <c r="D4" s="782">
        <f>Объекты!K6</f>
        <v>46204</v>
      </c>
      <c r="E4" s="514">
        <f>D5+1</f>
        <v>46388</v>
      </c>
      <c r="F4" s="514">
        <f t="shared" ref="F4:T4" si="3">E5+1</f>
        <v>46753</v>
      </c>
      <c r="G4" s="514">
        <f t="shared" si="3"/>
        <v>47119</v>
      </c>
      <c r="H4" s="514">
        <f t="shared" si="3"/>
        <v>47484</v>
      </c>
      <c r="I4" s="514">
        <f t="shared" si="3"/>
        <v>47849</v>
      </c>
      <c r="J4" s="514">
        <f t="shared" si="3"/>
        <v>48214</v>
      </c>
      <c r="K4" s="514">
        <f t="shared" si="3"/>
        <v>48580</v>
      </c>
      <c r="L4" s="514">
        <f>K5+1</f>
        <v>48945</v>
      </c>
      <c r="M4" s="514">
        <f t="shared" si="3"/>
        <v>49310</v>
      </c>
      <c r="N4" s="514">
        <f t="shared" si="3"/>
        <v>49675</v>
      </c>
      <c r="O4" s="514">
        <f t="shared" si="3"/>
        <v>50041</v>
      </c>
      <c r="P4" s="514">
        <f t="shared" si="3"/>
        <v>50406</v>
      </c>
      <c r="Q4" s="514">
        <f t="shared" si="3"/>
        <v>50771</v>
      </c>
      <c r="R4" s="514">
        <f t="shared" si="3"/>
        <v>51136</v>
      </c>
      <c r="S4" s="514">
        <f t="shared" si="3"/>
        <v>51502</v>
      </c>
      <c r="T4" s="514">
        <f t="shared" si="3"/>
        <v>51867</v>
      </c>
      <c r="AO4" s="537" t="s">
        <v>548</v>
      </c>
    </row>
    <row r="5" spans="1:57">
      <c r="A5" s="511"/>
      <c r="B5" s="511"/>
      <c r="C5" s="512" t="s">
        <v>2</v>
      </c>
      <c r="D5" s="513">
        <f>DATE(D3,12,31)</f>
        <v>46387</v>
      </c>
      <c r="E5" s="514">
        <f>DATE(E3,12,31)</f>
        <v>46752</v>
      </c>
      <c r="F5" s="514">
        <f t="shared" ref="F5:K5" si="4">DATE(F3,12,31)</f>
        <v>47118</v>
      </c>
      <c r="G5" s="514">
        <f t="shared" si="4"/>
        <v>47483</v>
      </c>
      <c r="H5" s="514">
        <f t="shared" si="4"/>
        <v>47848</v>
      </c>
      <c r="I5" s="514">
        <f t="shared" si="4"/>
        <v>48213</v>
      </c>
      <c r="J5" s="514">
        <f t="shared" si="4"/>
        <v>48579</v>
      </c>
      <c r="K5" s="514">
        <f t="shared" si="4"/>
        <v>48944</v>
      </c>
      <c r="L5" s="514">
        <f>DATE(L3,12,31)</f>
        <v>49309</v>
      </c>
      <c r="M5" s="514">
        <f t="shared" ref="M5:T5" si="5">DATE(M3,12,31)</f>
        <v>49674</v>
      </c>
      <c r="N5" s="514">
        <f t="shared" si="5"/>
        <v>50040</v>
      </c>
      <c r="O5" s="514">
        <f t="shared" si="5"/>
        <v>50405</v>
      </c>
      <c r="P5" s="514">
        <f t="shared" si="5"/>
        <v>50770</v>
      </c>
      <c r="Q5" s="514">
        <f t="shared" si="5"/>
        <v>51135</v>
      </c>
      <c r="R5" s="514">
        <f t="shared" si="5"/>
        <v>51501</v>
      </c>
      <c r="S5" s="514">
        <f t="shared" si="5"/>
        <v>51866</v>
      </c>
      <c r="T5" s="514">
        <f t="shared" si="5"/>
        <v>52231</v>
      </c>
      <c r="AO5" s="814">
        <f>'К дв.загр'!G8</f>
        <v>2.2029999999999998</v>
      </c>
    </row>
    <row r="6" spans="1:57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366</v>
      </c>
      <c r="G6" s="515">
        <f t="shared" si="6"/>
        <v>365</v>
      </c>
      <c r="H6" s="515">
        <f t="shared" si="6"/>
        <v>365</v>
      </c>
      <c r="I6" s="515">
        <f t="shared" si="6"/>
        <v>365</v>
      </c>
      <c r="J6" s="515">
        <f t="shared" si="6"/>
        <v>366</v>
      </c>
      <c r="K6" s="515">
        <f t="shared" si="6"/>
        <v>365</v>
      </c>
      <c r="L6" s="515">
        <f t="shared" si="6"/>
        <v>365</v>
      </c>
      <c r="M6" s="515">
        <f t="shared" si="6"/>
        <v>365</v>
      </c>
      <c r="N6" s="515">
        <f t="shared" si="6"/>
        <v>366</v>
      </c>
      <c r="O6" s="515">
        <f t="shared" si="6"/>
        <v>365</v>
      </c>
      <c r="P6" s="515">
        <f t="shared" si="6"/>
        <v>365</v>
      </c>
      <c r="Q6" s="515">
        <f t="shared" si="6"/>
        <v>365</v>
      </c>
      <c r="R6" s="515">
        <f t="shared" si="6"/>
        <v>366</v>
      </c>
      <c r="S6" s="515">
        <f t="shared" si="6"/>
        <v>365</v>
      </c>
      <c r="T6" s="515">
        <f t="shared" si="6"/>
        <v>365</v>
      </c>
    </row>
    <row r="7" spans="1:57" outlineLevel="1">
      <c r="A7" s="509"/>
      <c r="B7" s="509"/>
      <c r="C7" s="512" t="s">
        <v>549</v>
      </c>
      <c r="D7" s="815">
        <f>Объекты!F6</f>
        <v>160</v>
      </c>
      <c r="E7" s="538">
        <f>D7</f>
        <v>160</v>
      </c>
      <c r="F7" s="538">
        <f t="shared" ref="F7:T7" si="7">E7</f>
        <v>160</v>
      </c>
      <c r="G7" s="538">
        <f t="shared" si="7"/>
        <v>160</v>
      </c>
      <c r="H7" s="538">
        <f t="shared" si="7"/>
        <v>160</v>
      </c>
      <c r="I7" s="538">
        <f t="shared" si="7"/>
        <v>160</v>
      </c>
      <c r="J7" s="538">
        <f t="shared" si="7"/>
        <v>160</v>
      </c>
      <c r="K7" s="538">
        <f t="shared" si="7"/>
        <v>160</v>
      </c>
      <c r="L7" s="538">
        <f t="shared" si="7"/>
        <v>160</v>
      </c>
      <c r="M7" s="538">
        <f t="shared" si="7"/>
        <v>160</v>
      </c>
      <c r="N7" s="538">
        <f t="shared" si="7"/>
        <v>160</v>
      </c>
      <c r="O7" s="538">
        <f t="shared" si="7"/>
        <v>160</v>
      </c>
      <c r="P7" s="538">
        <f t="shared" si="7"/>
        <v>160</v>
      </c>
      <c r="Q7" s="538">
        <f t="shared" si="7"/>
        <v>160</v>
      </c>
      <c r="R7" s="538">
        <f t="shared" si="7"/>
        <v>160</v>
      </c>
      <c r="S7" s="538">
        <f t="shared" si="7"/>
        <v>160</v>
      </c>
      <c r="T7" s="538">
        <f t="shared" si="7"/>
        <v>160</v>
      </c>
      <c r="V7" s="539"/>
      <c r="W7" s="540"/>
      <c r="X7" s="540"/>
      <c r="Y7" s="540"/>
      <c r="Z7" s="540"/>
    </row>
    <row r="8" spans="1:57">
      <c r="A8" s="509"/>
      <c r="B8" s="509"/>
      <c r="C8" s="512" t="s">
        <v>546</v>
      </c>
      <c r="D8" s="201">
        <f>D7*D6</f>
        <v>29440</v>
      </c>
      <c r="E8" s="201">
        <f t="shared" ref="E8:T8" si="8">E7*E6</f>
        <v>58400</v>
      </c>
      <c r="F8" s="201">
        <f t="shared" si="8"/>
        <v>58560</v>
      </c>
      <c r="G8" s="201">
        <f t="shared" si="8"/>
        <v>58400</v>
      </c>
      <c r="H8" s="201">
        <f t="shared" si="8"/>
        <v>58400</v>
      </c>
      <c r="I8" s="201">
        <f t="shared" si="8"/>
        <v>58400</v>
      </c>
      <c r="J8" s="201">
        <f t="shared" si="8"/>
        <v>58560</v>
      </c>
      <c r="K8" s="201">
        <f t="shared" si="8"/>
        <v>58400</v>
      </c>
      <c r="L8" s="201">
        <f t="shared" si="8"/>
        <v>58400</v>
      </c>
      <c r="M8" s="201">
        <f t="shared" si="8"/>
        <v>58400</v>
      </c>
      <c r="N8" s="201">
        <f t="shared" si="8"/>
        <v>58560</v>
      </c>
      <c r="O8" s="201">
        <f t="shared" si="8"/>
        <v>58400</v>
      </c>
      <c r="P8" s="201">
        <f t="shared" si="8"/>
        <v>58400</v>
      </c>
      <c r="Q8" s="201">
        <f t="shared" si="8"/>
        <v>58400</v>
      </c>
      <c r="R8" s="201">
        <f t="shared" si="8"/>
        <v>58560</v>
      </c>
      <c r="S8" s="201">
        <f t="shared" si="8"/>
        <v>58400</v>
      </c>
      <c r="T8" s="201">
        <f t="shared" si="8"/>
        <v>58400</v>
      </c>
      <c r="AO8" s="537"/>
    </row>
    <row r="9" spans="1:57">
      <c r="A9" s="509"/>
      <c r="B9" s="509"/>
      <c r="C9" s="512" t="s">
        <v>547</v>
      </c>
      <c r="D9" s="201">
        <f>D8*D10</f>
        <v>13407.671114942152</v>
      </c>
      <c r="E9" s="201">
        <f t="shared" ref="E9:T9" si="9">E8*E10</f>
        <v>29955.381202794946</v>
      </c>
      <c r="F9" s="201">
        <f t="shared" si="9"/>
        <v>31804.359607415485</v>
      </c>
      <c r="G9" s="201">
        <f t="shared" si="9"/>
        <v>33479.543697241403</v>
      </c>
      <c r="H9" s="208">
        <f t="shared" si="9"/>
        <v>35241.624944464638</v>
      </c>
      <c r="I9" s="201">
        <f t="shared" si="9"/>
        <v>35241.624944464638</v>
      </c>
      <c r="J9" s="201">
        <f t="shared" si="9"/>
        <v>35338.177341572766</v>
      </c>
      <c r="K9" s="201">
        <f t="shared" si="9"/>
        <v>35241.624944464638</v>
      </c>
      <c r="L9" s="201">
        <f t="shared" si="9"/>
        <v>35241.624944464638</v>
      </c>
      <c r="M9" s="201">
        <f t="shared" si="9"/>
        <v>35241.624944464638</v>
      </c>
      <c r="N9" s="201">
        <f t="shared" si="9"/>
        <v>35338.177341572766</v>
      </c>
      <c r="O9" s="201">
        <f t="shared" si="9"/>
        <v>35241.624944464638</v>
      </c>
      <c r="P9" s="201">
        <f t="shared" si="9"/>
        <v>35241.624944464638</v>
      </c>
      <c r="Q9" s="201">
        <f t="shared" si="9"/>
        <v>35241.624944464638</v>
      </c>
      <c r="R9" s="201">
        <f t="shared" si="9"/>
        <v>35338.177341572766</v>
      </c>
      <c r="S9" s="201">
        <f t="shared" si="9"/>
        <v>35241.624944464638</v>
      </c>
      <c r="T9" s="201">
        <f t="shared" si="9"/>
        <v>35241.624944464638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SUMIF(ADR_OCC!$91:$91,D$3,ADR_OCC!93:93)</f>
        <v>0.45542361124124159</v>
      </c>
      <c r="E10" s="542">
        <f>SUMIF(ADR_OCC!$91:$91,E$3,ADR_OCC!93:93)</f>
        <v>0.51293460963689974</v>
      </c>
      <c r="F10" s="542">
        <f>SUMIF(ADR_OCC!$91:$91,F$3,ADR_OCC!93:93)</f>
        <v>0.54310723373318792</v>
      </c>
      <c r="G10" s="542">
        <f>SUMIF(ADR_OCC!$91:$91,G$3,ADR_OCC!93:93)</f>
        <v>0.5732798578294761</v>
      </c>
      <c r="H10" s="542">
        <f>SUMIF(ADR_OCC!$91:$91,H$3,ADR_OCC!93:93)</f>
        <v>0.60345248192576439</v>
      </c>
      <c r="I10" s="542">
        <f>SUMIF(ADR_OCC!$91:$91,I$3,ADR_OCC!93:93)</f>
        <v>0.60345248192576439</v>
      </c>
      <c r="J10" s="542">
        <f>SUMIF(ADR_OCC!$91:$91,J$3,ADR_OCC!93:93)</f>
        <v>0.60345248192576439</v>
      </c>
      <c r="K10" s="542">
        <f>SUMIF(ADR_OCC!$91:$91,K$3,ADR_OCC!93:93)</f>
        <v>0.60345248192576439</v>
      </c>
      <c r="L10" s="542">
        <f>SUMIF(ADR_OCC!$91:$91,L$3,ADR_OCC!93:93)</f>
        <v>0.60345248192576439</v>
      </c>
      <c r="M10" s="542">
        <f>SUMIF(ADR_OCC!$91:$91,M$3,ADR_OCC!93:93)</f>
        <v>0.60345248192576439</v>
      </c>
      <c r="N10" s="542">
        <f>SUMIF(ADR_OCC!$91:$91,N$3,ADR_OCC!93:93)</f>
        <v>0.60345248192576439</v>
      </c>
      <c r="O10" s="542">
        <f>SUMIF(ADR_OCC!$91:$91,O$3,ADR_OCC!93:93)</f>
        <v>0.60345248192576439</v>
      </c>
      <c r="P10" s="542">
        <f>SUMIF(ADR_OCC!$91:$91,P$3,ADR_OCC!93:93)</f>
        <v>0.60345248192576439</v>
      </c>
      <c r="Q10" s="542">
        <f>SUMIF(ADR_OCC!$91:$91,Q$3,ADR_OCC!93:93)</f>
        <v>0.60345248192576439</v>
      </c>
      <c r="R10" s="542">
        <f>SUMIF(ADR_OCC!$91:$91,R$3,ADR_OCC!93:93)</f>
        <v>0.60345248192576439</v>
      </c>
      <c r="S10" s="542">
        <f>SUMIF(ADR_OCC!$91:$91,S$3,ADR_OCC!93:93)</f>
        <v>0.60345248192576439</v>
      </c>
      <c r="T10" s="542">
        <f>SUMIF(ADR_OCC!$91:$91,T$3,ADR_OCC!93:93)</f>
        <v>0.60345248192576439</v>
      </c>
      <c r="V10" s="543"/>
      <c r="W10" s="544" t="str">
        <f t="shared" ref="W10:AL10" si="10">ROUND((E10-D10),2)*100 &amp; "пп."</f>
        <v>6пп.</v>
      </c>
      <c r="X10" s="544" t="str">
        <f t="shared" si="10"/>
        <v>3пп.</v>
      </c>
      <c r="Y10" s="544" t="str">
        <f t="shared" si="10"/>
        <v>3пп.</v>
      </c>
      <c r="Z10" s="544" t="str">
        <f t="shared" si="10"/>
        <v>3пп.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SUMIF(ADR_OCC!$65:$65,D$3,ADR_OCC!67:67)</f>
        <v>7060.0964096000007</v>
      </c>
      <c r="E11" s="208">
        <f>SUMIF(ADR_OCC!$65:$65,E$3,ADR_OCC!67:67)</f>
        <v>8206.3238266880016</v>
      </c>
      <c r="F11" s="208">
        <f>SUMIF(ADR_OCC!$65:$65,F$3,ADR_OCC!67:67)</f>
        <v>8983.7650313216018</v>
      </c>
      <c r="G11" s="208">
        <f>SUMIF(ADR_OCC!$65:$65,G$3,ADR_OCC!67:67)</f>
        <v>9343.1156325744669</v>
      </c>
      <c r="H11" s="208">
        <f>SUMIF(ADR_OCC!$65:$65,H$3,ADR_OCC!67:67)</f>
        <v>9716.8402578774458</v>
      </c>
      <c r="I11" s="208">
        <f>SUMIF(ADR_OCC!$65:$65,I$3,ADR_OCC!67:67)</f>
        <v>10105.513868192544</v>
      </c>
      <c r="J11" s="208">
        <f>SUMIF(ADR_OCC!$65:$65,J$3,ADR_OCC!67:67)</f>
        <v>10509.734422920246</v>
      </c>
      <c r="K11" s="208">
        <f>SUMIF(ADR_OCC!$65:$65,K$3,ADR_OCC!67:67)</f>
        <v>10930.123799837056</v>
      </c>
      <c r="L11" s="208">
        <f>SUMIF(ADR_OCC!$65:$65,L$3,ADR_OCC!67:67)</f>
        <v>11367.328751830539</v>
      </c>
      <c r="M11" s="208">
        <f>SUMIF(ADR_OCC!$65:$65,M$3,ADR_OCC!67:67)</f>
        <v>11822.021901903761</v>
      </c>
      <c r="N11" s="208">
        <f>SUMIF(ADR_OCC!$65:$65,N$3,ADR_OCC!67:67)</f>
        <v>12294.902777979913</v>
      </c>
      <c r="O11" s="208">
        <f>SUMIF(ADR_OCC!$65:$65,O$3,ADR_OCC!67:67)</f>
        <v>12786.698889099109</v>
      </c>
      <c r="P11" s="208">
        <f>SUMIF(ADR_OCC!$65:$65,P$3,ADR_OCC!67:67)</f>
        <v>13298.166844663074</v>
      </c>
      <c r="Q11" s="208">
        <f>SUMIF(ADR_OCC!$65:$65,Q$3,ADR_OCC!67:67)</f>
        <v>13830.093518449597</v>
      </c>
      <c r="R11" s="208">
        <f>SUMIF(ADR_OCC!$65:$65,R$3,ADR_OCC!67:67)</f>
        <v>14383.297259187582</v>
      </c>
      <c r="S11" s="208">
        <f>SUMIF(ADR_OCC!$65:$65,S$3,ADR_OCC!67:67)</f>
        <v>14958.629149555087</v>
      </c>
      <c r="T11" s="208">
        <f>SUMIF(ADR_OCC!$65:$65,T$3,ADR_OCC!67:67)</f>
        <v>15556.974315537291</v>
      </c>
      <c r="V11" s="543"/>
      <c r="W11" s="522">
        <f t="shared" ref="W11:AL11" si="11">E11/D11-1</f>
        <v>0.16235294117647081</v>
      </c>
      <c r="X11" s="522">
        <f t="shared" si="11"/>
        <v>9.473684210526323E-2</v>
      </c>
      <c r="Y11" s="522">
        <f t="shared" si="11"/>
        <v>4.0000000000000036E-2</v>
      </c>
      <c r="Z11" s="522">
        <f t="shared" si="11"/>
        <v>4.0000000000000036E-2</v>
      </c>
      <c r="AA11" s="522">
        <f t="shared" si="11"/>
        <v>4.0000000000000036E-2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4.0000000000000036E-2</v>
      </c>
      <c r="AG11" s="522">
        <f t="shared" si="11"/>
        <v>4.0000000000000036E-2</v>
      </c>
      <c r="AH11" s="522">
        <f t="shared" si="11"/>
        <v>4.0000000000000036E-2</v>
      </c>
      <c r="AI11" s="522">
        <f t="shared" si="11"/>
        <v>4.0000000000000036E-2</v>
      </c>
      <c r="AJ11" s="522">
        <f t="shared" si="11"/>
        <v>4.0000000000000036E-2</v>
      </c>
      <c r="AK11" s="522">
        <f t="shared" si="11"/>
        <v>4.0000000000000036E-2</v>
      </c>
      <c r="AL11" s="522">
        <f t="shared" si="11"/>
        <v>4.0000000000000036E-2</v>
      </c>
      <c r="AO11" s="545">
        <f>SUMIF(CPI!3:3,AO3,CPI!4:4)</f>
        <v>0.04</v>
      </c>
      <c r="AP11" s="546">
        <f>SUMIF(CPI!3:3,AP3,CPI!4:4)</f>
        <v>0.04</v>
      </c>
      <c r="AQ11" s="546">
        <f>SUMIF(CPI!3:3,AQ3,CPI!4:4)</f>
        <v>0.04</v>
      </c>
      <c r="AR11" s="546">
        <f>SUMIF(CPI!3:3,AR3,CPI!4:4)</f>
        <v>0.04</v>
      </c>
      <c r="AS11" s="546">
        <f>SUMIF(CPI!3:3,AS3,CPI!4:4)</f>
        <v>0.04</v>
      </c>
      <c r="AT11" s="546">
        <f>SUMIF(CPI!3:3,AT3,CPI!4:4)</f>
        <v>0.04</v>
      </c>
      <c r="AU11" s="546">
        <f>SUMIF(CPI!3:3,AU3,CPI!4:4)</f>
        <v>0.04</v>
      </c>
      <c r="AV11" s="546">
        <f>SUMIF(CPI!3:3,AV3,CPI!4:4)</f>
        <v>0.04</v>
      </c>
      <c r="AW11" s="546">
        <f>SUMIF(CPI!3:3,AW3,CPI!4:4)</f>
        <v>0.04</v>
      </c>
      <c r="AX11" s="546">
        <f>SUMIF(CPI!3:3,AX3,CPI!4:4)</f>
        <v>0.04</v>
      </c>
      <c r="AY11" s="546">
        <f>SUMIF(CPI!3:3,AY3,CPI!4:4)</f>
        <v>0.04</v>
      </c>
      <c r="AZ11" s="546">
        <f>SUMIF(CPI!3:3,AZ3,CPI!4:4)</f>
        <v>0.04</v>
      </c>
      <c r="BA11" s="546">
        <f>SUMIF(CPI!3:3,BA3,CPI!4:4)</f>
        <v>0.04</v>
      </c>
      <c r="BB11" s="546">
        <f>SUMIF(CPI!3:3,BB3,CPI!4:4)</f>
        <v>0.04</v>
      </c>
      <c r="BC11" s="546">
        <f>SUMIF(CPI!3:3,BC3,CPI!4:4)</f>
        <v>0.04</v>
      </c>
      <c r="BD11" s="546">
        <f>SUMIF(CPI!3:3,BD3,CPI!4:4)</f>
        <v>0.04</v>
      </c>
      <c r="BE11" s="546">
        <f>SUMIF(CPI!3:3,BE3,CPI!4:4)</f>
        <v>0.04</v>
      </c>
    </row>
    <row r="12" spans="1:57" outlineLevel="1">
      <c r="A12" s="509"/>
      <c r="B12" s="509"/>
      <c r="C12" s="547" t="s">
        <v>31</v>
      </c>
      <c r="D12" s="1035">
        <f t="shared" ref="D12:T12" si="12">D14+D21+D39+D45+D33</f>
        <v>172280200.27345532</v>
      </c>
      <c r="E12" s="1035">
        <f t="shared" si="12"/>
        <v>436336816.3410821</v>
      </c>
      <c r="F12" s="1035">
        <f t="shared" si="12"/>
        <v>504300907.35345399</v>
      </c>
      <c r="G12" s="1035">
        <f t="shared" si="12"/>
        <v>548969700.39646888</v>
      </c>
      <c r="H12" s="1035">
        <f t="shared" si="12"/>
        <v>600977356.22350287</v>
      </c>
      <c r="I12" s="1035">
        <f t="shared" si="12"/>
        <v>625016450.4724431</v>
      </c>
      <c r="J12" s="1035">
        <f t="shared" si="12"/>
        <v>651797977.28172815</v>
      </c>
      <c r="K12" s="1035">
        <f t="shared" si="12"/>
        <v>676017792.83099437</v>
      </c>
      <c r="L12" s="1035">
        <f t="shared" si="12"/>
        <v>703058504.54423428</v>
      </c>
      <c r="M12" s="1035">
        <f t="shared" si="12"/>
        <v>731180844.72600389</v>
      </c>
      <c r="N12" s="1035">
        <f t="shared" si="12"/>
        <v>762511443.11371541</v>
      </c>
      <c r="O12" s="1035">
        <f t="shared" si="12"/>
        <v>790845201.65564561</v>
      </c>
      <c r="P12" s="1035">
        <f t="shared" si="12"/>
        <v>822479009.7218715</v>
      </c>
      <c r="Q12" s="1035">
        <f t="shared" si="12"/>
        <v>855378170.11074638</v>
      </c>
      <c r="R12" s="1035">
        <f t="shared" si="12"/>
        <v>892030538.82453322</v>
      </c>
      <c r="S12" s="1035">
        <f t="shared" si="12"/>
        <v>925177028.79178345</v>
      </c>
      <c r="T12" s="1035">
        <f t="shared" si="12"/>
        <v>962184109.94345474</v>
      </c>
      <c r="V12" s="549"/>
      <c r="W12" s="549"/>
      <c r="X12" s="549"/>
      <c r="Y12" s="549"/>
      <c r="Z12" s="549"/>
      <c r="AO12" s="548">
        <f t="shared" ref="AO12:BE12" si="13">D12/D9</f>
        <v>12849.375465472001</v>
      </c>
      <c r="AP12" s="548">
        <f t="shared" si="13"/>
        <v>14566.224792371204</v>
      </c>
      <c r="AQ12" s="548">
        <f t="shared" si="13"/>
        <v>15856.345280282629</v>
      </c>
      <c r="AR12" s="548">
        <f t="shared" si="13"/>
        <v>16397.167935168185</v>
      </c>
      <c r="AS12" s="548">
        <f t="shared" si="13"/>
        <v>17053.054652574916</v>
      </c>
      <c r="AT12" s="548">
        <f t="shared" si="13"/>
        <v>17735.176838677915</v>
      </c>
      <c r="AU12" s="548">
        <f t="shared" si="13"/>
        <v>18444.583912225033</v>
      </c>
      <c r="AV12" s="548">
        <f t="shared" si="13"/>
        <v>19182.367268714032</v>
      </c>
      <c r="AW12" s="548">
        <f t="shared" si="13"/>
        <v>19949.661959462595</v>
      </c>
      <c r="AX12" s="548">
        <f t="shared" si="13"/>
        <v>20747.648437841104</v>
      </c>
      <c r="AY12" s="548">
        <f t="shared" si="13"/>
        <v>21577.554375354746</v>
      </c>
      <c r="AZ12" s="548">
        <f t="shared" si="13"/>
        <v>22440.656550368934</v>
      </c>
      <c r="BA12" s="548">
        <f t="shared" si="13"/>
        <v>23338.282812383692</v>
      </c>
      <c r="BB12" s="548">
        <f t="shared" si="13"/>
        <v>24271.814124879042</v>
      </c>
      <c r="BC12" s="548">
        <f t="shared" si="13"/>
        <v>25242.686689874208</v>
      </c>
      <c r="BD12" s="548">
        <f t="shared" si="13"/>
        <v>26252.394157469178</v>
      </c>
      <c r="BE12" s="548">
        <f t="shared" si="13"/>
        <v>27302.489923767942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>
        <f t="shared" ref="AO13:BE13" si="14">D14/D9</f>
        <v>7060.0964096000007</v>
      </c>
      <c r="AP13" s="552">
        <f t="shared" si="14"/>
        <v>8206.3238266880016</v>
      </c>
      <c r="AQ13" s="552">
        <f t="shared" si="14"/>
        <v>8983.7650313216018</v>
      </c>
      <c r="AR13" s="552">
        <f t="shared" si="14"/>
        <v>9343.1156325744669</v>
      </c>
      <c r="AS13" s="552">
        <f t="shared" si="14"/>
        <v>9716.8402578774458</v>
      </c>
      <c r="AT13" s="552">
        <f t="shared" si="14"/>
        <v>10105.513868192544</v>
      </c>
      <c r="AU13" s="552">
        <f t="shared" si="14"/>
        <v>10509.734422920246</v>
      </c>
      <c r="AV13" s="552">
        <f t="shared" si="14"/>
        <v>10930.123799837056</v>
      </c>
      <c r="AW13" s="552">
        <f t="shared" si="14"/>
        <v>11367.328751830539</v>
      </c>
      <c r="AX13" s="552">
        <f t="shared" si="14"/>
        <v>11822.021901903761</v>
      </c>
      <c r="AY13" s="552">
        <f t="shared" si="14"/>
        <v>12294.902777979913</v>
      </c>
      <c r="AZ13" s="552">
        <f t="shared" si="14"/>
        <v>12786.698889099109</v>
      </c>
      <c r="BA13" s="552">
        <f t="shared" si="14"/>
        <v>13298.166844663074</v>
      </c>
      <c r="BB13" s="552">
        <f t="shared" si="14"/>
        <v>13830.093518449597</v>
      </c>
      <c r="BC13" s="552">
        <f t="shared" si="14"/>
        <v>14383.297259187582</v>
      </c>
      <c r="BD13" s="552">
        <f t="shared" si="14"/>
        <v>14958.629149555087</v>
      </c>
      <c r="BE13" s="552">
        <f t="shared" si="14"/>
        <v>15556.974315537289</v>
      </c>
    </row>
    <row r="14" spans="1:57">
      <c r="A14" s="553"/>
      <c r="B14" s="553"/>
      <c r="C14" s="521" t="s">
        <v>17</v>
      </c>
      <c r="D14" s="554">
        <f>D11*D9</f>
        <v>94659450.699700728</v>
      </c>
      <c r="E14" s="554">
        <f t="shared" ref="E14:T14" si="15">E11*E9</f>
        <v>245823558.50201806</v>
      </c>
      <c r="F14" s="554">
        <f t="shared" si="15"/>
        <v>285722893.68467647</v>
      </c>
      <c r="G14" s="554">
        <f t="shared" si="15"/>
        <v>312803248.08915609</v>
      </c>
      <c r="H14" s="554">
        <f t="shared" si="15"/>
        <v>342437240.01339197</v>
      </c>
      <c r="I14" s="554">
        <f t="shared" si="15"/>
        <v>356134729.61392766</v>
      </c>
      <c r="J14" s="554">
        <f t="shared" si="15"/>
        <v>371394858.84998757</v>
      </c>
      <c r="K14" s="554">
        <f t="shared" si="15"/>
        <v>385195323.55042422</v>
      </c>
      <c r="L14" s="554">
        <f t="shared" si="15"/>
        <v>400603136.49244118</v>
      </c>
      <c r="M14" s="554">
        <f t="shared" si="15"/>
        <v>416627261.9521389</v>
      </c>
      <c r="N14" s="554">
        <f t="shared" si="15"/>
        <v>434479454.7656498</v>
      </c>
      <c r="O14" s="554">
        <f t="shared" si="15"/>
        <v>450624046.52743345</v>
      </c>
      <c r="P14" s="554">
        <f t="shared" si="15"/>
        <v>468649008.38853079</v>
      </c>
      <c r="Q14" s="554">
        <f t="shared" si="15"/>
        <v>487394968.72407204</v>
      </c>
      <c r="R14" s="554">
        <f t="shared" si="15"/>
        <v>508279509.30172831</v>
      </c>
      <c r="S14" s="554">
        <f t="shared" si="15"/>
        <v>527166398.17195642</v>
      </c>
      <c r="T14" s="554">
        <f t="shared" si="15"/>
        <v>548253054.09883463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12480476.025423519</v>
      </c>
      <c r="E15" s="201">
        <f t="shared" si="16"/>
        <v>27116399.271730896</v>
      </c>
      <c r="F15" s="201">
        <f t="shared" si="16"/>
        <v>28246932.926618773</v>
      </c>
      <c r="G15" s="201">
        <f t="shared" si="16"/>
        <v>29162919.971484166</v>
      </c>
      <c r="H15" s="201">
        <f t="shared" si="16"/>
        <v>30095892.643430512</v>
      </c>
      <c r="I15" s="201">
        <f t="shared" si="16"/>
        <v>31299728.349167738</v>
      </c>
      <c r="J15" s="201">
        <f t="shared" si="16"/>
        <v>32640900.270759478</v>
      </c>
      <c r="K15" s="201">
        <f t="shared" si="16"/>
        <v>33853786.182459824</v>
      </c>
      <c r="L15" s="201">
        <f t="shared" si="16"/>
        <v>35207937.629758216</v>
      </c>
      <c r="M15" s="201">
        <f t="shared" si="16"/>
        <v>36616255.134948544</v>
      </c>
      <c r="N15" s="201">
        <f t="shared" si="16"/>
        <v>38185236.587854296</v>
      </c>
      <c r="O15" s="201">
        <f t="shared" si="16"/>
        <v>39604141.553960353</v>
      </c>
      <c r="P15" s="201">
        <f t="shared" si="16"/>
        <v>41188307.216118768</v>
      </c>
      <c r="Q15" s="201">
        <f t="shared" si="16"/>
        <v>42835839.504763521</v>
      </c>
      <c r="R15" s="201">
        <f t="shared" si="16"/>
        <v>44671325.887926549</v>
      </c>
      <c r="S15" s="201">
        <f t="shared" si="16"/>
        <v>46331244.008352228</v>
      </c>
      <c r="T15" s="201">
        <f t="shared" si="16"/>
        <v>48184493.768686324</v>
      </c>
      <c r="V15" s="522">
        <f>D15/D14</f>
        <v>0.13184606431973492</v>
      </c>
      <c r="W15" s="522">
        <f>E15/E14</f>
        <v>0.11030838312231285</v>
      </c>
      <c r="X15" s="522">
        <f>F15/F14</f>
        <v>9.886128676056341E-2</v>
      </c>
      <c r="Y15" s="522">
        <f>G15/G14</f>
        <v>9.3230873239436643E-2</v>
      </c>
      <c r="Z15" s="522">
        <f>H15/H14</f>
        <v>8.7887323943661985E-2</v>
      </c>
      <c r="AA15" s="522">
        <f>Z15</f>
        <v>8.7887323943661985E-2</v>
      </c>
      <c r="AB15" s="522">
        <f t="shared" ref="AB15:AL17" si="17">AA15</f>
        <v>8.7887323943661985E-2</v>
      </c>
      <c r="AC15" s="522">
        <f t="shared" si="17"/>
        <v>8.7887323943661985E-2</v>
      </c>
      <c r="AD15" s="522">
        <f t="shared" si="17"/>
        <v>8.7887323943661985E-2</v>
      </c>
      <c r="AE15" s="522">
        <f t="shared" si="17"/>
        <v>8.7887323943661985E-2</v>
      </c>
      <c r="AF15" s="522">
        <f t="shared" si="17"/>
        <v>8.7887323943661985E-2</v>
      </c>
      <c r="AG15" s="522">
        <f t="shared" si="17"/>
        <v>8.7887323943661985E-2</v>
      </c>
      <c r="AH15" s="522">
        <f t="shared" si="17"/>
        <v>8.7887323943661985E-2</v>
      </c>
      <c r="AI15" s="522">
        <f t="shared" si="17"/>
        <v>8.7887323943661985E-2</v>
      </c>
      <c r="AJ15" s="522">
        <f t="shared" si="17"/>
        <v>8.7887323943661985E-2</v>
      </c>
      <c r="AK15" s="522">
        <f t="shared" si="17"/>
        <v>8.7887323943661985E-2</v>
      </c>
      <c r="AL15" s="522">
        <f t="shared" si="17"/>
        <v>8.7887323943661985E-2</v>
      </c>
      <c r="AO15" s="557">
        <f>'Прогноз расходов'!M7</f>
        <v>930.84592532365139</v>
      </c>
      <c r="AP15" s="557">
        <f>'Прогноз расходов'!N7</f>
        <v>905.22631270006468</v>
      </c>
      <c r="AQ15" s="557">
        <f>'Прогноз расходов'!O7</f>
        <v>888.14657095100688</v>
      </c>
      <c r="AR15" s="557">
        <f>'Прогноз расходов'!P7</f>
        <v>871.06682920194896</v>
      </c>
      <c r="AS15" s="557">
        <f>'Прогноз расходов'!Q7</f>
        <v>853.98708745289116</v>
      </c>
      <c r="AT15" s="201">
        <f t="shared" ref="AT15:BE15" si="18">AS15*(1+AT11)</f>
        <v>888.14657095100688</v>
      </c>
      <c r="AU15" s="201">
        <f t="shared" si="18"/>
        <v>923.6724337890472</v>
      </c>
      <c r="AV15" s="201">
        <f t="shared" si="18"/>
        <v>960.61933114060912</v>
      </c>
      <c r="AW15" s="201">
        <f t="shared" si="18"/>
        <v>999.04410438623347</v>
      </c>
      <c r="AX15" s="201">
        <f t="shared" si="18"/>
        <v>1039.0058685616827</v>
      </c>
      <c r="AY15" s="201">
        <f t="shared" si="18"/>
        <v>1080.5661033041501</v>
      </c>
      <c r="AZ15" s="201">
        <f t="shared" si="18"/>
        <v>1123.7887474363163</v>
      </c>
      <c r="BA15" s="201">
        <f t="shared" si="18"/>
        <v>1168.7402973337689</v>
      </c>
      <c r="BB15" s="201">
        <f t="shared" si="18"/>
        <v>1215.4899092271198</v>
      </c>
      <c r="BC15" s="201">
        <f t="shared" si="18"/>
        <v>1264.1095055962046</v>
      </c>
      <c r="BD15" s="201">
        <f t="shared" si="18"/>
        <v>1314.6738858200529</v>
      </c>
      <c r="BE15" s="201">
        <f t="shared" si="18"/>
        <v>1367.260841252855</v>
      </c>
    </row>
    <row r="16" spans="1:57">
      <c r="A16" s="553"/>
      <c r="B16" s="553"/>
      <c r="C16" s="519" t="s">
        <v>529</v>
      </c>
      <c r="D16" s="201">
        <f t="shared" ref="D16:T16" si="19">V16*D14</f>
        <v>10412539.576967081</v>
      </c>
      <c r="E16" s="201">
        <f t="shared" si="19"/>
        <v>25811473.6427119</v>
      </c>
      <c r="F16" s="201">
        <f t="shared" si="19"/>
        <v>28572289.368467648</v>
      </c>
      <c r="G16" s="201">
        <f t="shared" si="19"/>
        <v>29716308.56846983</v>
      </c>
      <c r="H16" s="201">
        <f t="shared" si="19"/>
        <v>30819351.601205274</v>
      </c>
      <c r="I16" s="201">
        <f t="shared" si="19"/>
        <v>32052125.66525349</v>
      </c>
      <c r="J16" s="201">
        <f t="shared" si="19"/>
        <v>33425537.29649888</v>
      </c>
      <c r="K16" s="201">
        <f t="shared" si="19"/>
        <v>34667579.119538181</v>
      </c>
      <c r="L16" s="201">
        <f t="shared" si="19"/>
        <v>36054282.284319706</v>
      </c>
      <c r="M16" s="201">
        <f t="shared" si="19"/>
        <v>37496453.575692497</v>
      </c>
      <c r="N16" s="201">
        <f t="shared" si="19"/>
        <v>39103150.928908482</v>
      </c>
      <c r="O16" s="201">
        <f t="shared" si="19"/>
        <v>40556164.187469013</v>
      </c>
      <c r="P16" s="201">
        <f t="shared" si="19"/>
        <v>42178410.754967771</v>
      </c>
      <c r="Q16" s="201">
        <f t="shared" si="19"/>
        <v>43865547.185166486</v>
      </c>
      <c r="R16" s="201">
        <f t="shared" si="19"/>
        <v>45745155.837155543</v>
      </c>
      <c r="S16" s="201">
        <f t="shared" si="19"/>
        <v>47444975.835476078</v>
      </c>
      <c r="T16" s="201">
        <f t="shared" si="19"/>
        <v>49342774.868895113</v>
      </c>
      <c r="V16" s="522">
        <f>'Прогноз расходов'!M17</f>
        <v>0.11000000000000001</v>
      </c>
      <c r="W16" s="522">
        <f>'Прогноз расходов'!N17</f>
        <v>0.10500000000000001</v>
      </c>
      <c r="X16" s="522">
        <f>'Прогноз расходов'!O17</f>
        <v>0.1</v>
      </c>
      <c r="Y16" s="522">
        <f>'Прогноз расходов'!P17</f>
        <v>9.5000000000000001E-2</v>
      </c>
      <c r="Z16" s="522">
        <f>'Прогноз расходов'!Q17</f>
        <v>0.09</v>
      </c>
      <c r="AA16" s="522">
        <f>Z16</f>
        <v>0.09</v>
      </c>
      <c r="AB16" s="522">
        <f t="shared" si="17"/>
        <v>0.09</v>
      </c>
      <c r="AC16" s="522">
        <f t="shared" si="17"/>
        <v>0.09</v>
      </c>
      <c r="AD16" s="522">
        <f t="shared" si="17"/>
        <v>0.09</v>
      </c>
      <c r="AE16" s="522">
        <f t="shared" si="17"/>
        <v>0.09</v>
      </c>
      <c r="AF16" s="522">
        <f t="shared" si="17"/>
        <v>0.09</v>
      </c>
      <c r="AG16" s="522">
        <f t="shared" si="17"/>
        <v>0.09</v>
      </c>
      <c r="AH16" s="522">
        <f t="shared" si="17"/>
        <v>0.09</v>
      </c>
      <c r="AI16" s="522">
        <f t="shared" si="17"/>
        <v>0.09</v>
      </c>
      <c r="AJ16" s="522">
        <f t="shared" si="17"/>
        <v>0.09</v>
      </c>
      <c r="AK16" s="522">
        <f t="shared" si="17"/>
        <v>0.09</v>
      </c>
      <c r="AL16" s="522">
        <f t="shared" si="17"/>
        <v>0.09</v>
      </c>
      <c r="AO16" s="201">
        <f t="shared" ref="AO16:BE16" si="20">D16/D9</f>
        <v>776.61060505600017</v>
      </c>
      <c r="AP16" s="201">
        <f t="shared" si="20"/>
        <v>861.66400180224036</v>
      </c>
      <c r="AQ16" s="201">
        <f t="shared" si="20"/>
        <v>898.37650313216022</v>
      </c>
      <c r="AR16" s="201">
        <f t="shared" si="20"/>
        <v>887.5959850945743</v>
      </c>
      <c r="AS16" s="201">
        <f t="shared" si="20"/>
        <v>874.51562320896994</v>
      </c>
      <c r="AT16" s="201">
        <f t="shared" si="20"/>
        <v>909.49624813732885</v>
      </c>
      <c r="AU16" s="201">
        <f t="shared" si="20"/>
        <v>945.87609806282217</v>
      </c>
      <c r="AV16" s="201">
        <f t="shared" si="20"/>
        <v>983.71114198533508</v>
      </c>
      <c r="AW16" s="201">
        <f t="shared" si="20"/>
        <v>1023.0595876647485</v>
      </c>
      <c r="AX16" s="201">
        <f t="shared" si="20"/>
        <v>1063.9819711713385</v>
      </c>
      <c r="AY16" s="201">
        <f t="shared" si="20"/>
        <v>1106.5412500181922</v>
      </c>
      <c r="AZ16" s="201">
        <f t="shared" si="20"/>
        <v>1150.8029000189199</v>
      </c>
      <c r="BA16" s="201">
        <f t="shared" si="20"/>
        <v>1196.8350160196767</v>
      </c>
      <c r="BB16" s="201">
        <f t="shared" si="20"/>
        <v>1244.7084166604639</v>
      </c>
      <c r="BC16" s="201">
        <f t="shared" si="20"/>
        <v>1294.4967533268823</v>
      </c>
      <c r="BD16" s="201">
        <f t="shared" si="20"/>
        <v>1346.2766234599578</v>
      </c>
      <c r="BE16" s="201">
        <f t="shared" si="20"/>
        <v>1400.127688398356</v>
      </c>
    </row>
    <row r="17" spans="1:63">
      <c r="A17" s="553"/>
      <c r="B17" s="553"/>
      <c r="C17" s="519" t="s">
        <v>27</v>
      </c>
      <c r="D17" s="201">
        <f t="shared" ref="D17:T17" si="21">AO17*D9</f>
        <v>13148391.409047103</v>
      </c>
      <c r="E17" s="201">
        <f t="shared" si="21"/>
        <v>28821833.188191958</v>
      </c>
      <c r="F17" s="201">
        <f t="shared" si="21"/>
        <v>30012366.234532442</v>
      </c>
      <c r="G17" s="201">
        <f t="shared" si="21"/>
        <v>31593163.302441176</v>
      </c>
      <c r="H17" s="201">
        <f t="shared" si="21"/>
        <v>32603883.697049722</v>
      </c>
      <c r="I17" s="201">
        <f t="shared" si="21"/>
        <v>33908039.04493171</v>
      </c>
      <c r="J17" s="201">
        <f t="shared" si="21"/>
        <v>35360975.293322764</v>
      </c>
      <c r="K17" s="201">
        <f t="shared" si="21"/>
        <v>36674935.030998141</v>
      </c>
      <c r="L17" s="201">
        <f t="shared" si="21"/>
        <v>38141932.432238065</v>
      </c>
      <c r="M17" s="201">
        <f t="shared" si="21"/>
        <v>39667609.729527593</v>
      </c>
      <c r="N17" s="201">
        <f t="shared" si="21"/>
        <v>41367339.636842154</v>
      </c>
      <c r="O17" s="201">
        <f t="shared" si="21"/>
        <v>42904486.683457047</v>
      </c>
      <c r="P17" s="201">
        <f t="shared" si="21"/>
        <v>44620666.150795333</v>
      </c>
      <c r="Q17" s="201">
        <f t="shared" si="21"/>
        <v>46405492.796827152</v>
      </c>
      <c r="R17" s="201">
        <f t="shared" si="21"/>
        <v>48393936.378587097</v>
      </c>
      <c r="S17" s="201">
        <f t="shared" si="21"/>
        <v>50192181.009048246</v>
      </c>
      <c r="T17" s="201">
        <f t="shared" si="21"/>
        <v>52199868.249410182</v>
      </c>
      <c r="V17" s="160">
        <f>D17/D14</f>
        <v>0.13890204635519474</v>
      </c>
      <c r="W17" s="160">
        <f>E17/E14</f>
        <v>0.11724601728094888</v>
      </c>
      <c r="X17" s="160">
        <f>F17/F14</f>
        <v>0.10504011718309861</v>
      </c>
      <c r="Y17" s="160">
        <f>G17/G14</f>
        <v>0.10100011267605635</v>
      </c>
      <c r="Z17" s="160">
        <f>H17/H14</f>
        <v>9.5211267605633823E-2</v>
      </c>
      <c r="AA17" s="522">
        <f>Z17</f>
        <v>9.5211267605633823E-2</v>
      </c>
      <c r="AB17" s="522">
        <f t="shared" si="17"/>
        <v>9.5211267605633823E-2</v>
      </c>
      <c r="AC17" s="522">
        <f t="shared" si="17"/>
        <v>9.5211267605633823E-2</v>
      </c>
      <c r="AD17" s="522">
        <f t="shared" si="17"/>
        <v>9.5211267605633823E-2</v>
      </c>
      <c r="AE17" s="522">
        <f t="shared" si="17"/>
        <v>9.5211267605633823E-2</v>
      </c>
      <c r="AF17" s="522">
        <f t="shared" si="17"/>
        <v>9.5211267605633823E-2</v>
      </c>
      <c r="AG17" s="522">
        <f t="shared" si="17"/>
        <v>9.5211267605633823E-2</v>
      </c>
      <c r="AH17" s="522">
        <f t="shared" si="17"/>
        <v>9.5211267605633823E-2</v>
      </c>
      <c r="AI17" s="522">
        <f t="shared" si="17"/>
        <v>9.5211267605633823E-2</v>
      </c>
      <c r="AJ17" s="522">
        <f t="shared" si="17"/>
        <v>9.5211267605633823E-2</v>
      </c>
      <c r="AK17" s="522">
        <f t="shared" si="17"/>
        <v>9.5211267605633823E-2</v>
      </c>
      <c r="AL17" s="522">
        <f t="shared" si="17"/>
        <v>9.5211267605633823E-2</v>
      </c>
      <c r="AO17" s="557">
        <f>'Прогноз расходов'!M27</f>
        <v>980.66183875840329</v>
      </c>
      <c r="AP17" s="557">
        <f>'Прогноз расходов'!N27</f>
        <v>962.15878519692399</v>
      </c>
      <c r="AQ17" s="557">
        <f>'Прогноз расходов'!O27</f>
        <v>943.65573163544468</v>
      </c>
      <c r="AR17" s="557">
        <f>'Прогноз расходов'!P27</f>
        <v>943.65573163544468</v>
      </c>
      <c r="AS17" s="557">
        <f>'Прогноз расходов'!Q27</f>
        <v>925.15267807396538</v>
      </c>
      <c r="AT17" s="201">
        <f t="shared" ref="AT17:BE17" si="22">AS17*(1+AT11)</f>
        <v>962.15878519692399</v>
      </c>
      <c r="AU17" s="201">
        <f t="shared" si="22"/>
        <v>1000.645136604801</v>
      </c>
      <c r="AV17" s="201">
        <f t="shared" si="22"/>
        <v>1040.6709420689931</v>
      </c>
      <c r="AW17" s="201">
        <f t="shared" si="22"/>
        <v>1082.2977797517528</v>
      </c>
      <c r="AX17" s="201">
        <f t="shared" si="22"/>
        <v>1125.5896909418229</v>
      </c>
      <c r="AY17" s="201">
        <f t="shared" si="22"/>
        <v>1170.613278579496</v>
      </c>
      <c r="AZ17" s="201">
        <f t="shared" si="22"/>
        <v>1217.4378097226759</v>
      </c>
      <c r="BA17" s="201">
        <f t="shared" si="22"/>
        <v>1266.135322111583</v>
      </c>
      <c r="BB17" s="201">
        <f t="shared" si="22"/>
        <v>1316.7807349960465</v>
      </c>
      <c r="BC17" s="201">
        <f t="shared" si="22"/>
        <v>1369.4519643958884</v>
      </c>
      <c r="BD17" s="201">
        <f t="shared" si="22"/>
        <v>1424.2300429717238</v>
      </c>
      <c r="BE17" s="201">
        <f t="shared" si="22"/>
        <v>1481.1992446905929</v>
      </c>
    </row>
    <row r="18" spans="1:63">
      <c r="A18" s="553"/>
      <c r="B18" s="553"/>
      <c r="C18" s="521" t="s">
        <v>28</v>
      </c>
      <c r="D18" s="556">
        <f>SUM(D15:D17)</f>
        <v>36041407.011437707</v>
      </c>
      <c r="E18" s="556">
        <f t="shared" ref="E18:T18" si="23">SUM(E15:E17)</f>
        <v>81749706.102634758</v>
      </c>
      <c r="F18" s="556">
        <f t="shared" si="23"/>
        <v>86831588.529618859</v>
      </c>
      <c r="G18" s="554">
        <f t="shared" si="23"/>
        <v>90472391.842395172</v>
      </c>
      <c r="H18" s="556">
        <f t="shared" si="23"/>
        <v>93519127.941685513</v>
      </c>
      <c r="I18" s="556">
        <f t="shared" si="23"/>
        <v>97259893.059352934</v>
      </c>
      <c r="J18" s="556">
        <f t="shared" si="23"/>
        <v>101427412.86058113</v>
      </c>
      <c r="K18" s="556">
        <f t="shared" si="23"/>
        <v>105196300.33299614</v>
      </c>
      <c r="L18" s="556">
        <f t="shared" si="23"/>
        <v>109404152.34631598</v>
      </c>
      <c r="M18" s="556">
        <f t="shared" si="23"/>
        <v>113780318.44016863</v>
      </c>
      <c r="N18" s="556">
        <f t="shared" si="23"/>
        <v>118655727.15360492</v>
      </c>
      <c r="O18" s="556">
        <f t="shared" si="23"/>
        <v>123064792.42488641</v>
      </c>
      <c r="P18" s="556">
        <f t="shared" si="23"/>
        <v>127987384.12188187</v>
      </c>
      <c r="Q18" s="556">
        <f t="shared" si="23"/>
        <v>133106879.48675716</v>
      </c>
      <c r="R18" s="556">
        <f t="shared" si="23"/>
        <v>138810418.1036692</v>
      </c>
      <c r="S18" s="556">
        <f t="shared" si="23"/>
        <v>143968400.85287654</v>
      </c>
      <c r="T18" s="556">
        <f t="shared" si="23"/>
        <v>149727136.88699162</v>
      </c>
      <c r="V18" s="558">
        <f t="shared" ref="V18:AL18" si="24">D18/D14</f>
        <v>0.3807481106749297</v>
      </c>
      <c r="W18" s="559">
        <f t="shared" si="24"/>
        <v>0.33255440040326179</v>
      </c>
      <c r="X18" s="559">
        <f t="shared" si="24"/>
        <v>0.303901403943662</v>
      </c>
      <c r="Y18" s="559">
        <f t="shared" si="24"/>
        <v>0.28923098591549301</v>
      </c>
      <c r="Z18" s="559">
        <f t="shared" si="24"/>
        <v>0.27309859154929583</v>
      </c>
      <c r="AA18" s="559">
        <f t="shared" si="24"/>
        <v>0.27309859154929583</v>
      </c>
      <c r="AB18" s="559">
        <f t="shared" si="24"/>
        <v>0.27309859154929583</v>
      </c>
      <c r="AC18" s="559">
        <f t="shared" si="24"/>
        <v>0.27309859154929578</v>
      </c>
      <c r="AD18" s="559">
        <f t="shared" si="24"/>
        <v>0.27309859154929578</v>
      </c>
      <c r="AE18" s="559">
        <f t="shared" si="24"/>
        <v>0.27309859154929578</v>
      </c>
      <c r="AF18" s="559">
        <f t="shared" si="24"/>
        <v>0.27309859154929578</v>
      </c>
      <c r="AG18" s="559">
        <f t="shared" si="24"/>
        <v>0.27309859154929578</v>
      </c>
      <c r="AH18" s="559">
        <f t="shared" si="24"/>
        <v>0.27309859154929578</v>
      </c>
      <c r="AI18" s="559">
        <f t="shared" si="24"/>
        <v>0.27309859154929583</v>
      </c>
      <c r="AJ18" s="559">
        <f t="shared" si="24"/>
        <v>0.27309859154929578</v>
      </c>
      <c r="AK18" s="559">
        <f t="shared" si="24"/>
        <v>0.27309859154929578</v>
      </c>
      <c r="AL18" s="559">
        <f t="shared" si="24"/>
        <v>0.27309859154929583</v>
      </c>
      <c r="AO18" s="554">
        <f t="shared" ref="AO18:BE18" si="25">D18/D$9</f>
        <v>2688.1183691380552</v>
      </c>
      <c r="AP18" s="556">
        <f t="shared" si="25"/>
        <v>2729.0490996992289</v>
      </c>
      <c r="AQ18" s="556">
        <f t="shared" si="25"/>
        <v>2730.1788057186118</v>
      </c>
      <c r="AR18" s="556">
        <f t="shared" si="25"/>
        <v>2702.3185459319679</v>
      </c>
      <c r="AS18" s="554">
        <f t="shared" si="25"/>
        <v>2653.6553887358264</v>
      </c>
      <c r="AT18" s="556">
        <f t="shared" si="25"/>
        <v>2759.8016042852596</v>
      </c>
      <c r="AU18" s="556">
        <f t="shared" si="25"/>
        <v>2870.1936684566704</v>
      </c>
      <c r="AV18" s="556">
        <f t="shared" si="25"/>
        <v>2985.0014151949372</v>
      </c>
      <c r="AW18" s="556">
        <f t="shared" si="25"/>
        <v>3104.4014718027342</v>
      </c>
      <c r="AX18" s="556">
        <f t="shared" si="25"/>
        <v>3228.5775306748442</v>
      </c>
      <c r="AY18" s="556">
        <f t="shared" si="25"/>
        <v>3357.7206319018383</v>
      </c>
      <c r="AZ18" s="556">
        <f t="shared" si="25"/>
        <v>3492.0294571779118</v>
      </c>
      <c r="BA18" s="556">
        <f t="shared" si="25"/>
        <v>3631.7106354650286</v>
      </c>
      <c r="BB18" s="556">
        <f t="shared" si="25"/>
        <v>3776.9790608836302</v>
      </c>
      <c r="BC18" s="556">
        <f t="shared" si="25"/>
        <v>3928.0582233189757</v>
      </c>
      <c r="BD18" s="556">
        <f t="shared" si="25"/>
        <v>4085.1805522517343</v>
      </c>
      <c r="BE18" s="556">
        <f t="shared" si="25"/>
        <v>4248.5877743418041</v>
      </c>
    </row>
    <row r="19" spans="1:63">
      <c r="A19" s="560"/>
      <c r="B19" s="560"/>
      <c r="C19" s="521" t="s">
        <v>18</v>
      </c>
      <c r="D19" s="554">
        <f t="shared" ref="D19:T19" si="26">D14-D18</f>
        <v>58618043.688263021</v>
      </c>
      <c r="E19" s="556">
        <f t="shared" si="26"/>
        <v>164073852.39938331</v>
      </c>
      <c r="F19" s="556">
        <f t="shared" si="26"/>
        <v>198891305.15505761</v>
      </c>
      <c r="G19" s="556">
        <f t="shared" si="26"/>
        <v>222330856.2467609</v>
      </c>
      <c r="H19" s="556">
        <f t="shared" si="26"/>
        <v>248918112.07170647</v>
      </c>
      <c r="I19" s="556">
        <f t="shared" si="26"/>
        <v>258874836.55457473</v>
      </c>
      <c r="J19" s="556">
        <f t="shared" si="26"/>
        <v>269967445.98940647</v>
      </c>
      <c r="K19" s="556">
        <f t="shared" si="26"/>
        <v>279999023.21742809</v>
      </c>
      <c r="L19" s="556">
        <f t="shared" si="26"/>
        <v>291198984.1461252</v>
      </c>
      <c r="M19" s="556">
        <f t="shared" si="26"/>
        <v>302846943.51197028</v>
      </c>
      <c r="N19" s="556">
        <f t="shared" si="26"/>
        <v>315823727.61204487</v>
      </c>
      <c r="O19" s="556">
        <f t="shared" si="26"/>
        <v>327559254.10254705</v>
      </c>
      <c r="P19" s="556">
        <f t="shared" si="26"/>
        <v>340661624.26664889</v>
      </c>
      <c r="Q19" s="556">
        <f t="shared" si="26"/>
        <v>354288089.23731488</v>
      </c>
      <c r="R19" s="556">
        <f t="shared" si="26"/>
        <v>369469091.19805908</v>
      </c>
      <c r="S19" s="556">
        <f t="shared" si="26"/>
        <v>383197997.31907988</v>
      </c>
      <c r="T19" s="556">
        <f t="shared" si="26"/>
        <v>398525917.21184301</v>
      </c>
      <c r="V19" s="559">
        <f t="shared" ref="V19:AL19" si="27">D19/D14</f>
        <v>0.61925188932507025</v>
      </c>
      <c r="W19" s="559">
        <f t="shared" si="27"/>
        <v>0.66744559959673821</v>
      </c>
      <c r="X19" s="559">
        <f t="shared" si="27"/>
        <v>0.69609859605633795</v>
      </c>
      <c r="Y19" s="559">
        <f t="shared" si="27"/>
        <v>0.71076901408450699</v>
      </c>
      <c r="Z19" s="559">
        <f t="shared" si="27"/>
        <v>0.72690140845070428</v>
      </c>
      <c r="AA19" s="559">
        <f t="shared" si="27"/>
        <v>0.72690140845070417</v>
      </c>
      <c r="AB19" s="559">
        <f t="shared" si="27"/>
        <v>0.72690140845070428</v>
      </c>
      <c r="AC19" s="559">
        <f t="shared" si="27"/>
        <v>0.72690140845070428</v>
      </c>
      <c r="AD19" s="559">
        <f t="shared" si="27"/>
        <v>0.72690140845070417</v>
      </c>
      <c r="AE19" s="559">
        <f t="shared" si="27"/>
        <v>0.72690140845070428</v>
      </c>
      <c r="AF19" s="559">
        <f t="shared" si="27"/>
        <v>0.72690140845070417</v>
      </c>
      <c r="AG19" s="559">
        <f t="shared" si="27"/>
        <v>0.72690140845070417</v>
      </c>
      <c r="AH19" s="559">
        <f t="shared" si="27"/>
        <v>0.72690140845070417</v>
      </c>
      <c r="AI19" s="559">
        <f t="shared" si="27"/>
        <v>0.72690140845070417</v>
      </c>
      <c r="AJ19" s="559">
        <f t="shared" si="27"/>
        <v>0.72690140845070417</v>
      </c>
      <c r="AK19" s="559">
        <f t="shared" si="27"/>
        <v>0.72690140845070428</v>
      </c>
      <c r="AL19" s="559">
        <f t="shared" si="27"/>
        <v>0.72690140845070417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63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>
        <f>D21/D12</f>
        <v>0.2857142857142857</v>
      </c>
      <c r="W20" s="563">
        <f>E21/E12</f>
        <v>0.27042253521126758</v>
      </c>
      <c r="X20" s="563">
        <f>F21/F12</f>
        <v>0.26628895184135976</v>
      </c>
      <c r="Y20" s="563">
        <f>G21/G12</f>
        <v>0.2621082621082621</v>
      </c>
      <c r="Z20" s="1040">
        <f>H21/H12</f>
        <v>0.2621082621082621</v>
      </c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1044">
        <f>AO21/LOOKUP(AO3,CPI!3:3,CPI!5:5)</f>
        <v>3017.4999999999991</v>
      </c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63">
      <c r="A21" s="560"/>
      <c r="B21" s="560"/>
      <c r="C21" s="521" t="s">
        <v>17</v>
      </c>
      <c r="D21" s="556">
        <f>D22+D23</f>
        <v>49222914.363844372</v>
      </c>
      <c r="E21" s="556">
        <f t="shared" ref="E21:T21" si="28">E22+E23</f>
        <v>117995308.08096866</v>
      </c>
      <c r="F21" s="556">
        <f t="shared" si="28"/>
        <v>134289760.03179795</v>
      </c>
      <c r="G21" s="556">
        <f t="shared" si="28"/>
        <v>143889494.12101179</v>
      </c>
      <c r="H21" s="556">
        <f t="shared" si="28"/>
        <v>157521130.4061603</v>
      </c>
      <c r="I21" s="556">
        <f t="shared" si="28"/>
        <v>163821975.62240672</v>
      </c>
      <c r="J21" s="556">
        <f t="shared" si="28"/>
        <v>170841635.07099429</v>
      </c>
      <c r="K21" s="556">
        <f t="shared" si="28"/>
        <v>177189848.83319515</v>
      </c>
      <c r="L21" s="556">
        <f t="shared" si="28"/>
        <v>184277442.78652292</v>
      </c>
      <c r="M21" s="556">
        <f t="shared" si="28"/>
        <v>191648540.49798387</v>
      </c>
      <c r="N21" s="556">
        <f t="shared" si="28"/>
        <v>199860549.1921989</v>
      </c>
      <c r="O21" s="556">
        <f t="shared" si="28"/>
        <v>207287061.40261936</v>
      </c>
      <c r="P21" s="556">
        <f t="shared" si="28"/>
        <v>215578543.85872418</v>
      </c>
      <c r="Q21" s="556">
        <f t="shared" si="28"/>
        <v>224201685.61307311</v>
      </c>
      <c r="R21" s="556">
        <f t="shared" si="28"/>
        <v>233808574.278795</v>
      </c>
      <c r="S21" s="556">
        <f t="shared" si="28"/>
        <v>242496543.15909994</v>
      </c>
      <c r="T21" s="556">
        <f t="shared" si="28"/>
        <v>252196404.88546389</v>
      </c>
      <c r="V21" s="555">
        <f t="shared" ref="V21:AL21" si="29">D21/D14</f>
        <v>0.51999999999999991</v>
      </c>
      <c r="W21" s="555">
        <f t="shared" si="29"/>
        <v>0.48</v>
      </c>
      <c r="X21" s="555">
        <f t="shared" si="29"/>
        <v>0.47000000000000003</v>
      </c>
      <c r="Y21" s="555">
        <f t="shared" si="29"/>
        <v>0.45999999999999996</v>
      </c>
      <c r="Z21" s="555">
        <f t="shared" si="29"/>
        <v>0.45999999999999996</v>
      </c>
      <c r="AA21" s="555">
        <f t="shared" si="29"/>
        <v>0.45999999999999996</v>
      </c>
      <c r="AB21" s="555">
        <f t="shared" si="29"/>
        <v>0.46</v>
      </c>
      <c r="AC21" s="555">
        <f t="shared" si="29"/>
        <v>0.46</v>
      </c>
      <c r="AD21" s="555">
        <f t="shared" si="29"/>
        <v>0.45999999999999996</v>
      </c>
      <c r="AE21" s="555">
        <f t="shared" si="29"/>
        <v>0.45999999999999996</v>
      </c>
      <c r="AF21" s="555">
        <f t="shared" si="29"/>
        <v>0.45999999999999996</v>
      </c>
      <c r="AG21" s="555">
        <f t="shared" si="29"/>
        <v>0.45999999999999996</v>
      </c>
      <c r="AH21" s="555">
        <f t="shared" si="29"/>
        <v>0.46</v>
      </c>
      <c r="AI21" s="555">
        <f t="shared" si="29"/>
        <v>0.45999999999999996</v>
      </c>
      <c r="AJ21" s="555">
        <f t="shared" si="29"/>
        <v>0.45999999999999996</v>
      </c>
      <c r="AK21" s="555">
        <f t="shared" si="29"/>
        <v>0.45999999999999996</v>
      </c>
      <c r="AL21" s="555">
        <f t="shared" si="29"/>
        <v>0.45999999999999991</v>
      </c>
      <c r="AO21" s="556">
        <f>D21/D9</f>
        <v>3671.2501329920001</v>
      </c>
      <c r="AP21" s="556">
        <f t="shared" ref="AP21:BE21" si="30">E21/E9</f>
        <v>3939.0354368102408</v>
      </c>
      <c r="AQ21" s="556">
        <f t="shared" si="30"/>
        <v>4222.3695647211534</v>
      </c>
      <c r="AR21" s="556">
        <f t="shared" si="30"/>
        <v>4297.8331909842545</v>
      </c>
      <c r="AS21" s="556">
        <f t="shared" si="30"/>
        <v>4469.7465186236241</v>
      </c>
      <c r="AT21" s="556">
        <f t="shared" si="30"/>
        <v>4648.5363793685701</v>
      </c>
      <c r="AU21" s="556">
        <f t="shared" si="30"/>
        <v>4834.4778345433133</v>
      </c>
      <c r="AV21" s="556">
        <f t="shared" si="30"/>
        <v>5027.8569479250464</v>
      </c>
      <c r="AW21" s="556">
        <f t="shared" si="30"/>
        <v>5228.9712258420468</v>
      </c>
      <c r="AX21" s="556">
        <f t="shared" si="30"/>
        <v>5438.1300748757303</v>
      </c>
      <c r="AY21" s="556">
        <f t="shared" si="30"/>
        <v>5655.6552778707601</v>
      </c>
      <c r="AZ21" s="556">
        <f t="shared" si="30"/>
        <v>5881.8814889855894</v>
      </c>
      <c r="BA21" s="556">
        <f t="shared" si="30"/>
        <v>6117.1567485450141</v>
      </c>
      <c r="BB21" s="556">
        <f t="shared" si="30"/>
        <v>6361.8430184868139</v>
      </c>
      <c r="BC21" s="556">
        <f t="shared" si="30"/>
        <v>6616.3167392262876</v>
      </c>
      <c r="BD21" s="556">
        <f t="shared" si="30"/>
        <v>6880.9694087953394</v>
      </c>
      <c r="BE21" s="556">
        <f t="shared" si="30"/>
        <v>7156.2081851471521</v>
      </c>
      <c r="BF21" s="1367" t="s">
        <v>725</v>
      </c>
      <c r="BG21" s="1368"/>
      <c r="BH21" s="1368"/>
      <c r="BI21" s="1368"/>
      <c r="BJ21" s="1368"/>
      <c r="BK21" s="1368"/>
    </row>
    <row r="22" spans="1:63">
      <c r="A22" s="560"/>
      <c r="B22" s="560"/>
      <c r="C22" s="517" t="s">
        <v>45</v>
      </c>
      <c r="D22" s="811">
        <f>D14*V22</f>
        <v>44489941.828859337</v>
      </c>
      <c r="E22" s="811">
        <f t="shared" ref="E22:T22" si="31">E14*W22</f>
        <v>103245894.57084759</v>
      </c>
      <c r="F22" s="811">
        <f t="shared" si="31"/>
        <v>114289157.47387059</v>
      </c>
      <c r="G22" s="811">
        <f t="shared" si="31"/>
        <v>115737201.79298775</v>
      </c>
      <c r="H22" s="811">
        <f t="shared" si="31"/>
        <v>119853034.00468718</v>
      </c>
      <c r="I22" s="811">
        <f t="shared" si="31"/>
        <v>124647155.36487468</v>
      </c>
      <c r="J22" s="811">
        <f t="shared" si="31"/>
        <v>129988200.59749565</v>
      </c>
      <c r="K22" s="811">
        <f t="shared" si="31"/>
        <v>134818363.24264848</v>
      </c>
      <c r="L22" s="811">
        <f t="shared" si="31"/>
        <v>140211097.77235439</v>
      </c>
      <c r="M22" s="811">
        <f t="shared" si="31"/>
        <v>145819541.68324861</v>
      </c>
      <c r="N22" s="811">
        <f t="shared" si="31"/>
        <v>152067809.16797742</v>
      </c>
      <c r="O22" s="811">
        <f t="shared" si="31"/>
        <v>157718416.28460169</v>
      </c>
      <c r="P22" s="811">
        <f t="shared" si="31"/>
        <v>164027152.93598577</v>
      </c>
      <c r="Q22" s="811">
        <f t="shared" si="31"/>
        <v>170588239.05342519</v>
      </c>
      <c r="R22" s="811">
        <f t="shared" si="31"/>
        <v>177897828.25560489</v>
      </c>
      <c r="S22" s="811">
        <f t="shared" si="31"/>
        <v>184508239.36018473</v>
      </c>
      <c r="T22" s="811">
        <f t="shared" si="31"/>
        <v>191888568.9345921</v>
      </c>
      <c r="V22" s="816">
        <f>'Прогноз F&amp;B'!F8</f>
        <v>0.47</v>
      </c>
      <c r="W22" s="816">
        <f>'Прогноз F&amp;B'!G8</f>
        <v>0.42</v>
      </c>
      <c r="X22" s="816">
        <f>'Прогноз F&amp;B'!H8</f>
        <v>0.4</v>
      </c>
      <c r="Y22" s="816">
        <f>'Прогноз F&amp;B'!I8</f>
        <v>0.37</v>
      </c>
      <c r="Z22" s="816">
        <f>'Прогноз F&amp;B'!J8</f>
        <v>0.35</v>
      </c>
      <c r="AA22" s="812">
        <f t="shared" ref="AA22:AL29" si="32">Z22</f>
        <v>0.35</v>
      </c>
      <c r="AB22" s="812">
        <f t="shared" si="32"/>
        <v>0.35</v>
      </c>
      <c r="AC22" s="812">
        <f t="shared" si="32"/>
        <v>0.35</v>
      </c>
      <c r="AD22" s="812">
        <f t="shared" si="32"/>
        <v>0.35</v>
      </c>
      <c r="AE22" s="812">
        <f t="shared" si="32"/>
        <v>0.35</v>
      </c>
      <c r="AF22" s="812">
        <f t="shared" si="32"/>
        <v>0.35</v>
      </c>
      <c r="AG22" s="812">
        <f t="shared" si="32"/>
        <v>0.35</v>
      </c>
      <c r="AH22" s="812">
        <f t="shared" si="32"/>
        <v>0.35</v>
      </c>
      <c r="AI22" s="812">
        <f t="shared" si="32"/>
        <v>0.35</v>
      </c>
      <c r="AJ22" s="812">
        <f t="shared" si="32"/>
        <v>0.35</v>
      </c>
      <c r="AK22" s="812">
        <f t="shared" si="32"/>
        <v>0.35</v>
      </c>
      <c r="AL22" s="812">
        <f t="shared" si="32"/>
        <v>0.35</v>
      </c>
      <c r="AO22" s="556">
        <f t="shared" ref="AO22:BE22" si="33">D22/D9/$AO$5</f>
        <v>1506.2393611039492</v>
      </c>
      <c r="AP22" s="556">
        <f t="shared" si="33"/>
        <v>1564.5283736763326</v>
      </c>
      <c r="AQ22" s="556">
        <f t="shared" si="33"/>
        <v>1631.1874773166778</v>
      </c>
      <c r="AR22" s="556">
        <f t="shared" si="33"/>
        <v>1569.202353178644</v>
      </c>
      <c r="AS22" s="556">
        <f t="shared" si="33"/>
        <v>1543.7558285325038</v>
      </c>
      <c r="AT22" s="556">
        <f t="shared" si="33"/>
        <v>1605.506061673804</v>
      </c>
      <c r="AU22" s="556">
        <f t="shared" si="33"/>
        <v>1669.7263041407564</v>
      </c>
      <c r="AV22" s="556">
        <f t="shared" si="33"/>
        <v>1736.5153563063866</v>
      </c>
      <c r="AW22" s="556">
        <f t="shared" si="33"/>
        <v>1805.9759705586418</v>
      </c>
      <c r="AX22" s="556">
        <f t="shared" si="33"/>
        <v>1878.2150093809882</v>
      </c>
      <c r="AY22" s="556">
        <f t="shared" si="33"/>
        <v>1953.3436097562276</v>
      </c>
      <c r="AZ22" s="556">
        <f t="shared" si="33"/>
        <v>2031.4773541464767</v>
      </c>
      <c r="BA22" s="556">
        <f t="shared" si="33"/>
        <v>2112.7364483123356</v>
      </c>
      <c r="BB22" s="556">
        <f t="shared" si="33"/>
        <v>2197.2459062448293</v>
      </c>
      <c r="BC22" s="556">
        <f t="shared" si="33"/>
        <v>2285.1357424946227</v>
      </c>
      <c r="BD22" s="556">
        <f t="shared" si="33"/>
        <v>2376.5411721944079</v>
      </c>
      <c r="BE22" s="556">
        <f t="shared" si="33"/>
        <v>2471.6028190821839</v>
      </c>
      <c r="BF22" s="1367" t="s">
        <v>550</v>
      </c>
      <c r="BG22" s="1368"/>
      <c r="BH22" s="1368"/>
      <c r="BI22" s="1368"/>
      <c r="BJ22" s="1368"/>
      <c r="BK22" s="1368"/>
    </row>
    <row r="23" spans="1:63">
      <c r="A23" s="560"/>
      <c r="B23" s="560"/>
      <c r="C23" s="517" t="s">
        <v>509</v>
      </c>
      <c r="D23" s="811">
        <f>D14*V23</f>
        <v>4732972.5349850366</v>
      </c>
      <c r="E23" s="811">
        <f t="shared" ref="E23:T23" si="34">E14*W23</f>
        <v>14749413.510121083</v>
      </c>
      <c r="F23" s="811">
        <f t="shared" si="34"/>
        <v>20000602.557927355</v>
      </c>
      <c r="G23" s="811">
        <f t="shared" si="34"/>
        <v>28152292.328024048</v>
      </c>
      <c r="H23" s="811">
        <f t="shared" si="34"/>
        <v>37668096.40147312</v>
      </c>
      <c r="I23" s="811">
        <f t="shared" si="34"/>
        <v>39174820.257532045</v>
      </c>
      <c r="J23" s="811">
        <f t="shared" si="34"/>
        <v>40853434.473498635</v>
      </c>
      <c r="K23" s="811">
        <f t="shared" si="34"/>
        <v>42371485.590546668</v>
      </c>
      <c r="L23" s="811">
        <f t="shared" si="34"/>
        <v>44066345.014168531</v>
      </c>
      <c r="M23" s="811">
        <f t="shared" si="34"/>
        <v>45828998.814735278</v>
      </c>
      <c r="N23" s="811">
        <f t="shared" si="34"/>
        <v>47792740.02422148</v>
      </c>
      <c r="O23" s="811">
        <f t="shared" si="34"/>
        <v>49568645.118017681</v>
      </c>
      <c r="P23" s="811">
        <f t="shared" si="34"/>
        <v>51551390.922738388</v>
      </c>
      <c r="Q23" s="811">
        <f t="shared" si="34"/>
        <v>53613446.559647925</v>
      </c>
      <c r="R23" s="811">
        <f t="shared" si="34"/>
        <v>55910746.023190111</v>
      </c>
      <c r="S23" s="811">
        <f t="shared" si="34"/>
        <v>57988303.798915207</v>
      </c>
      <c r="T23" s="811">
        <f t="shared" si="34"/>
        <v>60307835.95087181</v>
      </c>
      <c r="V23" s="813">
        <f>'Прогноз F&amp;B'!F16</f>
        <v>0.05</v>
      </c>
      <c r="W23" s="813">
        <f>'Прогноз F&amp;B'!G16</f>
        <v>0.06</v>
      </c>
      <c r="X23" s="813">
        <f>'Прогноз F&amp;B'!H16</f>
        <v>7.0000000000000007E-2</v>
      </c>
      <c r="Y23" s="813">
        <f>'Прогноз F&amp;B'!I16</f>
        <v>0.09</v>
      </c>
      <c r="Z23" s="813">
        <f>'Прогноз F&amp;B'!J16</f>
        <v>0.11</v>
      </c>
      <c r="AA23" s="812">
        <f t="shared" si="32"/>
        <v>0.11</v>
      </c>
      <c r="AB23" s="812">
        <f t="shared" si="32"/>
        <v>0.11</v>
      </c>
      <c r="AC23" s="812">
        <f t="shared" si="32"/>
        <v>0.11</v>
      </c>
      <c r="AD23" s="812">
        <f t="shared" si="32"/>
        <v>0.11</v>
      </c>
      <c r="AE23" s="812">
        <f t="shared" si="32"/>
        <v>0.11</v>
      </c>
      <c r="AF23" s="812">
        <f t="shared" si="32"/>
        <v>0.11</v>
      </c>
      <c r="AG23" s="812">
        <f t="shared" si="32"/>
        <v>0.11</v>
      </c>
      <c r="AH23" s="812">
        <f t="shared" si="32"/>
        <v>0.11</v>
      </c>
      <c r="AI23" s="812">
        <f t="shared" si="32"/>
        <v>0.11</v>
      </c>
      <c r="AJ23" s="812">
        <f t="shared" si="32"/>
        <v>0.11</v>
      </c>
      <c r="AK23" s="812">
        <f t="shared" si="32"/>
        <v>0.11</v>
      </c>
      <c r="AL23" s="812">
        <f t="shared" si="32"/>
        <v>0.11</v>
      </c>
      <c r="AO23" s="556">
        <f>D23/D9</f>
        <v>353.00482048000009</v>
      </c>
      <c r="AP23" s="556">
        <f t="shared" ref="AP23:BE23" si="35">E23/E9</f>
        <v>492.37942960128009</v>
      </c>
      <c r="AQ23" s="556">
        <f t="shared" si="35"/>
        <v>628.8635521925122</v>
      </c>
      <c r="AR23" s="556">
        <f t="shared" si="35"/>
        <v>840.88040693170194</v>
      </c>
      <c r="AS23" s="556">
        <f t="shared" si="35"/>
        <v>1068.852428366519</v>
      </c>
      <c r="AT23" s="556">
        <f t="shared" si="35"/>
        <v>1111.6065255011797</v>
      </c>
      <c r="AU23" s="556">
        <f t="shared" si="35"/>
        <v>1156.0707865212271</v>
      </c>
      <c r="AV23" s="556">
        <f t="shared" si="35"/>
        <v>1202.3136179820763</v>
      </c>
      <c r="AW23" s="556">
        <f t="shared" si="35"/>
        <v>1250.4061627013593</v>
      </c>
      <c r="AX23" s="556">
        <f t="shared" si="35"/>
        <v>1300.4224092094139</v>
      </c>
      <c r="AY23" s="556">
        <f t="shared" si="35"/>
        <v>1352.4393055777905</v>
      </c>
      <c r="AZ23" s="556">
        <f t="shared" si="35"/>
        <v>1406.5368778009022</v>
      </c>
      <c r="BA23" s="556">
        <f t="shared" si="35"/>
        <v>1462.7983529129381</v>
      </c>
      <c r="BB23" s="556">
        <f t="shared" si="35"/>
        <v>1521.3102870294558</v>
      </c>
      <c r="BC23" s="556">
        <f t="shared" si="35"/>
        <v>1582.1626985106341</v>
      </c>
      <c r="BD23" s="556">
        <f t="shared" si="35"/>
        <v>1645.4492064510596</v>
      </c>
      <c r="BE23" s="556">
        <f t="shared" si="35"/>
        <v>1711.2671747091019</v>
      </c>
      <c r="BF23" s="1367" t="s">
        <v>725</v>
      </c>
      <c r="BG23" s="1368"/>
      <c r="BH23" s="1368"/>
      <c r="BI23" s="1368"/>
      <c r="BJ23" s="1368"/>
      <c r="BK23" s="1368"/>
    </row>
    <row r="24" spans="1:63">
      <c r="A24" s="560"/>
      <c r="B24" s="560"/>
      <c r="C24" s="519" t="s">
        <v>516</v>
      </c>
      <c r="D24" s="201">
        <f t="shared" ref="D24:T25" si="36">V24*D22</f>
        <v>20020473.822986703</v>
      </c>
      <c r="E24" s="201">
        <f t="shared" si="36"/>
        <v>44395734.665464461</v>
      </c>
      <c r="F24" s="201">
        <f t="shared" si="36"/>
        <v>46858554.56428694</v>
      </c>
      <c r="G24" s="201">
        <f t="shared" si="36"/>
        <v>47452252.735124975</v>
      </c>
      <c r="H24" s="201">
        <f t="shared" si="36"/>
        <v>49139743.941921741</v>
      </c>
      <c r="I24" s="201">
        <f t="shared" si="36"/>
        <v>51105333.69959861</v>
      </c>
      <c r="J24" s="201">
        <f t="shared" si="36"/>
        <v>53295162.244973212</v>
      </c>
      <c r="K24" s="201">
        <f t="shared" si="36"/>
        <v>55275528.929485872</v>
      </c>
      <c r="L24" s="201">
        <f t="shared" si="36"/>
        <v>57486550.086665295</v>
      </c>
      <c r="M24" s="201">
        <f t="shared" si="36"/>
        <v>59786012.090131924</v>
      </c>
      <c r="N24" s="201">
        <f t="shared" si="36"/>
        <v>62347801.758870743</v>
      </c>
      <c r="O24" s="201">
        <f t="shared" si="36"/>
        <v>64664550.676686689</v>
      </c>
      <c r="P24" s="201">
        <f t="shared" si="36"/>
        <v>67251132.703754157</v>
      </c>
      <c r="Q24" s="201">
        <f t="shared" si="36"/>
        <v>69941178.011904329</v>
      </c>
      <c r="R24" s="201">
        <f t="shared" si="36"/>
        <v>72938109.584798008</v>
      </c>
      <c r="S24" s="201">
        <f t="shared" si="36"/>
        <v>75648378.137675732</v>
      </c>
      <c r="T24" s="201">
        <f t="shared" si="36"/>
        <v>78674313.263182759</v>
      </c>
      <c r="V24" s="522">
        <f>'Прогноз F&amp;B'!F35</f>
        <v>0.45</v>
      </c>
      <c r="W24" s="522">
        <f>'Прогноз F&amp;B'!G35</f>
        <v>0.43</v>
      </c>
      <c r="X24" s="522">
        <f>'Прогноз F&amp;B'!H35</f>
        <v>0.41</v>
      </c>
      <c r="Y24" s="522">
        <f>'Прогноз F&amp;B'!I35</f>
        <v>0.41</v>
      </c>
      <c r="Z24" s="522">
        <f>'Прогноз F&amp;B'!J35</f>
        <v>0.41</v>
      </c>
      <c r="AA24" s="567">
        <f t="shared" si="32"/>
        <v>0.41</v>
      </c>
      <c r="AB24" s="567">
        <f t="shared" si="32"/>
        <v>0.41</v>
      </c>
      <c r="AC24" s="567">
        <f t="shared" si="32"/>
        <v>0.41</v>
      </c>
      <c r="AD24" s="567">
        <f t="shared" si="32"/>
        <v>0.41</v>
      </c>
      <c r="AE24" s="567">
        <f t="shared" si="32"/>
        <v>0.41</v>
      </c>
      <c r="AF24" s="567">
        <f t="shared" si="32"/>
        <v>0.41</v>
      </c>
      <c r="AG24" s="567">
        <f t="shared" si="32"/>
        <v>0.41</v>
      </c>
      <c r="AH24" s="567">
        <f t="shared" si="32"/>
        <v>0.41</v>
      </c>
      <c r="AI24" s="567">
        <f t="shared" si="32"/>
        <v>0.41</v>
      </c>
      <c r="AJ24" s="567">
        <f t="shared" si="32"/>
        <v>0.41</v>
      </c>
      <c r="AK24" s="567">
        <f t="shared" si="32"/>
        <v>0.41</v>
      </c>
      <c r="AL24" s="567">
        <f t="shared" si="32"/>
        <v>0.41</v>
      </c>
      <c r="AO24" s="201">
        <f t="shared" ref="AO24:BE24" si="37">D24/D$9</f>
        <v>1493.2103906304001</v>
      </c>
      <c r="AP24" s="201">
        <f t="shared" si="37"/>
        <v>1482.062083099853</v>
      </c>
      <c r="AQ24" s="201">
        <f t="shared" si="37"/>
        <v>1473.3374651367426</v>
      </c>
      <c r="AR24" s="201">
        <f t="shared" si="37"/>
        <v>1417.3506414615465</v>
      </c>
      <c r="AS24" s="201">
        <f t="shared" si="37"/>
        <v>1394.3665770054131</v>
      </c>
      <c r="AT24" s="201">
        <f t="shared" si="37"/>
        <v>1450.1412400856298</v>
      </c>
      <c r="AU24" s="201">
        <f t="shared" si="37"/>
        <v>1508.1468896890551</v>
      </c>
      <c r="AV24" s="201">
        <f t="shared" si="37"/>
        <v>1568.4727652766176</v>
      </c>
      <c r="AW24" s="201">
        <f t="shared" si="37"/>
        <v>1631.2116758876818</v>
      </c>
      <c r="AX24" s="201">
        <f t="shared" si="37"/>
        <v>1696.4601429231896</v>
      </c>
      <c r="AY24" s="201">
        <f t="shared" si="37"/>
        <v>1764.3185486401173</v>
      </c>
      <c r="AZ24" s="201">
        <f t="shared" si="37"/>
        <v>1834.8912905857219</v>
      </c>
      <c r="BA24" s="201">
        <f t="shared" si="37"/>
        <v>1908.2869422091508</v>
      </c>
      <c r="BB24" s="201">
        <f t="shared" si="37"/>
        <v>1984.618419897517</v>
      </c>
      <c r="BC24" s="201">
        <f t="shared" si="37"/>
        <v>2064.0031566934181</v>
      </c>
      <c r="BD24" s="201">
        <f t="shared" si="37"/>
        <v>2146.5632829611545</v>
      </c>
      <c r="BE24" s="201">
        <f t="shared" si="37"/>
        <v>2232.4258142796007</v>
      </c>
    </row>
    <row r="25" spans="1:63">
      <c r="A25" s="560"/>
      <c r="B25" s="560"/>
      <c r="C25" s="519" t="s">
        <v>517</v>
      </c>
      <c r="D25" s="201">
        <f t="shared" si="36"/>
        <v>473297.25349850371</v>
      </c>
      <c r="E25" s="201">
        <f t="shared" si="36"/>
        <v>1474941.3510121084</v>
      </c>
      <c r="F25" s="201">
        <f t="shared" si="36"/>
        <v>2000060.2557927356</v>
      </c>
      <c r="G25" s="201">
        <f t="shared" si="36"/>
        <v>2815229.232802405</v>
      </c>
      <c r="H25" s="201">
        <f t="shared" si="36"/>
        <v>3766809.6401473121</v>
      </c>
      <c r="I25" s="201">
        <f t="shared" si="36"/>
        <v>3917482.0257532047</v>
      </c>
      <c r="J25" s="201">
        <f t="shared" si="36"/>
        <v>4085343.4473498636</v>
      </c>
      <c r="K25" s="201">
        <f t="shared" si="36"/>
        <v>4237148.5590546671</v>
      </c>
      <c r="L25" s="201">
        <f t="shared" si="36"/>
        <v>4406634.5014168536</v>
      </c>
      <c r="M25" s="201">
        <f t="shared" si="36"/>
        <v>4582899.8814735282</v>
      </c>
      <c r="N25" s="201">
        <f t="shared" si="36"/>
        <v>4779274.0024221484</v>
      </c>
      <c r="O25" s="201">
        <f t="shared" si="36"/>
        <v>4956864.5118017681</v>
      </c>
      <c r="P25" s="201">
        <f t="shared" si="36"/>
        <v>5155139.0922738388</v>
      </c>
      <c r="Q25" s="201">
        <f t="shared" si="36"/>
        <v>5361344.6559647927</v>
      </c>
      <c r="R25" s="201">
        <f t="shared" si="36"/>
        <v>5591074.6023190115</v>
      </c>
      <c r="S25" s="201">
        <f t="shared" si="36"/>
        <v>5798830.3798915213</v>
      </c>
      <c r="T25" s="201">
        <f t="shared" si="36"/>
        <v>6030783.5950871818</v>
      </c>
      <c r="V25" s="522">
        <f>'Прогноз F&amp;B'!F43</f>
        <v>0.1</v>
      </c>
      <c r="W25" s="522">
        <f>'Прогноз F&amp;B'!G43</f>
        <v>0.1</v>
      </c>
      <c r="X25" s="522">
        <f>'Прогноз F&amp;B'!H43</f>
        <v>0.1</v>
      </c>
      <c r="Y25" s="522">
        <f>'Прогноз F&amp;B'!I43</f>
        <v>0.1</v>
      </c>
      <c r="Z25" s="522">
        <f>'Прогноз F&amp;B'!J43</f>
        <v>0.1</v>
      </c>
      <c r="AA25" s="567">
        <f t="shared" si="32"/>
        <v>0.1</v>
      </c>
      <c r="AB25" s="567">
        <f t="shared" si="32"/>
        <v>0.1</v>
      </c>
      <c r="AC25" s="567">
        <f t="shared" si="32"/>
        <v>0.1</v>
      </c>
      <c r="AD25" s="567">
        <f t="shared" si="32"/>
        <v>0.1</v>
      </c>
      <c r="AE25" s="567">
        <f t="shared" si="32"/>
        <v>0.1</v>
      </c>
      <c r="AF25" s="567">
        <f t="shared" si="32"/>
        <v>0.1</v>
      </c>
      <c r="AG25" s="567">
        <f t="shared" si="32"/>
        <v>0.1</v>
      </c>
      <c r="AH25" s="567">
        <f t="shared" si="32"/>
        <v>0.1</v>
      </c>
      <c r="AI25" s="567">
        <f t="shared" si="32"/>
        <v>0.1</v>
      </c>
      <c r="AJ25" s="567">
        <f t="shared" si="32"/>
        <v>0.1</v>
      </c>
      <c r="AK25" s="567">
        <f t="shared" si="32"/>
        <v>0.1</v>
      </c>
      <c r="AL25" s="567">
        <f t="shared" si="32"/>
        <v>0.1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63">
      <c r="A26" s="560"/>
      <c r="B26" s="560"/>
      <c r="C26" s="519" t="s">
        <v>518</v>
      </c>
      <c r="D26" s="201">
        <f t="shared" ref="D26:T27" si="38">V26*D22</f>
        <v>12012284.293792022</v>
      </c>
      <c r="E26" s="201">
        <f t="shared" si="38"/>
        <v>27876391.534128848</v>
      </c>
      <c r="F26" s="201">
        <f t="shared" si="38"/>
        <v>30858072.517945062</v>
      </c>
      <c r="G26" s="201">
        <f t="shared" si="38"/>
        <v>31249044.484106693</v>
      </c>
      <c r="H26" s="201">
        <f t="shared" si="38"/>
        <v>32360319.18126554</v>
      </c>
      <c r="I26" s="201">
        <f t="shared" si="38"/>
        <v>33654731.948516168</v>
      </c>
      <c r="J26" s="201">
        <f t="shared" si="38"/>
        <v>35096814.161323823</v>
      </c>
      <c r="K26" s="201">
        <f t="shared" si="38"/>
        <v>36400958.075515091</v>
      </c>
      <c r="L26" s="201">
        <f t="shared" si="38"/>
        <v>37856996.398535691</v>
      </c>
      <c r="M26" s="201">
        <f t="shared" si="38"/>
        <v>39371276.254477128</v>
      </c>
      <c r="N26" s="201">
        <f t="shared" si="38"/>
        <v>41058308.475353904</v>
      </c>
      <c r="O26" s="201">
        <f t="shared" si="38"/>
        <v>42583972.396842457</v>
      </c>
      <c r="P26" s="201">
        <f t="shared" si="38"/>
        <v>44287331.29271616</v>
      </c>
      <c r="Q26" s="201">
        <f t="shared" si="38"/>
        <v>46058824.544424802</v>
      </c>
      <c r="R26" s="201">
        <f t="shared" si="38"/>
        <v>48032413.629013322</v>
      </c>
      <c r="S26" s="201">
        <f t="shared" si="38"/>
        <v>49817224.627249882</v>
      </c>
      <c r="T26" s="201">
        <f t="shared" si="38"/>
        <v>51809913.612339869</v>
      </c>
      <c r="V26" s="522">
        <f>'Прогноз F&amp;B'!F50</f>
        <v>0.27</v>
      </c>
      <c r="W26" s="522">
        <f>'Прогноз F&amp;B'!G50</f>
        <v>0.27</v>
      </c>
      <c r="X26" s="522">
        <f>'Прогноз F&amp;B'!H50</f>
        <v>0.27</v>
      </c>
      <c r="Y26" s="522">
        <f>'Прогноз F&amp;B'!I50</f>
        <v>0.27</v>
      </c>
      <c r="Z26" s="522">
        <f>'Прогноз F&amp;B'!J50</f>
        <v>0.27</v>
      </c>
      <c r="AA26" s="567">
        <f t="shared" si="32"/>
        <v>0.27</v>
      </c>
      <c r="AB26" s="567">
        <f t="shared" si="32"/>
        <v>0.27</v>
      </c>
      <c r="AC26" s="567">
        <f t="shared" si="32"/>
        <v>0.27</v>
      </c>
      <c r="AD26" s="567">
        <f t="shared" si="32"/>
        <v>0.27</v>
      </c>
      <c r="AE26" s="567">
        <f t="shared" si="32"/>
        <v>0.27</v>
      </c>
      <c r="AF26" s="567">
        <f t="shared" si="32"/>
        <v>0.27</v>
      </c>
      <c r="AG26" s="567">
        <f t="shared" si="32"/>
        <v>0.27</v>
      </c>
      <c r="AH26" s="567">
        <f t="shared" si="32"/>
        <v>0.27</v>
      </c>
      <c r="AI26" s="567">
        <f t="shared" si="32"/>
        <v>0.27</v>
      </c>
      <c r="AJ26" s="567">
        <f t="shared" si="32"/>
        <v>0.27</v>
      </c>
      <c r="AK26" s="567">
        <f t="shared" si="32"/>
        <v>0.27</v>
      </c>
      <c r="AL26" s="567">
        <f t="shared" si="32"/>
        <v>0.27</v>
      </c>
      <c r="AO26" s="201">
        <f t="shared" ref="AO26:BE26" si="39">D26/D$9</f>
        <v>895.92623437824011</v>
      </c>
      <c r="AP26" s="201">
        <f t="shared" si="39"/>
        <v>930.59712194641941</v>
      </c>
      <c r="AQ26" s="201">
        <f t="shared" si="39"/>
        <v>970.24662338273311</v>
      </c>
      <c r="AR26" s="201">
        <f t="shared" si="39"/>
        <v>933.37725169418923</v>
      </c>
      <c r="AS26" s="201">
        <f t="shared" si="39"/>
        <v>918.24140436941855</v>
      </c>
      <c r="AT26" s="201">
        <f t="shared" si="39"/>
        <v>954.97106054419544</v>
      </c>
      <c r="AU26" s="201">
        <f t="shared" si="39"/>
        <v>993.16990296596316</v>
      </c>
      <c r="AV26" s="201">
        <f t="shared" si="39"/>
        <v>1032.896699084602</v>
      </c>
      <c r="AW26" s="201">
        <f t="shared" si="39"/>
        <v>1074.2125670479859</v>
      </c>
      <c r="AX26" s="201">
        <f t="shared" si="39"/>
        <v>1117.1810697299056</v>
      </c>
      <c r="AY26" s="201">
        <f t="shared" si="39"/>
        <v>1161.8683125191017</v>
      </c>
      <c r="AZ26" s="201">
        <f t="shared" si="39"/>
        <v>1208.3430450198657</v>
      </c>
      <c r="BA26" s="201">
        <f t="shared" si="39"/>
        <v>1256.6767668206605</v>
      </c>
      <c r="BB26" s="201">
        <f t="shared" si="39"/>
        <v>1306.9438374934869</v>
      </c>
      <c r="BC26" s="201">
        <f t="shared" si="39"/>
        <v>1359.2215909932265</v>
      </c>
      <c r="BD26" s="201">
        <f t="shared" si="39"/>
        <v>1413.5904546329557</v>
      </c>
      <c r="BE26" s="201">
        <f t="shared" si="39"/>
        <v>1470.1340728182738</v>
      </c>
    </row>
    <row r="27" spans="1:63">
      <c r="A27" s="560"/>
      <c r="B27" s="560"/>
      <c r="C27" s="519" t="s">
        <v>519</v>
      </c>
      <c r="D27" s="201">
        <f t="shared" si="38"/>
        <v>899264.78164715692</v>
      </c>
      <c r="E27" s="201">
        <f t="shared" si="38"/>
        <v>2802388.566923006</v>
      </c>
      <c r="F27" s="201">
        <f t="shared" si="38"/>
        <v>3800114.4860061975</v>
      </c>
      <c r="G27" s="201">
        <f t="shared" si="38"/>
        <v>5348935.5423245691</v>
      </c>
      <c r="H27" s="201">
        <f t="shared" si="38"/>
        <v>7156938.3162798928</v>
      </c>
      <c r="I27" s="201">
        <f t="shared" si="38"/>
        <v>7443215.848931089</v>
      </c>
      <c r="J27" s="201">
        <f t="shared" si="38"/>
        <v>7762152.5499647409</v>
      </c>
      <c r="K27" s="201">
        <f t="shared" si="38"/>
        <v>8050582.2622038666</v>
      </c>
      <c r="L27" s="201">
        <f t="shared" si="38"/>
        <v>8372605.5526920212</v>
      </c>
      <c r="M27" s="201">
        <f t="shared" si="38"/>
        <v>8707509.7747997027</v>
      </c>
      <c r="N27" s="201">
        <f t="shared" si="38"/>
        <v>9080620.6046020817</v>
      </c>
      <c r="O27" s="201">
        <f t="shared" si="38"/>
        <v>9418042.5724233594</v>
      </c>
      <c r="P27" s="201">
        <f t="shared" si="38"/>
        <v>9794764.2753202934</v>
      </c>
      <c r="Q27" s="201">
        <f t="shared" si="38"/>
        <v>10186554.846333105</v>
      </c>
      <c r="R27" s="201">
        <f t="shared" si="38"/>
        <v>10623041.744406121</v>
      </c>
      <c r="S27" s="201">
        <f t="shared" si="38"/>
        <v>11017777.72179389</v>
      </c>
      <c r="T27" s="201">
        <f t="shared" si="38"/>
        <v>11458488.830665644</v>
      </c>
      <c r="V27" s="522">
        <f>'Прогноз F&amp;B'!F58</f>
        <v>0.19</v>
      </c>
      <c r="W27" s="522">
        <f>'Прогноз F&amp;B'!G58</f>
        <v>0.19</v>
      </c>
      <c r="X27" s="522">
        <f>'Прогноз F&amp;B'!H58</f>
        <v>0.19</v>
      </c>
      <c r="Y27" s="522">
        <f>'Прогноз F&amp;B'!I58</f>
        <v>0.19</v>
      </c>
      <c r="Z27" s="522">
        <f>'Прогноз F&amp;B'!J58</f>
        <v>0.19</v>
      </c>
      <c r="AA27" s="567">
        <f t="shared" si="32"/>
        <v>0.19</v>
      </c>
      <c r="AB27" s="567">
        <f t="shared" si="32"/>
        <v>0.19</v>
      </c>
      <c r="AC27" s="567">
        <f t="shared" si="32"/>
        <v>0.19</v>
      </c>
      <c r="AD27" s="567">
        <f t="shared" si="32"/>
        <v>0.19</v>
      </c>
      <c r="AE27" s="567">
        <f t="shared" si="32"/>
        <v>0.19</v>
      </c>
      <c r="AF27" s="567">
        <f t="shared" si="32"/>
        <v>0.19</v>
      </c>
      <c r="AG27" s="567">
        <f t="shared" si="32"/>
        <v>0.19</v>
      </c>
      <c r="AH27" s="567">
        <f t="shared" si="32"/>
        <v>0.19</v>
      </c>
      <c r="AI27" s="567">
        <f t="shared" si="32"/>
        <v>0.19</v>
      </c>
      <c r="AJ27" s="567">
        <f t="shared" si="32"/>
        <v>0.19</v>
      </c>
      <c r="AK27" s="567">
        <f t="shared" si="32"/>
        <v>0.19</v>
      </c>
      <c r="AL27" s="567">
        <f t="shared" si="32"/>
        <v>0.19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63">
      <c r="A28" s="560"/>
      <c r="B28" s="560"/>
      <c r="C28" s="519" t="s">
        <v>520</v>
      </c>
      <c r="D28" s="201">
        <f t="shared" ref="D28:T29" si="40">V28*D22</f>
        <v>2224497.0914429668</v>
      </c>
      <c r="E28" s="201">
        <f t="shared" si="40"/>
        <v>5162294.72854238</v>
      </c>
      <c r="F28" s="201">
        <f t="shared" si="40"/>
        <v>5714457.8736935295</v>
      </c>
      <c r="G28" s="201">
        <f t="shared" si="40"/>
        <v>5786860.0896493876</v>
      </c>
      <c r="H28" s="201">
        <f t="shared" si="40"/>
        <v>5992651.7002343591</v>
      </c>
      <c r="I28" s="201">
        <f t="shared" si="40"/>
        <v>6232357.7682437338</v>
      </c>
      <c r="J28" s="201">
        <f t="shared" si="40"/>
        <v>6499410.029874783</v>
      </c>
      <c r="K28" s="201">
        <f t="shared" si="40"/>
        <v>6740918.1621324243</v>
      </c>
      <c r="L28" s="201">
        <f t="shared" si="40"/>
        <v>7010554.8886177205</v>
      </c>
      <c r="M28" s="201">
        <f t="shared" si="40"/>
        <v>7290977.0841624308</v>
      </c>
      <c r="N28" s="201">
        <f t="shared" si="40"/>
        <v>7603390.4583988711</v>
      </c>
      <c r="O28" s="201">
        <f t="shared" si="40"/>
        <v>7885920.8142300844</v>
      </c>
      <c r="P28" s="201">
        <f t="shared" si="40"/>
        <v>8201357.6467992887</v>
      </c>
      <c r="Q28" s="201">
        <f t="shared" si="40"/>
        <v>8529411.9526712596</v>
      </c>
      <c r="R28" s="201">
        <f t="shared" si="40"/>
        <v>8894891.4127802458</v>
      </c>
      <c r="S28" s="201">
        <f t="shared" si="40"/>
        <v>9225411.9680092372</v>
      </c>
      <c r="T28" s="201">
        <f t="shared" si="40"/>
        <v>9594428.446729606</v>
      </c>
      <c r="V28" s="522">
        <f>'Прогноз F&amp;B'!F65</f>
        <v>0.05</v>
      </c>
      <c r="W28" s="522">
        <f>'Прогноз F&amp;B'!G65</f>
        <v>0.05</v>
      </c>
      <c r="X28" s="522">
        <f>'Прогноз F&amp;B'!H65</f>
        <v>0.05</v>
      </c>
      <c r="Y28" s="522">
        <f>'Прогноз F&amp;B'!I65</f>
        <v>0.05</v>
      </c>
      <c r="Z28" s="522">
        <f>'Прогноз F&amp;B'!J65</f>
        <v>0.05</v>
      </c>
      <c r="AA28" s="567">
        <f t="shared" si="32"/>
        <v>0.05</v>
      </c>
      <c r="AB28" s="567">
        <f t="shared" si="32"/>
        <v>0.05</v>
      </c>
      <c r="AC28" s="567">
        <f t="shared" si="32"/>
        <v>0.05</v>
      </c>
      <c r="AD28" s="567">
        <f t="shared" si="32"/>
        <v>0.05</v>
      </c>
      <c r="AE28" s="567">
        <f t="shared" si="32"/>
        <v>0.05</v>
      </c>
      <c r="AF28" s="567">
        <f t="shared" si="32"/>
        <v>0.05</v>
      </c>
      <c r="AG28" s="567">
        <f t="shared" si="32"/>
        <v>0.05</v>
      </c>
      <c r="AH28" s="567">
        <f t="shared" si="32"/>
        <v>0.05</v>
      </c>
      <c r="AI28" s="567">
        <f t="shared" si="32"/>
        <v>0.05</v>
      </c>
      <c r="AJ28" s="567">
        <f t="shared" si="32"/>
        <v>0.05</v>
      </c>
      <c r="AK28" s="567">
        <f t="shared" si="32"/>
        <v>0.05</v>
      </c>
      <c r="AL28" s="567">
        <f t="shared" si="32"/>
        <v>0.05</v>
      </c>
      <c r="AO28" s="201">
        <f t="shared" ref="AO28:BE28" si="41">D28/D$9</f>
        <v>165.91226562560001</v>
      </c>
      <c r="AP28" s="201">
        <f t="shared" si="41"/>
        <v>172.33280036044806</v>
      </c>
      <c r="AQ28" s="201">
        <f t="shared" si="41"/>
        <v>179.67530062643203</v>
      </c>
      <c r="AR28" s="201">
        <f t="shared" si="41"/>
        <v>172.84763920262762</v>
      </c>
      <c r="AS28" s="201">
        <f t="shared" si="41"/>
        <v>170.04470451285528</v>
      </c>
      <c r="AT28" s="201">
        <f t="shared" si="41"/>
        <v>176.8464926933695</v>
      </c>
      <c r="AU28" s="201">
        <f t="shared" si="41"/>
        <v>183.92035240110431</v>
      </c>
      <c r="AV28" s="201">
        <f t="shared" si="41"/>
        <v>191.2771664971485</v>
      </c>
      <c r="AW28" s="201">
        <f t="shared" si="41"/>
        <v>198.92825315703442</v>
      </c>
      <c r="AX28" s="201">
        <f t="shared" si="41"/>
        <v>206.88538328331583</v>
      </c>
      <c r="AY28" s="201">
        <f t="shared" si="41"/>
        <v>215.16079861464846</v>
      </c>
      <c r="AZ28" s="201">
        <f t="shared" si="41"/>
        <v>223.76723055923438</v>
      </c>
      <c r="BA28" s="201">
        <f t="shared" si="41"/>
        <v>232.7179197816038</v>
      </c>
      <c r="BB28" s="201">
        <f t="shared" si="41"/>
        <v>242.02663657286791</v>
      </c>
      <c r="BC28" s="201">
        <f t="shared" si="41"/>
        <v>251.70770203578272</v>
      </c>
      <c r="BD28" s="201">
        <f t="shared" si="41"/>
        <v>261.77601011721401</v>
      </c>
      <c r="BE28" s="201">
        <f t="shared" si="41"/>
        <v>272.24705052190257</v>
      </c>
    </row>
    <row r="29" spans="1:63">
      <c r="A29" s="560"/>
      <c r="B29" s="560"/>
      <c r="C29" s="519" t="s">
        <v>521</v>
      </c>
      <c r="D29" s="201">
        <f t="shared" si="40"/>
        <v>236648.62674925185</v>
      </c>
      <c r="E29" s="201">
        <f t="shared" si="40"/>
        <v>737470.67550605419</v>
      </c>
      <c r="F29" s="201">
        <f t="shared" si="40"/>
        <v>1000030.1278963678</v>
      </c>
      <c r="G29" s="201">
        <f t="shared" si="40"/>
        <v>1407614.6164012025</v>
      </c>
      <c r="H29" s="201">
        <f t="shared" si="40"/>
        <v>1883404.820073656</v>
      </c>
      <c r="I29" s="201">
        <f t="shared" si="40"/>
        <v>1958741.0128766024</v>
      </c>
      <c r="J29" s="201">
        <f t="shared" si="40"/>
        <v>2042671.7236749318</v>
      </c>
      <c r="K29" s="201">
        <f t="shared" si="40"/>
        <v>2118574.2795273336</v>
      </c>
      <c r="L29" s="201">
        <f t="shared" si="40"/>
        <v>2203317.2507084268</v>
      </c>
      <c r="M29" s="201">
        <f t="shared" si="40"/>
        <v>2291449.9407367641</v>
      </c>
      <c r="N29" s="201">
        <f t="shared" si="40"/>
        <v>2389637.0012110742</v>
      </c>
      <c r="O29" s="201">
        <f t="shared" si="40"/>
        <v>2478432.255900884</v>
      </c>
      <c r="P29" s="201">
        <f t="shared" si="40"/>
        <v>2577569.5461369194</v>
      </c>
      <c r="Q29" s="201">
        <f t="shared" si="40"/>
        <v>2680672.3279823964</v>
      </c>
      <c r="R29" s="201">
        <f t="shared" si="40"/>
        <v>2795537.3011595057</v>
      </c>
      <c r="S29" s="201">
        <f t="shared" si="40"/>
        <v>2899415.1899457606</v>
      </c>
      <c r="T29" s="201">
        <f t="shared" si="40"/>
        <v>3015391.7975435909</v>
      </c>
      <c r="V29" s="522">
        <f>'Прогноз F&amp;B'!F73</f>
        <v>0.05</v>
      </c>
      <c r="W29" s="522">
        <f>'Прогноз F&amp;B'!G73</f>
        <v>0.05</v>
      </c>
      <c r="X29" s="522">
        <f>'Прогноз F&amp;B'!H73</f>
        <v>0.05</v>
      </c>
      <c r="Y29" s="522">
        <f>'Прогноз F&amp;B'!I73</f>
        <v>0.05</v>
      </c>
      <c r="Z29" s="522">
        <f>'Прогноз F&amp;B'!J73</f>
        <v>0.05</v>
      </c>
      <c r="AA29" s="567">
        <f t="shared" si="32"/>
        <v>0.05</v>
      </c>
      <c r="AB29" s="567">
        <f t="shared" si="32"/>
        <v>0.05</v>
      </c>
      <c r="AC29" s="567">
        <f t="shared" si="32"/>
        <v>0.05</v>
      </c>
      <c r="AD29" s="567">
        <f t="shared" si="32"/>
        <v>0.05</v>
      </c>
      <c r="AE29" s="567">
        <f t="shared" si="32"/>
        <v>0.05</v>
      </c>
      <c r="AF29" s="567">
        <f t="shared" si="32"/>
        <v>0.05</v>
      </c>
      <c r="AG29" s="567">
        <f t="shared" si="32"/>
        <v>0.05</v>
      </c>
      <c r="AH29" s="567">
        <f t="shared" si="32"/>
        <v>0.05</v>
      </c>
      <c r="AI29" s="567">
        <f t="shared" si="32"/>
        <v>0.05</v>
      </c>
      <c r="AJ29" s="567">
        <f t="shared" si="32"/>
        <v>0.05</v>
      </c>
      <c r="AK29" s="567">
        <f t="shared" si="32"/>
        <v>0.05</v>
      </c>
      <c r="AL29" s="567">
        <f t="shared" si="32"/>
        <v>0.05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63">
      <c r="A30" s="560"/>
      <c r="B30" s="560"/>
      <c r="C30" s="521" t="s">
        <v>28</v>
      </c>
      <c r="D30" s="556">
        <f>SUM(D24:D28)</f>
        <v>35629817.243367352</v>
      </c>
      <c r="E30" s="556">
        <f t="shared" ref="E30:T30" si="42">SUM(E24:E28)</f>
        <v>81711750.846070796</v>
      </c>
      <c r="F30" s="556">
        <f t="shared" si="42"/>
        <v>89231259.697724462</v>
      </c>
      <c r="G30" s="556">
        <f t="shared" si="42"/>
        <v>92652322.084008038</v>
      </c>
      <c r="H30" s="556">
        <f t="shared" si="42"/>
        <v>98416462.779848844</v>
      </c>
      <c r="I30" s="556">
        <f t="shared" si="42"/>
        <v>102353121.2910428</v>
      </c>
      <c r="J30" s="556">
        <f t="shared" si="42"/>
        <v>106738882.43348643</v>
      </c>
      <c r="K30" s="556">
        <f t="shared" si="42"/>
        <v>110705135.98839192</v>
      </c>
      <c r="L30" s="556">
        <f t="shared" si="42"/>
        <v>115133341.42792758</v>
      </c>
      <c r="M30" s="556">
        <f t="shared" si="42"/>
        <v>119738675.08504471</v>
      </c>
      <c r="N30" s="556">
        <f t="shared" si="42"/>
        <v>124869395.29964775</v>
      </c>
      <c r="O30" s="556">
        <f t="shared" si="42"/>
        <v>129509350.97198434</v>
      </c>
      <c r="P30" s="556">
        <f t="shared" si="42"/>
        <v>134689725.01086372</v>
      </c>
      <c r="Q30" s="556">
        <f t="shared" si="42"/>
        <v>140077314.0112983</v>
      </c>
      <c r="R30" s="556">
        <f t="shared" si="42"/>
        <v>146079530.97331673</v>
      </c>
      <c r="S30" s="556">
        <f t="shared" si="42"/>
        <v>151507622.83462024</v>
      </c>
      <c r="T30" s="556">
        <f t="shared" si="42"/>
        <v>157567927.74800506</v>
      </c>
      <c r="V30" s="568">
        <f t="shared" ref="V30:AL30" si="43">D30/D21</f>
        <v>0.72384615384615392</v>
      </c>
      <c r="W30" s="555">
        <f t="shared" si="43"/>
        <v>0.6925</v>
      </c>
      <c r="X30" s="555">
        <f t="shared" si="43"/>
        <v>0.664468085106383</v>
      </c>
      <c r="Y30" s="555">
        <f t="shared" si="43"/>
        <v>0.64391304347826095</v>
      </c>
      <c r="Z30" s="568">
        <f t="shared" si="43"/>
        <v>0.62478260869565216</v>
      </c>
      <c r="AA30" s="555">
        <f t="shared" si="43"/>
        <v>0.62478260869565216</v>
      </c>
      <c r="AB30" s="555">
        <f t="shared" si="43"/>
        <v>0.62478260869565216</v>
      </c>
      <c r="AC30" s="555">
        <f t="shared" si="43"/>
        <v>0.62478260869565216</v>
      </c>
      <c r="AD30" s="555">
        <f t="shared" si="43"/>
        <v>0.62478260869565216</v>
      </c>
      <c r="AE30" s="555">
        <f t="shared" si="43"/>
        <v>0.62478260869565216</v>
      </c>
      <c r="AF30" s="555">
        <f t="shared" si="43"/>
        <v>0.62478260869565216</v>
      </c>
      <c r="AG30" s="555">
        <f t="shared" si="43"/>
        <v>0.62478260869565205</v>
      </c>
      <c r="AH30" s="555">
        <f t="shared" si="43"/>
        <v>0.62478260869565205</v>
      </c>
      <c r="AI30" s="555">
        <f t="shared" si="43"/>
        <v>0.62478260869565228</v>
      </c>
      <c r="AJ30" s="555">
        <f t="shared" si="43"/>
        <v>0.62478260869565228</v>
      </c>
      <c r="AK30" s="555">
        <f t="shared" si="43"/>
        <v>0.62478260869565205</v>
      </c>
      <c r="AL30" s="555">
        <f t="shared" si="43"/>
        <v>0.62478260869565228</v>
      </c>
      <c r="AO30" s="556">
        <f t="shared" ref="AO30:BE30" si="44">D30/D$9</f>
        <v>2657.4202885734403</v>
      </c>
      <c r="AP30" s="556">
        <f t="shared" si="44"/>
        <v>2727.7820399910916</v>
      </c>
      <c r="AQ30" s="556">
        <f t="shared" si="44"/>
        <v>2805.6298192817362</v>
      </c>
      <c r="AR30" s="556">
        <f t="shared" si="44"/>
        <v>2767.430850368557</v>
      </c>
      <c r="AS30" s="556">
        <f t="shared" si="44"/>
        <v>2792.6198901139774</v>
      </c>
      <c r="AT30" s="556">
        <f t="shared" si="44"/>
        <v>2904.3246857185368</v>
      </c>
      <c r="AU30" s="556">
        <f t="shared" si="44"/>
        <v>3020.4976731472789</v>
      </c>
      <c r="AV30" s="556">
        <f t="shared" si="44"/>
        <v>3141.3175800731701</v>
      </c>
      <c r="AW30" s="556">
        <f t="shared" si="44"/>
        <v>3266.9702832760963</v>
      </c>
      <c r="AX30" s="556">
        <f t="shared" si="44"/>
        <v>3397.6490946071408</v>
      </c>
      <c r="AY30" s="556">
        <f t="shared" si="44"/>
        <v>3533.5550583914269</v>
      </c>
      <c r="AZ30" s="556">
        <f t="shared" si="44"/>
        <v>3674.897260727083</v>
      </c>
      <c r="BA30" s="556">
        <f t="shared" si="44"/>
        <v>3821.8931511561668</v>
      </c>
      <c r="BB30" s="556">
        <f t="shared" si="44"/>
        <v>3974.7688772024139</v>
      </c>
      <c r="BC30" s="556">
        <f t="shared" si="44"/>
        <v>4133.7596322905119</v>
      </c>
      <c r="BD30" s="556">
        <f t="shared" si="44"/>
        <v>4299.1100175821311</v>
      </c>
      <c r="BE30" s="556">
        <f t="shared" si="44"/>
        <v>4471.0744182854169</v>
      </c>
    </row>
    <row r="31" spans="1:63">
      <c r="A31" s="511"/>
      <c r="B31" s="511"/>
      <c r="C31" s="521" t="s">
        <v>18</v>
      </c>
      <c r="D31" s="554">
        <f t="shared" ref="D31:T31" si="45">D21-D30</f>
        <v>13593097.120477021</v>
      </c>
      <c r="E31" s="556">
        <f t="shared" si="45"/>
        <v>36283557.234897867</v>
      </c>
      <c r="F31" s="556">
        <f t="shared" si="45"/>
        <v>45058500.334073484</v>
      </c>
      <c r="G31" s="556">
        <f t="shared" si="45"/>
        <v>51237172.037003756</v>
      </c>
      <c r="H31" s="556">
        <f t="shared" si="45"/>
        <v>59104667.626311451</v>
      </c>
      <c r="I31" s="556">
        <f t="shared" si="45"/>
        <v>61468854.331363916</v>
      </c>
      <c r="J31" s="556">
        <f t="shared" si="45"/>
        <v>64102752.637507856</v>
      </c>
      <c r="K31" s="556">
        <f t="shared" si="45"/>
        <v>66484712.844803229</v>
      </c>
      <c r="L31" s="556">
        <f t="shared" si="45"/>
        <v>69144101.358595341</v>
      </c>
      <c r="M31" s="556">
        <f t="shared" si="45"/>
        <v>71909865.412939161</v>
      </c>
      <c r="N31" s="556">
        <f t="shared" si="45"/>
        <v>74991153.892551154</v>
      </c>
      <c r="O31" s="556">
        <f t="shared" si="45"/>
        <v>77777710.43063502</v>
      </c>
      <c r="P31" s="556">
        <f t="shared" si="45"/>
        <v>80888818.847860456</v>
      </c>
      <c r="Q31" s="556">
        <f t="shared" si="45"/>
        <v>84124371.601774812</v>
      </c>
      <c r="R31" s="556">
        <f t="shared" si="45"/>
        <v>87729043.305478275</v>
      </c>
      <c r="S31" s="556">
        <f t="shared" si="45"/>
        <v>90988920.324479699</v>
      </c>
      <c r="T31" s="556">
        <f t="shared" si="45"/>
        <v>94628477.137458831</v>
      </c>
      <c r="V31" s="555">
        <f t="shared" ref="V31:AL31" si="46">D31/D21</f>
        <v>0.27615384615384614</v>
      </c>
      <c r="W31" s="555">
        <f t="shared" si="46"/>
        <v>0.30750000000000005</v>
      </c>
      <c r="X31" s="555">
        <f t="shared" si="46"/>
        <v>0.33553191489361706</v>
      </c>
      <c r="Y31" s="555">
        <f t="shared" si="46"/>
        <v>0.35608695652173905</v>
      </c>
      <c r="Z31" s="555">
        <f t="shared" si="46"/>
        <v>0.37521739130434784</v>
      </c>
      <c r="AA31" s="555">
        <f t="shared" si="46"/>
        <v>0.37521739130434784</v>
      </c>
      <c r="AB31" s="555">
        <f t="shared" si="46"/>
        <v>0.37521739130434784</v>
      </c>
      <c r="AC31" s="555">
        <f t="shared" si="46"/>
        <v>0.37521739130434784</v>
      </c>
      <c r="AD31" s="555">
        <f t="shared" si="46"/>
        <v>0.37521739130434784</v>
      </c>
      <c r="AE31" s="555">
        <f t="shared" si="46"/>
        <v>0.37521739130434778</v>
      </c>
      <c r="AF31" s="555">
        <f t="shared" si="46"/>
        <v>0.37521739130434784</v>
      </c>
      <c r="AG31" s="555">
        <f t="shared" si="46"/>
        <v>0.37521739130434789</v>
      </c>
      <c r="AH31" s="555">
        <f t="shared" si="46"/>
        <v>0.375217391304348</v>
      </c>
      <c r="AI31" s="555">
        <f t="shared" si="46"/>
        <v>0.37521739130434778</v>
      </c>
      <c r="AJ31" s="555">
        <f t="shared" si="46"/>
        <v>0.37521739130434772</v>
      </c>
      <c r="AK31" s="555">
        <f t="shared" si="46"/>
        <v>0.37521739130434795</v>
      </c>
      <c r="AL31" s="555">
        <f t="shared" si="46"/>
        <v>0.37521739130434778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63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>
        <f>D33/D$12</f>
        <v>0.1098901098901099</v>
      </c>
      <c r="W32" s="570">
        <f t="shared" ref="W32:AL32" si="47">E33/E$12</f>
        <v>0.11267605633802817</v>
      </c>
      <c r="X32" s="570">
        <f t="shared" si="47"/>
        <v>0.11331444759206799</v>
      </c>
      <c r="Y32" s="570">
        <f t="shared" si="47"/>
        <v>0.11396011396011398</v>
      </c>
      <c r="Z32" s="570">
        <f t="shared" si="47"/>
        <v>0.11396011396011396</v>
      </c>
      <c r="AA32" s="570">
        <f t="shared" si="47"/>
        <v>0.11396011396011395</v>
      </c>
      <c r="AB32" s="570">
        <f t="shared" si="47"/>
        <v>0.11396011396011398</v>
      </c>
      <c r="AC32" s="570">
        <f t="shared" si="47"/>
        <v>0.11396011396011398</v>
      </c>
      <c r="AD32" s="570">
        <f t="shared" si="47"/>
        <v>0.11396011396011398</v>
      </c>
      <c r="AE32" s="570">
        <f t="shared" si="47"/>
        <v>0.11396011396011395</v>
      </c>
      <c r="AF32" s="570">
        <f t="shared" si="47"/>
        <v>0.11396011396011396</v>
      </c>
      <c r="AG32" s="570">
        <f t="shared" si="47"/>
        <v>0.11396011396011398</v>
      </c>
      <c r="AH32" s="570">
        <f t="shared" si="47"/>
        <v>0.11396011396011398</v>
      </c>
      <c r="AI32" s="570">
        <f t="shared" si="47"/>
        <v>0.11396011396011398</v>
      </c>
      <c r="AJ32" s="570">
        <f t="shared" si="47"/>
        <v>0.11396011396011395</v>
      </c>
      <c r="AK32" s="570">
        <f t="shared" si="47"/>
        <v>0.11396011396011398</v>
      </c>
      <c r="AL32" s="570">
        <f t="shared" si="47"/>
        <v>0.11396011396011398</v>
      </c>
      <c r="AO32" s="1044">
        <f>AO33/LOOKUP(AO$3,CPI!$3:$3,CPI!$5:$5)</f>
        <v>1160.5769230769231</v>
      </c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>
      <c r="A33" s="553"/>
      <c r="B33" s="553"/>
      <c r="C33" s="521" t="s">
        <v>17</v>
      </c>
      <c r="D33" s="556">
        <f t="shared" ref="D33:T33" si="48">V33*D14</f>
        <v>18931890.139940146</v>
      </c>
      <c r="E33" s="556">
        <f t="shared" si="48"/>
        <v>49164711.700403616</v>
      </c>
      <c r="F33" s="556">
        <f t="shared" si="48"/>
        <v>57144578.736935295</v>
      </c>
      <c r="G33" s="556">
        <f t="shared" si="48"/>
        <v>62560649.617831223</v>
      </c>
      <c r="H33" s="556">
        <f t="shared" si="48"/>
        <v>68487448.002678394</v>
      </c>
      <c r="I33" s="556">
        <f t="shared" si="48"/>
        <v>71226945.922785535</v>
      </c>
      <c r="J33" s="556">
        <f t="shared" si="48"/>
        <v>74278971.769997522</v>
      </c>
      <c r="K33" s="556">
        <f t="shared" si="48"/>
        <v>77039064.710084841</v>
      </c>
      <c r="L33" s="556">
        <f t="shared" si="48"/>
        <v>80120627.298488244</v>
      </c>
      <c r="M33" s="556">
        <f t="shared" si="48"/>
        <v>83325452.390427783</v>
      </c>
      <c r="N33" s="556">
        <f t="shared" si="48"/>
        <v>86895890.953129962</v>
      </c>
      <c r="O33" s="556">
        <f t="shared" si="48"/>
        <v>90124809.305486694</v>
      </c>
      <c r="P33" s="556">
        <f t="shared" si="48"/>
        <v>93729801.677706167</v>
      </c>
      <c r="Q33" s="556">
        <f t="shared" si="48"/>
        <v>97478993.744814411</v>
      </c>
      <c r="R33" s="556">
        <f t="shared" si="48"/>
        <v>101655901.86034566</v>
      </c>
      <c r="S33" s="556">
        <f t="shared" si="48"/>
        <v>105433279.63439129</v>
      </c>
      <c r="T33" s="556">
        <f t="shared" si="48"/>
        <v>109650610.81976694</v>
      </c>
      <c r="V33" s="558">
        <f>'Прогноз прочих'!F7</f>
        <v>0.2</v>
      </c>
      <c r="W33" s="558">
        <f>'Прогноз прочих'!G7</f>
        <v>0.2</v>
      </c>
      <c r="X33" s="558">
        <f>'Прогноз прочих'!H7</f>
        <v>0.2</v>
      </c>
      <c r="Y33" s="558">
        <f>'Прогноз прочих'!I7</f>
        <v>0.2</v>
      </c>
      <c r="Z33" s="558">
        <f>'Прогноз прочих'!J7</f>
        <v>0.2</v>
      </c>
      <c r="AA33" s="559">
        <f>Z33</f>
        <v>0.2</v>
      </c>
      <c r="AB33" s="559">
        <f t="shared" ref="AB33:AL35" si="49">AA33</f>
        <v>0.2</v>
      </c>
      <c r="AC33" s="559">
        <f t="shared" si="49"/>
        <v>0.2</v>
      </c>
      <c r="AD33" s="559">
        <f t="shared" si="49"/>
        <v>0.2</v>
      </c>
      <c r="AE33" s="559">
        <f t="shared" si="49"/>
        <v>0.2</v>
      </c>
      <c r="AF33" s="559">
        <f t="shared" si="49"/>
        <v>0.2</v>
      </c>
      <c r="AG33" s="559">
        <f t="shared" si="49"/>
        <v>0.2</v>
      </c>
      <c r="AH33" s="559">
        <f t="shared" si="49"/>
        <v>0.2</v>
      </c>
      <c r="AI33" s="559">
        <f t="shared" si="49"/>
        <v>0.2</v>
      </c>
      <c r="AJ33" s="559">
        <f t="shared" si="49"/>
        <v>0.2</v>
      </c>
      <c r="AK33" s="559">
        <f t="shared" si="49"/>
        <v>0.2</v>
      </c>
      <c r="AL33" s="559">
        <f t="shared" si="49"/>
        <v>0.2</v>
      </c>
      <c r="AO33" s="556">
        <f t="shared" ref="AO33:BD36" si="50">D33/D$9</f>
        <v>1412.0192819200004</v>
      </c>
      <c r="AP33" s="556">
        <f t="shared" si="50"/>
        <v>1641.2647653376005</v>
      </c>
      <c r="AQ33" s="556">
        <f t="shared" si="50"/>
        <v>1796.7530062643204</v>
      </c>
      <c r="AR33" s="556">
        <f t="shared" si="50"/>
        <v>1868.6231265148933</v>
      </c>
      <c r="AS33" s="556">
        <f t="shared" si="50"/>
        <v>1943.3680515754891</v>
      </c>
      <c r="AT33" s="556">
        <f t="shared" si="50"/>
        <v>2021.1027736385088</v>
      </c>
      <c r="AU33" s="556">
        <f t="shared" si="50"/>
        <v>2101.9468845840493</v>
      </c>
      <c r="AV33" s="556">
        <f t="shared" si="50"/>
        <v>2186.0247599674112</v>
      </c>
      <c r="AW33" s="556">
        <f t="shared" si="50"/>
        <v>2273.4657503661078</v>
      </c>
      <c r="AX33" s="556">
        <f t="shared" si="50"/>
        <v>2364.4043803807526</v>
      </c>
      <c r="AY33" s="556">
        <f t="shared" si="50"/>
        <v>2458.9805555959824</v>
      </c>
      <c r="AZ33" s="556">
        <f t="shared" si="50"/>
        <v>2557.3397778198218</v>
      </c>
      <c r="BA33" s="556">
        <f t="shared" si="50"/>
        <v>2659.6333689326152</v>
      </c>
      <c r="BB33" s="556">
        <f t="shared" si="50"/>
        <v>2766.0187036899197</v>
      </c>
      <c r="BC33" s="556">
        <f t="shared" si="50"/>
        <v>2876.6594518375164</v>
      </c>
      <c r="BD33" s="556">
        <f t="shared" si="50"/>
        <v>2991.7258299110176</v>
      </c>
      <c r="BE33" s="556">
        <f t="shared" ref="AY33:BE36" si="51">T33/T$9</f>
        <v>3111.3948631074581</v>
      </c>
    </row>
    <row r="34" spans="1:57">
      <c r="A34" s="511"/>
      <c r="B34" s="511"/>
      <c r="C34" s="519" t="s">
        <v>25</v>
      </c>
      <c r="D34" s="201">
        <f t="shared" ref="D34:T34" si="52">V34*D33</f>
        <v>7572756.0559760593</v>
      </c>
      <c r="E34" s="201">
        <f t="shared" si="52"/>
        <v>19665884.680161446</v>
      </c>
      <c r="F34" s="201">
        <f t="shared" si="52"/>
        <v>22857831.494774118</v>
      </c>
      <c r="G34" s="201">
        <f t="shared" si="52"/>
        <v>25024259.847132489</v>
      </c>
      <c r="H34" s="201">
        <f t="shared" si="52"/>
        <v>27394979.201071359</v>
      </c>
      <c r="I34" s="201">
        <f t="shared" si="52"/>
        <v>28490778.369114216</v>
      </c>
      <c r="J34" s="201">
        <f t="shared" si="52"/>
        <v>29711588.70799901</v>
      </c>
      <c r="K34" s="201">
        <f t="shared" si="52"/>
        <v>30815625.884033937</v>
      </c>
      <c r="L34" s="201">
        <f t="shared" si="52"/>
        <v>32048250.919395298</v>
      </c>
      <c r="M34" s="201">
        <f t="shared" si="52"/>
        <v>33330180.956171114</v>
      </c>
      <c r="N34" s="201">
        <f t="shared" si="52"/>
        <v>34758356.381251983</v>
      </c>
      <c r="O34" s="201">
        <f t="shared" si="52"/>
        <v>36049923.722194679</v>
      </c>
      <c r="P34" s="201">
        <f t="shared" si="52"/>
        <v>37491920.671082467</v>
      </c>
      <c r="Q34" s="201">
        <f t="shared" si="52"/>
        <v>38991597.497925766</v>
      </c>
      <c r="R34" s="201">
        <f t="shared" si="52"/>
        <v>40662360.744138271</v>
      </c>
      <c r="S34" s="201">
        <f t="shared" si="52"/>
        <v>42173311.853756517</v>
      </c>
      <c r="T34" s="201">
        <f t="shared" si="52"/>
        <v>43860244.32790678</v>
      </c>
      <c r="V34" s="522">
        <f>'Прогноз прочих'!F11</f>
        <v>0.4</v>
      </c>
      <c r="W34" s="522">
        <f>'Прогноз прочих'!G11</f>
        <v>0.4</v>
      </c>
      <c r="X34" s="522">
        <f>'Прогноз прочих'!H11</f>
        <v>0.4</v>
      </c>
      <c r="Y34" s="522">
        <f>'Прогноз прочих'!I11</f>
        <v>0.4</v>
      </c>
      <c r="Z34" s="522">
        <f>'Прогноз прочих'!J11</f>
        <v>0.4</v>
      </c>
      <c r="AA34" s="522">
        <f>Z34</f>
        <v>0.4</v>
      </c>
      <c r="AB34" s="522">
        <f t="shared" si="49"/>
        <v>0.4</v>
      </c>
      <c r="AC34" s="522">
        <f t="shared" si="49"/>
        <v>0.4</v>
      </c>
      <c r="AD34" s="522">
        <f t="shared" si="49"/>
        <v>0.4</v>
      </c>
      <c r="AE34" s="522">
        <f t="shared" si="49"/>
        <v>0.4</v>
      </c>
      <c r="AF34" s="522">
        <f t="shared" si="49"/>
        <v>0.4</v>
      </c>
      <c r="AG34" s="522">
        <f t="shared" si="49"/>
        <v>0.4</v>
      </c>
      <c r="AH34" s="522">
        <f t="shared" si="49"/>
        <v>0.4</v>
      </c>
      <c r="AI34" s="522">
        <f t="shared" si="49"/>
        <v>0.4</v>
      </c>
      <c r="AJ34" s="522">
        <f t="shared" si="49"/>
        <v>0.4</v>
      </c>
      <c r="AK34" s="522">
        <f t="shared" si="49"/>
        <v>0.4</v>
      </c>
      <c r="AL34" s="522">
        <f t="shared" si="49"/>
        <v>0.4</v>
      </c>
      <c r="AO34" s="201">
        <f t="shared" si="50"/>
        <v>564.80771276800021</v>
      </c>
      <c r="AP34" s="201">
        <f t="shared" si="50"/>
        <v>656.50590613504016</v>
      </c>
      <c r="AQ34" s="201">
        <f t="shared" si="50"/>
        <v>718.70120250572813</v>
      </c>
      <c r="AR34" s="201">
        <f t="shared" si="50"/>
        <v>747.44925060595733</v>
      </c>
      <c r="AS34" s="201">
        <f t="shared" si="50"/>
        <v>777.34722063019569</v>
      </c>
      <c r="AT34" s="201">
        <f t="shared" si="50"/>
        <v>808.44110945540353</v>
      </c>
      <c r="AU34" s="201">
        <f t="shared" si="50"/>
        <v>840.77875383361982</v>
      </c>
      <c r="AV34" s="201">
        <f t="shared" si="50"/>
        <v>874.40990398696454</v>
      </c>
      <c r="AW34" s="201">
        <f t="shared" si="50"/>
        <v>909.3863001464432</v>
      </c>
      <c r="AX34" s="201">
        <f t="shared" si="50"/>
        <v>945.76175215230103</v>
      </c>
      <c r="AY34" s="201">
        <f t="shared" si="51"/>
        <v>983.59222223839299</v>
      </c>
      <c r="AZ34" s="201">
        <f t="shared" si="51"/>
        <v>1022.9359111279289</v>
      </c>
      <c r="BA34" s="201">
        <f t="shared" si="51"/>
        <v>1063.853347573046</v>
      </c>
      <c r="BB34" s="201">
        <f t="shared" si="51"/>
        <v>1106.4074814759679</v>
      </c>
      <c r="BC34" s="201">
        <f t="shared" si="51"/>
        <v>1150.6637807350069</v>
      </c>
      <c r="BD34" s="201">
        <f t="shared" si="51"/>
        <v>1196.6903319644071</v>
      </c>
      <c r="BE34" s="201">
        <f t="shared" si="51"/>
        <v>1244.5579452429834</v>
      </c>
    </row>
    <row r="35" spans="1:57">
      <c r="A35" s="511"/>
      <c r="B35" s="511"/>
      <c r="C35" s="519" t="s">
        <v>26</v>
      </c>
      <c r="D35" s="201">
        <f t="shared" ref="D35:T35" si="53">V35*D33</f>
        <v>4354334.7321862336</v>
      </c>
      <c r="E35" s="201">
        <f t="shared" si="53"/>
        <v>11307883.691092832</v>
      </c>
      <c r="F35" s="201">
        <f t="shared" si="53"/>
        <v>13143253.109495118</v>
      </c>
      <c r="G35" s="201">
        <f t="shared" si="53"/>
        <v>14388949.412101181</v>
      </c>
      <c r="H35" s="201">
        <f t="shared" si="53"/>
        <v>15752113.040616032</v>
      </c>
      <c r="I35" s="201">
        <f t="shared" si="53"/>
        <v>16382197.562240673</v>
      </c>
      <c r="J35" s="201">
        <f t="shared" si="53"/>
        <v>17084163.507099431</v>
      </c>
      <c r="K35" s="201">
        <f t="shared" si="53"/>
        <v>17718984.883319516</v>
      </c>
      <c r="L35" s="201">
        <f t="shared" si="53"/>
        <v>18427744.278652295</v>
      </c>
      <c r="M35" s="201">
        <f t="shared" si="53"/>
        <v>19164854.049798392</v>
      </c>
      <c r="N35" s="201">
        <f t="shared" si="53"/>
        <v>19986054.919219892</v>
      </c>
      <c r="O35" s="201">
        <f t="shared" si="53"/>
        <v>20728706.140261941</v>
      </c>
      <c r="P35" s="201">
        <f t="shared" si="53"/>
        <v>21557854.38587242</v>
      </c>
      <c r="Q35" s="201">
        <f t="shared" si="53"/>
        <v>22420168.561307315</v>
      </c>
      <c r="R35" s="201">
        <f t="shared" si="53"/>
        <v>23380857.427879505</v>
      </c>
      <c r="S35" s="201">
        <f t="shared" si="53"/>
        <v>24249654.315909997</v>
      </c>
      <c r="T35" s="201">
        <f t="shared" si="53"/>
        <v>25219640.488546398</v>
      </c>
      <c r="V35" s="522">
        <f>'Прогноз прочих'!F15</f>
        <v>0.23</v>
      </c>
      <c r="W35" s="522">
        <f>'Прогноз прочих'!G15</f>
        <v>0.23</v>
      </c>
      <c r="X35" s="522">
        <f>'Прогноз прочих'!H15</f>
        <v>0.23</v>
      </c>
      <c r="Y35" s="522">
        <f>'Прогноз прочих'!I15</f>
        <v>0.23</v>
      </c>
      <c r="Z35" s="522">
        <f>'Прогноз прочих'!J15</f>
        <v>0.23</v>
      </c>
      <c r="AA35" s="522">
        <f>Z35</f>
        <v>0.23</v>
      </c>
      <c r="AB35" s="522">
        <f t="shared" si="49"/>
        <v>0.23</v>
      </c>
      <c r="AC35" s="522">
        <f t="shared" si="49"/>
        <v>0.23</v>
      </c>
      <c r="AD35" s="522">
        <f t="shared" si="49"/>
        <v>0.23</v>
      </c>
      <c r="AE35" s="522">
        <f t="shared" si="49"/>
        <v>0.23</v>
      </c>
      <c r="AF35" s="522">
        <f t="shared" si="49"/>
        <v>0.23</v>
      </c>
      <c r="AG35" s="522">
        <f t="shared" si="49"/>
        <v>0.23</v>
      </c>
      <c r="AH35" s="522">
        <f t="shared" si="49"/>
        <v>0.23</v>
      </c>
      <c r="AI35" s="522">
        <f t="shared" si="49"/>
        <v>0.23</v>
      </c>
      <c r="AJ35" s="522">
        <f t="shared" si="49"/>
        <v>0.23</v>
      </c>
      <c r="AK35" s="522">
        <f t="shared" si="49"/>
        <v>0.23</v>
      </c>
      <c r="AL35" s="522">
        <f t="shared" si="49"/>
        <v>0.23</v>
      </c>
      <c r="AO35" s="201">
        <f t="shared" si="50"/>
        <v>324.76443484160006</v>
      </c>
      <c r="AP35" s="201">
        <f t="shared" si="50"/>
        <v>377.49089602764815</v>
      </c>
      <c r="AQ35" s="201">
        <f t="shared" si="50"/>
        <v>413.25319144079373</v>
      </c>
      <c r="AR35" s="201">
        <f t="shared" si="50"/>
        <v>429.78331909842547</v>
      </c>
      <c r="AS35" s="201">
        <f t="shared" si="50"/>
        <v>446.97465186236252</v>
      </c>
      <c r="AT35" s="201">
        <f t="shared" si="50"/>
        <v>464.85363793685701</v>
      </c>
      <c r="AU35" s="201">
        <f t="shared" si="50"/>
        <v>483.44778345433139</v>
      </c>
      <c r="AV35" s="201">
        <f t="shared" si="50"/>
        <v>502.78569479250461</v>
      </c>
      <c r="AW35" s="201">
        <f t="shared" si="50"/>
        <v>522.89712258420479</v>
      </c>
      <c r="AX35" s="201">
        <f t="shared" si="50"/>
        <v>543.81300748757315</v>
      </c>
      <c r="AY35" s="201">
        <f t="shared" si="51"/>
        <v>565.56552778707601</v>
      </c>
      <c r="AZ35" s="201">
        <f t="shared" si="51"/>
        <v>588.18814889855912</v>
      </c>
      <c r="BA35" s="201">
        <f t="shared" si="51"/>
        <v>611.71567485450146</v>
      </c>
      <c r="BB35" s="201">
        <f t="shared" si="51"/>
        <v>636.18430184868146</v>
      </c>
      <c r="BC35" s="201">
        <f t="shared" si="51"/>
        <v>661.63167392262892</v>
      </c>
      <c r="BD35" s="201">
        <f t="shared" si="51"/>
        <v>688.09694087953403</v>
      </c>
      <c r="BE35" s="201">
        <f t="shared" si="51"/>
        <v>715.62081851471544</v>
      </c>
    </row>
    <row r="36" spans="1:57">
      <c r="A36" s="511"/>
      <c r="B36" s="511"/>
      <c r="C36" s="521" t="s">
        <v>28</v>
      </c>
      <c r="D36" s="556">
        <f>D34+D35</f>
        <v>11927090.788162293</v>
      </c>
      <c r="E36" s="556">
        <f t="shared" ref="E36:T36" si="54">E34+E35</f>
        <v>30973768.37125428</v>
      </c>
      <c r="F36" s="556">
        <f t="shared" si="54"/>
        <v>36001084.604269236</v>
      </c>
      <c r="G36" s="556">
        <f t="shared" si="54"/>
        <v>39413209.259233668</v>
      </c>
      <c r="H36" s="556">
        <f t="shared" si="54"/>
        <v>43147092.241687387</v>
      </c>
      <c r="I36" s="556">
        <f t="shared" si="54"/>
        <v>44872975.931354888</v>
      </c>
      <c r="J36" s="556">
        <f t="shared" si="54"/>
        <v>46795752.215098441</v>
      </c>
      <c r="K36" s="556">
        <f t="shared" si="54"/>
        <v>48534610.767353453</v>
      </c>
      <c r="L36" s="556">
        <f t="shared" si="54"/>
        <v>50475995.198047593</v>
      </c>
      <c r="M36" s="556">
        <f t="shared" si="54"/>
        <v>52495035.005969509</v>
      </c>
      <c r="N36" s="556">
        <f t="shared" si="54"/>
        <v>54744411.300471872</v>
      </c>
      <c r="O36" s="556">
        <f t="shared" si="54"/>
        <v>56778629.86245662</v>
      </c>
      <c r="P36" s="556">
        <f t="shared" si="54"/>
        <v>59049775.05695489</v>
      </c>
      <c r="Q36" s="556">
        <f t="shared" si="54"/>
        <v>61411766.059233084</v>
      </c>
      <c r="R36" s="556">
        <f t="shared" si="54"/>
        <v>64043218.172017775</v>
      </c>
      <c r="S36" s="556">
        <f t="shared" si="54"/>
        <v>66422966.169666514</v>
      </c>
      <c r="T36" s="556">
        <f t="shared" si="54"/>
        <v>69079884.816453174</v>
      </c>
      <c r="V36" s="559">
        <f t="shared" ref="V36:AL36" si="55">D36/D33</f>
        <v>0.63</v>
      </c>
      <c r="W36" s="559">
        <f t="shared" si="55"/>
        <v>0.63</v>
      </c>
      <c r="X36" s="559">
        <f t="shared" si="55"/>
        <v>0.63</v>
      </c>
      <c r="Y36" s="559">
        <f t="shared" si="55"/>
        <v>0.63</v>
      </c>
      <c r="Z36" s="559">
        <f t="shared" si="55"/>
        <v>0.63</v>
      </c>
      <c r="AA36" s="559">
        <f t="shared" si="55"/>
        <v>0.63</v>
      </c>
      <c r="AB36" s="559">
        <f t="shared" si="55"/>
        <v>0.63</v>
      </c>
      <c r="AC36" s="559">
        <f t="shared" si="55"/>
        <v>0.63</v>
      </c>
      <c r="AD36" s="559">
        <f t="shared" si="55"/>
        <v>0.63</v>
      </c>
      <c r="AE36" s="559">
        <f t="shared" si="55"/>
        <v>0.63000000000000012</v>
      </c>
      <c r="AF36" s="559">
        <f t="shared" si="55"/>
        <v>0.63</v>
      </c>
      <c r="AG36" s="559">
        <f t="shared" si="55"/>
        <v>0.63</v>
      </c>
      <c r="AH36" s="559">
        <f t="shared" si="55"/>
        <v>0.63</v>
      </c>
      <c r="AI36" s="559">
        <f t="shared" si="55"/>
        <v>0.63</v>
      </c>
      <c r="AJ36" s="559">
        <f t="shared" si="55"/>
        <v>0.63000000000000012</v>
      </c>
      <c r="AK36" s="559">
        <f t="shared" si="55"/>
        <v>0.63</v>
      </c>
      <c r="AL36" s="559">
        <f t="shared" si="55"/>
        <v>0.63</v>
      </c>
      <c r="AO36" s="556">
        <f t="shared" si="50"/>
        <v>889.57214760960017</v>
      </c>
      <c r="AP36" s="556">
        <f t="shared" si="50"/>
        <v>1033.9968021626885</v>
      </c>
      <c r="AQ36" s="556">
        <f t="shared" si="50"/>
        <v>1131.9543939465218</v>
      </c>
      <c r="AR36" s="556">
        <f t="shared" si="50"/>
        <v>1177.2325697043827</v>
      </c>
      <c r="AS36" s="556">
        <f t="shared" si="50"/>
        <v>1224.321872492558</v>
      </c>
      <c r="AT36" s="556">
        <f t="shared" si="50"/>
        <v>1273.2947473922604</v>
      </c>
      <c r="AU36" s="556">
        <f t="shared" si="50"/>
        <v>1324.2265372879513</v>
      </c>
      <c r="AV36" s="556">
        <f t="shared" si="50"/>
        <v>1377.195598779469</v>
      </c>
      <c r="AW36" s="556">
        <f t="shared" si="50"/>
        <v>1432.283422730648</v>
      </c>
      <c r="AX36" s="556">
        <f t="shared" si="50"/>
        <v>1489.5747596398742</v>
      </c>
      <c r="AY36" s="556">
        <f t="shared" si="51"/>
        <v>1549.1577500254689</v>
      </c>
      <c r="AZ36" s="556">
        <f t="shared" si="51"/>
        <v>1611.124060026488</v>
      </c>
      <c r="BA36" s="556">
        <f t="shared" si="51"/>
        <v>1675.5690224275477</v>
      </c>
      <c r="BB36" s="556">
        <f t="shared" si="51"/>
        <v>1742.5917833246494</v>
      </c>
      <c r="BC36" s="556">
        <f t="shared" si="51"/>
        <v>1812.2954546576357</v>
      </c>
      <c r="BD36" s="556">
        <f t="shared" si="51"/>
        <v>1884.7872728439411</v>
      </c>
      <c r="BE36" s="556">
        <f t="shared" si="51"/>
        <v>1960.1787637576988</v>
      </c>
    </row>
    <row r="37" spans="1:57">
      <c r="A37" s="511"/>
      <c r="B37" s="511"/>
      <c r="C37" s="521" t="s">
        <v>18</v>
      </c>
      <c r="D37" s="556">
        <f>D33-D36</f>
        <v>7004799.3517778534</v>
      </c>
      <c r="E37" s="556">
        <f t="shared" ref="E37:T37" si="56">E33-E36</f>
        <v>18190943.329149336</v>
      </c>
      <c r="F37" s="556">
        <f t="shared" si="56"/>
        <v>21143494.132666059</v>
      </c>
      <c r="G37" s="556">
        <f t="shared" si="56"/>
        <v>23147440.358597554</v>
      </c>
      <c r="H37" s="556">
        <f t="shared" si="56"/>
        <v>25340355.760991007</v>
      </c>
      <c r="I37" s="556">
        <f t="shared" si="56"/>
        <v>26353969.991430648</v>
      </c>
      <c r="J37" s="556">
        <f t="shared" si="56"/>
        <v>27483219.554899082</v>
      </c>
      <c r="K37" s="556">
        <f t="shared" si="56"/>
        <v>28504453.942731388</v>
      </c>
      <c r="L37" s="556">
        <f t="shared" si="56"/>
        <v>29644632.100440651</v>
      </c>
      <c r="M37" s="556">
        <f t="shared" si="56"/>
        <v>30830417.384458274</v>
      </c>
      <c r="N37" s="556">
        <f t="shared" si="56"/>
        <v>32151479.65265809</v>
      </c>
      <c r="O37" s="556">
        <f t="shared" si="56"/>
        <v>33346179.443030074</v>
      </c>
      <c r="P37" s="556">
        <f t="shared" si="56"/>
        <v>34680026.620751277</v>
      </c>
      <c r="Q37" s="556">
        <f t="shared" si="56"/>
        <v>36067227.685581326</v>
      </c>
      <c r="R37" s="556">
        <f t="shared" si="56"/>
        <v>37612683.688327886</v>
      </c>
      <c r="S37" s="556">
        <f t="shared" si="56"/>
        <v>39010313.464724779</v>
      </c>
      <c r="T37" s="556">
        <f t="shared" si="56"/>
        <v>40570726.003313765</v>
      </c>
      <c r="V37" s="559">
        <f t="shared" ref="V37:AL37" si="57">D37/D33</f>
        <v>0.36999999999999994</v>
      </c>
      <c r="W37" s="559">
        <f t="shared" si="57"/>
        <v>0.36999999999999994</v>
      </c>
      <c r="X37" s="559">
        <f t="shared" si="57"/>
        <v>0.37</v>
      </c>
      <c r="Y37" s="559">
        <f t="shared" si="57"/>
        <v>0.37000000000000005</v>
      </c>
      <c r="Z37" s="559">
        <f t="shared" si="57"/>
        <v>0.37</v>
      </c>
      <c r="AA37" s="559">
        <f t="shared" si="57"/>
        <v>0.37</v>
      </c>
      <c r="AB37" s="559">
        <f t="shared" si="57"/>
        <v>0.37</v>
      </c>
      <c r="AC37" s="559">
        <f t="shared" si="57"/>
        <v>0.36999999999999994</v>
      </c>
      <c r="AD37" s="559">
        <f t="shared" si="57"/>
        <v>0.37</v>
      </c>
      <c r="AE37" s="559">
        <f t="shared" si="57"/>
        <v>0.36999999999999994</v>
      </c>
      <c r="AF37" s="559">
        <f t="shared" si="57"/>
        <v>0.37000000000000005</v>
      </c>
      <c r="AG37" s="559">
        <f t="shared" si="57"/>
        <v>0.37</v>
      </c>
      <c r="AH37" s="559">
        <f t="shared" si="57"/>
        <v>0.36999999999999994</v>
      </c>
      <c r="AI37" s="559">
        <f t="shared" si="57"/>
        <v>0.36999999999999994</v>
      </c>
      <c r="AJ37" s="559">
        <f t="shared" si="57"/>
        <v>0.36999999999999994</v>
      </c>
      <c r="AK37" s="559">
        <f t="shared" si="57"/>
        <v>0.37</v>
      </c>
      <c r="AL37" s="559">
        <f t="shared" si="57"/>
        <v>0.37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>
        <f>D39/D$12</f>
        <v>1.6483516483516484E-2</v>
      </c>
      <c r="W38" s="570">
        <f t="shared" ref="W38:AL38" si="58">E39/E$12</f>
        <v>1.4084507042253521E-2</v>
      </c>
      <c r="X38" s="570">
        <f t="shared" si="58"/>
        <v>1.4164305949008499E-2</v>
      </c>
      <c r="Y38" s="570">
        <f t="shared" si="58"/>
        <v>1.4245014245014247E-2</v>
      </c>
      <c r="Z38" s="570">
        <f t="shared" si="58"/>
        <v>1.4245014245014245E-2</v>
      </c>
      <c r="AA38" s="570">
        <f t="shared" si="58"/>
        <v>1.4245014245014244E-2</v>
      </c>
      <c r="AB38" s="570">
        <f t="shared" si="58"/>
        <v>1.4245014245014247E-2</v>
      </c>
      <c r="AC38" s="570">
        <f t="shared" si="58"/>
        <v>1.4245014245014247E-2</v>
      </c>
      <c r="AD38" s="570">
        <f t="shared" si="58"/>
        <v>1.4245014245014247E-2</v>
      </c>
      <c r="AE38" s="570">
        <f t="shared" si="58"/>
        <v>1.4245014245014244E-2</v>
      </c>
      <c r="AF38" s="570">
        <f t="shared" si="58"/>
        <v>1.4245014245014245E-2</v>
      </c>
      <c r="AG38" s="570">
        <f t="shared" si="58"/>
        <v>1.4245014245014247E-2</v>
      </c>
      <c r="AH38" s="570">
        <f t="shared" si="58"/>
        <v>1.4245014245014247E-2</v>
      </c>
      <c r="AI38" s="570">
        <f t="shared" si="58"/>
        <v>1.4245014245014247E-2</v>
      </c>
      <c r="AJ38" s="570">
        <f t="shared" si="58"/>
        <v>1.4245014245014244E-2</v>
      </c>
      <c r="AK38" s="570">
        <f t="shared" si="58"/>
        <v>1.4245014245014247E-2</v>
      </c>
      <c r="AL38" s="570">
        <f t="shared" si="58"/>
        <v>1.4245014245014247E-2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59">V39*D14</f>
        <v>2839783.5209910218</v>
      </c>
      <c r="E39" s="556">
        <f t="shared" si="59"/>
        <v>6145588.962550452</v>
      </c>
      <c r="F39" s="556">
        <f t="shared" si="59"/>
        <v>7143072.3421169119</v>
      </c>
      <c r="G39" s="556">
        <f t="shared" si="59"/>
        <v>7820081.2022289028</v>
      </c>
      <c r="H39" s="556">
        <f t="shared" si="59"/>
        <v>8560931.0003347993</v>
      </c>
      <c r="I39" s="556">
        <f t="shared" si="59"/>
        <v>8903368.2403481919</v>
      </c>
      <c r="J39" s="556">
        <f t="shared" si="59"/>
        <v>9284871.4712496903</v>
      </c>
      <c r="K39" s="556">
        <f t="shared" si="59"/>
        <v>9629883.0887606051</v>
      </c>
      <c r="L39" s="556">
        <f t="shared" si="59"/>
        <v>10015078.412311031</v>
      </c>
      <c r="M39" s="556">
        <f t="shared" si="59"/>
        <v>10415681.548803473</v>
      </c>
      <c r="N39" s="556">
        <f t="shared" si="59"/>
        <v>10861986.369141245</v>
      </c>
      <c r="O39" s="556">
        <f t="shared" si="59"/>
        <v>11265601.163185837</v>
      </c>
      <c r="P39" s="556">
        <f t="shared" si="59"/>
        <v>11716225.209713271</v>
      </c>
      <c r="Q39" s="556">
        <f t="shared" si="59"/>
        <v>12184874.218101801</v>
      </c>
      <c r="R39" s="556">
        <f t="shared" si="59"/>
        <v>12706987.732543208</v>
      </c>
      <c r="S39" s="556">
        <f t="shared" si="59"/>
        <v>13179159.954298912</v>
      </c>
      <c r="T39" s="556">
        <f t="shared" si="59"/>
        <v>13706326.352470867</v>
      </c>
      <c r="V39" s="558">
        <f>'Прогноз прочих'!F30</f>
        <v>0.03</v>
      </c>
      <c r="W39" s="558">
        <f>'Прогноз прочих'!G30</f>
        <v>2.5000000000000001E-2</v>
      </c>
      <c r="X39" s="558">
        <f>'Прогноз прочих'!H30</f>
        <v>2.5000000000000001E-2</v>
      </c>
      <c r="Y39" s="558">
        <f>'Прогноз прочих'!I30</f>
        <v>2.5000000000000001E-2</v>
      </c>
      <c r="Z39" s="558">
        <f>'Прогноз прочих'!J30</f>
        <v>2.5000000000000001E-2</v>
      </c>
      <c r="AA39" s="559">
        <f>Z39</f>
        <v>2.5000000000000001E-2</v>
      </c>
      <c r="AB39" s="559">
        <f t="shared" ref="AB39:AL41" si="60">AA39</f>
        <v>2.5000000000000001E-2</v>
      </c>
      <c r="AC39" s="559">
        <f t="shared" si="60"/>
        <v>2.5000000000000001E-2</v>
      </c>
      <c r="AD39" s="559">
        <f t="shared" si="60"/>
        <v>2.5000000000000001E-2</v>
      </c>
      <c r="AE39" s="559">
        <f t="shared" si="60"/>
        <v>2.5000000000000001E-2</v>
      </c>
      <c r="AF39" s="559">
        <f t="shared" si="60"/>
        <v>2.5000000000000001E-2</v>
      </c>
      <c r="AG39" s="559">
        <f t="shared" si="60"/>
        <v>2.5000000000000001E-2</v>
      </c>
      <c r="AH39" s="559">
        <f t="shared" si="60"/>
        <v>2.5000000000000001E-2</v>
      </c>
      <c r="AI39" s="559">
        <f t="shared" si="60"/>
        <v>2.5000000000000001E-2</v>
      </c>
      <c r="AJ39" s="559">
        <f t="shared" si="60"/>
        <v>2.5000000000000001E-2</v>
      </c>
      <c r="AK39" s="559">
        <f t="shared" si="60"/>
        <v>2.5000000000000001E-2</v>
      </c>
      <c r="AL39" s="559">
        <f t="shared" si="60"/>
        <v>2.5000000000000001E-2</v>
      </c>
      <c r="AO39" s="556">
        <f t="shared" ref="AO39:BE39" si="61">D39/D9</f>
        <v>211.80289228800004</v>
      </c>
      <c r="AP39" s="556">
        <f t="shared" si="61"/>
        <v>205.15809566720006</v>
      </c>
      <c r="AQ39" s="556">
        <f t="shared" si="61"/>
        <v>224.59412578304006</v>
      </c>
      <c r="AR39" s="556">
        <f t="shared" si="61"/>
        <v>233.57789081436167</v>
      </c>
      <c r="AS39" s="556">
        <f t="shared" si="61"/>
        <v>242.92100644693613</v>
      </c>
      <c r="AT39" s="556">
        <f t="shared" si="61"/>
        <v>252.6378467048136</v>
      </c>
      <c r="AU39" s="556">
        <f t="shared" si="61"/>
        <v>262.74336057300616</v>
      </c>
      <c r="AV39" s="556">
        <f t="shared" si="61"/>
        <v>273.2530949959264</v>
      </c>
      <c r="AW39" s="556">
        <f t="shared" si="61"/>
        <v>284.18321879576348</v>
      </c>
      <c r="AX39" s="556">
        <f t="shared" si="61"/>
        <v>295.55054754759408</v>
      </c>
      <c r="AY39" s="556">
        <f t="shared" si="61"/>
        <v>307.3725694494978</v>
      </c>
      <c r="AZ39" s="556">
        <f t="shared" si="61"/>
        <v>319.66747222747773</v>
      </c>
      <c r="BA39" s="556">
        <f t="shared" si="61"/>
        <v>332.4541711165769</v>
      </c>
      <c r="BB39" s="556">
        <f t="shared" si="61"/>
        <v>345.75233796123996</v>
      </c>
      <c r="BC39" s="556">
        <f t="shared" si="61"/>
        <v>359.58243147968955</v>
      </c>
      <c r="BD39" s="556">
        <f t="shared" si="61"/>
        <v>373.9657287388772</v>
      </c>
      <c r="BE39" s="556">
        <f t="shared" si="61"/>
        <v>388.92435788843227</v>
      </c>
    </row>
    <row r="40" spans="1:57">
      <c r="A40" s="511"/>
      <c r="B40" s="511"/>
      <c r="C40" s="519" t="s">
        <v>25</v>
      </c>
      <c r="D40" s="201">
        <f t="shared" ref="D40:T40" si="62">V40*D39</f>
        <v>255580.51688919196</v>
      </c>
      <c r="E40" s="201">
        <f t="shared" si="62"/>
        <v>430191.22737853171</v>
      </c>
      <c r="F40" s="201">
        <f t="shared" si="62"/>
        <v>428584.34052701469</v>
      </c>
      <c r="G40" s="201">
        <f t="shared" si="62"/>
        <v>469204.87213373417</v>
      </c>
      <c r="H40" s="201">
        <f t="shared" si="62"/>
        <v>513655.86002008792</v>
      </c>
      <c r="I40" s="201">
        <f t="shared" si="62"/>
        <v>534202.09442089149</v>
      </c>
      <c r="J40" s="201">
        <f t="shared" si="62"/>
        <v>557092.28827498143</v>
      </c>
      <c r="K40" s="201">
        <f t="shared" si="62"/>
        <v>577792.98532563623</v>
      </c>
      <c r="L40" s="201">
        <f t="shared" si="62"/>
        <v>600904.70473866176</v>
      </c>
      <c r="M40" s="201">
        <f t="shared" si="62"/>
        <v>624940.89292820834</v>
      </c>
      <c r="N40" s="201">
        <f t="shared" si="62"/>
        <v>651719.18214847473</v>
      </c>
      <c r="O40" s="201">
        <f t="shared" si="62"/>
        <v>675936.06979115016</v>
      </c>
      <c r="P40" s="201">
        <f t="shared" si="62"/>
        <v>702973.51258279628</v>
      </c>
      <c r="Q40" s="201">
        <f t="shared" si="62"/>
        <v>731092.45308610809</v>
      </c>
      <c r="R40" s="201">
        <f t="shared" si="62"/>
        <v>762419.26395259239</v>
      </c>
      <c r="S40" s="201">
        <f t="shared" si="62"/>
        <v>790749.59725793463</v>
      </c>
      <c r="T40" s="201">
        <f t="shared" si="62"/>
        <v>822379.58114825201</v>
      </c>
      <c r="V40" s="522">
        <f>'Прогноз прочих'!F38</f>
        <v>0.09</v>
      </c>
      <c r="W40" s="522">
        <f>'Прогноз прочих'!G38</f>
        <v>7.0000000000000007E-2</v>
      </c>
      <c r="X40" s="522">
        <f>'Прогноз прочих'!H38</f>
        <v>0.06</v>
      </c>
      <c r="Y40" s="522">
        <f>'Прогноз прочих'!I38</f>
        <v>0.06</v>
      </c>
      <c r="Z40" s="522">
        <f>'Прогноз прочих'!J38</f>
        <v>0.06</v>
      </c>
      <c r="AA40" s="522">
        <f>Z40</f>
        <v>0.06</v>
      </c>
      <c r="AB40" s="522">
        <f t="shared" si="60"/>
        <v>0.06</v>
      </c>
      <c r="AC40" s="522">
        <f t="shared" si="60"/>
        <v>0.06</v>
      </c>
      <c r="AD40" s="522">
        <f t="shared" si="60"/>
        <v>0.06</v>
      </c>
      <c r="AE40" s="522">
        <f t="shared" si="60"/>
        <v>0.06</v>
      </c>
      <c r="AF40" s="522">
        <f t="shared" si="60"/>
        <v>0.06</v>
      </c>
      <c r="AG40" s="522">
        <f t="shared" si="60"/>
        <v>0.06</v>
      </c>
      <c r="AH40" s="522">
        <f t="shared" si="60"/>
        <v>0.06</v>
      </c>
      <c r="AI40" s="522">
        <f t="shared" si="60"/>
        <v>0.06</v>
      </c>
      <c r="AJ40" s="522">
        <f t="shared" si="60"/>
        <v>0.06</v>
      </c>
      <c r="AK40" s="522">
        <f t="shared" si="60"/>
        <v>0.06</v>
      </c>
      <c r="AL40" s="522">
        <f t="shared" si="60"/>
        <v>0.06</v>
      </c>
      <c r="AO40" s="201">
        <f t="shared" ref="AO40:BD41" si="63">D40/D$9</f>
        <v>19.062260305920002</v>
      </c>
      <c r="AP40" s="201">
        <f t="shared" si="63"/>
        <v>14.361066696704006</v>
      </c>
      <c r="AQ40" s="201">
        <f t="shared" si="63"/>
        <v>13.475647546982403</v>
      </c>
      <c r="AR40" s="201">
        <f t="shared" si="63"/>
        <v>14.0146734488617</v>
      </c>
      <c r="AS40" s="201">
        <f t="shared" si="63"/>
        <v>14.575260386816167</v>
      </c>
      <c r="AT40" s="201">
        <f t="shared" si="63"/>
        <v>15.158270802288815</v>
      </c>
      <c r="AU40" s="201">
        <f t="shared" si="63"/>
        <v>15.764601634380371</v>
      </c>
      <c r="AV40" s="201">
        <f t="shared" si="63"/>
        <v>16.395185699755583</v>
      </c>
      <c r="AW40" s="201">
        <f t="shared" si="63"/>
        <v>17.050993127745809</v>
      </c>
      <c r="AX40" s="201">
        <f t="shared" si="63"/>
        <v>17.733032852855644</v>
      </c>
      <c r="AY40" s="201">
        <f t="shared" si="63"/>
        <v>18.442354166969871</v>
      </c>
      <c r="AZ40" s="201">
        <f t="shared" si="63"/>
        <v>19.180048333648664</v>
      </c>
      <c r="BA40" s="201">
        <f t="shared" si="63"/>
        <v>19.947250266994612</v>
      </c>
      <c r="BB40" s="201">
        <f t="shared" si="63"/>
        <v>20.745140277674398</v>
      </c>
      <c r="BC40" s="201">
        <f t="shared" si="63"/>
        <v>21.574945888781372</v>
      </c>
      <c r="BD40" s="201">
        <f t="shared" si="63"/>
        <v>22.43794372433263</v>
      </c>
      <c r="BE40" s="201">
        <f t="shared" ref="AY40:BE41" si="64">T40/T$9</f>
        <v>23.335461473305937</v>
      </c>
    </row>
    <row r="41" spans="1:57">
      <c r="A41" s="511"/>
      <c r="B41" s="511"/>
      <c r="C41" s="519" t="s">
        <v>26</v>
      </c>
      <c r="D41" s="201">
        <f t="shared" ref="D41:T41" si="65">V41*D39</f>
        <v>227182.68167928176</v>
      </c>
      <c r="E41" s="201">
        <f t="shared" si="65"/>
        <v>430191.22737853171</v>
      </c>
      <c r="F41" s="201">
        <f t="shared" si="65"/>
        <v>428584.34052701469</v>
      </c>
      <c r="G41" s="201">
        <f t="shared" si="65"/>
        <v>469204.87213373417</v>
      </c>
      <c r="H41" s="201">
        <f t="shared" si="65"/>
        <v>513655.86002008792</v>
      </c>
      <c r="I41" s="201">
        <f t="shared" si="65"/>
        <v>534202.09442089149</v>
      </c>
      <c r="J41" s="201">
        <f t="shared" si="65"/>
        <v>557092.28827498143</v>
      </c>
      <c r="K41" s="201">
        <f t="shared" si="65"/>
        <v>577792.98532563623</v>
      </c>
      <c r="L41" s="201">
        <f t="shared" si="65"/>
        <v>600904.70473866176</v>
      </c>
      <c r="M41" s="201">
        <f t="shared" si="65"/>
        <v>624940.89292820834</v>
      </c>
      <c r="N41" s="201">
        <f t="shared" si="65"/>
        <v>651719.18214847473</v>
      </c>
      <c r="O41" s="201">
        <f t="shared" si="65"/>
        <v>675936.06979115016</v>
      </c>
      <c r="P41" s="201">
        <f t="shared" si="65"/>
        <v>702973.51258279628</v>
      </c>
      <c r="Q41" s="201">
        <f t="shared" si="65"/>
        <v>731092.45308610809</v>
      </c>
      <c r="R41" s="201">
        <f t="shared" si="65"/>
        <v>762419.26395259239</v>
      </c>
      <c r="S41" s="201">
        <f t="shared" si="65"/>
        <v>790749.59725793463</v>
      </c>
      <c r="T41" s="201">
        <f t="shared" si="65"/>
        <v>822379.58114825201</v>
      </c>
      <c r="V41" s="522">
        <f>'Прогноз прочих'!F46</f>
        <v>0.08</v>
      </c>
      <c r="W41" s="522">
        <f>'Прогноз прочих'!G46</f>
        <v>7.0000000000000007E-2</v>
      </c>
      <c r="X41" s="522">
        <f>'Прогноз прочих'!H46</f>
        <v>0.06</v>
      </c>
      <c r="Y41" s="522">
        <f>'Прогноз прочих'!I46</f>
        <v>0.06</v>
      </c>
      <c r="Z41" s="522">
        <f>'Прогноз прочих'!J46</f>
        <v>0.06</v>
      </c>
      <c r="AA41" s="522">
        <f>Z41</f>
        <v>0.06</v>
      </c>
      <c r="AB41" s="522">
        <f t="shared" si="60"/>
        <v>0.06</v>
      </c>
      <c r="AC41" s="522">
        <f t="shared" si="60"/>
        <v>0.06</v>
      </c>
      <c r="AD41" s="522">
        <f t="shared" si="60"/>
        <v>0.06</v>
      </c>
      <c r="AE41" s="522">
        <f t="shared" si="60"/>
        <v>0.06</v>
      </c>
      <c r="AF41" s="522">
        <f t="shared" si="60"/>
        <v>0.06</v>
      </c>
      <c r="AG41" s="522">
        <f t="shared" si="60"/>
        <v>0.06</v>
      </c>
      <c r="AH41" s="522">
        <f t="shared" si="60"/>
        <v>0.06</v>
      </c>
      <c r="AI41" s="522">
        <f t="shared" si="60"/>
        <v>0.06</v>
      </c>
      <c r="AJ41" s="522">
        <f t="shared" si="60"/>
        <v>0.06</v>
      </c>
      <c r="AK41" s="522">
        <f t="shared" si="60"/>
        <v>0.06</v>
      </c>
      <c r="AL41" s="522">
        <f t="shared" si="60"/>
        <v>0.06</v>
      </c>
      <c r="AO41" s="201">
        <f t="shared" si="63"/>
        <v>16.944231383040002</v>
      </c>
      <c r="AP41" s="201">
        <f t="shared" si="63"/>
        <v>14.361066696704006</v>
      </c>
      <c r="AQ41" s="201">
        <f t="shared" si="63"/>
        <v>13.475647546982403</v>
      </c>
      <c r="AR41" s="201">
        <f t="shared" si="63"/>
        <v>14.0146734488617</v>
      </c>
      <c r="AS41" s="201">
        <f t="shared" si="63"/>
        <v>14.575260386816167</v>
      </c>
      <c r="AT41" s="201">
        <f t="shared" si="63"/>
        <v>15.158270802288815</v>
      </c>
      <c r="AU41" s="201">
        <f t="shared" si="63"/>
        <v>15.764601634380371</v>
      </c>
      <c r="AV41" s="201">
        <f t="shared" si="63"/>
        <v>16.395185699755583</v>
      </c>
      <c r="AW41" s="201">
        <f t="shared" si="63"/>
        <v>17.050993127745809</v>
      </c>
      <c r="AX41" s="201">
        <f t="shared" si="63"/>
        <v>17.733032852855644</v>
      </c>
      <c r="AY41" s="201">
        <f t="shared" si="64"/>
        <v>18.442354166969871</v>
      </c>
      <c r="AZ41" s="201">
        <f t="shared" si="64"/>
        <v>19.180048333648664</v>
      </c>
      <c r="BA41" s="201">
        <f t="shared" si="64"/>
        <v>19.947250266994612</v>
      </c>
      <c r="BB41" s="201">
        <f t="shared" si="64"/>
        <v>20.745140277674398</v>
      </c>
      <c r="BC41" s="201">
        <f t="shared" si="64"/>
        <v>21.574945888781372</v>
      </c>
      <c r="BD41" s="201">
        <f t="shared" si="64"/>
        <v>22.43794372433263</v>
      </c>
      <c r="BE41" s="201">
        <f t="shared" si="64"/>
        <v>23.335461473305937</v>
      </c>
    </row>
    <row r="42" spans="1:57">
      <c r="A42" s="511"/>
      <c r="B42" s="511"/>
      <c r="C42" s="521" t="s">
        <v>28</v>
      </c>
      <c r="D42" s="556">
        <f>D40+D41</f>
        <v>482763.19856847369</v>
      </c>
      <c r="E42" s="556">
        <f t="shared" ref="E42:T42" si="66">E40+E41</f>
        <v>860382.45475706342</v>
      </c>
      <c r="F42" s="556">
        <f t="shared" si="66"/>
        <v>857168.68105402938</v>
      </c>
      <c r="G42" s="556">
        <f t="shared" si="66"/>
        <v>938409.74426746834</v>
      </c>
      <c r="H42" s="556">
        <f t="shared" si="66"/>
        <v>1027311.7200401758</v>
      </c>
      <c r="I42" s="556">
        <f t="shared" si="66"/>
        <v>1068404.188841783</v>
      </c>
      <c r="J42" s="556">
        <f t="shared" si="66"/>
        <v>1114184.5765499629</v>
      </c>
      <c r="K42" s="556">
        <f t="shared" si="66"/>
        <v>1155585.9706512725</v>
      </c>
      <c r="L42" s="556">
        <f t="shared" si="66"/>
        <v>1201809.4094773235</v>
      </c>
      <c r="M42" s="556">
        <f t="shared" si="66"/>
        <v>1249881.7858564167</v>
      </c>
      <c r="N42" s="556">
        <f t="shared" si="66"/>
        <v>1303438.3642969495</v>
      </c>
      <c r="O42" s="556">
        <f t="shared" si="66"/>
        <v>1351872.1395823003</v>
      </c>
      <c r="P42" s="556">
        <f t="shared" si="66"/>
        <v>1405947.0251655926</v>
      </c>
      <c r="Q42" s="556">
        <f t="shared" si="66"/>
        <v>1462184.9061722162</v>
      </c>
      <c r="R42" s="556">
        <f t="shared" si="66"/>
        <v>1524838.5279051848</v>
      </c>
      <c r="S42" s="556">
        <f t="shared" si="66"/>
        <v>1581499.1945158693</v>
      </c>
      <c r="T42" s="556">
        <f t="shared" si="66"/>
        <v>1644759.162296504</v>
      </c>
      <c r="V42" s="559">
        <f t="shared" ref="V42:AL42" si="67">D42/D39</f>
        <v>0.16999999999999998</v>
      </c>
      <c r="W42" s="559">
        <f t="shared" si="67"/>
        <v>0.14000000000000001</v>
      </c>
      <c r="X42" s="559">
        <f t="shared" si="67"/>
        <v>0.12</v>
      </c>
      <c r="Y42" s="559">
        <f t="shared" si="67"/>
        <v>0.12</v>
      </c>
      <c r="Z42" s="559">
        <f t="shared" si="67"/>
        <v>0.12</v>
      </c>
      <c r="AA42" s="559">
        <f t="shared" si="67"/>
        <v>0.12</v>
      </c>
      <c r="AB42" s="559">
        <f t="shared" si="67"/>
        <v>0.12000000000000001</v>
      </c>
      <c r="AC42" s="559">
        <f t="shared" si="67"/>
        <v>0.11999999999999998</v>
      </c>
      <c r="AD42" s="559">
        <f t="shared" si="67"/>
        <v>0.11999999999999998</v>
      </c>
      <c r="AE42" s="559">
        <f t="shared" si="67"/>
        <v>0.12</v>
      </c>
      <c r="AF42" s="559">
        <f t="shared" si="67"/>
        <v>0.12000000000000001</v>
      </c>
      <c r="AG42" s="559">
        <f t="shared" si="67"/>
        <v>0.12</v>
      </c>
      <c r="AH42" s="559">
        <f t="shared" si="67"/>
        <v>0.12000000000000001</v>
      </c>
      <c r="AI42" s="559">
        <f t="shared" si="67"/>
        <v>0.12</v>
      </c>
      <c r="AJ42" s="559">
        <f t="shared" si="67"/>
        <v>0.11999999999999998</v>
      </c>
      <c r="AK42" s="559">
        <f t="shared" si="67"/>
        <v>0.12</v>
      </c>
      <c r="AL42" s="559">
        <f t="shared" si="67"/>
        <v>0.12</v>
      </c>
      <c r="AO42" s="556">
        <f>AO41+AO40</f>
        <v>36.006491688960004</v>
      </c>
      <c r="AP42" s="556">
        <f t="shared" ref="AP42:BE42" si="68">AP41+AP40</f>
        <v>28.722133393408011</v>
      </c>
      <c r="AQ42" s="556">
        <f t="shared" si="68"/>
        <v>26.951295093964806</v>
      </c>
      <c r="AR42" s="556">
        <f t="shared" si="68"/>
        <v>28.0293468977234</v>
      </c>
      <c r="AS42" s="556">
        <f t="shared" si="68"/>
        <v>29.150520773632334</v>
      </c>
      <c r="AT42" s="556">
        <f t="shared" si="68"/>
        <v>30.31654160457763</v>
      </c>
      <c r="AU42" s="556">
        <f t="shared" si="68"/>
        <v>31.529203268760742</v>
      </c>
      <c r="AV42" s="556">
        <f t="shared" si="68"/>
        <v>32.790371399511166</v>
      </c>
      <c r="AW42" s="556">
        <f t="shared" si="68"/>
        <v>34.101986255491617</v>
      </c>
      <c r="AX42" s="556">
        <f t="shared" si="68"/>
        <v>35.466065705711287</v>
      </c>
      <c r="AY42" s="556">
        <f t="shared" si="68"/>
        <v>36.884708333939741</v>
      </c>
      <c r="AZ42" s="556">
        <f t="shared" si="68"/>
        <v>38.360096667297327</v>
      </c>
      <c r="BA42" s="556">
        <f t="shared" si="68"/>
        <v>39.894500533989223</v>
      </c>
      <c r="BB42" s="556">
        <f t="shared" si="68"/>
        <v>41.490280555348797</v>
      </c>
      <c r="BC42" s="556">
        <f t="shared" si="68"/>
        <v>43.149891777562743</v>
      </c>
      <c r="BD42" s="556">
        <f t="shared" si="68"/>
        <v>44.87588744866526</v>
      </c>
      <c r="BE42" s="556">
        <f t="shared" si="68"/>
        <v>46.670922946611874</v>
      </c>
    </row>
    <row r="43" spans="1:57">
      <c r="A43" s="511"/>
      <c r="B43" s="511"/>
      <c r="C43" s="521" t="s">
        <v>18</v>
      </c>
      <c r="D43" s="556">
        <f>D39-D42</f>
        <v>2357020.3224225482</v>
      </c>
      <c r="E43" s="556">
        <f t="shared" ref="E43:T43" si="69">E39-E42</f>
        <v>5285206.5077933883</v>
      </c>
      <c r="F43" s="556">
        <f t="shared" si="69"/>
        <v>6285903.6610628823</v>
      </c>
      <c r="G43" s="556">
        <f t="shared" si="69"/>
        <v>6881671.4579614345</v>
      </c>
      <c r="H43" s="556">
        <f t="shared" si="69"/>
        <v>7533619.2802946232</v>
      </c>
      <c r="I43" s="556">
        <f t="shared" si="69"/>
        <v>7834964.0515064094</v>
      </c>
      <c r="J43" s="556">
        <f t="shared" si="69"/>
        <v>8170686.8946997272</v>
      </c>
      <c r="K43" s="556">
        <f t="shared" si="69"/>
        <v>8474297.1181093324</v>
      </c>
      <c r="L43" s="556">
        <f t="shared" si="69"/>
        <v>8813269.0028337073</v>
      </c>
      <c r="M43" s="556">
        <f t="shared" si="69"/>
        <v>9165799.7629470564</v>
      </c>
      <c r="N43" s="556">
        <f t="shared" si="69"/>
        <v>9558548.0048442967</v>
      </c>
      <c r="O43" s="556">
        <f t="shared" si="69"/>
        <v>9913729.0236035362</v>
      </c>
      <c r="P43" s="556">
        <f t="shared" si="69"/>
        <v>10310278.184547678</v>
      </c>
      <c r="Q43" s="556">
        <f t="shared" si="69"/>
        <v>10722689.311929585</v>
      </c>
      <c r="R43" s="556">
        <f t="shared" si="69"/>
        <v>11182149.204638023</v>
      </c>
      <c r="S43" s="556">
        <f t="shared" si="69"/>
        <v>11597660.759783043</v>
      </c>
      <c r="T43" s="556">
        <f t="shared" si="69"/>
        <v>12061567.190174364</v>
      </c>
      <c r="V43" s="559">
        <f t="shared" ref="V43:AL43" si="70">D43/D39</f>
        <v>0.83000000000000007</v>
      </c>
      <c r="W43" s="559">
        <f t="shared" si="70"/>
        <v>0.86</v>
      </c>
      <c r="X43" s="559">
        <f t="shared" si="70"/>
        <v>0.88</v>
      </c>
      <c r="Y43" s="559">
        <f t="shared" si="70"/>
        <v>0.88</v>
      </c>
      <c r="Z43" s="559">
        <f t="shared" si="70"/>
        <v>0.88</v>
      </c>
      <c r="AA43" s="559">
        <f t="shared" si="70"/>
        <v>0.88</v>
      </c>
      <c r="AB43" s="559">
        <f t="shared" si="70"/>
        <v>0.88</v>
      </c>
      <c r="AC43" s="559">
        <f t="shared" si="70"/>
        <v>0.88</v>
      </c>
      <c r="AD43" s="559">
        <f t="shared" si="70"/>
        <v>0.88</v>
      </c>
      <c r="AE43" s="559">
        <f t="shared" si="70"/>
        <v>0.88</v>
      </c>
      <c r="AF43" s="559">
        <f t="shared" si="70"/>
        <v>0.88000000000000012</v>
      </c>
      <c r="AG43" s="559">
        <f t="shared" si="70"/>
        <v>0.88</v>
      </c>
      <c r="AH43" s="559">
        <f t="shared" si="70"/>
        <v>0.87999999999999989</v>
      </c>
      <c r="AI43" s="559">
        <f t="shared" si="70"/>
        <v>0.88</v>
      </c>
      <c r="AJ43" s="559">
        <f t="shared" si="70"/>
        <v>0.88</v>
      </c>
      <c r="AK43" s="559">
        <f t="shared" si="70"/>
        <v>0.88</v>
      </c>
      <c r="AL43" s="559">
        <f t="shared" si="70"/>
        <v>0.88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71">V45*D14</f>
        <v>6626161.5489790514</v>
      </c>
      <c r="E45" s="556">
        <f t="shared" si="71"/>
        <v>17207649.095141266</v>
      </c>
      <c r="F45" s="556">
        <f t="shared" si="71"/>
        <v>20000602.557927355</v>
      </c>
      <c r="G45" s="556">
        <f t="shared" si="71"/>
        <v>21896227.36624093</v>
      </c>
      <c r="H45" s="556">
        <f t="shared" si="71"/>
        <v>23970606.80093744</v>
      </c>
      <c r="I45" s="556">
        <f t="shared" si="71"/>
        <v>24929431.072974939</v>
      </c>
      <c r="J45" s="556">
        <f t="shared" si="71"/>
        <v>25997640.119499132</v>
      </c>
      <c r="K45" s="556">
        <f t="shared" si="71"/>
        <v>26963672.648529697</v>
      </c>
      <c r="L45" s="556">
        <f t="shared" si="71"/>
        <v>28042219.554470886</v>
      </c>
      <c r="M45" s="556">
        <f t="shared" si="71"/>
        <v>29163908.336649727</v>
      </c>
      <c r="N45" s="556">
        <f t="shared" si="71"/>
        <v>30413561.833595488</v>
      </c>
      <c r="O45" s="556">
        <f t="shared" si="71"/>
        <v>31543683.256920345</v>
      </c>
      <c r="P45" s="556">
        <f t="shared" si="71"/>
        <v>32805430.587197158</v>
      </c>
      <c r="Q45" s="556">
        <f t="shared" si="71"/>
        <v>34117647.810685046</v>
      </c>
      <c r="R45" s="556">
        <f t="shared" si="71"/>
        <v>35579565.651120983</v>
      </c>
      <c r="S45" s="556">
        <f t="shared" si="71"/>
        <v>36901647.872036956</v>
      </c>
      <c r="T45" s="556">
        <f t="shared" si="71"/>
        <v>38377713.786918432</v>
      </c>
      <c r="V45" s="558">
        <f>'Прогноз прочих'!F74</f>
        <v>7.0000000000000007E-2</v>
      </c>
      <c r="W45" s="558">
        <f>'Прогноз прочих'!G74</f>
        <v>7.0000000000000007E-2</v>
      </c>
      <c r="X45" s="558">
        <f>'Прогноз прочих'!H74</f>
        <v>7.0000000000000007E-2</v>
      </c>
      <c r="Y45" s="558">
        <f>'Прогноз прочих'!I74</f>
        <v>7.0000000000000007E-2</v>
      </c>
      <c r="Z45" s="558">
        <f>'Прогноз прочих'!J74</f>
        <v>7.0000000000000007E-2</v>
      </c>
      <c r="AA45" s="559">
        <f>Z45</f>
        <v>7.0000000000000007E-2</v>
      </c>
      <c r="AB45" s="559">
        <f t="shared" ref="AB45:AL45" si="72">AA45</f>
        <v>7.0000000000000007E-2</v>
      </c>
      <c r="AC45" s="559">
        <f t="shared" si="72"/>
        <v>7.0000000000000007E-2</v>
      </c>
      <c r="AD45" s="559">
        <f t="shared" si="72"/>
        <v>7.0000000000000007E-2</v>
      </c>
      <c r="AE45" s="559">
        <f t="shared" si="72"/>
        <v>7.0000000000000007E-2</v>
      </c>
      <c r="AF45" s="559">
        <f t="shared" si="72"/>
        <v>7.0000000000000007E-2</v>
      </c>
      <c r="AG45" s="559">
        <f t="shared" si="72"/>
        <v>7.0000000000000007E-2</v>
      </c>
      <c r="AH45" s="559">
        <f t="shared" si="72"/>
        <v>7.0000000000000007E-2</v>
      </c>
      <c r="AI45" s="559">
        <f t="shared" si="72"/>
        <v>7.0000000000000007E-2</v>
      </c>
      <c r="AJ45" s="559">
        <f t="shared" si="72"/>
        <v>7.0000000000000007E-2</v>
      </c>
      <c r="AK45" s="559">
        <f t="shared" si="72"/>
        <v>7.0000000000000007E-2</v>
      </c>
      <c r="AL45" s="559">
        <f t="shared" si="72"/>
        <v>7.0000000000000007E-2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548">
        <f>D42+D30+D18+D36</f>
        <v>84081078.241535813</v>
      </c>
      <c r="E46" s="1035">
        <f t="shared" ref="E46:T46" si="73">E42+E30+E18+E36</f>
        <v>195295607.77471691</v>
      </c>
      <c r="F46" s="548">
        <f t="shared" si="73"/>
        <v>212921101.51266658</v>
      </c>
      <c r="G46" s="548">
        <f t="shared" si="73"/>
        <v>223476332.92990434</v>
      </c>
      <c r="H46" s="548">
        <f>H42+H30+H18+H36</f>
        <v>236109994.6832619</v>
      </c>
      <c r="I46" s="548">
        <f t="shared" si="73"/>
        <v>245554394.47059241</v>
      </c>
      <c r="J46" s="548">
        <f t="shared" si="73"/>
        <v>256076232.08571595</v>
      </c>
      <c r="K46" s="548">
        <f t="shared" si="73"/>
        <v>265591633.05939278</v>
      </c>
      <c r="L46" s="548">
        <f t="shared" si="73"/>
        <v>276215298.38176847</v>
      </c>
      <c r="M46" s="548">
        <f t="shared" si="73"/>
        <v>287263910.31703925</v>
      </c>
      <c r="N46" s="548">
        <f t="shared" si="73"/>
        <v>299572972.11802149</v>
      </c>
      <c r="O46" s="548">
        <f t="shared" si="73"/>
        <v>310704645.39890969</v>
      </c>
      <c r="P46" s="548">
        <f t="shared" si="73"/>
        <v>323132831.21486604</v>
      </c>
      <c r="Q46" s="548">
        <f t="shared" si="73"/>
        <v>336058144.46346074</v>
      </c>
      <c r="R46" s="548">
        <f t="shared" si="73"/>
        <v>350458005.77690887</v>
      </c>
      <c r="S46" s="548">
        <f t="shared" si="73"/>
        <v>363480489.05167919</v>
      </c>
      <c r="T46" s="548">
        <f t="shared" si="73"/>
        <v>378019708.61374635</v>
      </c>
      <c r="V46" s="573">
        <f t="shared" ref="V46:AL46" si="74">D46/D12</f>
        <v>0.48804841245875252</v>
      </c>
      <c r="W46" s="573">
        <f t="shared" si="74"/>
        <v>0.44757994388916156</v>
      </c>
      <c r="X46" s="573">
        <f t="shared" si="74"/>
        <v>0.42221042716354784</v>
      </c>
      <c r="Y46" s="573">
        <f t="shared" si="74"/>
        <v>0.40708318285783085</v>
      </c>
      <c r="Z46" s="573">
        <f t="shared" si="74"/>
        <v>0.3928766903414791</v>
      </c>
      <c r="AA46" s="573">
        <f t="shared" si="74"/>
        <v>0.39287669034147904</v>
      </c>
      <c r="AB46" s="573">
        <f t="shared" si="74"/>
        <v>0.3928766903414791</v>
      </c>
      <c r="AC46" s="573">
        <f t="shared" si="74"/>
        <v>0.39287669034147915</v>
      </c>
      <c r="AD46" s="573">
        <f t="shared" si="74"/>
        <v>0.39287669034147904</v>
      </c>
      <c r="AE46" s="573">
        <f t="shared" si="74"/>
        <v>0.39287669034147898</v>
      </c>
      <c r="AF46" s="573">
        <f t="shared" si="74"/>
        <v>0.39287669034147904</v>
      </c>
      <c r="AG46" s="573">
        <f t="shared" si="74"/>
        <v>0.3928766903414791</v>
      </c>
      <c r="AH46" s="573">
        <f t="shared" si="74"/>
        <v>0.39287669034147904</v>
      </c>
      <c r="AI46" s="573">
        <f t="shared" si="74"/>
        <v>0.3928766903414791</v>
      </c>
      <c r="AJ46" s="573">
        <f t="shared" si="74"/>
        <v>0.3928766903414791</v>
      </c>
      <c r="AK46" s="573">
        <f t="shared" si="74"/>
        <v>0.3928766903414791</v>
      </c>
      <c r="AL46" s="573">
        <f t="shared" si="74"/>
        <v>0.3928766903414791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5">D12-D46</f>
        <v>88199122.031919509</v>
      </c>
      <c r="E47" s="1035">
        <f t="shared" si="75"/>
        <v>241041208.56636518</v>
      </c>
      <c r="F47" s="1035">
        <f t="shared" si="75"/>
        <v>291379805.84078741</v>
      </c>
      <c r="G47" s="1035">
        <f t="shared" si="75"/>
        <v>325493367.46656454</v>
      </c>
      <c r="H47" s="1035">
        <f>H12-H46</f>
        <v>364867361.540241</v>
      </c>
      <c r="I47" s="1035">
        <f t="shared" si="75"/>
        <v>379462056.00185072</v>
      </c>
      <c r="J47" s="1035">
        <f t="shared" si="75"/>
        <v>395721745.1960122</v>
      </c>
      <c r="K47" s="1035">
        <f t="shared" si="75"/>
        <v>410426159.77160156</v>
      </c>
      <c r="L47" s="1035">
        <f t="shared" si="75"/>
        <v>426843206.16246581</v>
      </c>
      <c r="M47" s="1035">
        <f t="shared" si="75"/>
        <v>443916934.40896463</v>
      </c>
      <c r="N47" s="548">
        <f t="shared" si="75"/>
        <v>462938470.99569392</v>
      </c>
      <c r="O47" s="548">
        <f t="shared" si="75"/>
        <v>480140556.25673592</v>
      </c>
      <c r="P47" s="548">
        <f t="shared" si="75"/>
        <v>499346178.50700545</v>
      </c>
      <c r="Q47" s="548">
        <f t="shared" si="75"/>
        <v>519320025.64728564</v>
      </c>
      <c r="R47" s="548">
        <f t="shared" si="75"/>
        <v>541572533.04762435</v>
      </c>
      <c r="S47" s="548">
        <f t="shared" si="75"/>
        <v>561696539.7401042</v>
      </c>
      <c r="T47" s="548">
        <f t="shared" si="75"/>
        <v>584164401.32970834</v>
      </c>
      <c r="V47" s="573">
        <f t="shared" ref="V47:AL47" si="76">D47/D12</f>
        <v>0.51195158754124748</v>
      </c>
      <c r="W47" s="573">
        <f t="shared" si="76"/>
        <v>0.55242005611083844</v>
      </c>
      <c r="X47" s="573">
        <f t="shared" si="76"/>
        <v>0.57778957283645216</v>
      </c>
      <c r="Y47" s="573">
        <f t="shared" si="76"/>
        <v>0.59291681714216915</v>
      </c>
      <c r="Z47" s="573">
        <f>H47/H12</f>
        <v>0.60712330965852102</v>
      </c>
      <c r="AA47" s="573">
        <f t="shared" si="76"/>
        <v>0.60712330965852102</v>
      </c>
      <c r="AB47" s="573">
        <f t="shared" si="76"/>
        <v>0.6071233096585209</v>
      </c>
      <c r="AC47" s="573">
        <f t="shared" si="76"/>
        <v>0.60712330965852079</v>
      </c>
      <c r="AD47" s="573">
        <f t="shared" si="76"/>
        <v>0.6071233096585209</v>
      </c>
      <c r="AE47" s="573">
        <f t="shared" si="76"/>
        <v>0.60712330965852102</v>
      </c>
      <c r="AF47" s="573">
        <f t="shared" si="76"/>
        <v>0.6071233096585209</v>
      </c>
      <c r="AG47" s="573">
        <f t="shared" si="76"/>
        <v>0.6071233096585209</v>
      </c>
      <c r="AH47" s="573">
        <f t="shared" si="76"/>
        <v>0.6071233096585209</v>
      </c>
      <c r="AI47" s="573">
        <f t="shared" si="76"/>
        <v>0.6071233096585209</v>
      </c>
      <c r="AJ47" s="573">
        <f t="shared" si="76"/>
        <v>0.6071233096585209</v>
      </c>
      <c r="AK47" s="573">
        <f t="shared" si="76"/>
        <v>0.60712330965852079</v>
      </c>
      <c r="AL47" s="573">
        <f t="shared" si="76"/>
        <v>0.60712330965852079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>
        <f>D47/D7</f>
        <v>551244.51269949693</v>
      </c>
      <c r="E48" s="1629">
        <f t="shared" ref="E48:T48" si="77">E47/E7</f>
        <v>1506507.5535397823</v>
      </c>
      <c r="F48" s="1629">
        <f t="shared" si="77"/>
        <v>1821123.7865049213</v>
      </c>
      <c r="G48" s="1629">
        <f t="shared" si="77"/>
        <v>2034333.5466660284</v>
      </c>
      <c r="H48" s="1629">
        <f t="shared" si="77"/>
        <v>2280421.0096265064</v>
      </c>
      <c r="I48" s="1629">
        <f t="shared" si="77"/>
        <v>2371637.8500115671</v>
      </c>
      <c r="J48" s="1629">
        <f t="shared" si="77"/>
        <v>2473260.9074750762</v>
      </c>
      <c r="K48" s="1629">
        <f t="shared" si="77"/>
        <v>2565163.4985725097</v>
      </c>
      <c r="L48" s="1629">
        <f t="shared" si="77"/>
        <v>2667770.0385154113</v>
      </c>
      <c r="M48" s="1629">
        <f t="shared" si="77"/>
        <v>2774480.8400560291</v>
      </c>
      <c r="N48" s="1629">
        <f t="shared" si="77"/>
        <v>2893365.4437230872</v>
      </c>
      <c r="O48" s="1629">
        <f t="shared" si="77"/>
        <v>3000878.4766045995</v>
      </c>
      <c r="P48" s="1629">
        <f t="shared" si="77"/>
        <v>3120913.6156687839</v>
      </c>
      <c r="Q48" s="1629">
        <f t="shared" si="77"/>
        <v>3245750.1602955353</v>
      </c>
      <c r="R48" s="1629">
        <f t="shared" si="77"/>
        <v>3384828.3315476524</v>
      </c>
      <c r="S48" s="1629">
        <f t="shared" si="77"/>
        <v>3510603.3733756514</v>
      </c>
      <c r="T48" s="1629">
        <f t="shared" si="77"/>
        <v>3651027.508310677</v>
      </c>
    </row>
    <row r="50" spans="3:20" ht="15" customHeight="1">
      <c r="C50" s="1125" t="s">
        <v>813</v>
      </c>
    </row>
    <row r="51" spans="3:20" ht="15" customHeight="1">
      <c r="C51" s="202" t="s">
        <v>811</v>
      </c>
      <c r="D51" s="535">
        <f>Объекты!E42</f>
        <v>1000</v>
      </c>
      <c r="E51" s="201">
        <f>D51</f>
        <v>1000</v>
      </c>
      <c r="F51" s="201">
        <f t="shared" ref="F51:T51" si="78">E51</f>
        <v>1000</v>
      </c>
      <c r="G51" s="201">
        <f t="shared" si="78"/>
        <v>1000</v>
      </c>
      <c r="H51" s="201">
        <f t="shared" si="78"/>
        <v>1000</v>
      </c>
      <c r="I51" s="201">
        <f t="shared" si="78"/>
        <v>1000</v>
      </c>
      <c r="J51" s="201">
        <f t="shared" si="78"/>
        <v>1000</v>
      </c>
      <c r="K51" s="201">
        <f t="shared" si="78"/>
        <v>1000</v>
      </c>
      <c r="L51" s="201">
        <f t="shared" si="78"/>
        <v>1000</v>
      </c>
      <c r="M51" s="201">
        <f t="shared" si="78"/>
        <v>1000</v>
      </c>
      <c r="N51" s="201">
        <f t="shared" si="78"/>
        <v>1000</v>
      </c>
      <c r="O51" s="201">
        <f t="shared" si="78"/>
        <v>1000</v>
      </c>
      <c r="P51" s="201">
        <f t="shared" si="78"/>
        <v>1000</v>
      </c>
      <c r="Q51" s="201">
        <f t="shared" si="78"/>
        <v>1000</v>
      </c>
      <c r="R51" s="201">
        <f t="shared" si="78"/>
        <v>1000</v>
      </c>
      <c r="S51" s="201">
        <f t="shared" si="78"/>
        <v>1000</v>
      </c>
      <c r="T51" s="201">
        <f t="shared" si="78"/>
        <v>1000</v>
      </c>
    </row>
    <row r="52" spans="3:20" ht="15" customHeight="1">
      <c r="C52" s="202" t="s">
        <v>810</v>
      </c>
      <c r="D52" s="201">
        <f>D45/D51</f>
        <v>6626.1615489790511</v>
      </c>
      <c r="E52" s="201">
        <f t="shared" ref="E52:T52" si="79">E45/E51</f>
        <v>17207.649095141267</v>
      </c>
      <c r="F52" s="201">
        <f t="shared" si="79"/>
        <v>20000.602557927356</v>
      </c>
      <c r="G52" s="201">
        <f t="shared" si="79"/>
        <v>21896.227366240932</v>
      </c>
      <c r="H52" s="201">
        <f t="shared" si="79"/>
        <v>23970.606800937439</v>
      </c>
      <c r="I52" s="201">
        <f t="shared" si="79"/>
        <v>24929.431072974938</v>
      </c>
      <c r="J52" s="201">
        <f t="shared" si="79"/>
        <v>25997.64011949913</v>
      </c>
      <c r="K52" s="201">
        <f t="shared" si="79"/>
        <v>26963.672648529697</v>
      </c>
      <c r="L52" s="201">
        <f t="shared" si="79"/>
        <v>28042.219554470885</v>
      </c>
      <c r="M52" s="201">
        <f t="shared" si="79"/>
        <v>29163.908336649729</v>
      </c>
      <c r="N52" s="201">
        <f t="shared" si="79"/>
        <v>30413.56183359549</v>
      </c>
      <c r="O52" s="201">
        <f t="shared" si="79"/>
        <v>31543.683256920343</v>
      </c>
      <c r="P52" s="201">
        <f t="shared" si="79"/>
        <v>32805.430587197159</v>
      </c>
      <c r="Q52" s="201">
        <f t="shared" si="79"/>
        <v>34117.647810685048</v>
      </c>
      <c r="R52" s="201">
        <f t="shared" si="79"/>
        <v>35579.565651120982</v>
      </c>
      <c r="S52" s="201">
        <f t="shared" si="79"/>
        <v>36901.647872036956</v>
      </c>
      <c r="T52" s="201">
        <f t="shared" si="79"/>
        <v>38377.71378691843</v>
      </c>
    </row>
    <row r="53" spans="3:20" ht="15" customHeight="1">
      <c r="C53" s="202" t="s">
        <v>812</v>
      </c>
      <c r="D53" s="201">
        <f>D52/12</f>
        <v>552.18012908158755</v>
      </c>
      <c r="E53" s="201">
        <f t="shared" ref="E53:T53" si="80">E52/12</f>
        <v>1433.9707579284388</v>
      </c>
      <c r="F53" s="201">
        <f t="shared" si="80"/>
        <v>1666.7168798272796</v>
      </c>
      <c r="G53" s="201">
        <f t="shared" si="80"/>
        <v>1824.685613853411</v>
      </c>
      <c r="H53" s="201">
        <f t="shared" si="80"/>
        <v>1997.5505667447867</v>
      </c>
      <c r="I53" s="201">
        <f t="shared" si="80"/>
        <v>2077.4525894145781</v>
      </c>
      <c r="J53" s="201">
        <f t="shared" si="80"/>
        <v>2166.470009958261</v>
      </c>
      <c r="K53" s="201">
        <f t="shared" si="80"/>
        <v>2246.9727207108081</v>
      </c>
      <c r="L53" s="201">
        <f t="shared" si="80"/>
        <v>2336.8516295392405</v>
      </c>
      <c r="M53" s="201">
        <f t="shared" si="80"/>
        <v>2430.3256947208106</v>
      </c>
      <c r="N53" s="201">
        <f t="shared" si="80"/>
        <v>2534.4634861329573</v>
      </c>
      <c r="O53" s="201">
        <f t="shared" si="80"/>
        <v>2628.6402714100286</v>
      </c>
      <c r="P53" s="201">
        <f t="shared" si="80"/>
        <v>2733.7858822664298</v>
      </c>
      <c r="Q53" s="201">
        <f t="shared" si="80"/>
        <v>2843.1373175570875</v>
      </c>
      <c r="R53" s="201">
        <f t="shared" si="80"/>
        <v>2964.9638042600818</v>
      </c>
      <c r="S53" s="201">
        <f t="shared" si="80"/>
        <v>3075.1373226697465</v>
      </c>
      <c r="T53" s="201">
        <f t="shared" si="80"/>
        <v>3198.1428155765357</v>
      </c>
    </row>
    <row r="56" spans="3:20" ht="15" customHeight="1">
      <c r="C56" s="1533" t="s">
        <v>1081</v>
      </c>
      <c r="D56" s="1534">
        <f>D15+D24+D25+D34+D40</f>
        <v>40802583.674773976</v>
      </c>
      <c r="E56" s="1534">
        <f t="shared" ref="E56:T56" si="81">E15+E24+E25+E34+E40</f>
        <v>93083151.19574745</v>
      </c>
      <c r="F56" s="1534">
        <f t="shared" si="81"/>
        <v>100391963.58199959</v>
      </c>
      <c r="G56" s="1534">
        <f t="shared" si="81"/>
        <v>104923866.65867777</v>
      </c>
      <c r="H56" s="1534">
        <f t="shared" si="81"/>
        <v>110911081.28659101</v>
      </c>
      <c r="I56" s="1534">
        <f t="shared" si="81"/>
        <v>115347524.53805466</v>
      </c>
      <c r="J56" s="1534">
        <f t="shared" si="81"/>
        <v>120290086.95935655</v>
      </c>
      <c r="K56" s="1534">
        <f t="shared" si="81"/>
        <v>124759882.54035993</v>
      </c>
      <c r="L56" s="1534">
        <f t="shared" si="81"/>
        <v>129750277.84197432</v>
      </c>
      <c r="M56" s="1534">
        <f t="shared" si="81"/>
        <v>134940288.95565331</v>
      </c>
      <c r="N56" s="1534">
        <f t="shared" si="81"/>
        <v>140722387.91254768</v>
      </c>
      <c r="O56" s="1534">
        <f t="shared" si="81"/>
        <v>145951416.53443462</v>
      </c>
      <c r="P56" s="1534">
        <f t="shared" si="81"/>
        <v>151789473.19581205</v>
      </c>
      <c r="Q56" s="1534">
        <f t="shared" si="81"/>
        <v>157861052.1236445</v>
      </c>
      <c r="R56" s="1534">
        <f t="shared" si="81"/>
        <v>164625290.08313444</v>
      </c>
      <c r="S56" s="1534">
        <f t="shared" si="81"/>
        <v>170742513.97693393</v>
      </c>
      <c r="T56" s="1534">
        <f t="shared" si="81"/>
        <v>177572214.53601131</v>
      </c>
    </row>
  </sheetData>
  <conditionalFormatting sqref="V40:Z41">
    <cfRule type="expression" dxfId="321" priority="10">
      <formula>$A$1=1</formula>
    </cfRule>
  </conditionalFormatting>
  <conditionalFormatting sqref="V33:Z35">
    <cfRule type="expression" dxfId="320" priority="9">
      <formula>$A$1=1</formula>
    </cfRule>
  </conditionalFormatting>
  <conditionalFormatting sqref="V24:Z29">
    <cfRule type="expression" dxfId="319" priority="8">
      <formula>$A$1=1</formula>
    </cfRule>
  </conditionalFormatting>
  <conditionalFormatting sqref="V23:Z23">
    <cfRule type="expression" dxfId="318" priority="7">
      <formula>$A$1=1</formula>
    </cfRule>
  </conditionalFormatting>
  <conditionalFormatting sqref="V22:Z22">
    <cfRule type="expression" dxfId="317" priority="5">
      <formula>$A$1=1</formula>
    </cfRule>
  </conditionalFormatting>
  <conditionalFormatting sqref="V39:Z39">
    <cfRule type="expression" dxfId="316" priority="3">
      <formula>$A$1=1</formula>
    </cfRule>
  </conditionalFormatting>
  <conditionalFormatting sqref="V45:Z45">
    <cfRule type="expression" dxfId="315" priority="2">
      <formula>$A$1=1</formula>
    </cfRule>
  </conditionalFormatting>
  <conditionalFormatting sqref="V16:Z16">
    <cfRule type="expression" dxfId="314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8B8E6"/>
  </sheetPr>
  <dimension ref="A1:BJ50"/>
  <sheetViews>
    <sheetView showGridLines="0" zoomScale="85" zoomScaleNormal="85" workbookViewId="0">
      <pane xSplit="3" ySplit="6" topLeftCell="D25" activePane="bottomRight" state="frozen"/>
      <selection activeCell="I13" sqref="I13"/>
      <selection pane="topRight" activeCell="I13" sqref="I13"/>
      <selection pane="bottomLeft" activeCell="I13" sqref="I13"/>
      <selection pane="bottomRight" activeCell="P47" sqref="P47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1.140625" style="197" customWidth="1"/>
    <col min="4" max="4" width="12.28515625" style="199" customWidth="1"/>
    <col min="5" max="8" width="12.28515625" style="197" customWidth="1"/>
    <col min="9" max="9" width="14.28515625" style="197" customWidth="1" outlineLevel="1"/>
    <col min="10" max="19" width="14.5703125" style="197" customWidth="1" outlineLevel="1"/>
    <col min="20" max="20" width="11.42578125" style="197" bestFit="1" customWidth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6.8554687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46" width="8.7109375" style="197" customWidth="1"/>
    <col min="47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>
      <c r="A3" s="511"/>
      <c r="B3" s="511"/>
      <c r="C3" s="536" t="str">
        <f>Объекты!C7</f>
        <v>Гостиница 3*</v>
      </c>
      <c r="D3" s="799">
        <f>YEAR(D4)</f>
        <v>2025</v>
      </c>
      <c r="E3" s="799">
        <f>D3+1</f>
        <v>2026</v>
      </c>
      <c r="F3" s="799">
        <f t="shared" ref="F3:T3" si="0">E3+1</f>
        <v>2027</v>
      </c>
      <c r="G3" s="799">
        <f t="shared" si="0"/>
        <v>2028</v>
      </c>
      <c r="H3" s="799">
        <f t="shared" si="0"/>
        <v>2029</v>
      </c>
      <c r="I3" s="799">
        <f t="shared" si="0"/>
        <v>2030</v>
      </c>
      <c r="J3" s="799">
        <f t="shared" si="0"/>
        <v>2031</v>
      </c>
      <c r="K3" s="799">
        <f t="shared" si="0"/>
        <v>2032</v>
      </c>
      <c r="L3" s="799">
        <f t="shared" si="0"/>
        <v>2033</v>
      </c>
      <c r="M3" s="799">
        <f>L3+1</f>
        <v>2034</v>
      </c>
      <c r="N3" s="799">
        <f t="shared" si="0"/>
        <v>2035</v>
      </c>
      <c r="O3" s="799">
        <f t="shared" si="0"/>
        <v>2036</v>
      </c>
      <c r="P3" s="799">
        <f t="shared" si="0"/>
        <v>2037</v>
      </c>
      <c r="Q3" s="799">
        <f t="shared" si="0"/>
        <v>2038</v>
      </c>
      <c r="R3" s="799">
        <f t="shared" si="0"/>
        <v>2039</v>
      </c>
      <c r="S3" s="799">
        <f t="shared" si="0"/>
        <v>2040</v>
      </c>
      <c r="T3" s="799">
        <f t="shared" si="0"/>
        <v>2041</v>
      </c>
      <c r="V3" s="799">
        <f t="shared" ref="V3:AL3" si="1">D3</f>
        <v>2025</v>
      </c>
      <c r="W3" s="799">
        <f t="shared" si="1"/>
        <v>2026</v>
      </c>
      <c r="X3" s="799">
        <f t="shared" si="1"/>
        <v>2027</v>
      </c>
      <c r="Y3" s="799">
        <f t="shared" si="1"/>
        <v>2028</v>
      </c>
      <c r="Z3" s="799">
        <f t="shared" si="1"/>
        <v>2029</v>
      </c>
      <c r="AA3" s="799">
        <f t="shared" si="1"/>
        <v>2030</v>
      </c>
      <c r="AB3" s="799">
        <f t="shared" si="1"/>
        <v>2031</v>
      </c>
      <c r="AC3" s="799">
        <f t="shared" si="1"/>
        <v>2032</v>
      </c>
      <c r="AD3" s="799">
        <f t="shared" si="1"/>
        <v>2033</v>
      </c>
      <c r="AE3" s="799">
        <f t="shared" si="1"/>
        <v>2034</v>
      </c>
      <c r="AF3" s="799">
        <f t="shared" si="1"/>
        <v>2035</v>
      </c>
      <c r="AG3" s="799">
        <f t="shared" si="1"/>
        <v>2036</v>
      </c>
      <c r="AH3" s="799">
        <f t="shared" si="1"/>
        <v>2037</v>
      </c>
      <c r="AI3" s="799">
        <f t="shared" si="1"/>
        <v>2038</v>
      </c>
      <c r="AJ3" s="799">
        <f t="shared" si="1"/>
        <v>2039</v>
      </c>
      <c r="AK3" s="799">
        <f t="shared" si="1"/>
        <v>2040</v>
      </c>
      <c r="AL3" s="799">
        <f t="shared" si="1"/>
        <v>2041</v>
      </c>
      <c r="AO3" s="799">
        <f t="shared" ref="AO3:BE3" si="2">V3</f>
        <v>2025</v>
      </c>
      <c r="AP3" s="799">
        <f t="shared" si="2"/>
        <v>2026</v>
      </c>
      <c r="AQ3" s="799">
        <f t="shared" si="2"/>
        <v>2027</v>
      </c>
      <c r="AR3" s="799">
        <f t="shared" si="2"/>
        <v>2028</v>
      </c>
      <c r="AS3" s="799">
        <f t="shared" si="2"/>
        <v>2029</v>
      </c>
      <c r="AT3" s="799">
        <f t="shared" si="2"/>
        <v>2030</v>
      </c>
      <c r="AU3" s="799">
        <f t="shared" si="2"/>
        <v>2031</v>
      </c>
      <c r="AV3" s="799">
        <f t="shared" si="2"/>
        <v>2032</v>
      </c>
      <c r="AW3" s="799">
        <f t="shared" si="2"/>
        <v>2033</v>
      </c>
      <c r="AX3" s="799">
        <f t="shared" si="2"/>
        <v>2034</v>
      </c>
      <c r="AY3" s="799">
        <f t="shared" si="2"/>
        <v>2035</v>
      </c>
      <c r="AZ3" s="799">
        <f t="shared" si="2"/>
        <v>2036</v>
      </c>
      <c r="BA3" s="799">
        <f t="shared" si="2"/>
        <v>2037</v>
      </c>
      <c r="BB3" s="799">
        <f t="shared" si="2"/>
        <v>2038</v>
      </c>
      <c r="BC3" s="799">
        <f t="shared" si="2"/>
        <v>2039</v>
      </c>
      <c r="BD3" s="799">
        <f t="shared" si="2"/>
        <v>2040</v>
      </c>
      <c r="BE3" s="799">
        <f t="shared" si="2"/>
        <v>2041</v>
      </c>
    </row>
    <row r="4" spans="1:57">
      <c r="A4" s="511"/>
      <c r="B4" s="511"/>
      <c r="C4" s="512" t="s">
        <v>1</v>
      </c>
      <c r="D4" s="782">
        <f>Объекты!K7</f>
        <v>45839</v>
      </c>
      <c r="E4" s="514">
        <f>D5+1</f>
        <v>46023</v>
      </c>
      <c r="F4" s="514">
        <f t="shared" ref="F4:T4" si="3">E5+1</f>
        <v>46388</v>
      </c>
      <c r="G4" s="514">
        <f t="shared" si="3"/>
        <v>46753</v>
      </c>
      <c r="H4" s="514">
        <f t="shared" si="3"/>
        <v>47119</v>
      </c>
      <c r="I4" s="514">
        <f t="shared" si="3"/>
        <v>47484</v>
      </c>
      <c r="J4" s="514">
        <f t="shared" si="3"/>
        <v>47849</v>
      </c>
      <c r="K4" s="514">
        <f t="shared" si="3"/>
        <v>48214</v>
      </c>
      <c r="L4" s="514">
        <f>K5+1</f>
        <v>48580</v>
      </c>
      <c r="M4" s="514">
        <f t="shared" si="3"/>
        <v>48945</v>
      </c>
      <c r="N4" s="514">
        <f t="shared" si="3"/>
        <v>49310</v>
      </c>
      <c r="O4" s="514">
        <f t="shared" si="3"/>
        <v>49675</v>
      </c>
      <c r="P4" s="514">
        <f t="shared" si="3"/>
        <v>50041</v>
      </c>
      <c r="Q4" s="514">
        <f t="shared" si="3"/>
        <v>50406</v>
      </c>
      <c r="R4" s="514">
        <f t="shared" si="3"/>
        <v>50771</v>
      </c>
      <c r="S4" s="514">
        <f t="shared" si="3"/>
        <v>51136</v>
      </c>
      <c r="T4" s="514">
        <f t="shared" si="3"/>
        <v>51502</v>
      </c>
      <c r="AO4" s="537" t="s">
        <v>548</v>
      </c>
    </row>
    <row r="5" spans="1:57">
      <c r="A5" s="511"/>
      <c r="B5" s="511"/>
      <c r="C5" s="512" t="s">
        <v>2</v>
      </c>
      <c r="D5" s="513">
        <f>DATE(D3,12,31)</f>
        <v>46022</v>
      </c>
      <c r="E5" s="514">
        <f>DATE(E3,12,31)</f>
        <v>46387</v>
      </c>
      <c r="F5" s="514">
        <f t="shared" ref="F5:K5" si="4">DATE(F3,12,31)</f>
        <v>46752</v>
      </c>
      <c r="G5" s="514">
        <f t="shared" si="4"/>
        <v>47118</v>
      </c>
      <c r="H5" s="514">
        <f t="shared" si="4"/>
        <v>47483</v>
      </c>
      <c r="I5" s="514">
        <f t="shared" si="4"/>
        <v>47848</v>
      </c>
      <c r="J5" s="514">
        <f t="shared" si="4"/>
        <v>48213</v>
      </c>
      <c r="K5" s="514">
        <f t="shared" si="4"/>
        <v>48579</v>
      </c>
      <c r="L5" s="514">
        <f>DATE(L3,12,31)</f>
        <v>48944</v>
      </c>
      <c r="M5" s="514">
        <f t="shared" ref="M5:T5" si="5">DATE(M3,12,31)</f>
        <v>49309</v>
      </c>
      <c r="N5" s="514">
        <f t="shared" si="5"/>
        <v>49674</v>
      </c>
      <c r="O5" s="514">
        <f t="shared" si="5"/>
        <v>50040</v>
      </c>
      <c r="P5" s="514">
        <f t="shared" si="5"/>
        <v>50405</v>
      </c>
      <c r="Q5" s="514">
        <f t="shared" si="5"/>
        <v>50770</v>
      </c>
      <c r="R5" s="514">
        <f t="shared" si="5"/>
        <v>51135</v>
      </c>
      <c r="S5" s="514">
        <f t="shared" si="5"/>
        <v>51501</v>
      </c>
      <c r="T5" s="514">
        <f t="shared" si="5"/>
        <v>51866</v>
      </c>
      <c r="AO5" s="814">
        <f>'К дв.загр'!G9</f>
        <v>2.4619999999999997</v>
      </c>
    </row>
    <row r="6" spans="1:57" hidden="1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365</v>
      </c>
      <c r="G6" s="515">
        <f t="shared" si="6"/>
        <v>366</v>
      </c>
      <c r="H6" s="515">
        <f t="shared" si="6"/>
        <v>365</v>
      </c>
      <c r="I6" s="515">
        <f t="shared" si="6"/>
        <v>365</v>
      </c>
      <c r="J6" s="515">
        <f t="shared" si="6"/>
        <v>365</v>
      </c>
      <c r="K6" s="515">
        <f t="shared" si="6"/>
        <v>366</v>
      </c>
      <c r="L6" s="515">
        <f t="shared" si="6"/>
        <v>365</v>
      </c>
      <c r="M6" s="515">
        <f t="shared" si="6"/>
        <v>365</v>
      </c>
      <c r="N6" s="515">
        <f t="shared" si="6"/>
        <v>365</v>
      </c>
      <c r="O6" s="515">
        <f t="shared" si="6"/>
        <v>366</v>
      </c>
      <c r="P6" s="515">
        <f t="shared" si="6"/>
        <v>365</v>
      </c>
      <c r="Q6" s="515">
        <f t="shared" si="6"/>
        <v>365</v>
      </c>
      <c r="R6" s="515">
        <f t="shared" si="6"/>
        <v>365</v>
      </c>
      <c r="S6" s="515">
        <f t="shared" si="6"/>
        <v>366</v>
      </c>
      <c r="T6" s="515">
        <f t="shared" si="6"/>
        <v>365</v>
      </c>
    </row>
    <row r="7" spans="1:57" hidden="1" outlineLevel="1">
      <c r="A7" s="509"/>
      <c r="B7" s="509"/>
      <c r="C7" s="512" t="s">
        <v>549</v>
      </c>
      <c r="D7" s="815">
        <f>Объекты!F7</f>
        <v>160</v>
      </c>
      <c r="E7" s="538">
        <f>D7</f>
        <v>160</v>
      </c>
      <c r="F7" s="538">
        <f t="shared" ref="F7:T7" si="7">E7</f>
        <v>160</v>
      </c>
      <c r="G7" s="538">
        <f t="shared" si="7"/>
        <v>160</v>
      </c>
      <c r="H7" s="538">
        <f t="shared" si="7"/>
        <v>160</v>
      </c>
      <c r="I7" s="538">
        <f t="shared" si="7"/>
        <v>160</v>
      </c>
      <c r="J7" s="538">
        <f t="shared" si="7"/>
        <v>160</v>
      </c>
      <c r="K7" s="538">
        <f t="shared" si="7"/>
        <v>160</v>
      </c>
      <c r="L7" s="538">
        <f t="shared" si="7"/>
        <v>160</v>
      </c>
      <c r="M7" s="538">
        <f t="shared" si="7"/>
        <v>160</v>
      </c>
      <c r="N7" s="538">
        <f t="shared" si="7"/>
        <v>160</v>
      </c>
      <c r="O7" s="538">
        <f t="shared" si="7"/>
        <v>160</v>
      </c>
      <c r="P7" s="538">
        <f t="shared" si="7"/>
        <v>160</v>
      </c>
      <c r="Q7" s="538">
        <f t="shared" si="7"/>
        <v>160</v>
      </c>
      <c r="R7" s="538">
        <f t="shared" si="7"/>
        <v>160</v>
      </c>
      <c r="S7" s="538">
        <f t="shared" si="7"/>
        <v>160</v>
      </c>
      <c r="T7" s="538">
        <f t="shared" si="7"/>
        <v>160</v>
      </c>
      <c r="V7" s="539"/>
      <c r="W7" s="540"/>
      <c r="X7" s="540"/>
      <c r="Y7" s="540"/>
      <c r="Z7" s="540"/>
    </row>
    <row r="8" spans="1:57" collapsed="1">
      <c r="A8" s="509"/>
      <c r="B8" s="509"/>
      <c r="C8" s="512" t="s">
        <v>546</v>
      </c>
      <c r="D8" s="201">
        <f>D7*D6</f>
        <v>29440</v>
      </c>
      <c r="E8" s="201">
        <f t="shared" ref="E8:T8" si="8">E7*E6</f>
        <v>58400</v>
      </c>
      <c r="F8" s="201">
        <f t="shared" si="8"/>
        <v>58400</v>
      </c>
      <c r="G8" s="201">
        <f t="shared" si="8"/>
        <v>58560</v>
      </c>
      <c r="H8" s="201">
        <f t="shared" si="8"/>
        <v>58400</v>
      </c>
      <c r="I8" s="201">
        <f t="shared" si="8"/>
        <v>58400</v>
      </c>
      <c r="J8" s="201">
        <f t="shared" si="8"/>
        <v>58400</v>
      </c>
      <c r="K8" s="201">
        <f t="shared" si="8"/>
        <v>58560</v>
      </c>
      <c r="L8" s="201">
        <f t="shared" si="8"/>
        <v>58400</v>
      </c>
      <c r="M8" s="201">
        <f t="shared" si="8"/>
        <v>58400</v>
      </c>
      <c r="N8" s="201">
        <f t="shared" si="8"/>
        <v>58400</v>
      </c>
      <c r="O8" s="201">
        <f t="shared" si="8"/>
        <v>58560</v>
      </c>
      <c r="P8" s="201">
        <f t="shared" si="8"/>
        <v>58400</v>
      </c>
      <c r="Q8" s="201">
        <f t="shared" si="8"/>
        <v>58400</v>
      </c>
      <c r="R8" s="201">
        <f t="shared" si="8"/>
        <v>58400</v>
      </c>
      <c r="S8" s="201">
        <f t="shared" si="8"/>
        <v>58560</v>
      </c>
      <c r="T8" s="201">
        <f t="shared" si="8"/>
        <v>58400</v>
      </c>
      <c r="AO8" s="537"/>
    </row>
    <row r="9" spans="1:57">
      <c r="A9" s="509"/>
      <c r="B9" s="509"/>
      <c r="C9" s="512" t="s">
        <v>547</v>
      </c>
      <c r="D9" s="201">
        <f>D8*D10</f>
        <v>13056.220270862073</v>
      </c>
      <c r="E9" s="201">
        <f t="shared" ref="E9:T9" si="9">E8*E10</f>
        <v>33329.756521739131</v>
      </c>
      <c r="F9" s="201">
        <f t="shared" si="9"/>
        <v>35290.330434782612</v>
      </c>
      <c r="G9" s="201">
        <f t="shared" si="9"/>
        <v>37352.961620011913</v>
      </c>
      <c r="H9" s="201">
        <f t="shared" si="9"/>
        <v>39211.478260869568</v>
      </c>
      <c r="I9" s="208">
        <f t="shared" si="9"/>
        <v>39211.478260869568</v>
      </c>
      <c r="J9" s="201">
        <f t="shared" si="9"/>
        <v>39211.478260869568</v>
      </c>
      <c r="K9" s="201">
        <f t="shared" si="9"/>
        <v>39318.906968433599</v>
      </c>
      <c r="L9" s="201">
        <f t="shared" si="9"/>
        <v>39211.478260869568</v>
      </c>
      <c r="M9" s="201">
        <f t="shared" si="9"/>
        <v>39211.478260869568</v>
      </c>
      <c r="N9" s="201">
        <f t="shared" si="9"/>
        <v>39211.478260869568</v>
      </c>
      <c r="O9" s="201">
        <f t="shared" si="9"/>
        <v>39318.906968433599</v>
      </c>
      <c r="P9" s="201">
        <f t="shared" si="9"/>
        <v>39211.478260869568</v>
      </c>
      <c r="Q9" s="201">
        <f t="shared" si="9"/>
        <v>39211.478260869568</v>
      </c>
      <c r="R9" s="201">
        <f t="shared" si="9"/>
        <v>39211.478260869568</v>
      </c>
      <c r="S9" s="201">
        <f t="shared" si="9"/>
        <v>39318.906968433599</v>
      </c>
      <c r="T9" s="201">
        <f t="shared" si="9"/>
        <v>39211.478260869568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SUMIF(ADR_OCC!$91:$91,D$3,ADR_OCC!94:94)</f>
        <v>0.44348574289613019</v>
      </c>
      <c r="E10" s="542">
        <f>SUMIF(ADR_OCC!$91:$91,E$3,ADR_OCC!94:94)</f>
        <v>0.57071500893388927</v>
      </c>
      <c r="F10" s="542">
        <f>SUMIF(ADR_OCC!$91:$91,F$3,ADR_OCC!94:94)</f>
        <v>0.60428648004764751</v>
      </c>
      <c r="G10" s="542">
        <f>SUMIF(ADR_OCC!$91:$91,G$3,ADR_OCC!94:94)</f>
        <v>0.63785795116140565</v>
      </c>
      <c r="H10" s="542">
        <f>SUMIF(ADR_OCC!$91:$91,H$3,ADR_OCC!94:94)</f>
        <v>0.67142942227516389</v>
      </c>
      <c r="I10" s="542">
        <f>SUMIF(ADR_OCC!$91:$91,I$3,ADR_OCC!94:94)</f>
        <v>0.67142942227516389</v>
      </c>
      <c r="J10" s="542">
        <f>SUMIF(ADR_OCC!$91:$91,J$3,ADR_OCC!94:94)</f>
        <v>0.67142942227516389</v>
      </c>
      <c r="K10" s="542">
        <f>SUMIF(ADR_OCC!$91:$91,K$3,ADR_OCC!94:94)</f>
        <v>0.67142942227516389</v>
      </c>
      <c r="L10" s="542">
        <f>SUMIF(ADR_OCC!$91:$91,L$3,ADR_OCC!94:94)</f>
        <v>0.67142942227516389</v>
      </c>
      <c r="M10" s="542">
        <f>SUMIF(ADR_OCC!$91:$91,M$3,ADR_OCC!94:94)</f>
        <v>0.67142942227516389</v>
      </c>
      <c r="N10" s="542">
        <f>SUMIF(ADR_OCC!$91:$91,N$3,ADR_OCC!94:94)</f>
        <v>0.67142942227516389</v>
      </c>
      <c r="O10" s="542">
        <f>SUMIF(ADR_OCC!$91:$91,O$3,ADR_OCC!94:94)</f>
        <v>0.67142942227516389</v>
      </c>
      <c r="P10" s="542">
        <f>SUMIF(ADR_OCC!$91:$91,P$3,ADR_OCC!94:94)</f>
        <v>0.67142942227516389</v>
      </c>
      <c r="Q10" s="542">
        <f>SUMIF(ADR_OCC!$91:$91,Q$3,ADR_OCC!94:94)</f>
        <v>0.67142942227516389</v>
      </c>
      <c r="R10" s="542">
        <f>SUMIF(ADR_OCC!$91:$91,R$3,ADR_OCC!94:94)</f>
        <v>0.67142942227516389</v>
      </c>
      <c r="S10" s="542">
        <f>SUMIF(ADR_OCC!$91:$91,S$3,ADR_OCC!94:94)</f>
        <v>0.67142942227516389</v>
      </c>
      <c r="T10" s="542">
        <f>SUMIF(ADR_OCC!$91:$91,T$3,ADR_OCC!94:94)</f>
        <v>0.67142942227516389</v>
      </c>
      <c r="V10" s="543"/>
      <c r="W10" s="544" t="str">
        <f t="shared" ref="W10:AL10" si="10">ROUND((E10-D10),2)*100 &amp; "пп."</f>
        <v>13пп.</v>
      </c>
      <c r="X10" s="544" t="str">
        <f t="shared" si="10"/>
        <v>3пп.</v>
      </c>
      <c r="Y10" s="544" t="str">
        <f t="shared" si="10"/>
        <v>3пп.</v>
      </c>
      <c r="Z10" s="544" t="str">
        <f t="shared" si="10"/>
        <v>3пп.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SUMIF(ADR_OCC!$65:$65,D$3,ADR_OCC!68:68)</f>
        <v>5449.9660800000001</v>
      </c>
      <c r="E11" s="208">
        <f>SUMIF(ADR_OCC!$65:$65,E$3,ADR_OCC!68:68)</f>
        <v>6334.7841023999999</v>
      </c>
      <c r="F11" s="208">
        <f>SUMIF(ADR_OCC!$65:$65,F$3,ADR_OCC!68:68)</f>
        <v>6934.9215436800005</v>
      </c>
      <c r="G11" s="208">
        <f>SUMIF(ADR_OCC!$65:$65,G$3,ADR_OCC!68:68)</f>
        <v>7212.3184054272006</v>
      </c>
      <c r="H11" s="208">
        <f>SUMIF(ADR_OCC!$65:$65,H$3,ADR_OCC!68:68)</f>
        <v>7500.8111416442889</v>
      </c>
      <c r="I11" s="208">
        <f>SUMIF(ADR_OCC!$65:$65,I$3,ADR_OCC!68:68)</f>
        <v>7800.8435873100607</v>
      </c>
      <c r="J11" s="208">
        <f>SUMIF(ADR_OCC!$65:$65,J$3,ADR_OCC!68:68)</f>
        <v>8112.8773308024638</v>
      </c>
      <c r="K11" s="208">
        <f>SUMIF(ADR_OCC!$65:$65,K$3,ADR_OCC!68:68)</f>
        <v>8437.3924240345623</v>
      </c>
      <c r="L11" s="208">
        <f>SUMIF(ADR_OCC!$65:$65,L$3,ADR_OCC!68:68)</f>
        <v>8774.8881209959454</v>
      </c>
      <c r="M11" s="208">
        <f>SUMIF(ADR_OCC!$65:$65,M$3,ADR_OCC!68:68)</f>
        <v>9125.8836458357837</v>
      </c>
      <c r="N11" s="208">
        <f>SUMIF(ADR_OCC!$65:$65,N$3,ADR_OCC!68:68)</f>
        <v>9490.9189916692158</v>
      </c>
      <c r="O11" s="208">
        <f>SUMIF(ADR_OCC!$65:$65,O$3,ADR_OCC!68:68)</f>
        <v>9870.5557513359854</v>
      </c>
      <c r="P11" s="208">
        <f>SUMIF(ADR_OCC!$65:$65,P$3,ADR_OCC!68:68)</f>
        <v>10265.377981389425</v>
      </c>
      <c r="Q11" s="208">
        <f>SUMIF(ADR_OCC!$65:$65,Q$3,ADR_OCC!68:68)</f>
        <v>10675.993100645002</v>
      </c>
      <c r="R11" s="208">
        <f>SUMIF(ADR_OCC!$65:$65,R$3,ADR_OCC!68:68)</f>
        <v>11103.032824670803</v>
      </c>
      <c r="S11" s="208">
        <f>SUMIF(ADR_OCC!$65:$65,S$3,ADR_OCC!68:68)</f>
        <v>11547.154137657635</v>
      </c>
      <c r="T11" s="208">
        <f>SUMIF(ADR_OCC!$65:$65,T$3,ADR_OCC!68:68)</f>
        <v>12009.040303163942</v>
      </c>
      <c r="V11" s="543"/>
      <c r="W11" s="522">
        <f t="shared" ref="W11:AL11" si="11">E11/D11-1</f>
        <v>0.16235294117647059</v>
      </c>
      <c r="X11" s="522">
        <f t="shared" si="11"/>
        <v>9.473684210526323E-2</v>
      </c>
      <c r="Y11" s="522">
        <f t="shared" si="11"/>
        <v>4.0000000000000036E-2</v>
      </c>
      <c r="Z11" s="522">
        <f t="shared" si="11"/>
        <v>4.0000000000000036E-2</v>
      </c>
      <c r="AA11" s="522">
        <f t="shared" si="11"/>
        <v>4.0000000000000036E-2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4.0000000000000036E-2</v>
      </c>
      <c r="AG11" s="522">
        <f t="shared" si="11"/>
        <v>4.0000000000000036E-2</v>
      </c>
      <c r="AH11" s="522">
        <f t="shared" si="11"/>
        <v>4.0000000000000036E-2</v>
      </c>
      <c r="AI11" s="522">
        <f t="shared" si="11"/>
        <v>4.0000000000000036E-2</v>
      </c>
      <c r="AJ11" s="522">
        <f t="shared" si="11"/>
        <v>4.0000000000000036E-2</v>
      </c>
      <c r="AK11" s="522">
        <f t="shared" si="11"/>
        <v>4.0000000000000036E-2</v>
      </c>
      <c r="AL11" s="522">
        <f t="shared" si="11"/>
        <v>4.0000000000000036E-2</v>
      </c>
      <c r="AO11" s="545">
        <f>SUMIF(CPI!3:3,AO3,CPI!4:4)</f>
        <v>0.04</v>
      </c>
      <c r="AP11" s="546">
        <f>SUMIF(CPI!3:3,AP3,CPI!4:4)</f>
        <v>0.04</v>
      </c>
      <c r="AQ11" s="546">
        <f>SUMIF(CPI!3:3,AQ3,CPI!4:4)</f>
        <v>0.04</v>
      </c>
      <c r="AR11" s="546">
        <f>SUMIF(CPI!3:3,AR3,CPI!4:4)</f>
        <v>0.04</v>
      </c>
      <c r="AS11" s="546">
        <f>SUMIF(CPI!3:3,AS3,CPI!4:4)</f>
        <v>0.04</v>
      </c>
      <c r="AT11" s="546">
        <f>SUMIF(CPI!3:3,AT3,CPI!4:4)</f>
        <v>0.04</v>
      </c>
      <c r="AU11" s="546">
        <f>SUMIF(CPI!3:3,AU3,CPI!4:4)</f>
        <v>0.04</v>
      </c>
      <c r="AV11" s="546">
        <f>SUMIF(CPI!3:3,AV3,CPI!4:4)</f>
        <v>0.04</v>
      </c>
      <c r="AW11" s="546">
        <f>SUMIF(CPI!3:3,AW3,CPI!4:4)</f>
        <v>0.04</v>
      </c>
      <c r="AX11" s="546">
        <f>SUMIF(CPI!3:3,AX3,CPI!4:4)</f>
        <v>0.04</v>
      </c>
      <c r="AY11" s="546">
        <f>SUMIF(CPI!3:3,AY3,CPI!4:4)</f>
        <v>0.04</v>
      </c>
      <c r="AZ11" s="546">
        <f>SUMIF(CPI!3:3,AZ3,CPI!4:4)</f>
        <v>0.04</v>
      </c>
      <c r="BA11" s="546">
        <f>SUMIF(CPI!3:3,BA3,CPI!4:4)</f>
        <v>0.04</v>
      </c>
      <c r="BB11" s="546">
        <f>SUMIF(CPI!3:3,BB3,CPI!4:4)</f>
        <v>0.04</v>
      </c>
      <c r="BC11" s="546">
        <f>SUMIF(CPI!3:3,BC3,CPI!4:4)</f>
        <v>0.04</v>
      </c>
      <c r="BD11" s="546">
        <f>SUMIF(CPI!3:3,BD3,CPI!4:4)</f>
        <v>0.04</v>
      </c>
      <c r="BE11" s="546">
        <f>SUMIF(CPI!3:3,BE3,CPI!4:4)</f>
        <v>0.04</v>
      </c>
    </row>
    <row r="12" spans="1:57" outlineLevel="1">
      <c r="A12" s="509"/>
      <c r="B12" s="509"/>
      <c r="C12" s="547" t="s">
        <v>31</v>
      </c>
      <c r="D12" s="1035">
        <f t="shared" ref="D12:T12" si="12">D14+D21+D39+D45+D33</f>
        <v>120609348.14760539</v>
      </c>
      <c r="E12" s="548">
        <f t="shared" si="12"/>
        <v>347320055.33002609</v>
      </c>
      <c r="F12" s="1035">
        <f t="shared" si="12"/>
        <v>400142825.0537675</v>
      </c>
      <c r="G12" s="548">
        <f t="shared" si="12"/>
        <v>433736338.66865665</v>
      </c>
      <c r="H12" s="548">
        <f t="shared" si="12"/>
        <v>470588628.83115721</v>
      </c>
      <c r="I12" s="548">
        <f t="shared" si="12"/>
        <v>489412173.98440355</v>
      </c>
      <c r="J12" s="548">
        <f t="shared" si="12"/>
        <v>508988660.94377971</v>
      </c>
      <c r="K12" s="548">
        <f t="shared" si="12"/>
        <v>530798476.44285017</v>
      </c>
      <c r="L12" s="548">
        <f t="shared" si="12"/>
        <v>550522135.67679226</v>
      </c>
      <c r="M12" s="548">
        <f t="shared" si="12"/>
        <v>572543021.10386395</v>
      </c>
      <c r="N12" s="548">
        <f t="shared" si="12"/>
        <v>595444741.94801855</v>
      </c>
      <c r="O12" s="548">
        <f t="shared" si="12"/>
        <v>620959141.30162692</v>
      </c>
      <c r="P12" s="548">
        <f t="shared" si="12"/>
        <v>644033032.89097691</v>
      </c>
      <c r="Q12" s="548">
        <f t="shared" si="12"/>
        <v>669794354.20661592</v>
      </c>
      <c r="R12" s="548">
        <f t="shared" si="12"/>
        <v>696586128.37488067</v>
      </c>
      <c r="S12" s="548">
        <f t="shared" si="12"/>
        <v>726434366.86195779</v>
      </c>
      <c r="T12" s="1035">
        <f t="shared" si="12"/>
        <v>753427556.45027113</v>
      </c>
      <c r="V12" s="549"/>
      <c r="W12" s="549"/>
      <c r="X12" s="549"/>
      <c r="Y12" s="549"/>
      <c r="Z12" s="549"/>
      <c r="AO12" s="548">
        <f t="shared" ref="AO12:BE12" si="13">D12/D9</f>
        <v>9237.6925056</v>
      </c>
      <c r="AP12" s="548">
        <f t="shared" si="13"/>
        <v>10420.719848447998</v>
      </c>
      <c r="AQ12" s="548">
        <f t="shared" si="13"/>
        <v>11338.5967239168</v>
      </c>
      <c r="AR12" s="548">
        <f t="shared" si="13"/>
        <v>11611.832632737793</v>
      </c>
      <c r="AS12" s="548">
        <f t="shared" si="13"/>
        <v>12001.297826630862</v>
      </c>
      <c r="AT12" s="548">
        <f t="shared" si="13"/>
        <v>12481.349739696097</v>
      </c>
      <c r="AU12" s="548">
        <f t="shared" si="13"/>
        <v>12980.603729283941</v>
      </c>
      <c r="AV12" s="548">
        <f t="shared" si="13"/>
        <v>13499.827878455297</v>
      </c>
      <c r="AW12" s="548">
        <f t="shared" si="13"/>
        <v>14039.820993593514</v>
      </c>
      <c r="AX12" s="548">
        <f t="shared" si="13"/>
        <v>14601.413833337256</v>
      </c>
      <c r="AY12" s="548">
        <f t="shared" si="13"/>
        <v>15185.470386670746</v>
      </c>
      <c r="AZ12" s="548">
        <f t="shared" si="13"/>
        <v>15792.889202137578</v>
      </c>
      <c r="BA12" s="548">
        <f t="shared" si="13"/>
        <v>16424.604770223079</v>
      </c>
      <c r="BB12" s="548">
        <f t="shared" si="13"/>
        <v>17081.588961032001</v>
      </c>
      <c r="BC12" s="548">
        <f t="shared" si="13"/>
        <v>17764.852519473283</v>
      </c>
      <c r="BD12" s="548">
        <f t="shared" si="13"/>
        <v>18475.446620252216</v>
      </c>
      <c r="BE12" s="548">
        <f t="shared" si="13"/>
        <v>19214.464485062308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>
        <f t="shared" ref="AO13:BE13" si="14">D14/D9</f>
        <v>5449.9660800000011</v>
      </c>
      <c r="AP13" s="552">
        <f t="shared" si="14"/>
        <v>6334.7841023999999</v>
      </c>
      <c r="AQ13" s="552">
        <f t="shared" si="14"/>
        <v>6934.9215436800005</v>
      </c>
      <c r="AR13" s="552">
        <f t="shared" si="14"/>
        <v>7212.3184054272006</v>
      </c>
      <c r="AS13" s="552">
        <f t="shared" si="14"/>
        <v>7500.811141644288</v>
      </c>
      <c r="AT13" s="552">
        <f t="shared" si="14"/>
        <v>7800.8435873100598</v>
      </c>
      <c r="AU13" s="552">
        <f t="shared" si="14"/>
        <v>8112.8773308024638</v>
      </c>
      <c r="AV13" s="552">
        <f t="shared" si="14"/>
        <v>8437.3924240345623</v>
      </c>
      <c r="AW13" s="552">
        <f t="shared" si="14"/>
        <v>8774.8881209959454</v>
      </c>
      <c r="AX13" s="552">
        <f t="shared" si="14"/>
        <v>9125.8836458357837</v>
      </c>
      <c r="AY13" s="552">
        <f t="shared" si="14"/>
        <v>9490.9189916692158</v>
      </c>
      <c r="AZ13" s="552">
        <f t="shared" si="14"/>
        <v>9870.5557513359854</v>
      </c>
      <c r="BA13" s="552">
        <f t="shared" si="14"/>
        <v>10265.377981389425</v>
      </c>
      <c r="BB13" s="552">
        <f t="shared" si="14"/>
        <v>10675.993100645002</v>
      </c>
      <c r="BC13" s="552">
        <f t="shared" si="14"/>
        <v>11103.032824670803</v>
      </c>
      <c r="BD13" s="552">
        <f t="shared" si="14"/>
        <v>11547.154137657635</v>
      </c>
      <c r="BE13" s="552">
        <f t="shared" si="14"/>
        <v>12009.040303163942</v>
      </c>
    </row>
    <row r="14" spans="1:57">
      <c r="A14" s="553"/>
      <c r="B14" s="553"/>
      <c r="C14" s="521" t="s">
        <v>17</v>
      </c>
      <c r="D14" s="554">
        <f>D11*D9</f>
        <v>71155957.609206721</v>
      </c>
      <c r="E14" s="554">
        <f t="shared" ref="E14:T14" si="15">E11*E9</f>
        <v>211136811.75077575</v>
      </c>
      <c r="F14" s="554">
        <f t="shared" si="15"/>
        <v>244735672.81575993</v>
      </c>
      <c r="G14" s="554">
        <f t="shared" si="15"/>
        <v>269401452.58922774</v>
      </c>
      <c r="H14" s="554">
        <f t="shared" si="15"/>
        <v>294117893.01947325</v>
      </c>
      <c r="I14" s="554">
        <f t="shared" si="15"/>
        <v>305882608.7402522</v>
      </c>
      <c r="J14" s="554">
        <f t="shared" si="15"/>
        <v>318117913.08986235</v>
      </c>
      <c r="K14" s="554">
        <f t="shared" si="15"/>
        <v>331749047.77678138</v>
      </c>
      <c r="L14" s="554">
        <f t="shared" si="15"/>
        <v>344076334.79799515</v>
      </c>
      <c r="M14" s="554">
        <f t="shared" si="15"/>
        <v>357839388.18991494</v>
      </c>
      <c r="N14" s="554">
        <f t="shared" si="15"/>
        <v>372152963.71751159</v>
      </c>
      <c r="O14" s="554">
        <f t="shared" si="15"/>
        <v>388099463.3135168</v>
      </c>
      <c r="P14" s="554">
        <f t="shared" si="15"/>
        <v>402520645.55686057</v>
      </c>
      <c r="Q14" s="554">
        <f t="shared" si="15"/>
        <v>418621471.37913501</v>
      </c>
      <c r="R14" s="554">
        <f t="shared" si="15"/>
        <v>435366330.23430043</v>
      </c>
      <c r="S14" s="554">
        <f t="shared" si="15"/>
        <v>454021479.28872365</v>
      </c>
      <c r="T14" s="554">
        <f t="shared" si="15"/>
        <v>470892222.7814194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7790595.7943974482</v>
      </c>
      <c r="E15" s="201">
        <f t="shared" si="16"/>
        <v>19340367.0508749</v>
      </c>
      <c r="F15" s="201">
        <f t="shared" si="16"/>
        <v>20091657.668833416</v>
      </c>
      <c r="G15" s="201">
        <f t="shared" si="16"/>
        <v>20857003.743362736</v>
      </c>
      <c r="H15" s="201">
        <f t="shared" si="16"/>
        <v>21465446.227386124</v>
      </c>
      <c r="I15" s="201">
        <f t="shared" si="16"/>
        <v>22324064.076481573</v>
      </c>
      <c r="J15" s="201">
        <f t="shared" si="16"/>
        <v>23217026.639540836</v>
      </c>
      <c r="K15" s="201">
        <f t="shared" si="16"/>
        <v>24211860.328972127</v>
      </c>
      <c r="L15" s="201">
        <f t="shared" si="16"/>
        <v>25111536.013327371</v>
      </c>
      <c r="M15" s="201">
        <f t="shared" si="16"/>
        <v>26115997.453860465</v>
      </c>
      <c r="N15" s="201">
        <f t="shared" si="16"/>
        <v>27160637.352014884</v>
      </c>
      <c r="O15" s="201">
        <f t="shared" si="16"/>
        <v>28324452.059372462</v>
      </c>
      <c r="P15" s="201">
        <f t="shared" si="16"/>
        <v>29376945.359939307</v>
      </c>
      <c r="Q15" s="201">
        <f t="shared" si="16"/>
        <v>30552023.17433688</v>
      </c>
      <c r="R15" s="201">
        <f t="shared" si="16"/>
        <v>31774104.101310354</v>
      </c>
      <c r="S15" s="201">
        <f t="shared" si="16"/>
        <v>33135602.698966511</v>
      </c>
      <c r="T15" s="201">
        <f t="shared" si="16"/>
        <v>34366870.995977283</v>
      </c>
      <c r="V15" s="522">
        <f>D15/D14</f>
        <v>0.10948620545849332</v>
      </c>
      <c r="W15" s="522">
        <f>E15/E14</f>
        <v>9.1601113469990822E-2</v>
      </c>
      <c r="X15" s="522">
        <f>F15/F14</f>
        <v>8.2095337543859684E-2</v>
      </c>
      <c r="Y15" s="522">
        <f>G15/G14</f>
        <v>7.7419789473684233E-2</v>
      </c>
      <c r="Z15" s="522">
        <f>H15/H14</f>
        <v>7.2982456140350899E-2</v>
      </c>
      <c r="AA15" s="522">
        <f>Z15</f>
        <v>7.2982456140350899E-2</v>
      </c>
      <c r="AB15" s="522">
        <f t="shared" ref="AB15:AL17" si="17">AA15</f>
        <v>7.2982456140350899E-2</v>
      </c>
      <c r="AC15" s="522">
        <f t="shared" si="17"/>
        <v>7.2982456140350899E-2</v>
      </c>
      <c r="AD15" s="522">
        <f t="shared" si="17"/>
        <v>7.2982456140350899E-2</v>
      </c>
      <c r="AE15" s="522">
        <f t="shared" si="17"/>
        <v>7.2982456140350899E-2</v>
      </c>
      <c r="AF15" s="522">
        <f t="shared" si="17"/>
        <v>7.2982456140350899E-2</v>
      </c>
      <c r="AG15" s="522">
        <f t="shared" si="17"/>
        <v>7.2982456140350899E-2</v>
      </c>
      <c r="AH15" s="522">
        <f t="shared" si="17"/>
        <v>7.2982456140350899E-2</v>
      </c>
      <c r="AI15" s="522">
        <f t="shared" si="17"/>
        <v>7.2982456140350899E-2</v>
      </c>
      <c r="AJ15" s="522">
        <f t="shared" si="17"/>
        <v>7.2982456140350899E-2</v>
      </c>
      <c r="AK15" s="522">
        <f t="shared" si="17"/>
        <v>7.2982456140350899E-2</v>
      </c>
      <c r="AL15" s="522">
        <f t="shared" si="17"/>
        <v>7.2982456140350899E-2</v>
      </c>
      <c r="AO15" s="557">
        <f>'Прогноз расходов'!M8</f>
        <v>596.69610597669953</v>
      </c>
      <c r="AP15" s="557">
        <f>'Прогноз расходов'!N8</f>
        <v>580.27327737183623</v>
      </c>
      <c r="AQ15" s="557">
        <f>'Прогноз расходов'!O8</f>
        <v>569.32472496859407</v>
      </c>
      <c r="AR15" s="557">
        <f>'Прогноз расходов'!P8</f>
        <v>558.37617256535179</v>
      </c>
      <c r="AS15" s="557">
        <f>'Прогноз расходов'!Q8</f>
        <v>547.42762016210963</v>
      </c>
      <c r="AT15" s="201">
        <f t="shared" ref="AT15:BE15" si="18">AS15*(1+AT11)</f>
        <v>569.32472496859407</v>
      </c>
      <c r="AU15" s="201">
        <f t="shared" si="18"/>
        <v>592.09771396733788</v>
      </c>
      <c r="AV15" s="201">
        <f t="shared" si="18"/>
        <v>615.78162252603147</v>
      </c>
      <c r="AW15" s="201">
        <f t="shared" si="18"/>
        <v>640.41288742707275</v>
      </c>
      <c r="AX15" s="201">
        <f t="shared" si="18"/>
        <v>666.02940292415565</v>
      </c>
      <c r="AY15" s="201">
        <f t="shared" si="18"/>
        <v>692.67057904112187</v>
      </c>
      <c r="AZ15" s="201">
        <f t="shared" si="18"/>
        <v>720.3774022027668</v>
      </c>
      <c r="BA15" s="201">
        <f t="shared" si="18"/>
        <v>749.19249829087755</v>
      </c>
      <c r="BB15" s="201">
        <f t="shared" si="18"/>
        <v>779.16019822251269</v>
      </c>
      <c r="BC15" s="201">
        <f t="shared" si="18"/>
        <v>810.32660615141322</v>
      </c>
      <c r="BD15" s="201">
        <f t="shared" si="18"/>
        <v>842.73967039746981</v>
      </c>
      <c r="BE15" s="201">
        <f t="shared" si="18"/>
        <v>876.44925721336858</v>
      </c>
    </row>
    <row r="16" spans="1:57">
      <c r="A16" s="553"/>
      <c r="B16" s="553"/>
      <c r="C16" s="519" t="s">
        <v>529</v>
      </c>
      <c r="D16" s="201">
        <f t="shared" ref="D16:T16" si="19">V16*D14</f>
        <v>9606054.2772429083</v>
      </c>
      <c r="E16" s="201">
        <f t="shared" si="19"/>
        <v>27447785.527600847</v>
      </c>
      <c r="F16" s="201">
        <f t="shared" si="19"/>
        <v>30591959.101969991</v>
      </c>
      <c r="G16" s="201">
        <f t="shared" si="19"/>
        <v>32328174.310707331</v>
      </c>
      <c r="H16" s="201">
        <f t="shared" si="19"/>
        <v>33823557.697239429</v>
      </c>
      <c r="I16" s="201">
        <f t="shared" si="19"/>
        <v>35176500.005129002</v>
      </c>
      <c r="J16" s="201">
        <f t="shared" si="19"/>
        <v>36583560.005334169</v>
      </c>
      <c r="K16" s="201">
        <f t="shared" si="19"/>
        <v>38151140.494329862</v>
      </c>
      <c r="L16" s="201">
        <f t="shared" si="19"/>
        <v>39568778.501769446</v>
      </c>
      <c r="M16" s="201">
        <f t="shared" si="19"/>
        <v>41151529.641840219</v>
      </c>
      <c r="N16" s="201">
        <f t="shared" si="19"/>
        <v>42797590.827513836</v>
      </c>
      <c r="O16" s="201">
        <f t="shared" si="19"/>
        <v>44631438.281054437</v>
      </c>
      <c r="P16" s="201">
        <f t="shared" si="19"/>
        <v>46289874.239038967</v>
      </c>
      <c r="Q16" s="201">
        <f t="shared" si="19"/>
        <v>48141469.208600529</v>
      </c>
      <c r="R16" s="201">
        <f t="shared" si="19"/>
        <v>50067127.976944551</v>
      </c>
      <c r="S16" s="201">
        <f t="shared" si="19"/>
        <v>52212470.118203223</v>
      </c>
      <c r="T16" s="201">
        <f t="shared" si="19"/>
        <v>54152605.619863234</v>
      </c>
      <c r="V16" s="522">
        <f>'Прогноз расходов'!M18</f>
        <v>0.13500000000000001</v>
      </c>
      <c r="W16" s="522">
        <f>'Прогноз расходов'!N18</f>
        <v>0.13</v>
      </c>
      <c r="X16" s="522">
        <f>'Прогноз расходов'!O18</f>
        <v>0.125</v>
      </c>
      <c r="Y16" s="522">
        <f>'Прогноз расходов'!P18</f>
        <v>0.12000000000000001</v>
      </c>
      <c r="Z16" s="522">
        <f>'Прогноз расходов'!Q18</f>
        <v>0.115</v>
      </c>
      <c r="AA16" s="522">
        <f>Z16</f>
        <v>0.115</v>
      </c>
      <c r="AB16" s="522">
        <f t="shared" si="17"/>
        <v>0.115</v>
      </c>
      <c r="AC16" s="522">
        <f t="shared" si="17"/>
        <v>0.115</v>
      </c>
      <c r="AD16" s="522">
        <f t="shared" si="17"/>
        <v>0.115</v>
      </c>
      <c r="AE16" s="522">
        <f t="shared" si="17"/>
        <v>0.115</v>
      </c>
      <c r="AF16" s="522">
        <f t="shared" si="17"/>
        <v>0.115</v>
      </c>
      <c r="AG16" s="522">
        <f t="shared" si="17"/>
        <v>0.115</v>
      </c>
      <c r="AH16" s="522">
        <f t="shared" si="17"/>
        <v>0.115</v>
      </c>
      <c r="AI16" s="522">
        <f t="shared" si="17"/>
        <v>0.115</v>
      </c>
      <c r="AJ16" s="522">
        <f t="shared" si="17"/>
        <v>0.115</v>
      </c>
      <c r="AK16" s="522">
        <f t="shared" si="17"/>
        <v>0.115</v>
      </c>
      <c r="AL16" s="522">
        <f t="shared" si="17"/>
        <v>0.115</v>
      </c>
      <c r="AO16" s="201">
        <f t="shared" ref="AO16:BE16" si="20">D16/D9</f>
        <v>735.74542080000015</v>
      </c>
      <c r="AP16" s="201">
        <f t="shared" si="20"/>
        <v>823.52193331199987</v>
      </c>
      <c r="AQ16" s="201">
        <f t="shared" si="20"/>
        <v>866.86519296000006</v>
      </c>
      <c r="AR16" s="201">
        <f t="shared" si="20"/>
        <v>865.47820865126414</v>
      </c>
      <c r="AS16" s="201">
        <f t="shared" si="20"/>
        <v>862.59328128909328</v>
      </c>
      <c r="AT16" s="201">
        <f t="shared" si="20"/>
        <v>897.09701254065692</v>
      </c>
      <c r="AU16" s="201">
        <f t="shared" si="20"/>
        <v>932.98089304228336</v>
      </c>
      <c r="AV16" s="201">
        <f t="shared" si="20"/>
        <v>970.30012876397473</v>
      </c>
      <c r="AW16" s="201">
        <f t="shared" si="20"/>
        <v>1009.1121339145338</v>
      </c>
      <c r="AX16" s="201">
        <f t="shared" si="20"/>
        <v>1049.4766192711152</v>
      </c>
      <c r="AY16" s="201">
        <f t="shared" si="20"/>
        <v>1091.45568404196</v>
      </c>
      <c r="AZ16" s="201">
        <f t="shared" si="20"/>
        <v>1135.1139114036384</v>
      </c>
      <c r="BA16" s="201">
        <f t="shared" si="20"/>
        <v>1180.5184678597839</v>
      </c>
      <c r="BB16" s="201">
        <f t="shared" si="20"/>
        <v>1227.7392065741753</v>
      </c>
      <c r="BC16" s="201">
        <f t="shared" si="20"/>
        <v>1276.8487748371424</v>
      </c>
      <c r="BD16" s="201">
        <f t="shared" si="20"/>
        <v>1327.922725830628</v>
      </c>
      <c r="BE16" s="201">
        <f t="shared" si="20"/>
        <v>1381.0396348638535</v>
      </c>
    </row>
    <row r="17" spans="1:62">
      <c r="A17" s="553"/>
      <c r="B17" s="553"/>
      <c r="C17" s="519" t="s">
        <v>27</v>
      </c>
      <c r="D17" s="201">
        <f t="shared" ref="D17:T17" si="21">AO17*D9</f>
        <v>5682131.7949963044</v>
      </c>
      <c r="E17" s="201">
        <f t="shared" si="21"/>
        <v>14231590.848757001</v>
      </c>
      <c r="F17" s="201">
        <f t="shared" si="21"/>
        <v>14778959.727555348</v>
      </c>
      <c r="G17" s="201">
        <f t="shared" si="21"/>
        <v>15642752.807522051</v>
      </c>
      <c r="H17" s="201">
        <f t="shared" si="21"/>
        <v>16099084.670539593</v>
      </c>
      <c r="I17" s="201">
        <f t="shared" si="21"/>
        <v>16743048.057361178</v>
      </c>
      <c r="J17" s="201">
        <f t="shared" si="21"/>
        <v>17412769.979655627</v>
      </c>
      <c r="K17" s="201">
        <f t="shared" si="21"/>
        <v>18158895.246729095</v>
      </c>
      <c r="L17" s="201">
        <f t="shared" si="21"/>
        <v>18833652.009995528</v>
      </c>
      <c r="M17" s="201">
        <f t="shared" si="21"/>
        <v>19586998.09039535</v>
      </c>
      <c r="N17" s="201">
        <f t="shared" si="21"/>
        <v>20370478.014011163</v>
      </c>
      <c r="O17" s="201">
        <f t="shared" si="21"/>
        <v>21243339.044529345</v>
      </c>
      <c r="P17" s="201">
        <f t="shared" si="21"/>
        <v>22032709.019954477</v>
      </c>
      <c r="Q17" s="201">
        <f t="shared" si="21"/>
        <v>22914017.380752657</v>
      </c>
      <c r="R17" s="201">
        <f t="shared" si="21"/>
        <v>23830578.075982768</v>
      </c>
      <c r="S17" s="201">
        <f t="shared" si="21"/>
        <v>24851702.024224881</v>
      </c>
      <c r="T17" s="201">
        <f t="shared" si="21"/>
        <v>25775153.246982962</v>
      </c>
      <c r="V17" s="160">
        <f>D17/D14</f>
        <v>7.9854617742662559E-2</v>
      </c>
      <c r="W17" s="160">
        <f>E17/E14</f>
        <v>6.740459293074795E-2</v>
      </c>
      <c r="X17" s="160">
        <f>F17/F14</f>
        <v>6.0387435789473705E-2</v>
      </c>
      <c r="Y17" s="160">
        <f>G17/G14</f>
        <v>5.8064842105263172E-2</v>
      </c>
      <c r="Z17" s="160">
        <f>H17/H14</f>
        <v>5.4736842105263174E-2</v>
      </c>
      <c r="AA17" s="522">
        <f>Z17</f>
        <v>5.4736842105263174E-2</v>
      </c>
      <c r="AB17" s="522">
        <f t="shared" si="17"/>
        <v>5.4736842105263174E-2</v>
      </c>
      <c r="AC17" s="522">
        <f t="shared" si="17"/>
        <v>5.4736842105263174E-2</v>
      </c>
      <c r="AD17" s="522">
        <f t="shared" si="17"/>
        <v>5.4736842105263174E-2</v>
      </c>
      <c r="AE17" s="522">
        <f t="shared" si="17"/>
        <v>5.4736842105263174E-2</v>
      </c>
      <c r="AF17" s="522">
        <f t="shared" si="17"/>
        <v>5.4736842105263174E-2</v>
      </c>
      <c r="AG17" s="522">
        <f t="shared" si="17"/>
        <v>5.4736842105263174E-2</v>
      </c>
      <c r="AH17" s="522">
        <f t="shared" si="17"/>
        <v>5.4736842105263174E-2</v>
      </c>
      <c r="AI17" s="522">
        <f t="shared" si="17"/>
        <v>5.4736842105263174E-2</v>
      </c>
      <c r="AJ17" s="522">
        <f t="shared" si="17"/>
        <v>5.4736842105263174E-2</v>
      </c>
      <c r="AK17" s="522">
        <f t="shared" si="17"/>
        <v>5.4736842105263174E-2</v>
      </c>
      <c r="AL17" s="522">
        <f t="shared" si="17"/>
        <v>5.4736842105263174E-2</v>
      </c>
      <c r="AO17" s="557">
        <f>'Прогноз расходов'!M28</f>
        <v>435.20495802887717</v>
      </c>
      <c r="AP17" s="557">
        <f>'Прогноз расходов'!N28</f>
        <v>426.99354372644552</v>
      </c>
      <c r="AQ17" s="557">
        <f>'Прогноз расходов'!O28</f>
        <v>418.78212942401387</v>
      </c>
      <c r="AR17" s="557">
        <f>'Прогноз расходов'!P28</f>
        <v>418.78212942401387</v>
      </c>
      <c r="AS17" s="557">
        <f>'Прогноз расходов'!Q28</f>
        <v>410.57071512158223</v>
      </c>
      <c r="AT17" s="201">
        <f t="shared" ref="AT17:BE17" si="22">AS17*(1+AT11)</f>
        <v>426.99354372644552</v>
      </c>
      <c r="AU17" s="201">
        <f t="shared" si="22"/>
        <v>444.07328547550338</v>
      </c>
      <c r="AV17" s="201">
        <f t="shared" si="22"/>
        <v>461.83621689452355</v>
      </c>
      <c r="AW17" s="201">
        <f t="shared" si="22"/>
        <v>480.3096655703045</v>
      </c>
      <c r="AX17" s="201">
        <f t="shared" si="22"/>
        <v>499.52205219311668</v>
      </c>
      <c r="AY17" s="201">
        <f t="shared" si="22"/>
        <v>519.50293428084137</v>
      </c>
      <c r="AZ17" s="201">
        <f t="shared" si="22"/>
        <v>540.28305165207507</v>
      </c>
      <c r="BA17" s="201">
        <f t="shared" si="22"/>
        <v>561.89437371815814</v>
      </c>
      <c r="BB17" s="201">
        <f t="shared" si="22"/>
        <v>584.37014866688446</v>
      </c>
      <c r="BC17" s="201">
        <f t="shared" si="22"/>
        <v>607.74495461355991</v>
      </c>
      <c r="BD17" s="201">
        <f t="shared" si="22"/>
        <v>632.0547527981023</v>
      </c>
      <c r="BE17" s="201">
        <f t="shared" si="22"/>
        <v>657.33694291002644</v>
      </c>
    </row>
    <row r="18" spans="1:62">
      <c r="A18" s="553"/>
      <c r="B18" s="553"/>
      <c r="C18" s="521" t="s">
        <v>28</v>
      </c>
      <c r="D18" s="556">
        <f>SUM(D15:D17)</f>
        <v>23078781.866636664</v>
      </c>
      <c r="E18" s="556">
        <f t="shared" ref="E18:T18" si="23">SUM(E15:E17)</f>
        <v>61019743.427232742</v>
      </c>
      <c r="F18" s="556">
        <f t="shared" si="23"/>
        <v>65462576.498358756</v>
      </c>
      <c r="G18" s="554">
        <f t="shared" si="23"/>
        <v>68827930.861592114</v>
      </c>
      <c r="H18" s="556">
        <f t="shared" si="23"/>
        <v>71388088.595165148</v>
      </c>
      <c r="I18" s="556">
        <f t="shared" si="23"/>
        <v>74243612.138971746</v>
      </c>
      <c r="J18" s="556">
        <f t="shared" si="23"/>
        <v>77213356.624530628</v>
      </c>
      <c r="K18" s="556">
        <f t="shared" si="23"/>
        <v>80521896.070031077</v>
      </c>
      <c r="L18" s="556">
        <f t="shared" si="23"/>
        <v>83513966.525092334</v>
      </c>
      <c r="M18" s="556">
        <f t="shared" si="23"/>
        <v>86854525.186096027</v>
      </c>
      <c r="N18" s="556">
        <f t="shared" si="23"/>
        <v>90328706.193539873</v>
      </c>
      <c r="O18" s="556">
        <f t="shared" si="23"/>
        <v>94199229.384956241</v>
      </c>
      <c r="P18" s="556">
        <f t="shared" si="23"/>
        <v>97699528.618932754</v>
      </c>
      <c r="Q18" s="556">
        <f t="shared" si="23"/>
        <v>101607509.76369005</v>
      </c>
      <c r="R18" s="556">
        <f t="shared" si="23"/>
        <v>105671810.15423767</v>
      </c>
      <c r="S18" s="556">
        <f t="shared" si="23"/>
        <v>110199774.8413946</v>
      </c>
      <c r="T18" s="556">
        <f t="shared" si="23"/>
        <v>114294629.86282349</v>
      </c>
      <c r="V18" s="558">
        <f t="shared" ref="V18:AL18" si="24">D18/D14</f>
        <v>0.32434082320115593</v>
      </c>
      <c r="W18" s="559">
        <f t="shared" si="24"/>
        <v>0.28900570640073875</v>
      </c>
      <c r="X18" s="559">
        <f t="shared" si="24"/>
        <v>0.26748277333333342</v>
      </c>
      <c r="Y18" s="559">
        <f t="shared" si="24"/>
        <v>0.25548463157894741</v>
      </c>
      <c r="Z18" s="558">
        <f t="shared" si="24"/>
        <v>0.24271929824561408</v>
      </c>
      <c r="AA18" s="559">
        <f t="shared" si="24"/>
        <v>0.24271929824561406</v>
      </c>
      <c r="AB18" s="559">
        <f t="shared" si="24"/>
        <v>0.24271929824561406</v>
      </c>
      <c r="AC18" s="559">
        <f t="shared" si="24"/>
        <v>0.24271929824561408</v>
      </c>
      <c r="AD18" s="559">
        <f t="shared" si="24"/>
        <v>0.24271929824561403</v>
      </c>
      <c r="AE18" s="559">
        <f t="shared" si="24"/>
        <v>0.24271929824561406</v>
      </c>
      <c r="AF18" s="559">
        <f t="shared" si="24"/>
        <v>0.24271929824561403</v>
      </c>
      <c r="AG18" s="559">
        <f t="shared" si="24"/>
        <v>0.24271929824561408</v>
      </c>
      <c r="AH18" s="559">
        <f t="shared" si="24"/>
        <v>0.24271929824561408</v>
      </c>
      <c r="AI18" s="559">
        <f t="shared" si="24"/>
        <v>0.24271929824561406</v>
      </c>
      <c r="AJ18" s="559">
        <f t="shared" si="24"/>
        <v>0.24271929824561406</v>
      </c>
      <c r="AK18" s="559">
        <f t="shared" si="24"/>
        <v>0.24271929824561406</v>
      </c>
      <c r="AL18" s="559">
        <f t="shared" si="24"/>
        <v>0.24271929824561408</v>
      </c>
      <c r="AO18" s="554">
        <f t="shared" ref="AO18:BE18" si="25">D18/D$9</f>
        <v>1767.6464848055771</v>
      </c>
      <c r="AP18" s="556">
        <f t="shared" si="25"/>
        <v>1830.7887544102816</v>
      </c>
      <c r="AQ18" s="556">
        <f t="shared" si="25"/>
        <v>1854.9720473526081</v>
      </c>
      <c r="AR18" s="556">
        <f t="shared" si="25"/>
        <v>1842.6365106406297</v>
      </c>
      <c r="AS18" s="554">
        <f t="shared" si="25"/>
        <v>1820.5916165727851</v>
      </c>
      <c r="AT18" s="556">
        <f t="shared" si="25"/>
        <v>1893.4152812356963</v>
      </c>
      <c r="AU18" s="556">
        <f t="shared" si="25"/>
        <v>1969.1518924851246</v>
      </c>
      <c r="AV18" s="556">
        <f t="shared" si="25"/>
        <v>2047.9179681845296</v>
      </c>
      <c r="AW18" s="556">
        <f t="shared" si="25"/>
        <v>2129.8346869119109</v>
      </c>
      <c r="AX18" s="556">
        <f t="shared" si="25"/>
        <v>2215.0280743883873</v>
      </c>
      <c r="AY18" s="556">
        <f t="shared" si="25"/>
        <v>2303.6291973639227</v>
      </c>
      <c r="AZ18" s="556">
        <f t="shared" si="25"/>
        <v>2395.7743652584804</v>
      </c>
      <c r="BA18" s="556">
        <f t="shared" si="25"/>
        <v>2491.6053398688196</v>
      </c>
      <c r="BB18" s="556">
        <f t="shared" si="25"/>
        <v>2591.2695534635723</v>
      </c>
      <c r="BC18" s="556">
        <f t="shared" si="25"/>
        <v>2694.9203356021153</v>
      </c>
      <c r="BD18" s="556">
        <f t="shared" si="25"/>
        <v>2802.7171490261999</v>
      </c>
      <c r="BE18" s="556">
        <f t="shared" si="25"/>
        <v>2914.8258349872485</v>
      </c>
    </row>
    <row r="19" spans="1:62">
      <c r="A19" s="560"/>
      <c r="B19" s="560"/>
      <c r="C19" s="521" t="s">
        <v>18</v>
      </c>
      <c r="D19" s="554">
        <f t="shared" ref="D19:T19" si="26">D14-D18</f>
        <v>48077175.742570058</v>
      </c>
      <c r="E19" s="556">
        <f t="shared" si="26"/>
        <v>150117068.32354301</v>
      </c>
      <c r="F19" s="556">
        <f t="shared" si="26"/>
        <v>179273096.31740117</v>
      </c>
      <c r="G19" s="556">
        <f t="shared" si="26"/>
        <v>200573521.72763562</v>
      </c>
      <c r="H19" s="556">
        <f t="shared" si="26"/>
        <v>222729804.42430812</v>
      </c>
      <c r="I19" s="556">
        <f t="shared" si="26"/>
        <v>231638996.60128045</v>
      </c>
      <c r="J19" s="556">
        <f t="shared" si="26"/>
        <v>240904556.46533173</v>
      </c>
      <c r="K19" s="556">
        <f t="shared" si="26"/>
        <v>251227151.7067503</v>
      </c>
      <c r="L19" s="556">
        <f t="shared" si="26"/>
        <v>260562368.27290282</v>
      </c>
      <c r="M19" s="556">
        <f t="shared" si="26"/>
        <v>270984863.00381893</v>
      </c>
      <c r="N19" s="556">
        <f t="shared" si="26"/>
        <v>281824257.52397174</v>
      </c>
      <c r="O19" s="556">
        <f t="shared" si="26"/>
        <v>293900233.92856055</v>
      </c>
      <c r="P19" s="556">
        <f t="shared" si="26"/>
        <v>304821116.93792784</v>
      </c>
      <c r="Q19" s="556">
        <f t="shared" si="26"/>
        <v>317013961.61544496</v>
      </c>
      <c r="R19" s="556">
        <f t="shared" si="26"/>
        <v>329694520.08006275</v>
      </c>
      <c r="S19" s="556">
        <f t="shared" si="26"/>
        <v>343821704.44732904</v>
      </c>
      <c r="T19" s="556">
        <f t="shared" si="26"/>
        <v>356597592.91859591</v>
      </c>
      <c r="V19" s="559">
        <f t="shared" ref="V19:AL19" si="27">D19/D14</f>
        <v>0.67565917679884402</v>
      </c>
      <c r="W19" s="559">
        <f t="shared" si="27"/>
        <v>0.71099429359926125</v>
      </c>
      <c r="X19" s="559">
        <f t="shared" si="27"/>
        <v>0.73251722666666663</v>
      </c>
      <c r="Y19" s="559">
        <f t="shared" si="27"/>
        <v>0.74451536842105259</v>
      </c>
      <c r="Z19" s="559">
        <f t="shared" si="27"/>
        <v>0.757280701754386</v>
      </c>
      <c r="AA19" s="559">
        <f t="shared" si="27"/>
        <v>0.757280701754386</v>
      </c>
      <c r="AB19" s="559">
        <f t="shared" si="27"/>
        <v>0.757280701754386</v>
      </c>
      <c r="AC19" s="559">
        <f t="shared" si="27"/>
        <v>0.75728070175438589</v>
      </c>
      <c r="AD19" s="559">
        <f t="shared" si="27"/>
        <v>0.757280701754386</v>
      </c>
      <c r="AE19" s="559">
        <f t="shared" si="27"/>
        <v>0.757280701754386</v>
      </c>
      <c r="AF19" s="559">
        <f t="shared" si="27"/>
        <v>0.757280701754386</v>
      </c>
      <c r="AG19" s="559">
        <f t="shared" si="27"/>
        <v>0.75728070175438589</v>
      </c>
      <c r="AH19" s="559">
        <f t="shared" si="27"/>
        <v>0.757280701754386</v>
      </c>
      <c r="AI19" s="559">
        <f t="shared" si="27"/>
        <v>0.757280701754386</v>
      </c>
      <c r="AJ19" s="559">
        <f t="shared" si="27"/>
        <v>0.75728070175438589</v>
      </c>
      <c r="AK19" s="559">
        <f t="shared" si="27"/>
        <v>0.75728070175438589</v>
      </c>
      <c r="AL19" s="559">
        <f t="shared" si="27"/>
        <v>0.75728070175438589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62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>
        <f>D21/D12</f>
        <v>0.28908554572271383</v>
      </c>
      <c r="W20" s="563">
        <f>E21/E12</f>
        <v>0.2735562310030395</v>
      </c>
      <c r="X20" s="563">
        <f>F21/F12</f>
        <v>0.26911314984709478</v>
      </c>
      <c r="Y20" s="563">
        <f>G21/G12</f>
        <v>0.26086956521739135</v>
      </c>
      <c r="Z20" s="1040">
        <f>H21/H12</f>
        <v>0.25625000000000003</v>
      </c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1044">
        <f>AO21/LOOKUP(AO3,CPI!3:3,CPI!5:5)</f>
        <v>2282.7403846153843</v>
      </c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62">
      <c r="A21" s="560"/>
      <c r="B21" s="560"/>
      <c r="C21" s="521" t="s">
        <v>17</v>
      </c>
      <c r="D21" s="556">
        <f>D22+D23</f>
        <v>34866419.228511289</v>
      </c>
      <c r="E21" s="556">
        <f t="shared" ref="E21:T21" si="28">E22+E23</f>
        <v>95011565.287849084</v>
      </c>
      <c r="F21" s="556">
        <f t="shared" si="28"/>
        <v>107683696.03893436</v>
      </c>
      <c r="G21" s="556">
        <f t="shared" si="28"/>
        <v>113148610.08747566</v>
      </c>
      <c r="H21" s="556">
        <f t="shared" si="28"/>
        <v>120588336.13798404</v>
      </c>
      <c r="I21" s="556">
        <f t="shared" si="28"/>
        <v>125411869.5835034</v>
      </c>
      <c r="J21" s="556">
        <f t="shared" si="28"/>
        <v>130428344.36684355</v>
      </c>
      <c r="K21" s="556">
        <f t="shared" si="28"/>
        <v>136017109.58848035</v>
      </c>
      <c r="L21" s="556">
        <f t="shared" si="28"/>
        <v>141071297.267178</v>
      </c>
      <c r="M21" s="556">
        <f t="shared" si="28"/>
        <v>146714149.15786511</v>
      </c>
      <c r="N21" s="556">
        <f t="shared" si="28"/>
        <v>152582715.12417975</v>
      </c>
      <c r="O21" s="556">
        <f t="shared" si="28"/>
        <v>159120779.9585419</v>
      </c>
      <c r="P21" s="556">
        <f t="shared" si="28"/>
        <v>165033464.67831284</v>
      </c>
      <c r="Q21" s="556">
        <f t="shared" si="28"/>
        <v>171634803.26544535</v>
      </c>
      <c r="R21" s="556">
        <f t="shared" si="28"/>
        <v>178500195.39606318</v>
      </c>
      <c r="S21" s="556">
        <f t="shared" si="28"/>
        <v>186148806.50837669</v>
      </c>
      <c r="T21" s="556">
        <f t="shared" si="28"/>
        <v>193065811.34038192</v>
      </c>
      <c r="V21" s="555">
        <f t="shared" ref="V21:AL21" si="29">D21/D14</f>
        <v>0.48999999999999994</v>
      </c>
      <c r="W21" s="555">
        <f t="shared" si="29"/>
        <v>0.44999999999999996</v>
      </c>
      <c r="X21" s="555">
        <f t="shared" si="29"/>
        <v>0.44</v>
      </c>
      <c r="Y21" s="555">
        <f t="shared" si="29"/>
        <v>0.42000000000000004</v>
      </c>
      <c r="Z21" s="555">
        <f t="shared" si="29"/>
        <v>0.41000000000000003</v>
      </c>
      <c r="AA21" s="555">
        <f t="shared" si="29"/>
        <v>0.41</v>
      </c>
      <c r="AB21" s="555">
        <f t="shared" si="29"/>
        <v>0.41</v>
      </c>
      <c r="AC21" s="555">
        <f t="shared" si="29"/>
        <v>0.41</v>
      </c>
      <c r="AD21" s="555">
        <f t="shared" si="29"/>
        <v>0.41</v>
      </c>
      <c r="AE21" s="555">
        <f t="shared" si="29"/>
        <v>0.40999999999999992</v>
      </c>
      <c r="AF21" s="555">
        <f t="shared" si="29"/>
        <v>0.41</v>
      </c>
      <c r="AG21" s="555">
        <f t="shared" si="29"/>
        <v>0.41000000000000003</v>
      </c>
      <c r="AH21" s="555">
        <f t="shared" si="29"/>
        <v>0.41000000000000003</v>
      </c>
      <c r="AI21" s="555">
        <f t="shared" si="29"/>
        <v>0.41</v>
      </c>
      <c r="AJ21" s="555">
        <f t="shared" si="29"/>
        <v>0.41</v>
      </c>
      <c r="AK21" s="555">
        <f t="shared" si="29"/>
        <v>0.41</v>
      </c>
      <c r="AL21" s="555">
        <f t="shared" si="29"/>
        <v>0.40999999999999992</v>
      </c>
      <c r="AO21" s="554">
        <f>D21/D9</f>
        <v>2670.4833791999999</v>
      </c>
      <c r="AP21" s="556">
        <f t="shared" ref="AP21:BE21" si="30">E21/E9</f>
        <v>2850.6528460799996</v>
      </c>
      <c r="AQ21" s="556">
        <f t="shared" si="30"/>
        <v>3051.3654792192001</v>
      </c>
      <c r="AR21" s="556">
        <f t="shared" si="30"/>
        <v>3029.1737302794245</v>
      </c>
      <c r="AS21" s="556">
        <f t="shared" si="30"/>
        <v>3075.3325680741582</v>
      </c>
      <c r="AT21" s="556">
        <f t="shared" si="30"/>
        <v>3198.3458707971245</v>
      </c>
      <c r="AU21" s="556">
        <f t="shared" si="30"/>
        <v>3326.2797056290101</v>
      </c>
      <c r="AV21" s="556">
        <f t="shared" si="30"/>
        <v>3459.33089385417</v>
      </c>
      <c r="AW21" s="556">
        <f t="shared" si="30"/>
        <v>3597.7041296083376</v>
      </c>
      <c r="AX21" s="556">
        <f t="shared" si="30"/>
        <v>3741.6122947926706</v>
      </c>
      <c r="AY21" s="556">
        <f t="shared" si="30"/>
        <v>3891.2767865843784</v>
      </c>
      <c r="AZ21" s="556">
        <f t="shared" si="30"/>
        <v>4046.9278580477539</v>
      </c>
      <c r="BA21" s="556">
        <f t="shared" si="30"/>
        <v>4208.804972369664</v>
      </c>
      <c r="BB21" s="556">
        <f t="shared" si="30"/>
        <v>4377.1571712644509</v>
      </c>
      <c r="BC21" s="556">
        <f t="shared" si="30"/>
        <v>4552.2434581150292</v>
      </c>
      <c r="BD21" s="556">
        <f t="shared" si="30"/>
        <v>4734.3331964396302</v>
      </c>
      <c r="BE21" s="556">
        <f t="shared" si="30"/>
        <v>4923.7065242972158</v>
      </c>
      <c r="BF21" s="1367" t="s">
        <v>725</v>
      </c>
      <c r="BG21" s="1368"/>
      <c r="BH21" s="1368"/>
      <c r="BI21" s="1368"/>
      <c r="BJ21" s="1368"/>
    </row>
    <row r="22" spans="1:62">
      <c r="A22" s="560"/>
      <c r="B22" s="560"/>
      <c r="C22" s="517" t="s">
        <v>45</v>
      </c>
      <c r="D22" s="811">
        <f>D14*V22</f>
        <v>33443300.076327156</v>
      </c>
      <c r="E22" s="811">
        <f t="shared" ref="E22:T22" si="31">E14*W22</f>
        <v>88677460.935325816</v>
      </c>
      <c r="F22" s="811">
        <f t="shared" si="31"/>
        <v>97894269.126303971</v>
      </c>
      <c r="G22" s="811">
        <f t="shared" si="31"/>
        <v>99678537.458014265</v>
      </c>
      <c r="H22" s="811">
        <f t="shared" si="31"/>
        <v>102941262.55681564</v>
      </c>
      <c r="I22" s="811">
        <f t="shared" si="31"/>
        <v>107058913.05908826</v>
      </c>
      <c r="J22" s="811">
        <f t="shared" si="31"/>
        <v>111341269.58145182</v>
      </c>
      <c r="K22" s="811">
        <f t="shared" si="31"/>
        <v>116112166.72187348</v>
      </c>
      <c r="L22" s="811">
        <f t="shared" si="31"/>
        <v>120426717.1792983</v>
      </c>
      <c r="M22" s="811">
        <f t="shared" si="31"/>
        <v>125243785.86647022</v>
      </c>
      <c r="N22" s="811">
        <f t="shared" si="31"/>
        <v>130253537.30112904</v>
      </c>
      <c r="O22" s="811">
        <f t="shared" si="31"/>
        <v>135834812.15973088</v>
      </c>
      <c r="P22" s="811">
        <f t="shared" si="31"/>
        <v>140882225.9449012</v>
      </c>
      <c r="Q22" s="811">
        <f t="shared" si="31"/>
        <v>146517514.98269725</v>
      </c>
      <c r="R22" s="811">
        <f t="shared" si="31"/>
        <v>152378215.58200514</v>
      </c>
      <c r="S22" s="811">
        <f t="shared" si="31"/>
        <v>158907517.75105327</v>
      </c>
      <c r="T22" s="811">
        <f t="shared" si="31"/>
        <v>164812277.97349676</v>
      </c>
      <c r="V22" s="816">
        <f>'Прогноз F&amp;B'!F9</f>
        <v>0.47</v>
      </c>
      <c r="W22" s="816">
        <f>'Прогноз F&amp;B'!G9</f>
        <v>0.42</v>
      </c>
      <c r="X22" s="816">
        <f>'Прогноз F&amp;B'!H9</f>
        <v>0.4</v>
      </c>
      <c r="Y22" s="816">
        <f>'Прогноз F&amp;B'!I9</f>
        <v>0.37</v>
      </c>
      <c r="Z22" s="816">
        <f>'Прогноз F&amp;B'!J9</f>
        <v>0.35</v>
      </c>
      <c r="AA22" s="812">
        <f t="shared" ref="AA22:AL29" si="32">Z22</f>
        <v>0.35</v>
      </c>
      <c r="AB22" s="812">
        <f t="shared" si="32"/>
        <v>0.35</v>
      </c>
      <c r="AC22" s="812">
        <f t="shared" si="32"/>
        <v>0.35</v>
      </c>
      <c r="AD22" s="812">
        <f t="shared" si="32"/>
        <v>0.35</v>
      </c>
      <c r="AE22" s="812">
        <f t="shared" si="32"/>
        <v>0.35</v>
      </c>
      <c r="AF22" s="812">
        <f t="shared" si="32"/>
        <v>0.35</v>
      </c>
      <c r="AG22" s="812">
        <f t="shared" si="32"/>
        <v>0.35</v>
      </c>
      <c r="AH22" s="812">
        <f t="shared" si="32"/>
        <v>0.35</v>
      </c>
      <c r="AI22" s="812">
        <f t="shared" si="32"/>
        <v>0.35</v>
      </c>
      <c r="AJ22" s="812">
        <f t="shared" si="32"/>
        <v>0.35</v>
      </c>
      <c r="AK22" s="812">
        <f t="shared" si="32"/>
        <v>0.35</v>
      </c>
      <c r="AL22" s="812">
        <f t="shared" si="32"/>
        <v>0.35</v>
      </c>
      <c r="AO22" s="556">
        <f t="shared" ref="AO22:BE22" si="33">D22/D9/$AO$5</f>
        <v>1040.4078219333876</v>
      </c>
      <c r="AP22" s="556">
        <f t="shared" si="33"/>
        <v>1080.6699118635256</v>
      </c>
      <c r="AQ22" s="556">
        <f t="shared" si="33"/>
        <v>1126.7134920682374</v>
      </c>
      <c r="AR22" s="556">
        <f t="shared" si="33"/>
        <v>1083.8983793696443</v>
      </c>
      <c r="AS22" s="556">
        <f t="shared" si="33"/>
        <v>1066.3216488933799</v>
      </c>
      <c r="AT22" s="556">
        <f t="shared" si="33"/>
        <v>1108.9745148491149</v>
      </c>
      <c r="AU22" s="556">
        <f t="shared" si="33"/>
        <v>1153.33349544308</v>
      </c>
      <c r="AV22" s="556">
        <f t="shared" si="33"/>
        <v>1199.466835260803</v>
      </c>
      <c r="AW22" s="556">
        <f t="shared" si="33"/>
        <v>1247.4455086712353</v>
      </c>
      <c r="AX22" s="556">
        <f t="shared" si="33"/>
        <v>1297.3433290180847</v>
      </c>
      <c r="AY22" s="556">
        <f t="shared" si="33"/>
        <v>1349.2370621788082</v>
      </c>
      <c r="AZ22" s="556">
        <f t="shared" si="33"/>
        <v>1403.2065446659606</v>
      </c>
      <c r="BA22" s="556">
        <f t="shared" si="33"/>
        <v>1459.3348064525992</v>
      </c>
      <c r="BB22" s="556">
        <f t="shared" si="33"/>
        <v>1517.7081987107031</v>
      </c>
      <c r="BC22" s="556">
        <f t="shared" si="33"/>
        <v>1578.4165266591313</v>
      </c>
      <c r="BD22" s="556">
        <f t="shared" si="33"/>
        <v>1641.5531877254966</v>
      </c>
      <c r="BE22" s="556">
        <f t="shared" si="33"/>
        <v>1707.2153152345163</v>
      </c>
      <c r="BF22" s="1367" t="s">
        <v>550</v>
      </c>
      <c r="BG22" s="1368"/>
      <c r="BH22" s="1368"/>
      <c r="BI22" s="1368"/>
      <c r="BJ22" s="1368"/>
    </row>
    <row r="23" spans="1:62">
      <c r="A23" s="560"/>
      <c r="B23" s="560"/>
      <c r="C23" s="517" t="s">
        <v>509</v>
      </c>
      <c r="D23" s="811">
        <f>D14*V23</f>
        <v>1423119.1521841343</v>
      </c>
      <c r="E23" s="811">
        <f t="shared" ref="E23:T23" si="34">E14*W23</f>
        <v>6334104.3525232729</v>
      </c>
      <c r="F23" s="811">
        <f t="shared" si="34"/>
        <v>9789426.9126303978</v>
      </c>
      <c r="G23" s="811">
        <f t="shared" si="34"/>
        <v>13470072.629461387</v>
      </c>
      <c r="H23" s="811">
        <f t="shared" si="34"/>
        <v>17647073.581168395</v>
      </c>
      <c r="I23" s="811">
        <f t="shared" si="34"/>
        <v>18352956.524415132</v>
      </c>
      <c r="J23" s="811">
        <f t="shared" si="34"/>
        <v>19087074.785391741</v>
      </c>
      <c r="K23" s="811">
        <f t="shared" si="34"/>
        <v>19904942.866606884</v>
      </c>
      <c r="L23" s="811">
        <f t="shared" si="34"/>
        <v>20644580.08787971</v>
      </c>
      <c r="M23" s="811">
        <f t="shared" si="34"/>
        <v>21470363.291394897</v>
      </c>
      <c r="N23" s="811">
        <f t="shared" si="34"/>
        <v>22329177.823050696</v>
      </c>
      <c r="O23" s="811">
        <f t="shared" si="34"/>
        <v>23285967.798811007</v>
      </c>
      <c r="P23" s="811">
        <f t="shared" si="34"/>
        <v>24151238.733411632</v>
      </c>
      <c r="Q23" s="811">
        <f t="shared" si="34"/>
        <v>25117288.282748099</v>
      </c>
      <c r="R23" s="811">
        <f t="shared" si="34"/>
        <v>26121979.814058024</v>
      </c>
      <c r="S23" s="811">
        <f t="shared" si="34"/>
        <v>27241288.757323418</v>
      </c>
      <c r="T23" s="811">
        <f t="shared" si="34"/>
        <v>28253533.366885163</v>
      </c>
      <c r="V23" s="816">
        <f>'Прогноз F&amp;B'!F17</f>
        <v>0.02</v>
      </c>
      <c r="W23" s="816">
        <f>'Прогноз F&amp;B'!G17</f>
        <v>0.03</v>
      </c>
      <c r="X23" s="816">
        <f>'Прогноз F&amp;B'!H17</f>
        <v>0.04</v>
      </c>
      <c r="Y23" s="816">
        <f>'Прогноз F&amp;B'!I17</f>
        <v>0.05</v>
      </c>
      <c r="Z23" s="816">
        <f>'Прогноз F&amp;B'!J17</f>
        <v>0.06</v>
      </c>
      <c r="AA23" s="812">
        <f t="shared" si="32"/>
        <v>0.06</v>
      </c>
      <c r="AB23" s="812">
        <f t="shared" si="32"/>
        <v>0.06</v>
      </c>
      <c r="AC23" s="812">
        <f t="shared" si="32"/>
        <v>0.06</v>
      </c>
      <c r="AD23" s="812">
        <f t="shared" si="32"/>
        <v>0.06</v>
      </c>
      <c r="AE23" s="812">
        <f t="shared" si="32"/>
        <v>0.06</v>
      </c>
      <c r="AF23" s="812">
        <f t="shared" si="32"/>
        <v>0.06</v>
      </c>
      <c r="AG23" s="812">
        <f t="shared" si="32"/>
        <v>0.06</v>
      </c>
      <c r="AH23" s="812">
        <f t="shared" si="32"/>
        <v>0.06</v>
      </c>
      <c r="AI23" s="812">
        <f t="shared" si="32"/>
        <v>0.06</v>
      </c>
      <c r="AJ23" s="812">
        <f t="shared" si="32"/>
        <v>0.06</v>
      </c>
      <c r="AK23" s="812">
        <f t="shared" si="32"/>
        <v>0.06</v>
      </c>
      <c r="AL23" s="812">
        <f t="shared" si="32"/>
        <v>0.06</v>
      </c>
      <c r="AO23" s="556">
        <f>D23/D9</f>
        <v>108.9993216</v>
      </c>
      <c r="AP23" s="556">
        <f t="shared" ref="AP23:BE23" si="35">E23/E9</f>
        <v>190.043523072</v>
      </c>
      <c r="AQ23" s="556">
        <f t="shared" si="35"/>
        <v>277.39686174720003</v>
      </c>
      <c r="AR23" s="556">
        <f t="shared" si="35"/>
        <v>360.61592027136004</v>
      </c>
      <c r="AS23" s="556">
        <f t="shared" si="35"/>
        <v>450.04866849865726</v>
      </c>
      <c r="AT23" s="556">
        <f t="shared" si="35"/>
        <v>468.0506152386036</v>
      </c>
      <c r="AU23" s="556">
        <f t="shared" si="35"/>
        <v>486.77263984814783</v>
      </c>
      <c r="AV23" s="556">
        <f t="shared" si="35"/>
        <v>506.2435454420737</v>
      </c>
      <c r="AW23" s="556">
        <f t="shared" si="35"/>
        <v>526.49328725975681</v>
      </c>
      <c r="AX23" s="556">
        <f t="shared" si="35"/>
        <v>547.55301875014698</v>
      </c>
      <c r="AY23" s="556">
        <f t="shared" si="35"/>
        <v>569.455139500153</v>
      </c>
      <c r="AZ23" s="556">
        <f t="shared" si="35"/>
        <v>592.2333450801591</v>
      </c>
      <c r="BA23" s="556">
        <f t="shared" si="35"/>
        <v>615.92267888336551</v>
      </c>
      <c r="BB23" s="556">
        <f t="shared" si="35"/>
        <v>640.5595860387001</v>
      </c>
      <c r="BC23" s="556">
        <f t="shared" si="35"/>
        <v>666.1819694802482</v>
      </c>
      <c r="BD23" s="556">
        <f t="shared" si="35"/>
        <v>692.82924825945804</v>
      </c>
      <c r="BE23" s="556">
        <f t="shared" si="35"/>
        <v>720.54241818983655</v>
      </c>
      <c r="BF23" s="1367" t="s">
        <v>725</v>
      </c>
      <c r="BG23" s="1368"/>
      <c r="BH23" s="1368"/>
      <c r="BI23" s="1368"/>
      <c r="BJ23" s="1368"/>
    </row>
    <row r="24" spans="1:62">
      <c r="A24" s="560"/>
      <c r="B24" s="560"/>
      <c r="C24" s="519" t="s">
        <v>516</v>
      </c>
      <c r="D24" s="201">
        <f t="shared" ref="D24:T25" si="36">V24*D22</f>
        <v>13377320.030530863</v>
      </c>
      <c r="E24" s="201">
        <f t="shared" si="36"/>
        <v>33697435.155423813</v>
      </c>
      <c r="F24" s="201">
        <f t="shared" si="36"/>
        <v>36220879.576732472</v>
      </c>
      <c r="G24" s="201">
        <f t="shared" si="36"/>
        <v>36881058.859465279</v>
      </c>
      <c r="H24" s="201">
        <f t="shared" si="36"/>
        <v>38088267.146021783</v>
      </c>
      <c r="I24" s="201">
        <f t="shared" si="36"/>
        <v>39611797.831862658</v>
      </c>
      <c r="J24" s="201">
        <f t="shared" si="36"/>
        <v>41196269.74513717</v>
      </c>
      <c r="K24" s="201">
        <f t="shared" si="36"/>
        <v>42961501.687093183</v>
      </c>
      <c r="L24" s="201">
        <f t="shared" si="36"/>
        <v>44557885.356340371</v>
      </c>
      <c r="M24" s="201">
        <f t="shared" si="36"/>
        <v>46340200.770593978</v>
      </c>
      <c r="N24" s="201">
        <f t="shared" si="36"/>
        <v>48193808.801417746</v>
      </c>
      <c r="O24" s="201">
        <f t="shared" si="36"/>
        <v>50258880.499100424</v>
      </c>
      <c r="P24" s="201">
        <f t="shared" si="36"/>
        <v>52126423.599613443</v>
      </c>
      <c r="Q24" s="201">
        <f t="shared" si="36"/>
        <v>54211480.543597981</v>
      </c>
      <c r="R24" s="201">
        <f t="shared" si="36"/>
        <v>56379939.7653419</v>
      </c>
      <c r="S24" s="201">
        <f t="shared" si="36"/>
        <v>58795781.567889713</v>
      </c>
      <c r="T24" s="201">
        <f t="shared" si="36"/>
        <v>60980542.850193806</v>
      </c>
      <c r="V24" s="522">
        <f>'Прогноз F&amp;B'!F36</f>
        <v>0.4</v>
      </c>
      <c r="W24" s="522">
        <f>'Прогноз F&amp;B'!G36</f>
        <v>0.38</v>
      </c>
      <c r="X24" s="522">
        <f>'Прогноз F&amp;B'!H36</f>
        <v>0.37</v>
      </c>
      <c r="Y24" s="522">
        <f>'Прогноз F&amp;B'!I36</f>
        <v>0.37</v>
      </c>
      <c r="Z24" s="522">
        <f>'Прогноз F&amp;B'!J36</f>
        <v>0.37</v>
      </c>
      <c r="AA24" s="567">
        <f t="shared" si="32"/>
        <v>0.37</v>
      </c>
      <c r="AB24" s="567">
        <f t="shared" si="32"/>
        <v>0.37</v>
      </c>
      <c r="AC24" s="567">
        <f t="shared" si="32"/>
        <v>0.37</v>
      </c>
      <c r="AD24" s="567">
        <f t="shared" si="32"/>
        <v>0.37</v>
      </c>
      <c r="AE24" s="567">
        <f t="shared" si="32"/>
        <v>0.37</v>
      </c>
      <c r="AF24" s="567">
        <f t="shared" si="32"/>
        <v>0.37</v>
      </c>
      <c r="AG24" s="567">
        <f t="shared" si="32"/>
        <v>0.37</v>
      </c>
      <c r="AH24" s="567">
        <f t="shared" si="32"/>
        <v>0.37</v>
      </c>
      <c r="AI24" s="567">
        <f t="shared" si="32"/>
        <v>0.37</v>
      </c>
      <c r="AJ24" s="567">
        <f t="shared" si="32"/>
        <v>0.37</v>
      </c>
      <c r="AK24" s="567">
        <f t="shared" si="32"/>
        <v>0.37</v>
      </c>
      <c r="AL24" s="567">
        <f t="shared" si="32"/>
        <v>0.37</v>
      </c>
      <c r="AO24" s="201">
        <f t="shared" ref="AO24:BE24" si="37">D24/D$9</f>
        <v>1024.59362304</v>
      </c>
      <c r="AP24" s="201">
        <f t="shared" si="37"/>
        <v>1011.0315427430399</v>
      </c>
      <c r="AQ24" s="201">
        <f t="shared" si="37"/>
        <v>1026.36838846464</v>
      </c>
      <c r="AR24" s="201">
        <f t="shared" si="37"/>
        <v>987.36638970298384</v>
      </c>
      <c r="AS24" s="201">
        <f t="shared" si="37"/>
        <v>971.35504284293529</v>
      </c>
      <c r="AT24" s="201">
        <f t="shared" si="37"/>
        <v>1010.2092445566527</v>
      </c>
      <c r="AU24" s="201">
        <f t="shared" si="37"/>
        <v>1050.6176143389191</v>
      </c>
      <c r="AV24" s="201">
        <f t="shared" si="37"/>
        <v>1092.6423189124755</v>
      </c>
      <c r="AW24" s="201">
        <f t="shared" si="37"/>
        <v>1136.348011668975</v>
      </c>
      <c r="AX24" s="201">
        <f t="shared" si="37"/>
        <v>1181.8019321357338</v>
      </c>
      <c r="AY24" s="201">
        <f t="shared" si="37"/>
        <v>1229.0740094211633</v>
      </c>
      <c r="AZ24" s="201">
        <f t="shared" si="37"/>
        <v>1278.23696979801</v>
      </c>
      <c r="BA24" s="201">
        <f t="shared" si="37"/>
        <v>1329.3664485899305</v>
      </c>
      <c r="BB24" s="201">
        <f t="shared" si="37"/>
        <v>1382.5411065335277</v>
      </c>
      <c r="BC24" s="201">
        <f t="shared" si="37"/>
        <v>1437.8427507948688</v>
      </c>
      <c r="BD24" s="201">
        <f t="shared" si="37"/>
        <v>1495.3564608266638</v>
      </c>
      <c r="BE24" s="201">
        <f t="shared" si="37"/>
        <v>1555.1707192597303</v>
      </c>
      <c r="BF24" s="1368"/>
      <c r="BG24" s="1368"/>
      <c r="BH24" s="1368"/>
      <c r="BI24" s="1368"/>
      <c r="BJ24" s="1368"/>
    </row>
    <row r="25" spans="1:62">
      <c r="A25" s="560"/>
      <c r="B25" s="560"/>
      <c r="C25" s="519" t="s">
        <v>517</v>
      </c>
      <c r="D25" s="201">
        <f t="shared" si="36"/>
        <v>99618.340652889412</v>
      </c>
      <c r="E25" s="201">
        <f t="shared" si="36"/>
        <v>443387.30467662914</v>
      </c>
      <c r="F25" s="201">
        <f t="shared" si="36"/>
        <v>685259.88388412795</v>
      </c>
      <c r="G25" s="201">
        <f t="shared" si="36"/>
        <v>942905.08406229725</v>
      </c>
      <c r="H25" s="201">
        <f t="shared" si="36"/>
        <v>1235295.1506817876</v>
      </c>
      <c r="I25" s="201">
        <f t="shared" si="36"/>
        <v>1284706.9567090594</v>
      </c>
      <c r="J25" s="201">
        <f t="shared" si="36"/>
        <v>1336095.234977422</v>
      </c>
      <c r="K25" s="201">
        <f t="shared" si="36"/>
        <v>1393346.0006624819</v>
      </c>
      <c r="L25" s="201">
        <f t="shared" si="36"/>
        <v>1445120.6061515799</v>
      </c>
      <c r="M25" s="201">
        <f t="shared" si="36"/>
        <v>1502925.430397643</v>
      </c>
      <c r="N25" s="201">
        <f t="shared" si="36"/>
        <v>1563042.447613549</v>
      </c>
      <c r="O25" s="201">
        <f t="shared" si="36"/>
        <v>1630017.7459167708</v>
      </c>
      <c r="P25" s="201">
        <f t="shared" si="36"/>
        <v>1690586.7113388143</v>
      </c>
      <c r="Q25" s="201">
        <f t="shared" si="36"/>
        <v>1758210.1797923672</v>
      </c>
      <c r="R25" s="201">
        <f t="shared" si="36"/>
        <v>1828538.5869840619</v>
      </c>
      <c r="S25" s="201">
        <f t="shared" si="36"/>
        <v>1906890.2130126394</v>
      </c>
      <c r="T25" s="201">
        <f t="shared" si="36"/>
        <v>1977747.3356819616</v>
      </c>
      <c r="V25" s="522">
        <f>'Прогноз F&amp;B'!F44</f>
        <v>7.0000000000000007E-2</v>
      </c>
      <c r="W25" s="522">
        <f>'Прогноз F&amp;B'!G44</f>
        <v>7.0000000000000007E-2</v>
      </c>
      <c r="X25" s="522">
        <f>'Прогноз F&amp;B'!H44</f>
        <v>7.0000000000000007E-2</v>
      </c>
      <c r="Y25" s="522">
        <f>'Прогноз F&amp;B'!I44</f>
        <v>7.0000000000000007E-2</v>
      </c>
      <c r="Z25" s="522">
        <f>'Прогноз F&amp;B'!J44</f>
        <v>7.0000000000000007E-2</v>
      </c>
      <c r="AA25" s="567">
        <f t="shared" si="32"/>
        <v>7.0000000000000007E-2</v>
      </c>
      <c r="AB25" s="567">
        <f t="shared" si="32"/>
        <v>7.0000000000000007E-2</v>
      </c>
      <c r="AC25" s="567">
        <f t="shared" si="32"/>
        <v>7.0000000000000007E-2</v>
      </c>
      <c r="AD25" s="567">
        <f t="shared" si="32"/>
        <v>7.0000000000000007E-2</v>
      </c>
      <c r="AE25" s="567">
        <f t="shared" si="32"/>
        <v>7.0000000000000007E-2</v>
      </c>
      <c r="AF25" s="567">
        <f t="shared" si="32"/>
        <v>7.0000000000000007E-2</v>
      </c>
      <c r="AG25" s="567">
        <f t="shared" si="32"/>
        <v>7.0000000000000007E-2</v>
      </c>
      <c r="AH25" s="567">
        <f t="shared" si="32"/>
        <v>7.0000000000000007E-2</v>
      </c>
      <c r="AI25" s="567">
        <f t="shared" si="32"/>
        <v>7.0000000000000007E-2</v>
      </c>
      <c r="AJ25" s="567">
        <f t="shared" si="32"/>
        <v>7.0000000000000007E-2</v>
      </c>
      <c r="AK25" s="567">
        <f t="shared" si="32"/>
        <v>7.0000000000000007E-2</v>
      </c>
      <c r="AL25" s="567">
        <f t="shared" si="32"/>
        <v>7.0000000000000007E-2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62">
      <c r="A26" s="560"/>
      <c r="B26" s="560"/>
      <c r="C26" s="519" t="s">
        <v>518</v>
      </c>
      <c r="D26" s="201">
        <f t="shared" ref="D26:T27" si="38">V26*D22</f>
        <v>9029691.020608332</v>
      </c>
      <c r="E26" s="201">
        <f t="shared" si="38"/>
        <v>23942914.452537972</v>
      </c>
      <c r="F26" s="201">
        <f t="shared" si="38"/>
        <v>26431452.664102074</v>
      </c>
      <c r="G26" s="201">
        <f t="shared" si="38"/>
        <v>26913205.113663852</v>
      </c>
      <c r="H26" s="201">
        <f t="shared" si="38"/>
        <v>27794140.890340224</v>
      </c>
      <c r="I26" s="201">
        <f t="shared" si="38"/>
        <v>28905906.525953833</v>
      </c>
      <c r="J26" s="201">
        <f t="shared" si="38"/>
        <v>30062142.786991991</v>
      </c>
      <c r="K26" s="201">
        <f t="shared" si="38"/>
        <v>31350285.01490584</v>
      </c>
      <c r="L26" s="201">
        <f t="shared" si="38"/>
        <v>32515213.638410542</v>
      </c>
      <c r="M26" s="201">
        <f t="shared" si="38"/>
        <v>33815822.18394696</v>
      </c>
      <c r="N26" s="201">
        <f t="shared" si="38"/>
        <v>35168455.071304843</v>
      </c>
      <c r="O26" s="201">
        <f t="shared" si="38"/>
        <v>36675399.283127338</v>
      </c>
      <c r="P26" s="201">
        <f t="shared" si="38"/>
        <v>38038201.005123325</v>
      </c>
      <c r="Q26" s="201">
        <f t="shared" si="38"/>
        <v>39559729.045328259</v>
      </c>
      <c r="R26" s="201">
        <f t="shared" si="38"/>
        <v>41142118.207141392</v>
      </c>
      <c r="S26" s="201">
        <f t="shared" si="38"/>
        <v>42905029.792784385</v>
      </c>
      <c r="T26" s="201">
        <f t="shared" si="38"/>
        <v>44499315.05284413</v>
      </c>
      <c r="V26" s="522">
        <f>'Прогноз F&amp;B'!F51</f>
        <v>0.27</v>
      </c>
      <c r="W26" s="522">
        <f>'Прогноз F&amp;B'!G51</f>
        <v>0.27</v>
      </c>
      <c r="X26" s="522">
        <f>'Прогноз F&amp;B'!H51</f>
        <v>0.27</v>
      </c>
      <c r="Y26" s="522">
        <f>'Прогноз F&amp;B'!I51</f>
        <v>0.27</v>
      </c>
      <c r="Z26" s="522">
        <f>'Прогноз F&amp;B'!J51</f>
        <v>0.27</v>
      </c>
      <c r="AA26" s="567">
        <f t="shared" si="32"/>
        <v>0.27</v>
      </c>
      <c r="AB26" s="567">
        <f t="shared" si="32"/>
        <v>0.27</v>
      </c>
      <c r="AC26" s="567">
        <f t="shared" si="32"/>
        <v>0.27</v>
      </c>
      <c r="AD26" s="567">
        <f t="shared" si="32"/>
        <v>0.27</v>
      </c>
      <c r="AE26" s="567">
        <f t="shared" si="32"/>
        <v>0.27</v>
      </c>
      <c r="AF26" s="567">
        <f t="shared" si="32"/>
        <v>0.27</v>
      </c>
      <c r="AG26" s="567">
        <f t="shared" si="32"/>
        <v>0.27</v>
      </c>
      <c r="AH26" s="567">
        <f t="shared" si="32"/>
        <v>0.27</v>
      </c>
      <c r="AI26" s="567">
        <f t="shared" si="32"/>
        <v>0.27</v>
      </c>
      <c r="AJ26" s="567">
        <f t="shared" si="32"/>
        <v>0.27</v>
      </c>
      <c r="AK26" s="567">
        <f t="shared" si="32"/>
        <v>0.27</v>
      </c>
      <c r="AL26" s="567">
        <f t="shared" si="32"/>
        <v>0.27</v>
      </c>
      <c r="AO26" s="201">
        <f t="shared" ref="AO26:BE26" si="39">D26/D$9</f>
        <v>691.60069555200005</v>
      </c>
      <c r="AP26" s="201">
        <f t="shared" si="39"/>
        <v>718.36451721215997</v>
      </c>
      <c r="AQ26" s="201">
        <f t="shared" si="39"/>
        <v>748.97152671744004</v>
      </c>
      <c r="AR26" s="201">
        <f t="shared" si="39"/>
        <v>720.51060870217736</v>
      </c>
      <c r="AS26" s="201">
        <f t="shared" si="39"/>
        <v>708.82665288538533</v>
      </c>
      <c r="AT26" s="201">
        <f t="shared" si="39"/>
        <v>737.17971900080067</v>
      </c>
      <c r="AU26" s="201">
        <f t="shared" si="39"/>
        <v>766.66690776083283</v>
      </c>
      <c r="AV26" s="201">
        <f t="shared" si="39"/>
        <v>797.33358407126605</v>
      </c>
      <c r="AW26" s="201">
        <f t="shared" si="39"/>
        <v>829.22692743411687</v>
      </c>
      <c r="AX26" s="201">
        <f t="shared" si="39"/>
        <v>862.39600453148148</v>
      </c>
      <c r="AY26" s="201">
        <f t="shared" si="39"/>
        <v>896.89184471274086</v>
      </c>
      <c r="AZ26" s="201">
        <f t="shared" si="39"/>
        <v>932.76751850125061</v>
      </c>
      <c r="BA26" s="201">
        <f t="shared" si="39"/>
        <v>970.07821924130064</v>
      </c>
      <c r="BB26" s="201">
        <f t="shared" si="39"/>
        <v>1008.8813480109528</v>
      </c>
      <c r="BC26" s="201">
        <f t="shared" si="39"/>
        <v>1049.2366019313909</v>
      </c>
      <c r="BD26" s="201">
        <f t="shared" si="39"/>
        <v>1091.2060660086465</v>
      </c>
      <c r="BE26" s="201">
        <f t="shared" si="39"/>
        <v>1134.8543086489924</v>
      </c>
    </row>
    <row r="27" spans="1:62">
      <c r="A27" s="560"/>
      <c r="B27" s="560"/>
      <c r="C27" s="519" t="s">
        <v>519</v>
      </c>
      <c r="D27" s="201">
        <f t="shared" si="38"/>
        <v>270392.63891498552</v>
      </c>
      <c r="E27" s="201">
        <f t="shared" si="38"/>
        <v>1203479.8269794218</v>
      </c>
      <c r="F27" s="201">
        <f t="shared" si="38"/>
        <v>1859991.1133997757</v>
      </c>
      <c r="G27" s="201">
        <f t="shared" si="38"/>
        <v>2559313.7995976638</v>
      </c>
      <c r="H27" s="201">
        <f t="shared" si="38"/>
        <v>3352943.9804219948</v>
      </c>
      <c r="I27" s="201">
        <f t="shared" si="38"/>
        <v>3487061.7396388752</v>
      </c>
      <c r="J27" s="201">
        <f t="shared" si="38"/>
        <v>3626544.2092244308</v>
      </c>
      <c r="K27" s="201">
        <f t="shared" si="38"/>
        <v>3781939.1446553078</v>
      </c>
      <c r="L27" s="201">
        <f t="shared" si="38"/>
        <v>3922470.2166971448</v>
      </c>
      <c r="M27" s="201">
        <f t="shared" si="38"/>
        <v>4079369.0253650304</v>
      </c>
      <c r="N27" s="201">
        <f t="shared" si="38"/>
        <v>4242543.7863796325</v>
      </c>
      <c r="O27" s="201">
        <f t="shared" si="38"/>
        <v>4424333.8817740912</v>
      </c>
      <c r="P27" s="201">
        <f t="shared" si="38"/>
        <v>4588735.3593482105</v>
      </c>
      <c r="Q27" s="201">
        <f t="shared" si="38"/>
        <v>4772284.7737221392</v>
      </c>
      <c r="R27" s="201">
        <f t="shared" si="38"/>
        <v>4963176.1646710243</v>
      </c>
      <c r="S27" s="201">
        <f t="shared" si="38"/>
        <v>5175844.8638914498</v>
      </c>
      <c r="T27" s="201">
        <f t="shared" si="38"/>
        <v>5368171.3397081811</v>
      </c>
      <c r="V27" s="522">
        <f>'Прогноз F&amp;B'!F59</f>
        <v>0.19</v>
      </c>
      <c r="W27" s="522">
        <f>'Прогноз F&amp;B'!G59</f>
        <v>0.19</v>
      </c>
      <c r="X27" s="522">
        <f>'Прогноз F&amp;B'!H59</f>
        <v>0.19</v>
      </c>
      <c r="Y27" s="522">
        <f>'Прогноз F&amp;B'!I59</f>
        <v>0.19</v>
      </c>
      <c r="Z27" s="522">
        <f>'Прогноз F&amp;B'!J59</f>
        <v>0.19</v>
      </c>
      <c r="AA27" s="567">
        <f t="shared" si="32"/>
        <v>0.19</v>
      </c>
      <c r="AB27" s="567">
        <f t="shared" si="32"/>
        <v>0.19</v>
      </c>
      <c r="AC27" s="567">
        <f t="shared" si="32"/>
        <v>0.19</v>
      </c>
      <c r="AD27" s="567">
        <f t="shared" si="32"/>
        <v>0.19</v>
      </c>
      <c r="AE27" s="567">
        <f t="shared" si="32"/>
        <v>0.19</v>
      </c>
      <c r="AF27" s="567">
        <f t="shared" si="32"/>
        <v>0.19</v>
      </c>
      <c r="AG27" s="567">
        <f t="shared" si="32"/>
        <v>0.19</v>
      </c>
      <c r="AH27" s="567">
        <f t="shared" si="32"/>
        <v>0.19</v>
      </c>
      <c r="AI27" s="567">
        <f t="shared" si="32"/>
        <v>0.19</v>
      </c>
      <c r="AJ27" s="567">
        <f t="shared" si="32"/>
        <v>0.19</v>
      </c>
      <c r="AK27" s="567">
        <f t="shared" si="32"/>
        <v>0.19</v>
      </c>
      <c r="AL27" s="567">
        <f t="shared" si="32"/>
        <v>0.19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62">
      <c r="A28" s="560"/>
      <c r="B28" s="560"/>
      <c r="C28" s="519" t="s">
        <v>520</v>
      </c>
      <c r="D28" s="201">
        <f t="shared" ref="D28:T29" si="40">V28*D22</f>
        <v>1672165.0038163578</v>
      </c>
      <c r="E28" s="201">
        <f t="shared" si="40"/>
        <v>4433873.0467662914</v>
      </c>
      <c r="F28" s="201">
        <f t="shared" si="40"/>
        <v>4894713.4563151989</v>
      </c>
      <c r="G28" s="201">
        <f t="shared" si="40"/>
        <v>4983926.8729007132</v>
      </c>
      <c r="H28" s="201">
        <f t="shared" si="40"/>
        <v>5147063.1278407825</v>
      </c>
      <c r="I28" s="201">
        <f t="shared" si="40"/>
        <v>5352945.6529544136</v>
      </c>
      <c r="J28" s="201">
        <f t="shared" si="40"/>
        <v>5567063.4790725913</v>
      </c>
      <c r="K28" s="201">
        <f t="shared" si="40"/>
        <v>5805608.3360936744</v>
      </c>
      <c r="L28" s="201">
        <f t="shared" si="40"/>
        <v>6021335.8589649154</v>
      </c>
      <c r="M28" s="201">
        <f t="shared" si="40"/>
        <v>6262189.2933235113</v>
      </c>
      <c r="N28" s="201">
        <f t="shared" si="40"/>
        <v>6512676.8650564523</v>
      </c>
      <c r="O28" s="201">
        <f t="shared" si="40"/>
        <v>6791740.6079865443</v>
      </c>
      <c r="P28" s="201">
        <f t="shared" si="40"/>
        <v>7044111.2972450601</v>
      </c>
      <c r="Q28" s="201">
        <f t="shared" si="40"/>
        <v>7325875.7491348628</v>
      </c>
      <c r="R28" s="201">
        <f t="shared" si="40"/>
        <v>7618910.7791002579</v>
      </c>
      <c r="S28" s="201">
        <f t="shared" si="40"/>
        <v>7945375.8875526637</v>
      </c>
      <c r="T28" s="201">
        <f t="shared" si="40"/>
        <v>8240613.8986748382</v>
      </c>
      <c r="V28" s="522">
        <f>'Прогноз F&amp;B'!F66</f>
        <v>0.05</v>
      </c>
      <c r="W28" s="522">
        <f>'Прогноз F&amp;B'!G66</f>
        <v>0.05</v>
      </c>
      <c r="X28" s="522">
        <f>'Прогноз F&amp;B'!H66</f>
        <v>0.05</v>
      </c>
      <c r="Y28" s="522">
        <f>'Прогноз F&amp;B'!I66</f>
        <v>0.05</v>
      </c>
      <c r="Z28" s="522">
        <f>'Прогноз F&amp;B'!J66</f>
        <v>0.05</v>
      </c>
      <c r="AA28" s="567">
        <f t="shared" si="32"/>
        <v>0.05</v>
      </c>
      <c r="AB28" s="567">
        <f t="shared" si="32"/>
        <v>0.05</v>
      </c>
      <c r="AC28" s="567">
        <f t="shared" si="32"/>
        <v>0.05</v>
      </c>
      <c r="AD28" s="567">
        <f t="shared" si="32"/>
        <v>0.05</v>
      </c>
      <c r="AE28" s="567">
        <f t="shared" si="32"/>
        <v>0.05</v>
      </c>
      <c r="AF28" s="567">
        <f t="shared" si="32"/>
        <v>0.05</v>
      </c>
      <c r="AG28" s="567">
        <f t="shared" si="32"/>
        <v>0.05</v>
      </c>
      <c r="AH28" s="567">
        <f t="shared" si="32"/>
        <v>0.05</v>
      </c>
      <c r="AI28" s="567">
        <f t="shared" si="32"/>
        <v>0.05</v>
      </c>
      <c r="AJ28" s="567">
        <f t="shared" si="32"/>
        <v>0.05</v>
      </c>
      <c r="AK28" s="567">
        <f t="shared" si="32"/>
        <v>0.05</v>
      </c>
      <c r="AL28" s="567">
        <f t="shared" si="32"/>
        <v>0.05</v>
      </c>
      <c r="AO28" s="201">
        <f t="shared" ref="AO28:BE28" si="41">D28/D$9</f>
        <v>128.07420288</v>
      </c>
      <c r="AP28" s="201">
        <f t="shared" si="41"/>
        <v>133.0304661504</v>
      </c>
      <c r="AQ28" s="201">
        <f t="shared" si="41"/>
        <v>138.69843087360002</v>
      </c>
      <c r="AR28" s="201">
        <f t="shared" si="41"/>
        <v>133.42789050040321</v>
      </c>
      <c r="AS28" s="201">
        <f t="shared" si="41"/>
        <v>131.26419497877507</v>
      </c>
      <c r="AT28" s="201">
        <f t="shared" si="41"/>
        <v>136.51476277792605</v>
      </c>
      <c r="AU28" s="201">
        <f t="shared" si="41"/>
        <v>141.97535328904314</v>
      </c>
      <c r="AV28" s="201">
        <f t="shared" si="41"/>
        <v>147.65436742060484</v>
      </c>
      <c r="AW28" s="201">
        <f t="shared" si="41"/>
        <v>153.56054211742907</v>
      </c>
      <c r="AX28" s="201">
        <f t="shared" si="41"/>
        <v>159.70296380212622</v>
      </c>
      <c r="AY28" s="201">
        <f t="shared" si="41"/>
        <v>166.09108235421127</v>
      </c>
      <c r="AZ28" s="201">
        <f t="shared" si="41"/>
        <v>172.73472564837974</v>
      </c>
      <c r="BA28" s="201">
        <f t="shared" si="41"/>
        <v>179.64411467431495</v>
      </c>
      <c r="BB28" s="201">
        <f t="shared" si="41"/>
        <v>186.82987926128754</v>
      </c>
      <c r="BC28" s="201">
        <f t="shared" si="41"/>
        <v>194.30307443173908</v>
      </c>
      <c r="BD28" s="201">
        <f t="shared" si="41"/>
        <v>202.07519740900861</v>
      </c>
      <c r="BE28" s="201">
        <f t="shared" si="41"/>
        <v>210.15820530536897</v>
      </c>
    </row>
    <row r="29" spans="1:62">
      <c r="A29" s="560"/>
      <c r="B29" s="560"/>
      <c r="C29" s="519" t="s">
        <v>521</v>
      </c>
      <c r="D29" s="201">
        <f t="shared" si="40"/>
        <v>71155.957609206715</v>
      </c>
      <c r="E29" s="201">
        <f t="shared" si="40"/>
        <v>316705.21762616368</v>
      </c>
      <c r="F29" s="201">
        <f t="shared" si="40"/>
        <v>489471.34563151991</v>
      </c>
      <c r="G29" s="201">
        <f t="shared" si="40"/>
        <v>673503.63147306943</v>
      </c>
      <c r="H29" s="201">
        <f t="shared" si="40"/>
        <v>882353.67905841977</v>
      </c>
      <c r="I29" s="201">
        <f t="shared" si="40"/>
        <v>917647.82622075663</v>
      </c>
      <c r="J29" s="201">
        <f t="shared" si="40"/>
        <v>954353.73926958709</v>
      </c>
      <c r="K29" s="201">
        <f t="shared" si="40"/>
        <v>995247.14333034423</v>
      </c>
      <c r="L29" s="201">
        <f t="shared" si="40"/>
        <v>1032229.0043939855</v>
      </c>
      <c r="M29" s="201">
        <f t="shared" si="40"/>
        <v>1073518.1645697448</v>
      </c>
      <c r="N29" s="201">
        <f t="shared" si="40"/>
        <v>1116458.8911525349</v>
      </c>
      <c r="O29" s="201">
        <f t="shared" si="40"/>
        <v>1164298.3899405503</v>
      </c>
      <c r="P29" s="201">
        <f t="shared" si="40"/>
        <v>1207561.9366705816</v>
      </c>
      <c r="Q29" s="201">
        <f t="shared" si="40"/>
        <v>1255864.4141374051</v>
      </c>
      <c r="R29" s="201">
        <f t="shared" si="40"/>
        <v>1306098.9907029013</v>
      </c>
      <c r="S29" s="201">
        <f t="shared" si="40"/>
        <v>1362064.4378661709</v>
      </c>
      <c r="T29" s="201">
        <f t="shared" si="40"/>
        <v>1412676.6683442583</v>
      </c>
      <c r="V29" s="522">
        <f>'Прогноз F&amp;B'!F74</f>
        <v>0.05</v>
      </c>
      <c r="W29" s="522">
        <f>'Прогноз F&amp;B'!G74</f>
        <v>0.05</v>
      </c>
      <c r="X29" s="522">
        <f>'Прогноз F&amp;B'!H74</f>
        <v>0.05</v>
      </c>
      <c r="Y29" s="522">
        <f>'Прогноз F&amp;B'!I74</f>
        <v>0.05</v>
      </c>
      <c r="Z29" s="522">
        <f>'Прогноз F&amp;B'!J74</f>
        <v>0.05</v>
      </c>
      <c r="AA29" s="567">
        <f t="shared" si="32"/>
        <v>0.05</v>
      </c>
      <c r="AB29" s="567">
        <f t="shared" si="32"/>
        <v>0.05</v>
      </c>
      <c r="AC29" s="567">
        <f t="shared" si="32"/>
        <v>0.05</v>
      </c>
      <c r="AD29" s="567">
        <f t="shared" si="32"/>
        <v>0.05</v>
      </c>
      <c r="AE29" s="567">
        <f t="shared" si="32"/>
        <v>0.05</v>
      </c>
      <c r="AF29" s="567">
        <f t="shared" si="32"/>
        <v>0.05</v>
      </c>
      <c r="AG29" s="567">
        <f t="shared" si="32"/>
        <v>0.05</v>
      </c>
      <c r="AH29" s="567">
        <f t="shared" si="32"/>
        <v>0.05</v>
      </c>
      <c r="AI29" s="567">
        <f t="shared" si="32"/>
        <v>0.05</v>
      </c>
      <c r="AJ29" s="567">
        <f t="shared" si="32"/>
        <v>0.05</v>
      </c>
      <c r="AK29" s="567">
        <f t="shared" si="32"/>
        <v>0.05</v>
      </c>
      <c r="AL29" s="567">
        <f t="shared" si="32"/>
        <v>0.05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62">
      <c r="A30" s="560"/>
      <c r="B30" s="560"/>
      <c r="C30" s="521" t="s">
        <v>28</v>
      </c>
      <c r="D30" s="556">
        <f>SUM(D24:D28)</f>
        <v>24449187.034523424</v>
      </c>
      <c r="E30" s="556">
        <f t="shared" ref="E30:T30" si="42">SUM(E24:E28)</f>
        <v>63721089.786384121</v>
      </c>
      <c r="F30" s="556">
        <f t="shared" si="42"/>
        <v>70092296.694433644</v>
      </c>
      <c r="G30" s="556">
        <f t="shared" si="42"/>
        <v>72280409.729689807</v>
      </c>
      <c r="H30" s="556">
        <f t="shared" si="42"/>
        <v>75617710.295306563</v>
      </c>
      <c r="I30" s="556">
        <f t="shared" si="42"/>
        <v>78642418.707118839</v>
      </c>
      <c r="J30" s="556">
        <f t="shared" si="42"/>
        <v>81788115.455403611</v>
      </c>
      <c r="K30" s="556">
        <f t="shared" si="42"/>
        <v>85292680.183410496</v>
      </c>
      <c r="L30" s="556">
        <f t="shared" si="42"/>
        <v>88462025.676564559</v>
      </c>
      <c r="M30" s="556">
        <f t="shared" si="42"/>
        <v>92000506.703627124</v>
      </c>
      <c r="N30" s="556">
        <f t="shared" si="42"/>
        <v>95680526.971772224</v>
      </c>
      <c r="O30" s="556">
        <f t="shared" si="42"/>
        <v>99780372.017905176</v>
      </c>
      <c r="P30" s="556">
        <f t="shared" si="42"/>
        <v>103488057.97266886</v>
      </c>
      <c r="Q30" s="556">
        <f t="shared" si="42"/>
        <v>107627580.29157561</v>
      </c>
      <c r="R30" s="556">
        <f t="shared" si="42"/>
        <v>111932683.50323862</v>
      </c>
      <c r="S30" s="556">
        <f t="shared" si="42"/>
        <v>116728922.32513086</v>
      </c>
      <c r="T30" s="556">
        <f t="shared" si="42"/>
        <v>121066390.47710291</v>
      </c>
      <c r="V30" s="568">
        <f t="shared" ref="V30:AL30" si="43">D30/D21</f>
        <v>0.70122448979591834</v>
      </c>
      <c r="W30" s="555">
        <f t="shared" si="43"/>
        <v>0.67066666666666663</v>
      </c>
      <c r="X30" s="555">
        <f t="shared" si="43"/>
        <v>0.65090909090909099</v>
      </c>
      <c r="Y30" s="555">
        <f t="shared" si="43"/>
        <v>0.63880952380952383</v>
      </c>
      <c r="Z30" s="568">
        <f t="shared" si="43"/>
        <v>0.62707317073170721</v>
      </c>
      <c r="AA30" s="555">
        <f t="shared" si="43"/>
        <v>0.62707317073170732</v>
      </c>
      <c r="AB30" s="555">
        <f t="shared" si="43"/>
        <v>0.62707317073170743</v>
      </c>
      <c r="AC30" s="555">
        <f t="shared" si="43"/>
        <v>0.62707317073170743</v>
      </c>
      <c r="AD30" s="555">
        <f t="shared" si="43"/>
        <v>0.62707317073170743</v>
      </c>
      <c r="AE30" s="555">
        <f t="shared" si="43"/>
        <v>0.62707317073170732</v>
      </c>
      <c r="AF30" s="555">
        <f t="shared" si="43"/>
        <v>0.62707317073170732</v>
      </c>
      <c r="AG30" s="555">
        <f t="shared" si="43"/>
        <v>0.62707317073170732</v>
      </c>
      <c r="AH30" s="555">
        <f t="shared" si="43"/>
        <v>0.62707317073170732</v>
      </c>
      <c r="AI30" s="555">
        <f t="shared" si="43"/>
        <v>0.62707317073170732</v>
      </c>
      <c r="AJ30" s="555">
        <f t="shared" si="43"/>
        <v>0.62707317073170721</v>
      </c>
      <c r="AK30" s="555">
        <f t="shared" si="43"/>
        <v>0.62707317073170743</v>
      </c>
      <c r="AL30" s="555">
        <f t="shared" si="43"/>
        <v>0.62707317073170732</v>
      </c>
      <c r="AO30" s="556">
        <f t="shared" ref="AO30:BE30" si="44">D30/D$9</f>
        <v>1872.6083450879999</v>
      </c>
      <c r="AP30" s="556">
        <f t="shared" si="44"/>
        <v>1911.8378421043199</v>
      </c>
      <c r="AQ30" s="556">
        <f t="shared" si="44"/>
        <v>1986.1615301099521</v>
      </c>
      <c r="AR30" s="556">
        <f t="shared" si="44"/>
        <v>1935.0650281761179</v>
      </c>
      <c r="AS30" s="554">
        <f t="shared" si="44"/>
        <v>1928.4585445167463</v>
      </c>
      <c r="AT30" s="556">
        <f t="shared" si="44"/>
        <v>2005.5968862974164</v>
      </c>
      <c r="AU30" s="556">
        <f t="shared" si="44"/>
        <v>2085.8207617493135</v>
      </c>
      <c r="AV30" s="556">
        <f t="shared" si="44"/>
        <v>2169.253592219286</v>
      </c>
      <c r="AW30" s="556">
        <f t="shared" si="44"/>
        <v>2256.0237359080579</v>
      </c>
      <c r="AX30" s="556">
        <f t="shared" si="44"/>
        <v>2346.2646853443798</v>
      </c>
      <c r="AY30" s="556">
        <f t="shared" si="44"/>
        <v>2440.1152727581552</v>
      </c>
      <c r="AZ30" s="556">
        <f t="shared" si="44"/>
        <v>2537.719883668482</v>
      </c>
      <c r="BA30" s="556">
        <f t="shared" si="44"/>
        <v>2639.2286790152211</v>
      </c>
      <c r="BB30" s="556">
        <f t="shared" si="44"/>
        <v>2744.7978261758303</v>
      </c>
      <c r="BC30" s="556">
        <f t="shared" si="44"/>
        <v>2854.589739222863</v>
      </c>
      <c r="BD30" s="556">
        <f t="shared" si="44"/>
        <v>2968.7733287917781</v>
      </c>
      <c r="BE30" s="556">
        <f t="shared" si="44"/>
        <v>3087.5242619434489</v>
      </c>
    </row>
    <row r="31" spans="1:62">
      <c r="A31" s="511"/>
      <c r="B31" s="511"/>
      <c r="C31" s="521" t="s">
        <v>18</v>
      </c>
      <c r="D31" s="554">
        <f t="shared" ref="D31:T31" si="45">D21-D30</f>
        <v>10417232.193987865</v>
      </c>
      <c r="E31" s="556">
        <f t="shared" si="45"/>
        <v>31290475.501464963</v>
      </c>
      <c r="F31" s="556">
        <f t="shared" si="45"/>
        <v>37591399.344500721</v>
      </c>
      <c r="G31" s="556">
        <f t="shared" si="45"/>
        <v>40868200.357785851</v>
      </c>
      <c r="H31" s="556">
        <f t="shared" si="45"/>
        <v>44970625.842677474</v>
      </c>
      <c r="I31" s="556">
        <f t="shared" si="45"/>
        <v>46769450.876384556</v>
      </c>
      <c r="J31" s="556">
        <f t="shared" si="45"/>
        <v>48640228.91143994</v>
      </c>
      <c r="K31" s="556">
        <f t="shared" si="45"/>
        <v>50724429.405069858</v>
      </c>
      <c r="L31" s="556">
        <f t="shared" si="45"/>
        <v>52609271.59061344</v>
      </c>
      <c r="M31" s="556">
        <f t="shared" si="45"/>
        <v>54713642.454237983</v>
      </c>
      <c r="N31" s="556">
        <f t="shared" si="45"/>
        <v>56902188.152407527</v>
      </c>
      <c r="O31" s="556">
        <f t="shared" si="45"/>
        <v>59340407.940636724</v>
      </c>
      <c r="P31" s="556">
        <f t="shared" si="45"/>
        <v>61545406.705643982</v>
      </c>
      <c r="Q31" s="556">
        <f t="shared" si="45"/>
        <v>64007222.973869741</v>
      </c>
      <c r="R31" s="556">
        <f t="shared" si="45"/>
        <v>66567511.89282456</v>
      </c>
      <c r="S31" s="556">
        <f t="shared" si="45"/>
        <v>69419884.183245823</v>
      </c>
      <c r="T31" s="556">
        <f t="shared" si="45"/>
        <v>71999420.863279015</v>
      </c>
      <c r="V31" s="555">
        <f t="shared" ref="V31:AL31" si="46">D31/D21</f>
        <v>0.29877551020408172</v>
      </c>
      <c r="W31" s="555">
        <f t="shared" si="46"/>
        <v>0.32933333333333331</v>
      </c>
      <c r="X31" s="555">
        <f t="shared" si="46"/>
        <v>0.34909090909090906</v>
      </c>
      <c r="Y31" s="555">
        <f t="shared" si="46"/>
        <v>0.36119047619047617</v>
      </c>
      <c r="Z31" s="555">
        <f t="shared" si="46"/>
        <v>0.37292682926829279</v>
      </c>
      <c r="AA31" s="555">
        <f t="shared" si="46"/>
        <v>0.37292682926829268</v>
      </c>
      <c r="AB31" s="555">
        <f t="shared" si="46"/>
        <v>0.37292682926829263</v>
      </c>
      <c r="AC31" s="555">
        <f t="shared" si="46"/>
        <v>0.37292682926829263</v>
      </c>
      <c r="AD31" s="555">
        <f t="shared" si="46"/>
        <v>0.37292682926829257</v>
      </c>
      <c r="AE31" s="555">
        <f t="shared" si="46"/>
        <v>0.37292682926829263</v>
      </c>
      <c r="AF31" s="555">
        <f t="shared" si="46"/>
        <v>0.37292682926829274</v>
      </c>
      <c r="AG31" s="555">
        <f t="shared" si="46"/>
        <v>0.37292682926829268</v>
      </c>
      <c r="AH31" s="555">
        <f t="shared" si="46"/>
        <v>0.37292682926829268</v>
      </c>
      <c r="AI31" s="555">
        <f t="shared" si="46"/>
        <v>0.37292682926829268</v>
      </c>
      <c r="AJ31" s="555">
        <f t="shared" si="46"/>
        <v>0.37292682926829279</v>
      </c>
      <c r="AK31" s="555">
        <f t="shared" si="46"/>
        <v>0.37292682926829257</v>
      </c>
      <c r="AL31" s="555">
        <f t="shared" si="46"/>
        <v>0.37292682926829268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62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>
        <f>D33/D$12</f>
        <v>8.8495575221238937E-2</v>
      </c>
      <c r="W32" s="570">
        <f t="shared" ref="W32:AL32" si="47">E33/E$12</f>
        <v>9.1185410334346503E-2</v>
      </c>
      <c r="X32" s="570">
        <f t="shared" si="47"/>
        <v>9.1743119266055037E-2</v>
      </c>
      <c r="Y32" s="570">
        <f t="shared" si="47"/>
        <v>9.3167701863354033E-2</v>
      </c>
      <c r="Z32" s="570">
        <f t="shared" si="47"/>
        <v>9.375E-2</v>
      </c>
      <c r="AA32" s="570">
        <f t="shared" si="47"/>
        <v>9.375E-2</v>
      </c>
      <c r="AB32" s="570">
        <f t="shared" si="47"/>
        <v>9.375E-2</v>
      </c>
      <c r="AC32" s="570">
        <f t="shared" si="47"/>
        <v>9.375E-2</v>
      </c>
      <c r="AD32" s="570">
        <f t="shared" si="47"/>
        <v>9.375E-2</v>
      </c>
      <c r="AE32" s="570">
        <f t="shared" si="47"/>
        <v>9.3749999999999986E-2</v>
      </c>
      <c r="AF32" s="570">
        <f t="shared" si="47"/>
        <v>9.375E-2</v>
      </c>
      <c r="AG32" s="570">
        <f t="shared" si="47"/>
        <v>9.3749999999999986E-2</v>
      </c>
      <c r="AH32" s="570">
        <f t="shared" si="47"/>
        <v>9.375E-2</v>
      </c>
      <c r="AI32" s="570">
        <f t="shared" si="47"/>
        <v>9.3750000000000014E-2</v>
      </c>
      <c r="AJ32" s="570">
        <f t="shared" si="47"/>
        <v>9.375E-2</v>
      </c>
      <c r="AK32" s="570">
        <f t="shared" si="47"/>
        <v>9.3750000000000014E-2</v>
      </c>
      <c r="AL32" s="570">
        <f t="shared" si="47"/>
        <v>9.3749999999999986E-2</v>
      </c>
      <c r="AO32" s="1044">
        <f>AO33/LOOKUP(AO$3,CPI!$3:$3,CPI!$5:$5)</f>
        <v>698.79807692307691</v>
      </c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>
      <c r="A33" s="553"/>
      <c r="B33" s="553"/>
      <c r="C33" s="521" t="s">
        <v>17</v>
      </c>
      <c r="D33" s="556">
        <f t="shared" ref="D33:T33" si="48">V33*D14</f>
        <v>10673393.641381009</v>
      </c>
      <c r="E33" s="556">
        <f t="shared" si="48"/>
        <v>31670521.762616362</v>
      </c>
      <c r="F33" s="556">
        <f t="shared" si="48"/>
        <v>36710350.922363989</v>
      </c>
      <c r="G33" s="556">
        <f t="shared" si="48"/>
        <v>40410217.888384156</v>
      </c>
      <c r="H33" s="556">
        <f t="shared" si="48"/>
        <v>44117683.952920988</v>
      </c>
      <c r="I33" s="556">
        <f t="shared" si="48"/>
        <v>45882391.311037831</v>
      </c>
      <c r="J33" s="556">
        <f t="shared" si="48"/>
        <v>47717686.963479348</v>
      </c>
      <c r="K33" s="556">
        <f t="shared" si="48"/>
        <v>49762357.166517206</v>
      </c>
      <c r="L33" s="556">
        <f t="shared" si="48"/>
        <v>51611450.219699271</v>
      </c>
      <c r="M33" s="556">
        <f t="shared" si="48"/>
        <v>53675908.228487238</v>
      </c>
      <c r="N33" s="556">
        <f t="shared" si="48"/>
        <v>55822944.557626739</v>
      </c>
      <c r="O33" s="556">
        <f t="shared" si="48"/>
        <v>58214919.497027516</v>
      </c>
      <c r="P33" s="556">
        <f t="shared" si="48"/>
        <v>60378096.833529085</v>
      </c>
      <c r="Q33" s="556">
        <f t="shared" si="48"/>
        <v>62793220.70687025</v>
      </c>
      <c r="R33" s="556">
        <f t="shared" si="48"/>
        <v>65304949.535145059</v>
      </c>
      <c r="S33" s="556">
        <f t="shared" si="48"/>
        <v>68103221.89330855</v>
      </c>
      <c r="T33" s="556">
        <f t="shared" si="48"/>
        <v>70633833.417212903</v>
      </c>
      <c r="V33" s="558">
        <f>'Прогноз прочих'!F8</f>
        <v>0.15</v>
      </c>
      <c r="W33" s="558">
        <f>'Прогноз прочих'!G8</f>
        <v>0.15</v>
      </c>
      <c r="X33" s="558">
        <f>'Прогноз прочих'!H8</f>
        <v>0.15</v>
      </c>
      <c r="Y33" s="558">
        <f>'Прогноз прочих'!I8</f>
        <v>0.15</v>
      </c>
      <c r="Z33" s="558">
        <f>'Прогноз прочих'!J8</f>
        <v>0.15</v>
      </c>
      <c r="AA33" s="559">
        <f>Z33</f>
        <v>0.15</v>
      </c>
      <c r="AB33" s="559">
        <f t="shared" ref="AB33:AL35" si="49">AA33</f>
        <v>0.15</v>
      </c>
      <c r="AC33" s="559">
        <f t="shared" si="49"/>
        <v>0.15</v>
      </c>
      <c r="AD33" s="559">
        <f t="shared" si="49"/>
        <v>0.15</v>
      </c>
      <c r="AE33" s="559">
        <f t="shared" si="49"/>
        <v>0.15</v>
      </c>
      <c r="AF33" s="559">
        <f t="shared" si="49"/>
        <v>0.15</v>
      </c>
      <c r="AG33" s="559">
        <f t="shared" si="49"/>
        <v>0.15</v>
      </c>
      <c r="AH33" s="559">
        <f t="shared" si="49"/>
        <v>0.15</v>
      </c>
      <c r="AI33" s="559">
        <f t="shared" si="49"/>
        <v>0.15</v>
      </c>
      <c r="AJ33" s="559">
        <f t="shared" si="49"/>
        <v>0.15</v>
      </c>
      <c r="AK33" s="559">
        <f t="shared" si="49"/>
        <v>0.15</v>
      </c>
      <c r="AL33" s="559">
        <f t="shared" si="49"/>
        <v>0.15</v>
      </c>
      <c r="AO33" s="556">
        <f t="shared" ref="AO33:BD36" si="50">D33/D$9</f>
        <v>817.49491200000011</v>
      </c>
      <c r="AP33" s="556">
        <f t="shared" si="50"/>
        <v>950.21761535999997</v>
      </c>
      <c r="AQ33" s="556">
        <f t="shared" si="50"/>
        <v>1040.2382315520001</v>
      </c>
      <c r="AR33" s="556">
        <f t="shared" si="50"/>
        <v>1081.8477608140799</v>
      </c>
      <c r="AS33" s="556">
        <f t="shared" si="50"/>
        <v>1125.1216712466432</v>
      </c>
      <c r="AT33" s="556">
        <f t="shared" si="50"/>
        <v>1170.126538096509</v>
      </c>
      <c r="AU33" s="556">
        <f t="shared" si="50"/>
        <v>1216.9315996203695</v>
      </c>
      <c r="AV33" s="556">
        <f t="shared" si="50"/>
        <v>1265.6088636051843</v>
      </c>
      <c r="AW33" s="556">
        <f t="shared" si="50"/>
        <v>1316.2332181493919</v>
      </c>
      <c r="AX33" s="556">
        <f t="shared" si="50"/>
        <v>1368.8825468753676</v>
      </c>
      <c r="AY33" s="556">
        <f t="shared" si="50"/>
        <v>1423.6378487503825</v>
      </c>
      <c r="AZ33" s="556">
        <f t="shared" si="50"/>
        <v>1480.5833627003976</v>
      </c>
      <c r="BA33" s="556">
        <f t="shared" si="50"/>
        <v>1539.8066972084137</v>
      </c>
      <c r="BB33" s="556">
        <f t="shared" si="50"/>
        <v>1601.3989650967503</v>
      </c>
      <c r="BC33" s="556">
        <f t="shared" si="50"/>
        <v>1665.4549237006204</v>
      </c>
      <c r="BD33" s="556">
        <f t="shared" si="50"/>
        <v>1732.0731206486453</v>
      </c>
      <c r="BE33" s="556">
        <f t="shared" ref="AY33:BE36" si="51">T33/T$9</f>
        <v>1801.3560454745912</v>
      </c>
    </row>
    <row r="34" spans="1:57">
      <c r="A34" s="511"/>
      <c r="B34" s="511"/>
      <c r="C34" s="519" t="s">
        <v>25</v>
      </c>
      <c r="D34" s="201">
        <f t="shared" ref="D34:T34" si="52">V34*D33</f>
        <v>4269357.456552404</v>
      </c>
      <c r="E34" s="201">
        <f t="shared" si="52"/>
        <v>12668208.705046546</v>
      </c>
      <c r="F34" s="201">
        <f t="shared" si="52"/>
        <v>14684140.368945597</v>
      </c>
      <c r="G34" s="201">
        <f t="shared" si="52"/>
        <v>16164087.155353663</v>
      </c>
      <c r="H34" s="201">
        <f t="shared" si="52"/>
        <v>17647073.581168395</v>
      </c>
      <c r="I34" s="201">
        <f t="shared" si="52"/>
        <v>18352956.524415132</v>
      </c>
      <c r="J34" s="201">
        <f t="shared" si="52"/>
        <v>19087074.785391741</v>
      </c>
      <c r="K34" s="201">
        <f t="shared" si="52"/>
        <v>19904942.866606884</v>
      </c>
      <c r="L34" s="201">
        <f t="shared" si="52"/>
        <v>20644580.08787971</v>
      </c>
      <c r="M34" s="201">
        <f t="shared" si="52"/>
        <v>21470363.291394897</v>
      </c>
      <c r="N34" s="201">
        <f t="shared" si="52"/>
        <v>22329177.823050696</v>
      </c>
      <c r="O34" s="201">
        <f t="shared" si="52"/>
        <v>23285967.798811007</v>
      </c>
      <c r="P34" s="201">
        <f t="shared" si="52"/>
        <v>24151238.733411636</v>
      </c>
      <c r="Q34" s="201">
        <f t="shared" si="52"/>
        <v>25117288.282748103</v>
      </c>
      <c r="R34" s="201">
        <f t="shared" si="52"/>
        <v>26121979.814058024</v>
      </c>
      <c r="S34" s="201">
        <f t="shared" si="52"/>
        <v>27241288.757323422</v>
      </c>
      <c r="T34" s="201">
        <f t="shared" si="52"/>
        <v>28253533.366885163</v>
      </c>
      <c r="V34" s="522">
        <f>'Прогноз прочих'!F12</f>
        <v>0.4</v>
      </c>
      <c r="W34" s="522">
        <f>'Прогноз прочих'!G12</f>
        <v>0.4</v>
      </c>
      <c r="X34" s="522">
        <f>'Прогноз прочих'!H12</f>
        <v>0.4</v>
      </c>
      <c r="Y34" s="522">
        <f>'Прогноз прочих'!I12</f>
        <v>0.4</v>
      </c>
      <c r="Z34" s="522">
        <f>'Прогноз прочих'!J12</f>
        <v>0.4</v>
      </c>
      <c r="AA34" s="522">
        <f>Z34</f>
        <v>0.4</v>
      </c>
      <c r="AB34" s="522">
        <f t="shared" si="49"/>
        <v>0.4</v>
      </c>
      <c r="AC34" s="522">
        <f t="shared" si="49"/>
        <v>0.4</v>
      </c>
      <c r="AD34" s="522">
        <f t="shared" si="49"/>
        <v>0.4</v>
      </c>
      <c r="AE34" s="522">
        <f t="shared" si="49"/>
        <v>0.4</v>
      </c>
      <c r="AF34" s="522">
        <f t="shared" si="49"/>
        <v>0.4</v>
      </c>
      <c r="AG34" s="522">
        <f t="shared" si="49"/>
        <v>0.4</v>
      </c>
      <c r="AH34" s="522">
        <f t="shared" si="49"/>
        <v>0.4</v>
      </c>
      <c r="AI34" s="522">
        <f t="shared" si="49"/>
        <v>0.4</v>
      </c>
      <c r="AJ34" s="522">
        <f t="shared" si="49"/>
        <v>0.4</v>
      </c>
      <c r="AK34" s="522">
        <f t="shared" si="49"/>
        <v>0.4</v>
      </c>
      <c r="AL34" s="522">
        <f t="shared" si="49"/>
        <v>0.4</v>
      </c>
      <c r="AO34" s="201">
        <f t="shared" si="50"/>
        <v>326.99796480000009</v>
      </c>
      <c r="AP34" s="201">
        <f t="shared" si="50"/>
        <v>380.087046144</v>
      </c>
      <c r="AQ34" s="201">
        <f t="shared" si="50"/>
        <v>416.09529262080002</v>
      </c>
      <c r="AR34" s="201">
        <f t="shared" si="50"/>
        <v>432.73910432563201</v>
      </c>
      <c r="AS34" s="201">
        <f t="shared" si="50"/>
        <v>450.04866849865726</v>
      </c>
      <c r="AT34" s="201">
        <f t="shared" si="50"/>
        <v>468.0506152386036</v>
      </c>
      <c r="AU34" s="201">
        <f t="shared" si="50"/>
        <v>486.77263984814783</v>
      </c>
      <c r="AV34" s="201">
        <f t="shared" si="50"/>
        <v>506.2435454420737</v>
      </c>
      <c r="AW34" s="201">
        <f t="shared" si="50"/>
        <v>526.49328725975681</v>
      </c>
      <c r="AX34" s="201">
        <f t="shared" si="50"/>
        <v>547.55301875014698</v>
      </c>
      <c r="AY34" s="201">
        <f t="shared" si="51"/>
        <v>569.455139500153</v>
      </c>
      <c r="AZ34" s="201">
        <f t="shared" si="51"/>
        <v>592.2333450801591</v>
      </c>
      <c r="BA34" s="201">
        <f t="shared" si="51"/>
        <v>615.92267888336551</v>
      </c>
      <c r="BB34" s="201">
        <f t="shared" si="51"/>
        <v>640.55958603870022</v>
      </c>
      <c r="BC34" s="201">
        <f t="shared" si="51"/>
        <v>666.1819694802482</v>
      </c>
      <c r="BD34" s="201">
        <f t="shared" si="51"/>
        <v>692.82924825945815</v>
      </c>
      <c r="BE34" s="201">
        <f t="shared" si="51"/>
        <v>720.54241818983655</v>
      </c>
    </row>
    <row r="35" spans="1:57">
      <c r="A35" s="511"/>
      <c r="B35" s="511"/>
      <c r="C35" s="519" t="s">
        <v>26</v>
      </c>
      <c r="D35" s="201">
        <f t="shared" ref="D35:T35" si="53">V35*D33</f>
        <v>2454880.5375176319</v>
      </c>
      <c r="E35" s="201">
        <f t="shared" si="53"/>
        <v>7284220.0054017641</v>
      </c>
      <c r="F35" s="201">
        <f t="shared" si="53"/>
        <v>8443380.7121437173</v>
      </c>
      <c r="G35" s="201">
        <f t="shared" si="53"/>
        <v>9294350.1143283565</v>
      </c>
      <c r="H35" s="201">
        <f t="shared" si="53"/>
        <v>10147067.309171828</v>
      </c>
      <c r="I35" s="201">
        <f t="shared" si="53"/>
        <v>10552950.001538701</v>
      </c>
      <c r="J35" s="201">
        <f t="shared" si="53"/>
        <v>10975068.001600251</v>
      </c>
      <c r="K35" s="201">
        <f t="shared" si="53"/>
        <v>11445342.148298958</v>
      </c>
      <c r="L35" s="201">
        <f t="shared" si="53"/>
        <v>11870633.550530832</v>
      </c>
      <c r="M35" s="201">
        <f t="shared" si="53"/>
        <v>12345458.892552065</v>
      </c>
      <c r="N35" s="201">
        <f t="shared" si="53"/>
        <v>12839277.24825415</v>
      </c>
      <c r="O35" s="201">
        <f t="shared" si="53"/>
        <v>13389431.484316329</v>
      </c>
      <c r="P35" s="201">
        <f t="shared" si="53"/>
        <v>13886962.27171169</v>
      </c>
      <c r="Q35" s="201">
        <f t="shared" si="53"/>
        <v>14442440.762580158</v>
      </c>
      <c r="R35" s="201">
        <f t="shared" si="53"/>
        <v>15020138.393083364</v>
      </c>
      <c r="S35" s="201">
        <f t="shared" si="53"/>
        <v>15663741.035460968</v>
      </c>
      <c r="T35" s="201">
        <f t="shared" si="53"/>
        <v>16245781.685958968</v>
      </c>
      <c r="V35" s="522">
        <f>'Прогноз прочих'!F16</f>
        <v>0.23</v>
      </c>
      <c r="W35" s="522">
        <f>'Прогноз прочих'!G16</f>
        <v>0.23</v>
      </c>
      <c r="X35" s="522">
        <f>'Прогноз прочих'!H16</f>
        <v>0.23</v>
      </c>
      <c r="Y35" s="522">
        <f>'Прогноз прочих'!I16</f>
        <v>0.23</v>
      </c>
      <c r="Z35" s="522">
        <f>'Прогноз прочих'!J16</f>
        <v>0.23</v>
      </c>
      <c r="AA35" s="522">
        <f>Z35</f>
        <v>0.23</v>
      </c>
      <c r="AB35" s="522">
        <f t="shared" si="49"/>
        <v>0.23</v>
      </c>
      <c r="AC35" s="522">
        <f t="shared" si="49"/>
        <v>0.23</v>
      </c>
      <c r="AD35" s="522">
        <f t="shared" si="49"/>
        <v>0.23</v>
      </c>
      <c r="AE35" s="522">
        <f t="shared" si="49"/>
        <v>0.23</v>
      </c>
      <c r="AF35" s="522">
        <f t="shared" si="49"/>
        <v>0.23</v>
      </c>
      <c r="AG35" s="522">
        <f t="shared" si="49"/>
        <v>0.23</v>
      </c>
      <c r="AH35" s="522">
        <f t="shared" si="49"/>
        <v>0.23</v>
      </c>
      <c r="AI35" s="522">
        <f t="shared" si="49"/>
        <v>0.23</v>
      </c>
      <c r="AJ35" s="522">
        <f t="shared" si="49"/>
        <v>0.23</v>
      </c>
      <c r="AK35" s="522">
        <f t="shared" si="49"/>
        <v>0.23</v>
      </c>
      <c r="AL35" s="522">
        <f t="shared" si="49"/>
        <v>0.23</v>
      </c>
      <c r="AO35" s="201">
        <f t="shared" si="50"/>
        <v>188.02382976000001</v>
      </c>
      <c r="AP35" s="201">
        <f t="shared" si="50"/>
        <v>218.55005153280001</v>
      </c>
      <c r="AQ35" s="201">
        <f t="shared" si="50"/>
        <v>239.25479325696</v>
      </c>
      <c r="AR35" s="201">
        <f t="shared" si="50"/>
        <v>248.82498498723839</v>
      </c>
      <c r="AS35" s="201">
        <f t="shared" si="50"/>
        <v>258.77798438672795</v>
      </c>
      <c r="AT35" s="201">
        <f t="shared" si="50"/>
        <v>269.12910376219708</v>
      </c>
      <c r="AU35" s="201">
        <f t="shared" si="50"/>
        <v>279.894267912685</v>
      </c>
      <c r="AV35" s="201">
        <f t="shared" si="50"/>
        <v>291.09003862919241</v>
      </c>
      <c r="AW35" s="201">
        <f t="shared" si="50"/>
        <v>302.73364017436012</v>
      </c>
      <c r="AX35" s="201">
        <f t="shared" si="50"/>
        <v>314.84298578133451</v>
      </c>
      <c r="AY35" s="201">
        <f t="shared" si="51"/>
        <v>327.43670521258798</v>
      </c>
      <c r="AZ35" s="201">
        <f t="shared" si="51"/>
        <v>340.53417342109145</v>
      </c>
      <c r="BA35" s="201">
        <f t="shared" si="51"/>
        <v>354.15554035793519</v>
      </c>
      <c r="BB35" s="201">
        <f t="shared" si="51"/>
        <v>368.3217619722526</v>
      </c>
      <c r="BC35" s="201">
        <f t="shared" si="51"/>
        <v>383.05463245114271</v>
      </c>
      <c r="BD35" s="201">
        <f t="shared" si="51"/>
        <v>398.37681774918843</v>
      </c>
      <c r="BE35" s="201">
        <f t="shared" si="51"/>
        <v>414.31189045915596</v>
      </c>
    </row>
    <row r="36" spans="1:57">
      <c r="A36" s="511"/>
      <c r="B36" s="511"/>
      <c r="C36" s="521" t="s">
        <v>28</v>
      </c>
      <c r="D36" s="556">
        <f>D34+D35</f>
        <v>6724237.9940700363</v>
      </c>
      <c r="E36" s="556">
        <f t="shared" ref="E36:T36" si="54">E34+E35</f>
        <v>19952428.71044831</v>
      </c>
      <c r="F36" s="556">
        <f t="shared" si="54"/>
        <v>23127521.081089314</v>
      </c>
      <c r="G36" s="556">
        <f t="shared" si="54"/>
        <v>25458437.26968202</v>
      </c>
      <c r="H36" s="556">
        <f t="shared" si="54"/>
        <v>27794140.890340224</v>
      </c>
      <c r="I36" s="556">
        <f t="shared" si="54"/>
        <v>28905906.525953833</v>
      </c>
      <c r="J36" s="556">
        <f t="shared" si="54"/>
        <v>30062142.786991991</v>
      </c>
      <c r="K36" s="556">
        <f t="shared" si="54"/>
        <v>31350285.01490584</v>
      </c>
      <c r="L36" s="556">
        <f t="shared" si="54"/>
        <v>32515213.638410542</v>
      </c>
      <c r="M36" s="556">
        <f t="shared" si="54"/>
        <v>33815822.18394696</v>
      </c>
      <c r="N36" s="556">
        <f t="shared" si="54"/>
        <v>35168455.071304843</v>
      </c>
      <c r="O36" s="556">
        <f t="shared" si="54"/>
        <v>36675399.283127338</v>
      </c>
      <c r="P36" s="556">
        <f t="shared" si="54"/>
        <v>38038201.005123325</v>
      </c>
      <c r="Q36" s="556">
        <f t="shared" si="54"/>
        <v>39559729.045328259</v>
      </c>
      <c r="R36" s="556">
        <f t="shared" si="54"/>
        <v>41142118.207141384</v>
      </c>
      <c r="S36" s="556">
        <f t="shared" si="54"/>
        <v>42905029.792784393</v>
      </c>
      <c r="T36" s="556">
        <f t="shared" si="54"/>
        <v>44499315.05284413</v>
      </c>
      <c r="V36" s="559">
        <f t="shared" ref="V36:AL36" si="55">D36/D33</f>
        <v>0.63000000000000012</v>
      </c>
      <c r="W36" s="559">
        <f t="shared" si="55"/>
        <v>0.63</v>
      </c>
      <c r="X36" s="559">
        <f t="shared" si="55"/>
        <v>0.63</v>
      </c>
      <c r="Y36" s="559">
        <f t="shared" si="55"/>
        <v>0.63</v>
      </c>
      <c r="Z36" s="559">
        <f t="shared" si="55"/>
        <v>0.63</v>
      </c>
      <c r="AA36" s="559">
        <f t="shared" si="55"/>
        <v>0.63</v>
      </c>
      <c r="AB36" s="559">
        <f t="shared" si="55"/>
        <v>0.63</v>
      </c>
      <c r="AC36" s="559">
        <f t="shared" si="55"/>
        <v>0.63</v>
      </c>
      <c r="AD36" s="559">
        <f t="shared" si="55"/>
        <v>0.63</v>
      </c>
      <c r="AE36" s="559">
        <f t="shared" si="55"/>
        <v>0.63</v>
      </c>
      <c r="AF36" s="559">
        <f t="shared" si="55"/>
        <v>0.63</v>
      </c>
      <c r="AG36" s="559">
        <f t="shared" si="55"/>
        <v>0.63</v>
      </c>
      <c r="AH36" s="559">
        <f t="shared" si="55"/>
        <v>0.63</v>
      </c>
      <c r="AI36" s="559">
        <f t="shared" si="55"/>
        <v>0.63</v>
      </c>
      <c r="AJ36" s="559">
        <f t="shared" si="55"/>
        <v>0.63</v>
      </c>
      <c r="AK36" s="559">
        <f t="shared" si="55"/>
        <v>0.63000000000000012</v>
      </c>
      <c r="AL36" s="559">
        <f t="shared" si="55"/>
        <v>0.63</v>
      </c>
      <c r="AO36" s="556">
        <f t="shared" si="50"/>
        <v>515.0217945600001</v>
      </c>
      <c r="AP36" s="556">
        <f t="shared" si="50"/>
        <v>598.63709767679995</v>
      </c>
      <c r="AQ36" s="556">
        <f t="shared" si="50"/>
        <v>655.35008587776008</v>
      </c>
      <c r="AR36" s="556">
        <f t="shared" si="50"/>
        <v>681.56408931287046</v>
      </c>
      <c r="AS36" s="556">
        <f t="shared" si="50"/>
        <v>708.82665288538533</v>
      </c>
      <c r="AT36" s="556">
        <f t="shared" si="50"/>
        <v>737.17971900080067</v>
      </c>
      <c r="AU36" s="556">
        <f t="shared" si="50"/>
        <v>766.66690776083283</v>
      </c>
      <c r="AV36" s="556">
        <f t="shared" si="50"/>
        <v>797.33358407126605</v>
      </c>
      <c r="AW36" s="556">
        <f t="shared" si="50"/>
        <v>829.22692743411687</v>
      </c>
      <c r="AX36" s="556">
        <f t="shared" si="50"/>
        <v>862.39600453148148</v>
      </c>
      <c r="AY36" s="556">
        <f t="shared" si="51"/>
        <v>896.89184471274086</v>
      </c>
      <c r="AZ36" s="556">
        <f t="shared" si="51"/>
        <v>932.76751850125061</v>
      </c>
      <c r="BA36" s="556">
        <f t="shared" si="51"/>
        <v>970.07821924130064</v>
      </c>
      <c r="BB36" s="556">
        <f t="shared" si="51"/>
        <v>1008.8813480109528</v>
      </c>
      <c r="BC36" s="556">
        <f t="shared" si="51"/>
        <v>1049.2366019313909</v>
      </c>
      <c r="BD36" s="556">
        <f t="shared" si="51"/>
        <v>1091.2060660086468</v>
      </c>
      <c r="BE36" s="556">
        <f t="shared" si="51"/>
        <v>1134.8543086489924</v>
      </c>
    </row>
    <row r="37" spans="1:57">
      <c r="A37" s="511"/>
      <c r="B37" s="511"/>
      <c r="C37" s="521" t="s">
        <v>18</v>
      </c>
      <c r="D37" s="554">
        <f>D33-D36</f>
        <v>3949155.6473109722</v>
      </c>
      <c r="E37" s="554">
        <f t="shared" ref="E37:T37" si="56">E33-E36</f>
        <v>11718093.052168053</v>
      </c>
      <c r="F37" s="554">
        <f t="shared" si="56"/>
        <v>13582829.841274675</v>
      </c>
      <c r="G37" s="554">
        <f t="shared" si="56"/>
        <v>14951780.618702136</v>
      </c>
      <c r="H37" s="554">
        <f t="shared" si="56"/>
        <v>16323543.062580764</v>
      </c>
      <c r="I37" s="554">
        <f t="shared" si="56"/>
        <v>16976484.785083998</v>
      </c>
      <c r="J37" s="554">
        <f t="shared" si="56"/>
        <v>17655544.176487356</v>
      </c>
      <c r="K37" s="554">
        <f t="shared" si="56"/>
        <v>18412072.151611365</v>
      </c>
      <c r="L37" s="554">
        <f t="shared" si="56"/>
        <v>19096236.581288729</v>
      </c>
      <c r="M37" s="554">
        <f t="shared" si="56"/>
        <v>19860086.044540279</v>
      </c>
      <c r="N37" s="556">
        <f t="shared" si="56"/>
        <v>20654489.486321896</v>
      </c>
      <c r="O37" s="556">
        <f t="shared" si="56"/>
        <v>21539520.213900179</v>
      </c>
      <c r="P37" s="556">
        <f t="shared" si="56"/>
        <v>22339895.82840576</v>
      </c>
      <c r="Q37" s="556">
        <f t="shared" si="56"/>
        <v>23233491.661541991</v>
      </c>
      <c r="R37" s="556">
        <f t="shared" si="56"/>
        <v>24162831.328003675</v>
      </c>
      <c r="S37" s="556">
        <f t="shared" si="56"/>
        <v>25198192.100524157</v>
      </c>
      <c r="T37" s="556">
        <f t="shared" si="56"/>
        <v>26134518.364368774</v>
      </c>
      <c r="V37" s="559">
        <f t="shared" ref="V37:AL37" si="57">D37/D33</f>
        <v>0.36999999999999988</v>
      </c>
      <c r="W37" s="559">
        <f t="shared" si="57"/>
        <v>0.36999999999999994</v>
      </c>
      <c r="X37" s="559">
        <f t="shared" si="57"/>
        <v>0.37</v>
      </c>
      <c r="Y37" s="559">
        <f t="shared" si="57"/>
        <v>0.36999999999999994</v>
      </c>
      <c r="Z37" s="559">
        <f t="shared" si="57"/>
        <v>0.37</v>
      </c>
      <c r="AA37" s="559">
        <f t="shared" si="57"/>
        <v>0.37</v>
      </c>
      <c r="AB37" s="559">
        <f t="shared" si="57"/>
        <v>0.36999999999999994</v>
      </c>
      <c r="AC37" s="559">
        <f t="shared" si="57"/>
        <v>0.37</v>
      </c>
      <c r="AD37" s="559">
        <f t="shared" si="57"/>
        <v>0.37</v>
      </c>
      <c r="AE37" s="559">
        <f t="shared" si="57"/>
        <v>0.37</v>
      </c>
      <c r="AF37" s="559">
        <f t="shared" si="57"/>
        <v>0.37000000000000005</v>
      </c>
      <c r="AG37" s="559">
        <f t="shared" si="57"/>
        <v>0.36999999999999994</v>
      </c>
      <c r="AH37" s="559">
        <f t="shared" si="57"/>
        <v>0.37</v>
      </c>
      <c r="AI37" s="559">
        <f t="shared" si="57"/>
        <v>0.37</v>
      </c>
      <c r="AJ37" s="559">
        <f t="shared" si="57"/>
        <v>0.37000000000000005</v>
      </c>
      <c r="AK37" s="559">
        <f t="shared" si="57"/>
        <v>0.36999999999999988</v>
      </c>
      <c r="AL37" s="559">
        <f t="shared" si="57"/>
        <v>0.37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>
        <f>D39/D$12</f>
        <v>2.6548672566371681E-2</v>
      </c>
      <c r="W38" s="570">
        <f t="shared" ref="W38:AL38" si="58">E39/E$12</f>
        <v>2.1276595744680854E-2</v>
      </c>
      <c r="X38" s="570">
        <f t="shared" si="58"/>
        <v>2.140672782874618E-2</v>
      </c>
      <c r="Y38" s="570">
        <f t="shared" si="58"/>
        <v>1.8633540372670808E-2</v>
      </c>
      <c r="Z38" s="570">
        <f t="shared" si="58"/>
        <v>1.8749999999999999E-2</v>
      </c>
      <c r="AA38" s="570">
        <f t="shared" si="58"/>
        <v>1.8749999999999999E-2</v>
      </c>
      <c r="AB38" s="570">
        <f t="shared" si="58"/>
        <v>1.8750000000000003E-2</v>
      </c>
      <c r="AC38" s="570">
        <f t="shared" si="58"/>
        <v>1.8750000000000003E-2</v>
      </c>
      <c r="AD38" s="570">
        <f t="shared" si="58"/>
        <v>1.8749999999999999E-2</v>
      </c>
      <c r="AE38" s="570">
        <f t="shared" si="58"/>
        <v>1.8749999999999999E-2</v>
      </c>
      <c r="AF38" s="570">
        <f t="shared" si="58"/>
        <v>1.8749999999999999E-2</v>
      </c>
      <c r="AG38" s="570">
        <f t="shared" si="58"/>
        <v>1.8749999999999999E-2</v>
      </c>
      <c r="AH38" s="570">
        <f t="shared" si="58"/>
        <v>1.8749999999999999E-2</v>
      </c>
      <c r="AI38" s="570">
        <f t="shared" si="58"/>
        <v>1.8750000000000003E-2</v>
      </c>
      <c r="AJ38" s="570">
        <f t="shared" si="58"/>
        <v>1.8749999999999999E-2</v>
      </c>
      <c r="AK38" s="570">
        <f t="shared" si="58"/>
        <v>1.8749999999999999E-2</v>
      </c>
      <c r="AL38" s="570">
        <f t="shared" si="58"/>
        <v>1.8749999999999996E-2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59">V39*D14</f>
        <v>3202018.0924143023</v>
      </c>
      <c r="E39" s="556">
        <f t="shared" si="59"/>
        <v>7389788.4112771517</v>
      </c>
      <c r="F39" s="556">
        <f t="shared" si="59"/>
        <v>8565748.5485515986</v>
      </c>
      <c r="G39" s="556">
        <f t="shared" si="59"/>
        <v>8082043.5776768317</v>
      </c>
      <c r="H39" s="556">
        <f t="shared" si="59"/>
        <v>8823536.7905841973</v>
      </c>
      <c r="I39" s="556">
        <f t="shared" si="59"/>
        <v>9176478.2622075658</v>
      </c>
      <c r="J39" s="556">
        <f t="shared" si="59"/>
        <v>9543537.3926958703</v>
      </c>
      <c r="K39" s="556">
        <f t="shared" si="59"/>
        <v>9952471.4333034419</v>
      </c>
      <c r="L39" s="556">
        <f t="shared" si="59"/>
        <v>10322290.043939855</v>
      </c>
      <c r="M39" s="556">
        <f t="shared" si="59"/>
        <v>10735181.645697448</v>
      </c>
      <c r="N39" s="556">
        <f t="shared" si="59"/>
        <v>11164588.911525348</v>
      </c>
      <c r="O39" s="556">
        <f t="shared" si="59"/>
        <v>11642983.899405504</v>
      </c>
      <c r="P39" s="556">
        <f t="shared" si="59"/>
        <v>12075619.366705816</v>
      </c>
      <c r="Q39" s="556">
        <f t="shared" si="59"/>
        <v>12558644.14137405</v>
      </c>
      <c r="R39" s="556">
        <f t="shared" si="59"/>
        <v>13060989.907029012</v>
      </c>
      <c r="S39" s="556">
        <f t="shared" si="59"/>
        <v>13620644.378661709</v>
      </c>
      <c r="T39" s="556">
        <f t="shared" si="59"/>
        <v>14126766.683442581</v>
      </c>
      <c r="V39" s="558">
        <f>'Прогноз прочих'!F31</f>
        <v>4.4999999999999998E-2</v>
      </c>
      <c r="W39" s="558">
        <f>'Прогноз прочих'!G31</f>
        <v>3.5000000000000003E-2</v>
      </c>
      <c r="X39" s="558">
        <f>'Прогноз прочих'!H31</f>
        <v>3.5000000000000003E-2</v>
      </c>
      <c r="Y39" s="558">
        <f>'Прогноз прочих'!I31</f>
        <v>0.03</v>
      </c>
      <c r="Z39" s="558">
        <f>'Прогноз прочих'!J31</f>
        <v>0.03</v>
      </c>
      <c r="AA39" s="559">
        <f>Z39</f>
        <v>0.03</v>
      </c>
      <c r="AB39" s="559">
        <f t="shared" ref="AB39:AL41" si="60">AA39</f>
        <v>0.03</v>
      </c>
      <c r="AC39" s="559">
        <f t="shared" si="60"/>
        <v>0.03</v>
      </c>
      <c r="AD39" s="559">
        <f t="shared" si="60"/>
        <v>0.03</v>
      </c>
      <c r="AE39" s="559">
        <f t="shared" si="60"/>
        <v>0.03</v>
      </c>
      <c r="AF39" s="559">
        <f t="shared" si="60"/>
        <v>0.03</v>
      </c>
      <c r="AG39" s="559">
        <f t="shared" si="60"/>
        <v>0.03</v>
      </c>
      <c r="AH39" s="559">
        <f t="shared" si="60"/>
        <v>0.03</v>
      </c>
      <c r="AI39" s="559">
        <f t="shared" si="60"/>
        <v>0.03</v>
      </c>
      <c r="AJ39" s="559">
        <f t="shared" si="60"/>
        <v>0.03</v>
      </c>
      <c r="AK39" s="559">
        <f t="shared" si="60"/>
        <v>0.03</v>
      </c>
      <c r="AL39" s="559">
        <f t="shared" si="60"/>
        <v>0.03</v>
      </c>
      <c r="AO39" s="556">
        <f t="shared" ref="AO39:BE39" si="61">D39/D9</f>
        <v>245.24847360000001</v>
      </c>
      <c r="AP39" s="556">
        <f t="shared" si="61"/>
        <v>221.71744358399999</v>
      </c>
      <c r="AQ39" s="556">
        <f t="shared" si="61"/>
        <v>242.72225402880005</v>
      </c>
      <c r="AR39" s="556">
        <f t="shared" si="61"/>
        <v>216.36955216281601</v>
      </c>
      <c r="AS39" s="556">
        <f t="shared" si="61"/>
        <v>225.02433424932863</v>
      </c>
      <c r="AT39" s="556">
        <f t="shared" si="61"/>
        <v>234.0253076193018</v>
      </c>
      <c r="AU39" s="556">
        <f t="shared" si="61"/>
        <v>243.38631992407392</v>
      </c>
      <c r="AV39" s="556">
        <f t="shared" si="61"/>
        <v>253.12177272103685</v>
      </c>
      <c r="AW39" s="556">
        <f t="shared" si="61"/>
        <v>263.24664362987841</v>
      </c>
      <c r="AX39" s="556">
        <f t="shared" si="61"/>
        <v>273.77650937507349</v>
      </c>
      <c r="AY39" s="556">
        <f t="shared" si="61"/>
        <v>284.7275697500765</v>
      </c>
      <c r="AZ39" s="556">
        <f t="shared" si="61"/>
        <v>296.11667254007955</v>
      </c>
      <c r="BA39" s="556">
        <f t="shared" si="61"/>
        <v>307.96133944168275</v>
      </c>
      <c r="BB39" s="556">
        <f t="shared" si="61"/>
        <v>320.27979301935005</v>
      </c>
      <c r="BC39" s="556">
        <f t="shared" si="61"/>
        <v>333.0909847401241</v>
      </c>
      <c r="BD39" s="556">
        <f t="shared" si="61"/>
        <v>346.41462412972902</v>
      </c>
      <c r="BE39" s="556">
        <f t="shared" si="61"/>
        <v>360.27120909491828</v>
      </c>
    </row>
    <row r="40" spans="1:57">
      <c r="A40" s="511"/>
      <c r="B40" s="511"/>
      <c r="C40" s="519" t="s">
        <v>25</v>
      </c>
      <c r="D40" s="201">
        <f t="shared" ref="D40:T40" si="62">V40*D39</f>
        <v>288181.62831728719</v>
      </c>
      <c r="E40" s="201">
        <f t="shared" si="62"/>
        <v>517285.18878940068</v>
      </c>
      <c r="F40" s="201">
        <f t="shared" si="62"/>
        <v>513944.9129130959</v>
      </c>
      <c r="G40" s="201">
        <f t="shared" si="62"/>
        <v>484922.61466060986</v>
      </c>
      <c r="H40" s="201">
        <f t="shared" si="62"/>
        <v>529412.20743505179</v>
      </c>
      <c r="I40" s="201">
        <f t="shared" si="62"/>
        <v>550588.69573245395</v>
      </c>
      <c r="J40" s="201">
        <f t="shared" si="62"/>
        <v>572612.24356175214</v>
      </c>
      <c r="K40" s="201">
        <f t="shared" si="62"/>
        <v>597148.28599820647</v>
      </c>
      <c r="L40" s="201">
        <f t="shared" si="62"/>
        <v>619337.40263639123</v>
      </c>
      <c r="M40" s="201">
        <f t="shared" si="62"/>
        <v>644110.8987418469</v>
      </c>
      <c r="N40" s="201">
        <f t="shared" si="62"/>
        <v>669875.3346915209</v>
      </c>
      <c r="O40" s="201">
        <f t="shared" si="62"/>
        <v>698579.03396433021</v>
      </c>
      <c r="P40" s="201">
        <f t="shared" si="62"/>
        <v>724537.16200234892</v>
      </c>
      <c r="Q40" s="201">
        <f t="shared" si="62"/>
        <v>753518.64848244295</v>
      </c>
      <c r="R40" s="201">
        <f t="shared" si="62"/>
        <v>783659.39442174067</v>
      </c>
      <c r="S40" s="201">
        <f t="shared" si="62"/>
        <v>817238.66271970246</v>
      </c>
      <c r="T40" s="201">
        <f t="shared" si="62"/>
        <v>847606.00100655481</v>
      </c>
      <c r="V40" s="522">
        <f>'Прогноз прочих'!F39</f>
        <v>0.09</v>
      </c>
      <c r="W40" s="522">
        <f>'Прогноз прочих'!G39</f>
        <v>7.0000000000000007E-2</v>
      </c>
      <c r="X40" s="522">
        <f>'Прогноз прочих'!H39</f>
        <v>0.06</v>
      </c>
      <c r="Y40" s="522">
        <f>'Прогноз прочих'!I39</f>
        <v>0.06</v>
      </c>
      <c r="Z40" s="522">
        <f>'Прогноз прочих'!J39</f>
        <v>0.06</v>
      </c>
      <c r="AA40" s="522">
        <f>Z40</f>
        <v>0.06</v>
      </c>
      <c r="AB40" s="522">
        <f t="shared" si="60"/>
        <v>0.06</v>
      </c>
      <c r="AC40" s="522">
        <f t="shared" si="60"/>
        <v>0.06</v>
      </c>
      <c r="AD40" s="522">
        <f t="shared" si="60"/>
        <v>0.06</v>
      </c>
      <c r="AE40" s="522">
        <f t="shared" si="60"/>
        <v>0.06</v>
      </c>
      <c r="AF40" s="522">
        <f t="shared" si="60"/>
        <v>0.06</v>
      </c>
      <c r="AG40" s="522">
        <f t="shared" si="60"/>
        <v>0.06</v>
      </c>
      <c r="AH40" s="522">
        <f t="shared" si="60"/>
        <v>0.06</v>
      </c>
      <c r="AI40" s="522">
        <f t="shared" si="60"/>
        <v>0.06</v>
      </c>
      <c r="AJ40" s="522">
        <f t="shared" si="60"/>
        <v>0.06</v>
      </c>
      <c r="AK40" s="522">
        <f t="shared" si="60"/>
        <v>0.06</v>
      </c>
      <c r="AL40" s="522">
        <f t="shared" si="60"/>
        <v>0.06</v>
      </c>
      <c r="AO40" s="201">
        <f t="shared" ref="AO40:BD41" si="63">D40/D$9</f>
        <v>22.072362624</v>
      </c>
      <c r="AP40" s="201">
        <f t="shared" si="63"/>
        <v>15.520221050880002</v>
      </c>
      <c r="AQ40" s="201">
        <f t="shared" si="63"/>
        <v>14.563335241728002</v>
      </c>
      <c r="AR40" s="201">
        <f t="shared" si="63"/>
        <v>12.98217312976896</v>
      </c>
      <c r="AS40" s="201">
        <f t="shared" si="63"/>
        <v>13.501460054959717</v>
      </c>
      <c r="AT40" s="201">
        <f t="shared" si="63"/>
        <v>14.041518457158109</v>
      </c>
      <c r="AU40" s="201">
        <f t="shared" si="63"/>
        <v>14.603179195444433</v>
      </c>
      <c r="AV40" s="201">
        <f t="shared" si="63"/>
        <v>15.187306363262211</v>
      </c>
      <c r="AW40" s="201">
        <f t="shared" si="63"/>
        <v>15.794798617792702</v>
      </c>
      <c r="AX40" s="201">
        <f t="shared" si="63"/>
        <v>16.426590562504412</v>
      </c>
      <c r="AY40" s="201">
        <f t="shared" si="63"/>
        <v>17.08365418500459</v>
      </c>
      <c r="AZ40" s="201">
        <f t="shared" si="63"/>
        <v>17.767000352404771</v>
      </c>
      <c r="BA40" s="201">
        <f t="shared" si="63"/>
        <v>18.477680366500962</v>
      </c>
      <c r="BB40" s="201">
        <f t="shared" si="63"/>
        <v>19.216787581161004</v>
      </c>
      <c r="BC40" s="201">
        <f t="shared" si="63"/>
        <v>19.985459084407442</v>
      </c>
      <c r="BD40" s="201">
        <f t="shared" si="63"/>
        <v>20.784877447783739</v>
      </c>
      <c r="BE40" s="201">
        <f t="shared" ref="AY40:BE41" si="64">T40/T$9</f>
        <v>21.616272545695093</v>
      </c>
    </row>
    <row r="41" spans="1:57">
      <c r="A41" s="511"/>
      <c r="B41" s="511"/>
      <c r="C41" s="519" t="s">
        <v>26</v>
      </c>
      <c r="D41" s="201">
        <f t="shared" ref="D41:T41" si="65">V41*D39</f>
        <v>256161.44739314419</v>
      </c>
      <c r="E41" s="201">
        <f t="shared" si="65"/>
        <v>517285.18878940068</v>
      </c>
      <c r="F41" s="201">
        <f t="shared" si="65"/>
        <v>513944.9129130959</v>
      </c>
      <c r="G41" s="201">
        <f t="shared" si="65"/>
        <v>484922.61466060986</v>
      </c>
      <c r="H41" s="201">
        <f t="shared" si="65"/>
        <v>529412.20743505179</v>
      </c>
      <c r="I41" s="201">
        <f t="shared" si="65"/>
        <v>550588.69573245395</v>
      </c>
      <c r="J41" s="201">
        <f t="shared" si="65"/>
        <v>572612.24356175214</v>
      </c>
      <c r="K41" s="201">
        <f t="shared" si="65"/>
        <v>597148.28599820647</v>
      </c>
      <c r="L41" s="201">
        <f t="shared" si="65"/>
        <v>619337.40263639123</v>
      </c>
      <c r="M41" s="201">
        <f t="shared" si="65"/>
        <v>644110.8987418469</v>
      </c>
      <c r="N41" s="201">
        <f t="shared" si="65"/>
        <v>669875.3346915209</v>
      </c>
      <c r="O41" s="201">
        <f t="shared" si="65"/>
        <v>698579.03396433021</v>
      </c>
      <c r="P41" s="201">
        <f t="shared" si="65"/>
        <v>724537.16200234892</v>
      </c>
      <c r="Q41" s="201">
        <f t="shared" si="65"/>
        <v>753518.64848244295</v>
      </c>
      <c r="R41" s="201">
        <f t="shared" si="65"/>
        <v>783659.39442174067</v>
      </c>
      <c r="S41" s="201">
        <f t="shared" si="65"/>
        <v>817238.66271970246</v>
      </c>
      <c r="T41" s="201">
        <f t="shared" si="65"/>
        <v>847606.00100655481</v>
      </c>
      <c r="V41" s="522">
        <f>'Прогноз прочих'!F47</f>
        <v>0.08</v>
      </c>
      <c r="W41" s="522">
        <f>'Прогноз прочих'!G47</f>
        <v>7.0000000000000007E-2</v>
      </c>
      <c r="X41" s="522">
        <f>'Прогноз прочих'!H47</f>
        <v>0.06</v>
      </c>
      <c r="Y41" s="522">
        <f>'Прогноз прочих'!I47</f>
        <v>0.06</v>
      </c>
      <c r="Z41" s="522">
        <f>'Прогноз прочих'!J47</f>
        <v>0.06</v>
      </c>
      <c r="AA41" s="522">
        <f>Z41</f>
        <v>0.06</v>
      </c>
      <c r="AB41" s="522">
        <f t="shared" si="60"/>
        <v>0.06</v>
      </c>
      <c r="AC41" s="522">
        <f t="shared" si="60"/>
        <v>0.06</v>
      </c>
      <c r="AD41" s="522">
        <f t="shared" si="60"/>
        <v>0.06</v>
      </c>
      <c r="AE41" s="522">
        <f t="shared" si="60"/>
        <v>0.06</v>
      </c>
      <c r="AF41" s="522">
        <f t="shared" si="60"/>
        <v>0.06</v>
      </c>
      <c r="AG41" s="522">
        <f t="shared" si="60"/>
        <v>0.06</v>
      </c>
      <c r="AH41" s="522">
        <f t="shared" si="60"/>
        <v>0.06</v>
      </c>
      <c r="AI41" s="522">
        <f t="shared" si="60"/>
        <v>0.06</v>
      </c>
      <c r="AJ41" s="522">
        <f t="shared" si="60"/>
        <v>0.06</v>
      </c>
      <c r="AK41" s="522">
        <f t="shared" si="60"/>
        <v>0.06</v>
      </c>
      <c r="AL41" s="522">
        <f t="shared" si="60"/>
        <v>0.06</v>
      </c>
      <c r="AO41" s="201">
        <f t="shared" si="63"/>
        <v>19.619877888000001</v>
      </c>
      <c r="AP41" s="201">
        <f t="shared" si="63"/>
        <v>15.520221050880002</v>
      </c>
      <c r="AQ41" s="201">
        <f t="shared" si="63"/>
        <v>14.563335241728002</v>
      </c>
      <c r="AR41" s="201">
        <f t="shared" si="63"/>
        <v>12.98217312976896</v>
      </c>
      <c r="AS41" s="201">
        <f t="shared" si="63"/>
        <v>13.501460054959717</v>
      </c>
      <c r="AT41" s="201">
        <f t="shared" si="63"/>
        <v>14.041518457158109</v>
      </c>
      <c r="AU41" s="201">
        <f t="shared" si="63"/>
        <v>14.603179195444433</v>
      </c>
      <c r="AV41" s="201">
        <f t="shared" si="63"/>
        <v>15.187306363262211</v>
      </c>
      <c r="AW41" s="201">
        <f t="shared" si="63"/>
        <v>15.794798617792702</v>
      </c>
      <c r="AX41" s="201">
        <f t="shared" si="63"/>
        <v>16.426590562504412</v>
      </c>
      <c r="AY41" s="201">
        <f t="shared" si="64"/>
        <v>17.08365418500459</v>
      </c>
      <c r="AZ41" s="201">
        <f t="shared" si="64"/>
        <v>17.767000352404771</v>
      </c>
      <c r="BA41" s="201">
        <f t="shared" si="64"/>
        <v>18.477680366500962</v>
      </c>
      <c r="BB41" s="201">
        <f t="shared" si="64"/>
        <v>19.216787581161004</v>
      </c>
      <c r="BC41" s="201">
        <f t="shared" si="64"/>
        <v>19.985459084407442</v>
      </c>
      <c r="BD41" s="201">
        <f t="shared" si="64"/>
        <v>20.784877447783739</v>
      </c>
      <c r="BE41" s="201">
        <f t="shared" si="64"/>
        <v>21.616272545695093</v>
      </c>
    </row>
    <row r="42" spans="1:57">
      <c r="A42" s="511"/>
      <c r="B42" s="511"/>
      <c r="C42" s="521" t="s">
        <v>28</v>
      </c>
      <c r="D42" s="556">
        <f>D40+D41</f>
        <v>544343.07571043144</v>
      </c>
      <c r="E42" s="556">
        <f t="shared" ref="E42:T42" si="66">E40+E41</f>
        <v>1034570.3775788014</v>
      </c>
      <c r="F42" s="556">
        <f t="shared" si="66"/>
        <v>1027889.8258261918</v>
      </c>
      <c r="G42" s="556">
        <f t="shared" si="66"/>
        <v>969845.22932121973</v>
      </c>
      <c r="H42" s="556">
        <f t="shared" si="66"/>
        <v>1058824.4148701036</v>
      </c>
      <c r="I42" s="556">
        <f t="shared" si="66"/>
        <v>1101177.3914649079</v>
      </c>
      <c r="J42" s="556">
        <f t="shared" si="66"/>
        <v>1145224.4871235043</v>
      </c>
      <c r="K42" s="556">
        <f t="shared" si="66"/>
        <v>1194296.5719964129</v>
      </c>
      <c r="L42" s="556">
        <f t="shared" si="66"/>
        <v>1238674.8052727825</v>
      </c>
      <c r="M42" s="556">
        <f t="shared" si="66"/>
        <v>1288221.7974836938</v>
      </c>
      <c r="N42" s="556">
        <f t="shared" si="66"/>
        <v>1339750.6693830418</v>
      </c>
      <c r="O42" s="556">
        <f t="shared" si="66"/>
        <v>1397158.0679286604</v>
      </c>
      <c r="P42" s="556">
        <f t="shared" si="66"/>
        <v>1449074.3240046978</v>
      </c>
      <c r="Q42" s="556">
        <f t="shared" si="66"/>
        <v>1507037.2969648859</v>
      </c>
      <c r="R42" s="556">
        <f t="shared" si="66"/>
        <v>1567318.7888434813</v>
      </c>
      <c r="S42" s="556">
        <f t="shared" si="66"/>
        <v>1634477.3254394049</v>
      </c>
      <c r="T42" s="556">
        <f t="shared" si="66"/>
        <v>1695212.0020131096</v>
      </c>
      <c r="V42" s="559">
        <f t="shared" ref="V42:AL42" si="67">D42/D39</f>
        <v>0.17</v>
      </c>
      <c r="W42" s="559">
        <f t="shared" si="67"/>
        <v>0.14000000000000001</v>
      </c>
      <c r="X42" s="559">
        <f t="shared" si="67"/>
        <v>0.12</v>
      </c>
      <c r="Y42" s="559">
        <f t="shared" si="67"/>
        <v>0.12</v>
      </c>
      <c r="Z42" s="559">
        <f t="shared" si="67"/>
        <v>0.12</v>
      </c>
      <c r="AA42" s="559">
        <f t="shared" si="67"/>
        <v>0.12</v>
      </c>
      <c r="AB42" s="559">
        <f t="shared" si="67"/>
        <v>0.11999999999999998</v>
      </c>
      <c r="AC42" s="559">
        <f t="shared" si="67"/>
        <v>0.12</v>
      </c>
      <c r="AD42" s="559">
        <f t="shared" si="67"/>
        <v>0.11999999999999998</v>
      </c>
      <c r="AE42" s="559">
        <f t="shared" si="67"/>
        <v>0.12</v>
      </c>
      <c r="AF42" s="559">
        <f t="shared" si="67"/>
        <v>0.12</v>
      </c>
      <c r="AG42" s="559">
        <f t="shared" si="67"/>
        <v>0.12</v>
      </c>
      <c r="AH42" s="559">
        <f t="shared" si="67"/>
        <v>0.12</v>
      </c>
      <c r="AI42" s="559">
        <f t="shared" si="67"/>
        <v>0.12</v>
      </c>
      <c r="AJ42" s="559">
        <f t="shared" si="67"/>
        <v>0.12</v>
      </c>
      <c r="AK42" s="559">
        <f t="shared" si="67"/>
        <v>0.12</v>
      </c>
      <c r="AL42" s="559">
        <f t="shared" si="67"/>
        <v>0.12</v>
      </c>
      <c r="AO42" s="556">
        <f>AO41+AO40</f>
        <v>41.692240511999998</v>
      </c>
      <c r="AP42" s="556">
        <f t="shared" ref="AP42:BE42" si="68">AP41+AP40</f>
        <v>31.040442101760004</v>
      </c>
      <c r="AQ42" s="556">
        <f t="shared" si="68"/>
        <v>29.126670483456003</v>
      </c>
      <c r="AR42" s="556">
        <f t="shared" si="68"/>
        <v>25.964346259537919</v>
      </c>
      <c r="AS42" s="556">
        <f t="shared" si="68"/>
        <v>27.002920109919433</v>
      </c>
      <c r="AT42" s="556">
        <f t="shared" si="68"/>
        <v>28.083036914316217</v>
      </c>
      <c r="AU42" s="556">
        <f t="shared" si="68"/>
        <v>29.206358390888866</v>
      </c>
      <c r="AV42" s="556">
        <f t="shared" si="68"/>
        <v>30.374612726524422</v>
      </c>
      <c r="AW42" s="556">
        <f t="shared" si="68"/>
        <v>31.589597235585405</v>
      </c>
      <c r="AX42" s="556">
        <f t="shared" si="68"/>
        <v>32.853181125008824</v>
      </c>
      <c r="AY42" s="556">
        <f t="shared" si="68"/>
        <v>34.167308370009181</v>
      </c>
      <c r="AZ42" s="556">
        <f t="shared" si="68"/>
        <v>35.534000704809543</v>
      </c>
      <c r="BA42" s="556">
        <f t="shared" si="68"/>
        <v>36.955360733001925</v>
      </c>
      <c r="BB42" s="556">
        <f t="shared" si="68"/>
        <v>38.433575162322008</v>
      </c>
      <c r="BC42" s="556">
        <f t="shared" si="68"/>
        <v>39.970918168814883</v>
      </c>
      <c r="BD42" s="556">
        <f t="shared" si="68"/>
        <v>41.569754895567478</v>
      </c>
      <c r="BE42" s="556">
        <f t="shared" si="68"/>
        <v>43.232545091390186</v>
      </c>
    </row>
    <row r="43" spans="1:57">
      <c r="A43" s="511"/>
      <c r="B43" s="511"/>
      <c r="C43" s="521" t="s">
        <v>18</v>
      </c>
      <c r="D43" s="556">
        <f>D39-D42</f>
        <v>2657675.0167038711</v>
      </c>
      <c r="E43" s="556">
        <f t="shared" ref="E43:T43" si="69">E39-E42</f>
        <v>6355218.0336983502</v>
      </c>
      <c r="F43" s="556">
        <f t="shared" si="69"/>
        <v>7537858.7227254063</v>
      </c>
      <c r="G43" s="556">
        <f t="shared" si="69"/>
        <v>7112198.3483556118</v>
      </c>
      <c r="H43" s="556">
        <f t="shared" si="69"/>
        <v>7764712.3757140934</v>
      </c>
      <c r="I43" s="556">
        <f t="shared" si="69"/>
        <v>8075300.8707426582</v>
      </c>
      <c r="J43" s="556">
        <f t="shared" si="69"/>
        <v>8398312.905572366</v>
      </c>
      <c r="K43" s="556">
        <f t="shared" si="69"/>
        <v>8758174.8613070287</v>
      </c>
      <c r="L43" s="556">
        <f t="shared" si="69"/>
        <v>9083615.2386670727</v>
      </c>
      <c r="M43" s="556">
        <f t="shared" si="69"/>
        <v>9446959.8482137546</v>
      </c>
      <c r="N43" s="556">
        <f t="shared" si="69"/>
        <v>9824838.2421423066</v>
      </c>
      <c r="O43" s="556">
        <f t="shared" si="69"/>
        <v>10245825.831476843</v>
      </c>
      <c r="P43" s="556">
        <f t="shared" si="69"/>
        <v>10626545.042701118</v>
      </c>
      <c r="Q43" s="556">
        <f t="shared" si="69"/>
        <v>11051606.844409164</v>
      </c>
      <c r="R43" s="556">
        <f t="shared" si="69"/>
        <v>11493671.118185531</v>
      </c>
      <c r="S43" s="556">
        <f t="shared" si="69"/>
        <v>11986167.053222304</v>
      </c>
      <c r="T43" s="556">
        <f t="shared" si="69"/>
        <v>12431554.681429472</v>
      </c>
      <c r="V43" s="559">
        <f t="shared" ref="V43:AL43" si="70">D43/D39</f>
        <v>0.83000000000000007</v>
      </c>
      <c r="W43" s="559">
        <f t="shared" si="70"/>
        <v>0.86</v>
      </c>
      <c r="X43" s="559">
        <f t="shared" si="70"/>
        <v>0.87999999999999989</v>
      </c>
      <c r="Y43" s="559">
        <f t="shared" si="70"/>
        <v>0.88</v>
      </c>
      <c r="Z43" s="559">
        <f t="shared" si="70"/>
        <v>0.88</v>
      </c>
      <c r="AA43" s="559">
        <f t="shared" si="70"/>
        <v>0.88</v>
      </c>
      <c r="AB43" s="559">
        <f t="shared" si="70"/>
        <v>0.88</v>
      </c>
      <c r="AC43" s="559">
        <f t="shared" si="70"/>
        <v>0.88</v>
      </c>
      <c r="AD43" s="559">
        <f t="shared" si="70"/>
        <v>0.88</v>
      </c>
      <c r="AE43" s="559">
        <f t="shared" si="70"/>
        <v>0.88</v>
      </c>
      <c r="AF43" s="559">
        <f t="shared" si="70"/>
        <v>0.88</v>
      </c>
      <c r="AG43" s="559">
        <f t="shared" si="70"/>
        <v>0.88</v>
      </c>
      <c r="AH43" s="559">
        <f t="shared" si="70"/>
        <v>0.88</v>
      </c>
      <c r="AI43" s="559">
        <f t="shared" si="70"/>
        <v>0.88</v>
      </c>
      <c r="AJ43" s="559">
        <f t="shared" si="70"/>
        <v>0.88</v>
      </c>
      <c r="AK43" s="559">
        <f t="shared" si="70"/>
        <v>0.88</v>
      </c>
      <c r="AL43" s="559">
        <f t="shared" si="70"/>
        <v>0.88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71">V45*D14</f>
        <v>711559.57609206717</v>
      </c>
      <c r="E45" s="556">
        <f t="shared" si="71"/>
        <v>2111368.1175077576</v>
      </c>
      <c r="F45" s="556">
        <f t="shared" si="71"/>
        <v>2447356.7281575995</v>
      </c>
      <c r="G45" s="556">
        <f t="shared" si="71"/>
        <v>2694014.5258922772</v>
      </c>
      <c r="H45" s="556">
        <f t="shared" si="71"/>
        <v>2941178.9301947327</v>
      </c>
      <c r="I45" s="556">
        <f t="shared" si="71"/>
        <v>3058826.0874025221</v>
      </c>
      <c r="J45" s="556">
        <f t="shared" si="71"/>
        <v>3181179.1308986237</v>
      </c>
      <c r="K45" s="556">
        <f t="shared" si="71"/>
        <v>3317490.477767814</v>
      </c>
      <c r="L45" s="556">
        <f t="shared" si="71"/>
        <v>3440763.3479799516</v>
      </c>
      <c r="M45" s="556">
        <f t="shared" si="71"/>
        <v>3578393.8818991496</v>
      </c>
      <c r="N45" s="556">
        <f t="shared" si="71"/>
        <v>3721529.6371751162</v>
      </c>
      <c r="O45" s="556">
        <f t="shared" si="71"/>
        <v>3880994.6331351679</v>
      </c>
      <c r="P45" s="556">
        <f t="shared" si="71"/>
        <v>4025206.4555686056</v>
      </c>
      <c r="Q45" s="556">
        <f t="shared" si="71"/>
        <v>4186214.7137913504</v>
      </c>
      <c r="R45" s="556">
        <f t="shared" si="71"/>
        <v>4353663.3023430044</v>
      </c>
      <c r="S45" s="556">
        <f t="shared" si="71"/>
        <v>4540214.7928872369</v>
      </c>
      <c r="T45" s="556">
        <f t="shared" si="71"/>
        <v>4708922.2278141938</v>
      </c>
      <c r="V45" s="558">
        <f>'Прогноз прочих'!F75</f>
        <v>0.01</v>
      </c>
      <c r="W45" s="558">
        <f>'Прогноз прочих'!G75</f>
        <v>0.01</v>
      </c>
      <c r="X45" s="558">
        <f>'Прогноз прочих'!H75</f>
        <v>0.01</v>
      </c>
      <c r="Y45" s="558">
        <f>'Прогноз прочих'!I75</f>
        <v>0.01</v>
      </c>
      <c r="Z45" s="558">
        <f>'Прогноз прочих'!J75</f>
        <v>0.01</v>
      </c>
      <c r="AA45" s="559">
        <f>Z45</f>
        <v>0.01</v>
      </c>
      <c r="AB45" s="559">
        <f t="shared" ref="AB45:AL45" si="72">AA45</f>
        <v>0.01</v>
      </c>
      <c r="AC45" s="559">
        <f t="shared" si="72"/>
        <v>0.01</v>
      </c>
      <c r="AD45" s="559">
        <f t="shared" si="72"/>
        <v>0.01</v>
      </c>
      <c r="AE45" s="559">
        <f t="shared" si="72"/>
        <v>0.01</v>
      </c>
      <c r="AF45" s="559">
        <f t="shared" si="72"/>
        <v>0.01</v>
      </c>
      <c r="AG45" s="559">
        <f t="shared" si="72"/>
        <v>0.01</v>
      </c>
      <c r="AH45" s="559">
        <f t="shared" si="72"/>
        <v>0.01</v>
      </c>
      <c r="AI45" s="559">
        <f t="shared" si="72"/>
        <v>0.01</v>
      </c>
      <c r="AJ45" s="559">
        <f t="shared" si="72"/>
        <v>0.01</v>
      </c>
      <c r="AK45" s="559">
        <f t="shared" si="72"/>
        <v>0.01</v>
      </c>
      <c r="AL45" s="559">
        <f t="shared" si="72"/>
        <v>0.01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548">
        <f>D42+D30+D18+D36</f>
        <v>54796549.97094056</v>
      </c>
      <c r="E46" s="548">
        <f t="shared" ref="E46:T46" si="73">E42+E30+E18+E36</f>
        <v>145727832.30164397</v>
      </c>
      <c r="F46" s="1035">
        <f t="shared" si="73"/>
        <v>159710284.0997079</v>
      </c>
      <c r="G46" s="548">
        <f t="shared" si="73"/>
        <v>167536623.09028515</v>
      </c>
      <c r="H46" s="548">
        <f t="shared" si="73"/>
        <v>175858764.19568205</v>
      </c>
      <c r="I46" s="548">
        <f t="shared" si="73"/>
        <v>182893114.76350933</v>
      </c>
      <c r="J46" s="548">
        <f t="shared" si="73"/>
        <v>190208839.35404971</v>
      </c>
      <c r="K46" s="548">
        <f t="shared" si="73"/>
        <v>198359157.8403438</v>
      </c>
      <c r="L46" s="548">
        <f t="shared" si="73"/>
        <v>205729880.64534023</v>
      </c>
      <c r="M46" s="548">
        <f t="shared" si="73"/>
        <v>213959075.87115383</v>
      </c>
      <c r="N46" s="548">
        <f t="shared" si="73"/>
        <v>222517438.90600002</v>
      </c>
      <c r="O46" s="548">
        <f t="shared" si="73"/>
        <v>232052158.75391743</v>
      </c>
      <c r="P46" s="548">
        <f t="shared" si="73"/>
        <v>240674861.92072964</v>
      </c>
      <c r="Q46" s="548">
        <f t="shared" si="73"/>
        <v>250301856.39755881</v>
      </c>
      <c r="R46" s="548">
        <f t="shared" si="73"/>
        <v>260313930.65346116</v>
      </c>
      <c r="S46" s="548">
        <f t="shared" si="73"/>
        <v>271468204.28474927</v>
      </c>
      <c r="T46" s="548">
        <f t="shared" si="73"/>
        <v>281555547.39478362</v>
      </c>
      <c r="V46" s="573">
        <f t="shared" ref="V46:AL46" si="74">D46/D12</f>
        <v>0.45433086914522475</v>
      </c>
      <c r="W46" s="573">
        <f t="shared" si="74"/>
        <v>0.41957793702172569</v>
      </c>
      <c r="X46" s="573">
        <f t="shared" si="74"/>
        <v>0.39913319469928643</v>
      </c>
      <c r="Y46" s="573">
        <f t="shared" si="74"/>
        <v>0.38626374632232757</v>
      </c>
      <c r="Z46" s="573">
        <f t="shared" si="74"/>
        <v>0.3736995614035088</v>
      </c>
      <c r="AA46" s="573">
        <f t="shared" si="74"/>
        <v>0.3736995614035088</v>
      </c>
      <c r="AB46" s="573">
        <f t="shared" si="74"/>
        <v>0.3736995614035088</v>
      </c>
      <c r="AC46" s="573">
        <f t="shared" si="74"/>
        <v>0.3736995614035088</v>
      </c>
      <c r="AD46" s="573">
        <f t="shared" si="74"/>
        <v>0.3736995614035088</v>
      </c>
      <c r="AE46" s="573">
        <f t="shared" si="74"/>
        <v>0.3736995614035088</v>
      </c>
      <c r="AF46" s="573">
        <f t="shared" si="74"/>
        <v>0.3736995614035088</v>
      </c>
      <c r="AG46" s="573">
        <f t="shared" si="74"/>
        <v>0.3736995614035088</v>
      </c>
      <c r="AH46" s="573">
        <f t="shared" si="74"/>
        <v>0.3736995614035088</v>
      </c>
      <c r="AI46" s="573">
        <f t="shared" si="74"/>
        <v>0.37369956140350885</v>
      </c>
      <c r="AJ46" s="573">
        <f t="shared" si="74"/>
        <v>0.37369956140350874</v>
      </c>
      <c r="AK46" s="573">
        <f t="shared" si="74"/>
        <v>0.37369956140350885</v>
      </c>
      <c r="AL46" s="573">
        <f t="shared" si="74"/>
        <v>0.37369956140350868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5">D12-D46</f>
        <v>65812798.176664829</v>
      </c>
      <c r="E47" s="1035">
        <f t="shared" si="75"/>
        <v>201592223.02838212</v>
      </c>
      <c r="F47" s="1035">
        <f t="shared" si="75"/>
        <v>240432540.9540596</v>
      </c>
      <c r="G47" s="1035">
        <f t="shared" si="75"/>
        <v>266199715.5783715</v>
      </c>
      <c r="H47" s="1035">
        <f t="shared" si="75"/>
        <v>294729864.63547516</v>
      </c>
      <c r="I47" s="1035">
        <f t="shared" si="75"/>
        <v>306519059.22089422</v>
      </c>
      <c r="J47" s="1035">
        <f t="shared" si="75"/>
        <v>318779821.58973002</v>
      </c>
      <c r="K47" s="1035">
        <f t="shared" si="75"/>
        <v>332439318.6025064</v>
      </c>
      <c r="L47" s="1035">
        <f t="shared" si="75"/>
        <v>344792255.03145206</v>
      </c>
      <c r="M47" s="1035">
        <f t="shared" si="75"/>
        <v>358583945.23271012</v>
      </c>
      <c r="N47" s="548">
        <f t="shared" si="75"/>
        <v>372927303.04201853</v>
      </c>
      <c r="O47" s="548">
        <f t="shared" si="75"/>
        <v>388906982.54770947</v>
      </c>
      <c r="P47" s="548">
        <f t="shared" si="75"/>
        <v>403358170.97024727</v>
      </c>
      <c r="Q47" s="548">
        <f t="shared" si="75"/>
        <v>419492497.80905712</v>
      </c>
      <c r="R47" s="548">
        <f t="shared" si="75"/>
        <v>436272197.72141951</v>
      </c>
      <c r="S47" s="548">
        <f t="shared" si="75"/>
        <v>454966162.57720852</v>
      </c>
      <c r="T47" s="548">
        <f t="shared" si="75"/>
        <v>471872009.05548751</v>
      </c>
      <c r="V47" s="573">
        <f t="shared" ref="V47:AL47" si="76">D47/D12</f>
        <v>0.5456691308547752</v>
      </c>
      <c r="W47" s="573">
        <f t="shared" si="76"/>
        <v>0.58042206297827437</v>
      </c>
      <c r="X47" s="573">
        <f t="shared" si="76"/>
        <v>0.60086680530071357</v>
      </c>
      <c r="Y47" s="573">
        <f t="shared" si="76"/>
        <v>0.61373625367767237</v>
      </c>
      <c r="Z47" s="573">
        <f t="shared" si="76"/>
        <v>0.6263004385964912</v>
      </c>
      <c r="AA47" s="573">
        <f t="shared" si="76"/>
        <v>0.6263004385964912</v>
      </c>
      <c r="AB47" s="573">
        <f t="shared" si="76"/>
        <v>0.62630043859649132</v>
      </c>
      <c r="AC47" s="573">
        <f t="shared" si="76"/>
        <v>0.62630043859649132</v>
      </c>
      <c r="AD47" s="573">
        <f t="shared" si="76"/>
        <v>0.6263004385964912</v>
      </c>
      <c r="AE47" s="573">
        <f t="shared" si="76"/>
        <v>0.6263004385964912</v>
      </c>
      <c r="AF47" s="573">
        <f t="shared" si="76"/>
        <v>0.6263004385964912</v>
      </c>
      <c r="AG47" s="573">
        <f t="shared" si="76"/>
        <v>0.6263004385964912</v>
      </c>
      <c r="AH47" s="573">
        <f t="shared" si="76"/>
        <v>0.6263004385964912</v>
      </c>
      <c r="AI47" s="573">
        <f t="shared" si="76"/>
        <v>0.6263004385964912</v>
      </c>
      <c r="AJ47" s="573">
        <f t="shared" si="76"/>
        <v>0.6263004385964912</v>
      </c>
      <c r="AK47" s="573">
        <f t="shared" si="76"/>
        <v>0.6263004385964912</v>
      </c>
      <c r="AL47" s="573">
        <f t="shared" si="76"/>
        <v>0.62630043859649132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>
        <f>D47/D7</f>
        <v>411329.98860415519</v>
      </c>
      <c r="E48" s="1629">
        <f t="shared" ref="E48:T48" si="77">E47/E7</f>
        <v>1259951.3939273884</v>
      </c>
      <c r="F48" s="1629">
        <f t="shared" si="77"/>
        <v>1502703.3809628724</v>
      </c>
      <c r="G48" s="1629">
        <f t="shared" si="77"/>
        <v>1663748.2223648219</v>
      </c>
      <c r="H48" s="1629">
        <f>H47/H7</f>
        <v>1842061.6539717198</v>
      </c>
      <c r="I48" s="1629">
        <f t="shared" si="77"/>
        <v>1915744.1201305888</v>
      </c>
      <c r="J48" s="1629">
        <f t="shared" si="77"/>
        <v>1992373.8849358126</v>
      </c>
      <c r="K48" s="1629">
        <f t="shared" si="77"/>
        <v>2077745.741265665</v>
      </c>
      <c r="L48" s="1629">
        <f t="shared" si="77"/>
        <v>2154951.5939465752</v>
      </c>
      <c r="M48" s="1629">
        <f t="shared" si="77"/>
        <v>2241149.6577044381</v>
      </c>
      <c r="N48" s="1629">
        <f t="shared" si="77"/>
        <v>2330795.644012616</v>
      </c>
      <c r="O48" s="1629">
        <f t="shared" si="77"/>
        <v>2430668.6409231843</v>
      </c>
      <c r="P48" s="1629">
        <f t="shared" si="77"/>
        <v>2520988.5685640452</v>
      </c>
      <c r="Q48" s="1629">
        <f t="shared" si="77"/>
        <v>2621828.1113066068</v>
      </c>
      <c r="R48" s="1629">
        <f t="shared" si="77"/>
        <v>2726701.2357588718</v>
      </c>
      <c r="S48" s="1629">
        <f t="shared" si="77"/>
        <v>2843538.5161075532</v>
      </c>
      <c r="T48" s="1629">
        <f t="shared" si="77"/>
        <v>2949200.056596797</v>
      </c>
    </row>
    <row r="50" spans="3:41" ht="15" customHeight="1">
      <c r="C50" s="1533" t="s">
        <v>1081</v>
      </c>
      <c r="D50" s="1539">
        <f>D15+D24+D25+D34+D40</f>
        <v>25825073.250450894</v>
      </c>
      <c r="E50" s="1534">
        <f t="shared" ref="E50:T50" si="78">E15+E24+E25+E34+E40</f>
        <v>66666683.404811278</v>
      </c>
      <c r="F50" s="1534">
        <f t="shared" si="78"/>
        <v>72195882.411308706</v>
      </c>
      <c r="G50" s="1534">
        <f t="shared" si="78"/>
        <v>75329977.456904575</v>
      </c>
      <c r="H50" s="1534">
        <f t="shared" si="78"/>
        <v>78965494.312693149</v>
      </c>
      <c r="I50" s="1534">
        <f t="shared" si="78"/>
        <v>82124114.085200876</v>
      </c>
      <c r="J50" s="1534">
        <f t="shared" si="78"/>
        <v>85409078.648608923</v>
      </c>
      <c r="K50" s="1534">
        <f t="shared" si="78"/>
        <v>89068799.169332877</v>
      </c>
      <c r="L50" s="1534">
        <f t="shared" si="78"/>
        <v>92378459.466335431</v>
      </c>
      <c r="M50" s="1534">
        <f t="shared" si="78"/>
        <v>96073597.844988823</v>
      </c>
      <c r="N50" s="1534">
        <f t="shared" si="78"/>
        <v>99916541.758788407</v>
      </c>
      <c r="O50" s="1534">
        <f t="shared" si="78"/>
        <v>104197897.137165</v>
      </c>
      <c r="P50" s="1534">
        <f t="shared" si="78"/>
        <v>108069731.56630556</v>
      </c>
      <c r="Q50" s="1534">
        <f t="shared" si="78"/>
        <v>112392520.82895778</v>
      </c>
      <c r="R50" s="1534">
        <f t="shared" si="78"/>
        <v>116888221.66211608</v>
      </c>
      <c r="S50" s="1534">
        <f t="shared" si="78"/>
        <v>121896801.89991197</v>
      </c>
      <c r="T50" s="1534">
        <f t="shared" si="78"/>
        <v>126426300.54974477</v>
      </c>
      <c r="V50" s="1540"/>
      <c r="AO50" s="823"/>
    </row>
  </sheetData>
  <conditionalFormatting sqref="V40:Z41">
    <cfRule type="expression" dxfId="313" priority="10">
      <formula>$A$1=1</formula>
    </cfRule>
  </conditionalFormatting>
  <conditionalFormatting sqref="V33:Z35">
    <cfRule type="expression" dxfId="312" priority="9">
      <formula>$A$1=1</formula>
    </cfRule>
  </conditionalFormatting>
  <conditionalFormatting sqref="V24:Z29">
    <cfRule type="expression" dxfId="311" priority="8">
      <formula>$A$1=1</formula>
    </cfRule>
  </conditionalFormatting>
  <conditionalFormatting sqref="V23:Z23">
    <cfRule type="expression" dxfId="310" priority="7">
      <formula>$A$1=1</formula>
    </cfRule>
  </conditionalFormatting>
  <conditionalFormatting sqref="V22:Z22">
    <cfRule type="expression" dxfId="309" priority="5">
      <formula>$A$1=1</formula>
    </cfRule>
  </conditionalFormatting>
  <conditionalFormatting sqref="V39:Z39">
    <cfRule type="expression" dxfId="308" priority="3">
      <formula>$A$1=1</formula>
    </cfRule>
  </conditionalFormatting>
  <conditionalFormatting sqref="V45:Z45">
    <cfRule type="expression" dxfId="307" priority="2">
      <formula>$A$1=1</formula>
    </cfRule>
  </conditionalFormatting>
  <conditionalFormatting sqref="V16:Z16">
    <cfRule type="expression" dxfId="306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8B8E6"/>
  </sheetPr>
  <dimension ref="A1:BH50"/>
  <sheetViews>
    <sheetView showGridLines="0" zoomScale="70" zoomScaleNormal="70" workbookViewId="0">
      <pane xSplit="3" ySplit="6" topLeftCell="D7" activePane="bottomRight" state="frozen"/>
      <selection activeCell="I13" sqref="I13"/>
      <selection pane="topRight" activeCell="I13" sqref="I13"/>
      <selection pane="bottomLeft" activeCell="I13" sqref="I13"/>
      <selection pane="bottomRight" activeCell="D47" sqref="D47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2.7109375" style="197" customWidth="1"/>
    <col min="4" max="4" width="12.28515625" style="199" customWidth="1"/>
    <col min="5" max="8" width="12.28515625" style="197" customWidth="1"/>
    <col min="9" max="9" width="14.28515625" style="197" hidden="1" customWidth="1" outlineLevel="1"/>
    <col min="10" max="19" width="14.5703125" style="197" hidden="1" customWidth="1" outlineLevel="1"/>
    <col min="20" max="20" width="16.5703125" style="197" customWidth="1" collapsed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6.8554687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46" width="8.7109375" style="197" customWidth="1"/>
    <col min="47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>
      <c r="A3" s="511"/>
      <c r="B3" s="511"/>
      <c r="C3" s="536" t="str">
        <f>Объекты!C8</f>
        <v>Гостиница 2*</v>
      </c>
      <c r="D3" s="800">
        <f>YEAR(D4)</f>
        <v>1900</v>
      </c>
      <c r="E3" s="800">
        <f>D3+1</f>
        <v>1901</v>
      </c>
      <c r="F3" s="800">
        <f t="shared" ref="F3:T3" si="0">E3+1</f>
        <v>1902</v>
      </c>
      <c r="G3" s="800">
        <f t="shared" si="0"/>
        <v>1903</v>
      </c>
      <c r="H3" s="800">
        <f t="shared" si="0"/>
        <v>1904</v>
      </c>
      <c r="I3" s="800">
        <f t="shared" si="0"/>
        <v>1905</v>
      </c>
      <c r="J3" s="800">
        <f t="shared" si="0"/>
        <v>1906</v>
      </c>
      <c r="K3" s="800">
        <f t="shared" si="0"/>
        <v>1907</v>
      </c>
      <c r="L3" s="800">
        <f t="shared" si="0"/>
        <v>1908</v>
      </c>
      <c r="M3" s="800">
        <f>L3+1</f>
        <v>1909</v>
      </c>
      <c r="N3" s="800">
        <f t="shared" si="0"/>
        <v>1910</v>
      </c>
      <c r="O3" s="800">
        <f t="shared" si="0"/>
        <v>1911</v>
      </c>
      <c r="P3" s="800">
        <f t="shared" si="0"/>
        <v>1912</v>
      </c>
      <c r="Q3" s="800">
        <f t="shared" si="0"/>
        <v>1913</v>
      </c>
      <c r="R3" s="800">
        <f t="shared" si="0"/>
        <v>1914</v>
      </c>
      <c r="S3" s="800">
        <f t="shared" si="0"/>
        <v>1915</v>
      </c>
      <c r="T3" s="800">
        <f t="shared" si="0"/>
        <v>1916</v>
      </c>
      <c r="V3" s="800">
        <f t="shared" ref="V3:AL3" si="1">D3</f>
        <v>1900</v>
      </c>
      <c r="W3" s="800">
        <f t="shared" si="1"/>
        <v>1901</v>
      </c>
      <c r="X3" s="800">
        <f t="shared" si="1"/>
        <v>1902</v>
      </c>
      <c r="Y3" s="800">
        <f t="shared" si="1"/>
        <v>1903</v>
      </c>
      <c r="Z3" s="800">
        <f t="shared" si="1"/>
        <v>1904</v>
      </c>
      <c r="AA3" s="800">
        <f t="shared" si="1"/>
        <v>1905</v>
      </c>
      <c r="AB3" s="800">
        <f t="shared" si="1"/>
        <v>1906</v>
      </c>
      <c r="AC3" s="800">
        <f t="shared" si="1"/>
        <v>1907</v>
      </c>
      <c r="AD3" s="800">
        <f t="shared" si="1"/>
        <v>1908</v>
      </c>
      <c r="AE3" s="800">
        <f t="shared" si="1"/>
        <v>1909</v>
      </c>
      <c r="AF3" s="800">
        <f t="shared" si="1"/>
        <v>1910</v>
      </c>
      <c r="AG3" s="800">
        <f t="shared" si="1"/>
        <v>1911</v>
      </c>
      <c r="AH3" s="800">
        <f t="shared" si="1"/>
        <v>1912</v>
      </c>
      <c r="AI3" s="800">
        <f t="shared" si="1"/>
        <v>1913</v>
      </c>
      <c r="AJ3" s="800">
        <f t="shared" si="1"/>
        <v>1914</v>
      </c>
      <c r="AK3" s="800">
        <f t="shared" si="1"/>
        <v>1915</v>
      </c>
      <c r="AL3" s="800">
        <f t="shared" si="1"/>
        <v>1916</v>
      </c>
      <c r="AO3" s="800">
        <f t="shared" ref="AO3:BE3" si="2">V3</f>
        <v>1900</v>
      </c>
      <c r="AP3" s="800">
        <f t="shared" si="2"/>
        <v>1901</v>
      </c>
      <c r="AQ3" s="800">
        <f t="shared" si="2"/>
        <v>1902</v>
      </c>
      <c r="AR3" s="800">
        <f t="shared" si="2"/>
        <v>1903</v>
      </c>
      <c r="AS3" s="800">
        <f t="shared" si="2"/>
        <v>1904</v>
      </c>
      <c r="AT3" s="800">
        <f t="shared" si="2"/>
        <v>1905</v>
      </c>
      <c r="AU3" s="800">
        <f t="shared" si="2"/>
        <v>1906</v>
      </c>
      <c r="AV3" s="800">
        <f t="shared" si="2"/>
        <v>1907</v>
      </c>
      <c r="AW3" s="800">
        <f t="shared" si="2"/>
        <v>1908</v>
      </c>
      <c r="AX3" s="800">
        <f t="shared" si="2"/>
        <v>1909</v>
      </c>
      <c r="AY3" s="800">
        <f t="shared" si="2"/>
        <v>1910</v>
      </c>
      <c r="AZ3" s="800">
        <f t="shared" si="2"/>
        <v>1911</v>
      </c>
      <c r="BA3" s="800">
        <f t="shared" si="2"/>
        <v>1912</v>
      </c>
      <c r="BB3" s="800">
        <f t="shared" si="2"/>
        <v>1913</v>
      </c>
      <c r="BC3" s="800">
        <f t="shared" si="2"/>
        <v>1914</v>
      </c>
      <c r="BD3" s="800">
        <f t="shared" si="2"/>
        <v>1915</v>
      </c>
      <c r="BE3" s="800">
        <f t="shared" si="2"/>
        <v>1916</v>
      </c>
    </row>
    <row r="4" spans="1:57">
      <c r="A4" s="511"/>
      <c r="B4" s="511"/>
      <c r="C4" s="512" t="s">
        <v>1</v>
      </c>
      <c r="D4" s="782">
        <f>Объекты!K8</f>
        <v>0</v>
      </c>
      <c r="E4" s="514">
        <f>D5+1</f>
        <v>367</v>
      </c>
      <c r="F4" s="514">
        <f t="shared" ref="F4:T4" si="3">E5+1</f>
        <v>732</v>
      </c>
      <c r="G4" s="514">
        <f t="shared" si="3"/>
        <v>1097</v>
      </c>
      <c r="H4" s="514">
        <f t="shared" si="3"/>
        <v>1462</v>
      </c>
      <c r="I4" s="514">
        <f t="shared" si="3"/>
        <v>1828</v>
      </c>
      <c r="J4" s="514">
        <f t="shared" si="3"/>
        <v>2193</v>
      </c>
      <c r="K4" s="514">
        <f t="shared" si="3"/>
        <v>2558</v>
      </c>
      <c r="L4" s="514">
        <f>K5+1</f>
        <v>2923</v>
      </c>
      <c r="M4" s="514">
        <f t="shared" si="3"/>
        <v>3289</v>
      </c>
      <c r="N4" s="514">
        <f t="shared" si="3"/>
        <v>3654</v>
      </c>
      <c r="O4" s="514">
        <f t="shared" si="3"/>
        <v>4019</v>
      </c>
      <c r="P4" s="514">
        <f t="shared" si="3"/>
        <v>4384</v>
      </c>
      <c r="Q4" s="514">
        <f t="shared" si="3"/>
        <v>4750</v>
      </c>
      <c r="R4" s="514">
        <f t="shared" si="3"/>
        <v>5115</v>
      </c>
      <c r="S4" s="514">
        <f t="shared" si="3"/>
        <v>5480</v>
      </c>
      <c r="T4" s="514">
        <f t="shared" si="3"/>
        <v>5845</v>
      </c>
      <c r="AO4" s="537" t="s">
        <v>548</v>
      </c>
    </row>
    <row r="5" spans="1:57" ht="15.6" customHeight="1">
      <c r="A5" s="511"/>
      <c r="B5" s="511"/>
      <c r="C5" s="512" t="s">
        <v>2</v>
      </c>
      <c r="D5" s="513">
        <f>DATE(D3,12,31)</f>
        <v>366</v>
      </c>
      <c r="E5" s="514">
        <f>DATE(E3,12,31)</f>
        <v>731</v>
      </c>
      <c r="F5" s="514">
        <f t="shared" ref="F5:K5" si="4">DATE(F3,12,31)</f>
        <v>1096</v>
      </c>
      <c r="G5" s="514">
        <f t="shared" si="4"/>
        <v>1461</v>
      </c>
      <c r="H5" s="514">
        <f t="shared" si="4"/>
        <v>1827</v>
      </c>
      <c r="I5" s="514">
        <f t="shared" si="4"/>
        <v>2192</v>
      </c>
      <c r="J5" s="514">
        <f t="shared" si="4"/>
        <v>2557</v>
      </c>
      <c r="K5" s="514">
        <f t="shared" si="4"/>
        <v>2922</v>
      </c>
      <c r="L5" s="514">
        <f>DATE(L3,12,31)</f>
        <v>3288</v>
      </c>
      <c r="M5" s="514">
        <f t="shared" ref="M5:T5" si="5">DATE(M3,12,31)</f>
        <v>3653</v>
      </c>
      <c r="N5" s="514">
        <f t="shared" si="5"/>
        <v>4018</v>
      </c>
      <c r="O5" s="514">
        <f t="shared" si="5"/>
        <v>4383</v>
      </c>
      <c r="P5" s="514">
        <f t="shared" si="5"/>
        <v>4749</v>
      </c>
      <c r="Q5" s="514">
        <f t="shared" si="5"/>
        <v>5114</v>
      </c>
      <c r="R5" s="514">
        <f t="shared" si="5"/>
        <v>5479</v>
      </c>
      <c r="S5" s="514">
        <f t="shared" si="5"/>
        <v>5844</v>
      </c>
      <c r="T5" s="514">
        <f t="shared" si="5"/>
        <v>6210</v>
      </c>
      <c r="AO5" s="814">
        <f>'К дв.загр'!G10</f>
        <v>2.6279999999999997</v>
      </c>
    </row>
    <row r="6" spans="1:57" outlineLevel="1">
      <c r="A6" s="511"/>
      <c r="B6" s="511"/>
      <c r="C6" s="512" t="s">
        <v>9</v>
      </c>
      <c r="D6" s="515">
        <f t="shared" ref="D6:T6" si="6">D5-D4+1</f>
        <v>367</v>
      </c>
      <c r="E6" s="515">
        <f t="shared" si="6"/>
        <v>365</v>
      </c>
      <c r="F6" s="515">
        <f t="shared" si="6"/>
        <v>365</v>
      </c>
      <c r="G6" s="515">
        <f t="shared" si="6"/>
        <v>365</v>
      </c>
      <c r="H6" s="515">
        <f t="shared" si="6"/>
        <v>366</v>
      </c>
      <c r="I6" s="515">
        <f t="shared" si="6"/>
        <v>365</v>
      </c>
      <c r="J6" s="515">
        <f t="shared" si="6"/>
        <v>365</v>
      </c>
      <c r="K6" s="515">
        <f t="shared" si="6"/>
        <v>365</v>
      </c>
      <c r="L6" s="515">
        <f t="shared" si="6"/>
        <v>366</v>
      </c>
      <c r="M6" s="515">
        <f t="shared" si="6"/>
        <v>365</v>
      </c>
      <c r="N6" s="515">
        <f t="shared" si="6"/>
        <v>365</v>
      </c>
      <c r="O6" s="515">
        <f t="shared" si="6"/>
        <v>365</v>
      </c>
      <c r="P6" s="515">
        <f t="shared" si="6"/>
        <v>366</v>
      </c>
      <c r="Q6" s="515">
        <f t="shared" si="6"/>
        <v>365</v>
      </c>
      <c r="R6" s="515">
        <f t="shared" si="6"/>
        <v>365</v>
      </c>
      <c r="S6" s="515">
        <f t="shared" si="6"/>
        <v>365</v>
      </c>
      <c r="T6" s="515">
        <f t="shared" si="6"/>
        <v>366</v>
      </c>
    </row>
    <row r="7" spans="1:57" outlineLevel="1">
      <c r="A7" s="509"/>
      <c r="B7" s="509"/>
      <c r="C7" s="512" t="s">
        <v>549</v>
      </c>
      <c r="D7" s="815">
        <f>Объекты!F8</f>
        <v>0</v>
      </c>
      <c r="E7" s="538">
        <f>D7</f>
        <v>0</v>
      </c>
      <c r="F7" s="538">
        <f t="shared" ref="F7:T7" si="7">E7</f>
        <v>0</v>
      </c>
      <c r="G7" s="538">
        <f t="shared" si="7"/>
        <v>0</v>
      </c>
      <c r="H7" s="538">
        <f t="shared" si="7"/>
        <v>0</v>
      </c>
      <c r="I7" s="538">
        <f t="shared" si="7"/>
        <v>0</v>
      </c>
      <c r="J7" s="538">
        <f t="shared" si="7"/>
        <v>0</v>
      </c>
      <c r="K7" s="538">
        <f t="shared" si="7"/>
        <v>0</v>
      </c>
      <c r="L7" s="538">
        <f t="shared" si="7"/>
        <v>0</v>
      </c>
      <c r="M7" s="538">
        <f t="shared" si="7"/>
        <v>0</v>
      </c>
      <c r="N7" s="538">
        <f t="shared" si="7"/>
        <v>0</v>
      </c>
      <c r="O7" s="538">
        <f t="shared" si="7"/>
        <v>0</v>
      </c>
      <c r="P7" s="538">
        <f t="shared" si="7"/>
        <v>0</v>
      </c>
      <c r="Q7" s="538">
        <f t="shared" si="7"/>
        <v>0</v>
      </c>
      <c r="R7" s="538">
        <f t="shared" si="7"/>
        <v>0</v>
      </c>
      <c r="S7" s="538">
        <f t="shared" si="7"/>
        <v>0</v>
      </c>
      <c r="T7" s="538">
        <f t="shared" si="7"/>
        <v>0</v>
      </c>
      <c r="V7" s="539"/>
      <c r="W7" s="540"/>
      <c r="X7" s="540"/>
      <c r="Y7" s="540"/>
      <c r="Z7" s="540"/>
    </row>
    <row r="8" spans="1:57">
      <c r="A8" s="509"/>
      <c r="B8" s="509"/>
      <c r="C8" s="512" t="s">
        <v>546</v>
      </c>
      <c r="D8" s="201">
        <f>D7*D6</f>
        <v>0</v>
      </c>
      <c r="E8" s="201">
        <f t="shared" ref="E8:T8" si="8">E7*E6</f>
        <v>0</v>
      </c>
      <c r="F8" s="201">
        <f t="shared" si="8"/>
        <v>0</v>
      </c>
      <c r="G8" s="201">
        <f t="shared" si="8"/>
        <v>0</v>
      </c>
      <c r="H8" s="201">
        <f t="shared" si="8"/>
        <v>0</v>
      </c>
      <c r="I8" s="201">
        <f t="shared" si="8"/>
        <v>0</v>
      </c>
      <c r="J8" s="201">
        <f t="shared" si="8"/>
        <v>0</v>
      </c>
      <c r="K8" s="201">
        <f t="shared" si="8"/>
        <v>0</v>
      </c>
      <c r="L8" s="201">
        <f t="shared" si="8"/>
        <v>0</v>
      </c>
      <c r="M8" s="201">
        <f t="shared" si="8"/>
        <v>0</v>
      </c>
      <c r="N8" s="201">
        <f t="shared" si="8"/>
        <v>0</v>
      </c>
      <c r="O8" s="201">
        <f t="shared" si="8"/>
        <v>0</v>
      </c>
      <c r="P8" s="201">
        <f t="shared" si="8"/>
        <v>0</v>
      </c>
      <c r="Q8" s="201">
        <f t="shared" si="8"/>
        <v>0</v>
      </c>
      <c r="R8" s="201">
        <f t="shared" si="8"/>
        <v>0</v>
      </c>
      <c r="S8" s="201">
        <f t="shared" si="8"/>
        <v>0</v>
      </c>
      <c r="T8" s="201">
        <f t="shared" si="8"/>
        <v>0</v>
      </c>
      <c r="AO8" s="537"/>
    </row>
    <row r="9" spans="1:57">
      <c r="A9" s="509"/>
      <c r="B9" s="509"/>
      <c r="C9" s="512" t="s">
        <v>547</v>
      </c>
      <c r="D9" s="201">
        <f>D8*D10</f>
        <v>0</v>
      </c>
      <c r="E9" s="201">
        <f t="shared" ref="E9:T9" si="9">E8*E10</f>
        <v>0</v>
      </c>
      <c r="F9" s="201">
        <f t="shared" si="9"/>
        <v>0</v>
      </c>
      <c r="G9" s="201">
        <f t="shared" si="9"/>
        <v>0</v>
      </c>
      <c r="H9" s="201">
        <f t="shared" si="9"/>
        <v>0</v>
      </c>
      <c r="I9" s="208">
        <f t="shared" si="9"/>
        <v>0</v>
      </c>
      <c r="J9" s="201">
        <f t="shared" si="9"/>
        <v>0</v>
      </c>
      <c r="K9" s="201">
        <f t="shared" si="9"/>
        <v>0</v>
      </c>
      <c r="L9" s="201">
        <f t="shared" si="9"/>
        <v>0</v>
      </c>
      <c r="M9" s="201">
        <f t="shared" si="9"/>
        <v>0</v>
      </c>
      <c r="N9" s="201">
        <f t="shared" si="9"/>
        <v>0</v>
      </c>
      <c r="O9" s="201">
        <f t="shared" si="9"/>
        <v>0</v>
      </c>
      <c r="P9" s="201">
        <f t="shared" si="9"/>
        <v>0</v>
      </c>
      <c r="Q9" s="201">
        <f t="shared" si="9"/>
        <v>0</v>
      </c>
      <c r="R9" s="201">
        <f t="shared" si="9"/>
        <v>0</v>
      </c>
      <c r="S9" s="201">
        <f t="shared" si="9"/>
        <v>0</v>
      </c>
      <c r="T9" s="201">
        <f t="shared" si="9"/>
        <v>0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SUMIF(ADR_OCC!$91:$91,D$3,ADR_OCC!95:95)</f>
        <v>0</v>
      </c>
      <c r="E10" s="542">
        <f>SUMIF(ADR_OCC!$91:$91,E$3,ADR_OCC!95:95)</f>
        <v>0</v>
      </c>
      <c r="F10" s="542">
        <f>SUMIF(ADR_OCC!$91:$91,F$3,ADR_OCC!95:95)</f>
        <v>0</v>
      </c>
      <c r="G10" s="542">
        <f>SUMIF(ADR_OCC!$91:$91,G$3,ADR_OCC!95:95)</f>
        <v>0</v>
      </c>
      <c r="H10" s="542">
        <f>SUMIF(ADR_OCC!$91:$91,H$3,ADR_OCC!95:95)</f>
        <v>0</v>
      </c>
      <c r="I10" s="542">
        <f>SUMIF(ADR_OCC!$91:$91,I$3,ADR_OCC!95:95)</f>
        <v>0</v>
      </c>
      <c r="J10" s="542">
        <f>SUMIF(ADR_OCC!$91:$91,J$3,ADR_OCC!95:95)</f>
        <v>0</v>
      </c>
      <c r="K10" s="542">
        <f>SUMIF(ADR_OCC!$91:$91,K$3,ADR_OCC!95:95)</f>
        <v>0</v>
      </c>
      <c r="L10" s="542">
        <f>SUMIF(ADR_OCC!$91:$91,L$3,ADR_OCC!95:95)</f>
        <v>0</v>
      </c>
      <c r="M10" s="542">
        <f>SUMIF(ADR_OCC!$91:$91,M$3,ADR_OCC!95:95)</f>
        <v>0</v>
      </c>
      <c r="N10" s="542">
        <f>SUMIF(ADR_OCC!$91:$91,N$3,ADR_OCC!95:95)</f>
        <v>0</v>
      </c>
      <c r="O10" s="542">
        <f>SUMIF(ADR_OCC!$91:$91,O$3,ADR_OCC!95:95)</f>
        <v>0</v>
      </c>
      <c r="P10" s="542">
        <f>SUMIF(ADR_OCC!$91:$91,P$3,ADR_OCC!95:95)</f>
        <v>0</v>
      </c>
      <c r="Q10" s="542">
        <f>SUMIF(ADR_OCC!$91:$91,Q$3,ADR_OCC!95:95)</f>
        <v>0</v>
      </c>
      <c r="R10" s="542">
        <f>SUMIF(ADR_OCC!$91:$91,R$3,ADR_OCC!95:95)</f>
        <v>0</v>
      </c>
      <c r="S10" s="542">
        <f>SUMIF(ADR_OCC!$91:$91,S$3,ADR_OCC!95:95)</f>
        <v>0</v>
      </c>
      <c r="T10" s="542">
        <f>SUMIF(ADR_OCC!$91:$91,T$3,ADR_OCC!95:95)</f>
        <v>0</v>
      </c>
      <c r="V10" s="543"/>
      <c r="W10" s="544" t="str">
        <f t="shared" ref="W10:AL10" si="10">ROUND((E10-D10),2)*100 &amp; "пп."</f>
        <v>0пп.</v>
      </c>
      <c r="X10" s="544" t="str">
        <f t="shared" si="10"/>
        <v>0пп.</v>
      </c>
      <c r="Y10" s="544" t="str">
        <f t="shared" si="10"/>
        <v>0пп.</v>
      </c>
      <c r="Z10" s="544" t="str">
        <f t="shared" si="10"/>
        <v>0пп.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SUMIF(ADR_OCC!$65:$65,D$3,ADR_OCC!69:69)</f>
        <v>0</v>
      </c>
      <c r="E11" s="208">
        <f>SUMIF(ADR_OCC!$65:$65,E$3,ADR_OCC!69:69)</f>
        <v>0</v>
      </c>
      <c r="F11" s="208">
        <f>SUMIF(ADR_OCC!$65:$65,F$3,ADR_OCC!69:69)</f>
        <v>0</v>
      </c>
      <c r="G11" s="208">
        <f>SUMIF(ADR_OCC!$65:$65,G$3,ADR_OCC!69:69)</f>
        <v>0</v>
      </c>
      <c r="H11" s="208">
        <f>SUMIF(ADR_OCC!$65:$65,H$3,ADR_OCC!69:69)</f>
        <v>0</v>
      </c>
      <c r="I11" s="208">
        <f>SUMIF(ADR_OCC!$65:$65,I$3,ADR_OCC!69:69)</f>
        <v>0</v>
      </c>
      <c r="J11" s="208">
        <f>SUMIF(ADR_OCC!$65:$65,J$3,ADR_OCC!69:69)</f>
        <v>0</v>
      </c>
      <c r="K11" s="208">
        <f>SUMIF(ADR_OCC!$65:$65,K$3,ADR_OCC!69:69)</f>
        <v>0</v>
      </c>
      <c r="L11" s="208">
        <f>SUMIF(ADR_OCC!$65:$65,L$3,ADR_OCC!69:69)</f>
        <v>0</v>
      </c>
      <c r="M11" s="208">
        <f>SUMIF(ADR_OCC!$65:$65,M$3,ADR_OCC!69:69)</f>
        <v>0</v>
      </c>
      <c r="N11" s="208">
        <f>SUMIF(ADR_OCC!$65:$65,N$3,ADR_OCC!69:69)</f>
        <v>0</v>
      </c>
      <c r="O11" s="208">
        <f>SUMIF(ADR_OCC!$65:$65,O$3,ADR_OCC!69:69)</f>
        <v>0</v>
      </c>
      <c r="P11" s="208">
        <f>SUMIF(ADR_OCC!$65:$65,P$3,ADR_OCC!69:69)</f>
        <v>0</v>
      </c>
      <c r="Q11" s="208">
        <f>SUMIF(ADR_OCC!$65:$65,Q$3,ADR_OCC!69:69)</f>
        <v>0</v>
      </c>
      <c r="R11" s="208">
        <f>SUMIF(ADR_OCC!$65:$65,R$3,ADR_OCC!69:69)</f>
        <v>0</v>
      </c>
      <c r="S11" s="208">
        <f>SUMIF(ADR_OCC!$65:$65,S$3,ADR_OCC!69:69)</f>
        <v>0</v>
      </c>
      <c r="T11" s="208">
        <f>SUMIF(ADR_OCC!$65:$65,T$3,ADR_OCC!69:69)</f>
        <v>0</v>
      </c>
      <c r="V11" s="543"/>
      <c r="W11" s="522" t="e">
        <f t="shared" ref="W11:AL11" si="11">E11/D11-1</f>
        <v>#DIV/0!</v>
      </c>
      <c r="X11" s="522" t="e">
        <f t="shared" si="11"/>
        <v>#DIV/0!</v>
      </c>
      <c r="Y11" s="522" t="e">
        <f t="shared" si="11"/>
        <v>#DIV/0!</v>
      </c>
      <c r="Z11" s="522" t="e">
        <f t="shared" si="11"/>
        <v>#DIV/0!</v>
      </c>
      <c r="AA11" s="522" t="e">
        <f t="shared" si="11"/>
        <v>#DIV/0!</v>
      </c>
      <c r="AB11" s="522" t="e">
        <f t="shared" si="11"/>
        <v>#DIV/0!</v>
      </c>
      <c r="AC11" s="522" t="e">
        <f t="shared" si="11"/>
        <v>#DIV/0!</v>
      </c>
      <c r="AD11" s="522" t="e">
        <f t="shared" si="11"/>
        <v>#DIV/0!</v>
      </c>
      <c r="AE11" s="522" t="e">
        <f t="shared" si="11"/>
        <v>#DIV/0!</v>
      </c>
      <c r="AF11" s="522" t="e">
        <f t="shared" si="11"/>
        <v>#DIV/0!</v>
      </c>
      <c r="AG11" s="522" t="e">
        <f t="shared" si="11"/>
        <v>#DIV/0!</v>
      </c>
      <c r="AH11" s="522" t="e">
        <f t="shared" si="11"/>
        <v>#DIV/0!</v>
      </c>
      <c r="AI11" s="522" t="e">
        <f t="shared" si="11"/>
        <v>#DIV/0!</v>
      </c>
      <c r="AJ11" s="522" t="e">
        <f t="shared" si="11"/>
        <v>#DIV/0!</v>
      </c>
      <c r="AK11" s="522" t="e">
        <f t="shared" si="11"/>
        <v>#DIV/0!</v>
      </c>
      <c r="AL11" s="522" t="e">
        <f t="shared" si="11"/>
        <v>#DIV/0!</v>
      </c>
      <c r="AO11" s="545">
        <f>SUMIF(CPI!3:3,AO3,CPI!4:4)</f>
        <v>0</v>
      </c>
      <c r="AP11" s="546">
        <f>SUMIF(CPI!3:3,AP3,CPI!4:4)</f>
        <v>0</v>
      </c>
      <c r="AQ11" s="546">
        <f>SUMIF(CPI!3:3,AQ3,CPI!4:4)</f>
        <v>0</v>
      </c>
      <c r="AR11" s="546">
        <f>SUMIF(CPI!3:3,AR3,CPI!4:4)</f>
        <v>0</v>
      </c>
      <c r="AS11" s="546">
        <f>SUMIF(CPI!3:3,AS3,CPI!4:4)</f>
        <v>0</v>
      </c>
      <c r="AT11" s="546">
        <f>SUMIF(CPI!3:3,AT3,CPI!4:4)</f>
        <v>0</v>
      </c>
      <c r="AU11" s="546">
        <f>SUMIF(CPI!3:3,AU3,CPI!4:4)</f>
        <v>0</v>
      </c>
      <c r="AV11" s="546">
        <f>SUMIF(CPI!3:3,AV3,CPI!4:4)</f>
        <v>0</v>
      </c>
      <c r="AW11" s="546">
        <f>SUMIF(CPI!3:3,AW3,CPI!4:4)</f>
        <v>0</v>
      </c>
      <c r="AX11" s="546">
        <f>SUMIF(CPI!3:3,AX3,CPI!4:4)</f>
        <v>0</v>
      </c>
      <c r="AY11" s="546">
        <f>SUMIF(CPI!3:3,AY3,CPI!4:4)</f>
        <v>0</v>
      </c>
      <c r="AZ11" s="546">
        <f>SUMIF(CPI!3:3,AZ3,CPI!4:4)</f>
        <v>0</v>
      </c>
      <c r="BA11" s="546">
        <f>SUMIF(CPI!3:3,BA3,CPI!4:4)</f>
        <v>0</v>
      </c>
      <c r="BB11" s="546">
        <f>SUMIF(CPI!3:3,BB3,CPI!4:4)</f>
        <v>0</v>
      </c>
      <c r="BC11" s="546">
        <f>SUMIF(CPI!3:3,BC3,CPI!4:4)</f>
        <v>0</v>
      </c>
      <c r="BD11" s="546">
        <f>SUMIF(CPI!3:3,BD3,CPI!4:4)</f>
        <v>0</v>
      </c>
      <c r="BE11" s="546">
        <f>SUMIF(CPI!3:3,BE3,CPI!4:4)</f>
        <v>0</v>
      </c>
    </row>
    <row r="12" spans="1:57" outlineLevel="1">
      <c r="A12" s="509"/>
      <c r="B12" s="509"/>
      <c r="C12" s="547" t="s">
        <v>31</v>
      </c>
      <c r="D12" s="1035">
        <f t="shared" ref="D12:T12" si="12">D14+D21+D39+D45+D33</f>
        <v>0</v>
      </c>
      <c r="E12" s="548">
        <f t="shared" si="12"/>
        <v>0</v>
      </c>
      <c r="F12" s="1035">
        <f t="shared" si="12"/>
        <v>0</v>
      </c>
      <c r="G12" s="548">
        <f t="shared" si="12"/>
        <v>0</v>
      </c>
      <c r="H12" s="548">
        <f t="shared" si="12"/>
        <v>0</v>
      </c>
      <c r="I12" s="548">
        <f t="shared" si="12"/>
        <v>0</v>
      </c>
      <c r="J12" s="548">
        <f t="shared" si="12"/>
        <v>0</v>
      </c>
      <c r="K12" s="548">
        <f t="shared" si="12"/>
        <v>0</v>
      </c>
      <c r="L12" s="548">
        <f t="shared" si="12"/>
        <v>0</v>
      </c>
      <c r="M12" s="548">
        <f t="shared" si="12"/>
        <v>0</v>
      </c>
      <c r="N12" s="548">
        <f t="shared" si="12"/>
        <v>0</v>
      </c>
      <c r="O12" s="548">
        <f t="shared" si="12"/>
        <v>0</v>
      </c>
      <c r="P12" s="548">
        <f t="shared" si="12"/>
        <v>0</v>
      </c>
      <c r="Q12" s="548">
        <f t="shared" si="12"/>
        <v>0</v>
      </c>
      <c r="R12" s="548">
        <f t="shared" si="12"/>
        <v>0</v>
      </c>
      <c r="S12" s="548">
        <f t="shared" si="12"/>
        <v>0</v>
      </c>
      <c r="T12" s="548">
        <f t="shared" si="12"/>
        <v>0</v>
      </c>
      <c r="V12" s="549"/>
      <c r="W12" s="549"/>
      <c r="X12" s="549"/>
      <c r="Y12" s="549"/>
      <c r="Z12" s="549"/>
      <c r="AO12" s="548" t="e">
        <f t="shared" ref="AO12:BE12" si="13">D12/D9</f>
        <v>#DIV/0!</v>
      </c>
      <c r="AP12" s="548" t="e">
        <f t="shared" si="13"/>
        <v>#DIV/0!</v>
      </c>
      <c r="AQ12" s="548" t="e">
        <f t="shared" si="13"/>
        <v>#DIV/0!</v>
      </c>
      <c r="AR12" s="548" t="e">
        <f t="shared" si="13"/>
        <v>#DIV/0!</v>
      </c>
      <c r="AS12" s="548" t="e">
        <f t="shared" si="13"/>
        <v>#DIV/0!</v>
      </c>
      <c r="AT12" s="548" t="e">
        <f t="shared" si="13"/>
        <v>#DIV/0!</v>
      </c>
      <c r="AU12" s="548" t="e">
        <f t="shared" si="13"/>
        <v>#DIV/0!</v>
      </c>
      <c r="AV12" s="548" t="e">
        <f t="shared" si="13"/>
        <v>#DIV/0!</v>
      </c>
      <c r="AW12" s="548" t="e">
        <f t="shared" si="13"/>
        <v>#DIV/0!</v>
      </c>
      <c r="AX12" s="548" t="e">
        <f t="shared" si="13"/>
        <v>#DIV/0!</v>
      </c>
      <c r="AY12" s="548" t="e">
        <f t="shared" si="13"/>
        <v>#DIV/0!</v>
      </c>
      <c r="AZ12" s="548" t="e">
        <f t="shared" si="13"/>
        <v>#DIV/0!</v>
      </c>
      <c r="BA12" s="548" t="e">
        <f t="shared" si="13"/>
        <v>#DIV/0!</v>
      </c>
      <c r="BB12" s="548" t="e">
        <f t="shared" si="13"/>
        <v>#DIV/0!</v>
      </c>
      <c r="BC12" s="548" t="e">
        <f t="shared" si="13"/>
        <v>#DIV/0!</v>
      </c>
      <c r="BD12" s="548" t="e">
        <f t="shared" si="13"/>
        <v>#DIV/0!</v>
      </c>
      <c r="BE12" s="548" t="e">
        <f t="shared" si="13"/>
        <v>#DIV/0!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 t="e">
        <f t="shared" ref="AO13:BE13" si="14">D14/D9</f>
        <v>#DIV/0!</v>
      </c>
      <c r="AP13" s="552" t="e">
        <f t="shared" si="14"/>
        <v>#DIV/0!</v>
      </c>
      <c r="AQ13" s="552" t="e">
        <f t="shared" si="14"/>
        <v>#DIV/0!</v>
      </c>
      <c r="AR13" s="552" t="e">
        <f t="shared" si="14"/>
        <v>#DIV/0!</v>
      </c>
      <c r="AS13" s="552" t="e">
        <f t="shared" si="14"/>
        <v>#DIV/0!</v>
      </c>
      <c r="AT13" s="552" t="e">
        <f t="shared" si="14"/>
        <v>#DIV/0!</v>
      </c>
      <c r="AU13" s="552" t="e">
        <f t="shared" si="14"/>
        <v>#DIV/0!</v>
      </c>
      <c r="AV13" s="552" t="e">
        <f t="shared" si="14"/>
        <v>#DIV/0!</v>
      </c>
      <c r="AW13" s="552" t="e">
        <f t="shared" si="14"/>
        <v>#DIV/0!</v>
      </c>
      <c r="AX13" s="552" t="e">
        <f t="shared" si="14"/>
        <v>#DIV/0!</v>
      </c>
      <c r="AY13" s="552" t="e">
        <f t="shared" si="14"/>
        <v>#DIV/0!</v>
      </c>
      <c r="AZ13" s="552" t="e">
        <f t="shared" si="14"/>
        <v>#DIV/0!</v>
      </c>
      <c r="BA13" s="552" t="e">
        <f t="shared" si="14"/>
        <v>#DIV/0!</v>
      </c>
      <c r="BB13" s="552" t="e">
        <f t="shared" si="14"/>
        <v>#DIV/0!</v>
      </c>
      <c r="BC13" s="552" t="e">
        <f t="shared" si="14"/>
        <v>#DIV/0!</v>
      </c>
      <c r="BD13" s="552" t="e">
        <f t="shared" si="14"/>
        <v>#DIV/0!</v>
      </c>
      <c r="BE13" s="552" t="e">
        <f t="shared" si="14"/>
        <v>#DIV/0!</v>
      </c>
    </row>
    <row r="14" spans="1:57">
      <c r="A14" s="553"/>
      <c r="B14" s="553"/>
      <c r="C14" s="521" t="s">
        <v>17</v>
      </c>
      <c r="D14" s="554">
        <f>D11*D9</f>
        <v>0</v>
      </c>
      <c r="E14" s="554">
        <f t="shared" ref="E14:T14" si="15">E11*E9</f>
        <v>0</v>
      </c>
      <c r="F14" s="554">
        <f t="shared" si="15"/>
        <v>0</v>
      </c>
      <c r="G14" s="554">
        <f t="shared" si="15"/>
        <v>0</v>
      </c>
      <c r="H14" s="554">
        <f t="shared" si="15"/>
        <v>0</v>
      </c>
      <c r="I14" s="554">
        <f t="shared" si="15"/>
        <v>0</v>
      </c>
      <c r="J14" s="554">
        <f t="shared" si="15"/>
        <v>0</v>
      </c>
      <c r="K14" s="554">
        <f t="shared" si="15"/>
        <v>0</v>
      </c>
      <c r="L14" s="554">
        <f t="shared" si="15"/>
        <v>0</v>
      </c>
      <c r="M14" s="554">
        <f t="shared" si="15"/>
        <v>0</v>
      </c>
      <c r="N14" s="554">
        <f t="shared" si="15"/>
        <v>0</v>
      </c>
      <c r="O14" s="554">
        <f t="shared" si="15"/>
        <v>0</v>
      </c>
      <c r="P14" s="554">
        <f t="shared" si="15"/>
        <v>0</v>
      </c>
      <c r="Q14" s="554">
        <f t="shared" si="15"/>
        <v>0</v>
      </c>
      <c r="R14" s="554">
        <f t="shared" si="15"/>
        <v>0</v>
      </c>
      <c r="S14" s="554">
        <f t="shared" si="15"/>
        <v>0</v>
      </c>
      <c r="T14" s="554">
        <f t="shared" si="15"/>
        <v>0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0</v>
      </c>
      <c r="E15" s="201">
        <f t="shared" si="16"/>
        <v>0</v>
      </c>
      <c r="F15" s="201">
        <f t="shared" si="16"/>
        <v>0</v>
      </c>
      <c r="G15" s="201">
        <f t="shared" si="16"/>
        <v>0</v>
      </c>
      <c r="H15" s="201">
        <f t="shared" si="16"/>
        <v>0</v>
      </c>
      <c r="I15" s="201">
        <f t="shared" si="16"/>
        <v>0</v>
      </c>
      <c r="J15" s="201">
        <f t="shared" si="16"/>
        <v>0</v>
      </c>
      <c r="K15" s="201">
        <f t="shared" si="16"/>
        <v>0</v>
      </c>
      <c r="L15" s="201">
        <f t="shared" si="16"/>
        <v>0</v>
      </c>
      <c r="M15" s="201">
        <f t="shared" si="16"/>
        <v>0</v>
      </c>
      <c r="N15" s="201">
        <f t="shared" si="16"/>
        <v>0</v>
      </c>
      <c r="O15" s="201">
        <f t="shared" si="16"/>
        <v>0</v>
      </c>
      <c r="P15" s="201">
        <f t="shared" si="16"/>
        <v>0</v>
      </c>
      <c r="Q15" s="201">
        <f t="shared" si="16"/>
        <v>0</v>
      </c>
      <c r="R15" s="201">
        <f t="shared" si="16"/>
        <v>0</v>
      </c>
      <c r="S15" s="201">
        <f t="shared" si="16"/>
        <v>0</v>
      </c>
      <c r="T15" s="201">
        <f t="shared" si="16"/>
        <v>0</v>
      </c>
      <c r="V15" s="522" t="e">
        <f>D15/D14</f>
        <v>#DIV/0!</v>
      </c>
      <c r="W15" s="522" t="e">
        <f>E15/E14</f>
        <v>#DIV/0!</v>
      </c>
      <c r="X15" s="522" t="e">
        <f>F15/F14</f>
        <v>#DIV/0!</v>
      </c>
      <c r="Y15" s="522" t="e">
        <f>G15/G14</f>
        <v>#DIV/0!</v>
      </c>
      <c r="Z15" s="522" t="e">
        <f>H15/H14</f>
        <v>#DIV/0!</v>
      </c>
      <c r="AA15" s="522" t="e">
        <f>Z15</f>
        <v>#DIV/0!</v>
      </c>
      <c r="AB15" s="522" t="e">
        <f t="shared" ref="AB15:AL17" si="17">AA15</f>
        <v>#DIV/0!</v>
      </c>
      <c r="AC15" s="522" t="e">
        <f t="shared" si="17"/>
        <v>#DIV/0!</v>
      </c>
      <c r="AD15" s="522" t="e">
        <f t="shared" si="17"/>
        <v>#DIV/0!</v>
      </c>
      <c r="AE15" s="522" t="e">
        <f t="shared" si="17"/>
        <v>#DIV/0!</v>
      </c>
      <c r="AF15" s="522" t="e">
        <f t="shared" si="17"/>
        <v>#DIV/0!</v>
      </c>
      <c r="AG15" s="522" t="e">
        <f t="shared" si="17"/>
        <v>#DIV/0!</v>
      </c>
      <c r="AH15" s="522" t="e">
        <f t="shared" si="17"/>
        <v>#DIV/0!</v>
      </c>
      <c r="AI15" s="522" t="e">
        <f t="shared" si="17"/>
        <v>#DIV/0!</v>
      </c>
      <c r="AJ15" s="522" t="e">
        <f t="shared" si="17"/>
        <v>#DIV/0!</v>
      </c>
      <c r="AK15" s="522" t="e">
        <f t="shared" si="17"/>
        <v>#DIV/0!</v>
      </c>
      <c r="AL15" s="522" t="e">
        <f t="shared" si="17"/>
        <v>#DIV/0!</v>
      </c>
      <c r="AO15" s="557">
        <f>'Прогноз расходов'!M9</f>
        <v>0</v>
      </c>
      <c r="AP15" s="557">
        <f>'Прогноз расходов'!N9</f>
        <v>0</v>
      </c>
      <c r="AQ15" s="557">
        <f>'Прогноз расходов'!O9</f>
        <v>0</v>
      </c>
      <c r="AR15" s="557">
        <f>'Прогноз расходов'!P9</f>
        <v>0</v>
      </c>
      <c r="AS15" s="557">
        <f>'Прогноз расходов'!Q9</f>
        <v>0</v>
      </c>
      <c r="AT15" s="201">
        <f t="shared" ref="AT15:BE15" si="18">AS15*(1+AT11)</f>
        <v>0</v>
      </c>
      <c r="AU15" s="201">
        <f t="shared" si="18"/>
        <v>0</v>
      </c>
      <c r="AV15" s="201">
        <f t="shared" si="18"/>
        <v>0</v>
      </c>
      <c r="AW15" s="201">
        <f t="shared" si="18"/>
        <v>0</v>
      </c>
      <c r="AX15" s="201">
        <f t="shared" si="18"/>
        <v>0</v>
      </c>
      <c r="AY15" s="201">
        <f t="shared" si="18"/>
        <v>0</v>
      </c>
      <c r="AZ15" s="201">
        <f t="shared" si="18"/>
        <v>0</v>
      </c>
      <c r="BA15" s="201">
        <f t="shared" si="18"/>
        <v>0</v>
      </c>
      <c r="BB15" s="201">
        <f t="shared" si="18"/>
        <v>0</v>
      </c>
      <c r="BC15" s="201">
        <f t="shared" si="18"/>
        <v>0</v>
      </c>
      <c r="BD15" s="201">
        <f t="shared" si="18"/>
        <v>0</v>
      </c>
      <c r="BE15" s="201">
        <f t="shared" si="18"/>
        <v>0</v>
      </c>
    </row>
    <row r="16" spans="1:57">
      <c r="A16" s="553"/>
      <c r="B16" s="553"/>
      <c r="C16" s="519" t="s">
        <v>529</v>
      </c>
      <c r="D16" s="201">
        <f t="shared" ref="D16:T16" si="19">V16*D14</f>
        <v>0</v>
      </c>
      <c r="E16" s="201">
        <f t="shared" si="19"/>
        <v>0</v>
      </c>
      <c r="F16" s="201">
        <f t="shared" si="19"/>
        <v>0</v>
      </c>
      <c r="G16" s="201">
        <f t="shared" si="19"/>
        <v>0</v>
      </c>
      <c r="H16" s="201">
        <f t="shared" si="19"/>
        <v>0</v>
      </c>
      <c r="I16" s="201">
        <f t="shared" si="19"/>
        <v>0</v>
      </c>
      <c r="J16" s="201">
        <f t="shared" si="19"/>
        <v>0</v>
      </c>
      <c r="K16" s="201">
        <f t="shared" si="19"/>
        <v>0</v>
      </c>
      <c r="L16" s="201">
        <f t="shared" si="19"/>
        <v>0</v>
      </c>
      <c r="M16" s="201">
        <f t="shared" si="19"/>
        <v>0</v>
      </c>
      <c r="N16" s="201">
        <f t="shared" si="19"/>
        <v>0</v>
      </c>
      <c r="O16" s="201">
        <f t="shared" si="19"/>
        <v>0</v>
      </c>
      <c r="P16" s="201">
        <f t="shared" si="19"/>
        <v>0</v>
      </c>
      <c r="Q16" s="201">
        <f t="shared" si="19"/>
        <v>0</v>
      </c>
      <c r="R16" s="201">
        <f t="shared" si="19"/>
        <v>0</v>
      </c>
      <c r="S16" s="201">
        <f t="shared" si="19"/>
        <v>0</v>
      </c>
      <c r="T16" s="201">
        <f t="shared" si="19"/>
        <v>0</v>
      </c>
      <c r="V16" s="522">
        <f>'Прогноз расходов'!M19</f>
        <v>7.0000000000000007E-2</v>
      </c>
      <c r="W16" s="522">
        <f>'Прогноз расходов'!N19</f>
        <v>6.5000000000000002E-2</v>
      </c>
      <c r="X16" s="522">
        <f>'Прогноз расходов'!O19</f>
        <v>0.06</v>
      </c>
      <c r="Y16" s="522">
        <f>'Прогноз расходов'!P19</f>
        <v>5.5E-2</v>
      </c>
      <c r="Z16" s="522">
        <f>'Прогноз расходов'!Q19</f>
        <v>0.05</v>
      </c>
      <c r="AA16" s="522">
        <f>Z16</f>
        <v>0.05</v>
      </c>
      <c r="AB16" s="522">
        <f t="shared" si="17"/>
        <v>0.05</v>
      </c>
      <c r="AC16" s="522">
        <f t="shared" si="17"/>
        <v>0.05</v>
      </c>
      <c r="AD16" s="522">
        <f t="shared" si="17"/>
        <v>0.05</v>
      </c>
      <c r="AE16" s="522">
        <f t="shared" si="17"/>
        <v>0.05</v>
      </c>
      <c r="AF16" s="522">
        <f t="shared" si="17"/>
        <v>0.05</v>
      </c>
      <c r="AG16" s="522">
        <f t="shared" si="17"/>
        <v>0.05</v>
      </c>
      <c r="AH16" s="522">
        <f t="shared" si="17"/>
        <v>0.05</v>
      </c>
      <c r="AI16" s="522">
        <f t="shared" si="17"/>
        <v>0.05</v>
      </c>
      <c r="AJ16" s="522">
        <f t="shared" si="17"/>
        <v>0.05</v>
      </c>
      <c r="AK16" s="522">
        <f t="shared" si="17"/>
        <v>0.05</v>
      </c>
      <c r="AL16" s="522">
        <f t="shared" si="17"/>
        <v>0.05</v>
      </c>
      <c r="AO16" s="201" t="e">
        <f t="shared" ref="AO16:BE16" si="20">D16/D9</f>
        <v>#DIV/0!</v>
      </c>
      <c r="AP16" s="201" t="e">
        <f t="shared" si="20"/>
        <v>#DIV/0!</v>
      </c>
      <c r="AQ16" s="201" t="e">
        <f t="shared" si="20"/>
        <v>#DIV/0!</v>
      </c>
      <c r="AR16" s="201" t="e">
        <f t="shared" si="20"/>
        <v>#DIV/0!</v>
      </c>
      <c r="AS16" s="201" t="e">
        <f t="shared" si="20"/>
        <v>#DIV/0!</v>
      </c>
      <c r="AT16" s="201" t="e">
        <f t="shared" si="20"/>
        <v>#DIV/0!</v>
      </c>
      <c r="AU16" s="201" t="e">
        <f t="shared" si="20"/>
        <v>#DIV/0!</v>
      </c>
      <c r="AV16" s="201" t="e">
        <f t="shared" si="20"/>
        <v>#DIV/0!</v>
      </c>
      <c r="AW16" s="201" t="e">
        <f t="shared" si="20"/>
        <v>#DIV/0!</v>
      </c>
      <c r="AX16" s="201" t="e">
        <f t="shared" si="20"/>
        <v>#DIV/0!</v>
      </c>
      <c r="AY16" s="201" t="e">
        <f t="shared" si="20"/>
        <v>#DIV/0!</v>
      </c>
      <c r="AZ16" s="201" t="e">
        <f t="shared" si="20"/>
        <v>#DIV/0!</v>
      </c>
      <c r="BA16" s="201" t="e">
        <f t="shared" si="20"/>
        <v>#DIV/0!</v>
      </c>
      <c r="BB16" s="201" t="e">
        <f t="shared" si="20"/>
        <v>#DIV/0!</v>
      </c>
      <c r="BC16" s="201" t="e">
        <f t="shared" si="20"/>
        <v>#DIV/0!</v>
      </c>
      <c r="BD16" s="201" t="e">
        <f t="shared" si="20"/>
        <v>#DIV/0!</v>
      </c>
      <c r="BE16" s="201" t="e">
        <f t="shared" si="20"/>
        <v>#DIV/0!</v>
      </c>
    </row>
    <row r="17" spans="1:60">
      <c r="A17" s="553"/>
      <c r="B17" s="553"/>
      <c r="C17" s="519" t="s">
        <v>27</v>
      </c>
      <c r="D17" s="201">
        <f t="shared" ref="D17:T17" si="21">AO17*D9</f>
        <v>0</v>
      </c>
      <c r="E17" s="201">
        <f t="shared" si="21"/>
        <v>0</v>
      </c>
      <c r="F17" s="201">
        <f t="shared" si="21"/>
        <v>0</v>
      </c>
      <c r="G17" s="201">
        <f t="shared" si="21"/>
        <v>0</v>
      </c>
      <c r="H17" s="201">
        <f t="shared" si="21"/>
        <v>0</v>
      </c>
      <c r="I17" s="201">
        <f t="shared" si="21"/>
        <v>0</v>
      </c>
      <c r="J17" s="201">
        <f t="shared" si="21"/>
        <v>0</v>
      </c>
      <c r="K17" s="201">
        <f t="shared" si="21"/>
        <v>0</v>
      </c>
      <c r="L17" s="201">
        <f t="shared" si="21"/>
        <v>0</v>
      </c>
      <c r="M17" s="201">
        <f t="shared" si="21"/>
        <v>0</v>
      </c>
      <c r="N17" s="201">
        <f t="shared" si="21"/>
        <v>0</v>
      </c>
      <c r="O17" s="201">
        <f t="shared" si="21"/>
        <v>0</v>
      </c>
      <c r="P17" s="201">
        <f t="shared" si="21"/>
        <v>0</v>
      </c>
      <c r="Q17" s="201">
        <f t="shared" si="21"/>
        <v>0</v>
      </c>
      <c r="R17" s="201">
        <f t="shared" si="21"/>
        <v>0</v>
      </c>
      <c r="S17" s="201">
        <f t="shared" si="21"/>
        <v>0</v>
      </c>
      <c r="T17" s="201">
        <f t="shared" si="21"/>
        <v>0</v>
      </c>
      <c r="V17" s="160" t="e">
        <f>D17/D14</f>
        <v>#DIV/0!</v>
      </c>
      <c r="W17" s="160" t="e">
        <f>E17/E14</f>
        <v>#DIV/0!</v>
      </c>
      <c r="X17" s="160" t="e">
        <f>F17/F14</f>
        <v>#DIV/0!</v>
      </c>
      <c r="Y17" s="160" t="e">
        <f>G17/G14</f>
        <v>#DIV/0!</v>
      </c>
      <c r="Z17" s="160" t="e">
        <f>H17/H14</f>
        <v>#DIV/0!</v>
      </c>
      <c r="AA17" s="522" t="e">
        <f>Z17</f>
        <v>#DIV/0!</v>
      </c>
      <c r="AB17" s="522" t="e">
        <f t="shared" si="17"/>
        <v>#DIV/0!</v>
      </c>
      <c r="AC17" s="522" t="e">
        <f t="shared" si="17"/>
        <v>#DIV/0!</v>
      </c>
      <c r="AD17" s="522" t="e">
        <f t="shared" si="17"/>
        <v>#DIV/0!</v>
      </c>
      <c r="AE17" s="522" t="e">
        <f t="shared" si="17"/>
        <v>#DIV/0!</v>
      </c>
      <c r="AF17" s="522" t="e">
        <f t="shared" si="17"/>
        <v>#DIV/0!</v>
      </c>
      <c r="AG17" s="522" t="e">
        <f t="shared" si="17"/>
        <v>#DIV/0!</v>
      </c>
      <c r="AH17" s="522" t="e">
        <f t="shared" si="17"/>
        <v>#DIV/0!</v>
      </c>
      <c r="AI17" s="522" t="e">
        <f t="shared" si="17"/>
        <v>#DIV/0!</v>
      </c>
      <c r="AJ17" s="522" t="e">
        <f t="shared" si="17"/>
        <v>#DIV/0!</v>
      </c>
      <c r="AK17" s="522" t="e">
        <f t="shared" si="17"/>
        <v>#DIV/0!</v>
      </c>
      <c r="AL17" s="522" t="e">
        <f t="shared" si="17"/>
        <v>#DIV/0!</v>
      </c>
      <c r="AO17" s="557">
        <f>'Прогноз расходов'!M29</f>
        <v>0</v>
      </c>
      <c r="AP17" s="557">
        <f>'Прогноз расходов'!N29</f>
        <v>0</v>
      </c>
      <c r="AQ17" s="557">
        <f>'Прогноз расходов'!O29</f>
        <v>0</v>
      </c>
      <c r="AR17" s="557">
        <f>'Прогноз расходов'!P29</f>
        <v>0</v>
      </c>
      <c r="AS17" s="557">
        <f>'Прогноз расходов'!Q29</f>
        <v>0</v>
      </c>
      <c r="AT17" s="201">
        <f t="shared" ref="AT17:BE17" si="22">AS17*(1+AT11)</f>
        <v>0</v>
      </c>
      <c r="AU17" s="201">
        <f t="shared" si="22"/>
        <v>0</v>
      </c>
      <c r="AV17" s="201">
        <f t="shared" si="22"/>
        <v>0</v>
      </c>
      <c r="AW17" s="201">
        <f t="shared" si="22"/>
        <v>0</v>
      </c>
      <c r="AX17" s="201">
        <f t="shared" si="22"/>
        <v>0</v>
      </c>
      <c r="AY17" s="201">
        <f t="shared" si="22"/>
        <v>0</v>
      </c>
      <c r="AZ17" s="201">
        <f t="shared" si="22"/>
        <v>0</v>
      </c>
      <c r="BA17" s="201">
        <f t="shared" si="22"/>
        <v>0</v>
      </c>
      <c r="BB17" s="201">
        <f t="shared" si="22"/>
        <v>0</v>
      </c>
      <c r="BC17" s="201">
        <f t="shared" si="22"/>
        <v>0</v>
      </c>
      <c r="BD17" s="201">
        <f t="shared" si="22"/>
        <v>0</v>
      </c>
      <c r="BE17" s="201">
        <f t="shared" si="22"/>
        <v>0</v>
      </c>
    </row>
    <row r="18" spans="1:60">
      <c r="A18" s="553"/>
      <c r="B18" s="553"/>
      <c r="C18" s="521" t="s">
        <v>28</v>
      </c>
      <c r="D18" s="556">
        <f>SUM(D15:D17)</f>
        <v>0</v>
      </c>
      <c r="E18" s="556">
        <f t="shared" ref="E18:T18" si="23">SUM(E15:E17)</f>
        <v>0</v>
      </c>
      <c r="F18" s="556">
        <f t="shared" si="23"/>
        <v>0</v>
      </c>
      <c r="G18" s="554">
        <f t="shared" si="23"/>
        <v>0</v>
      </c>
      <c r="H18" s="556">
        <f t="shared" si="23"/>
        <v>0</v>
      </c>
      <c r="I18" s="556">
        <f t="shared" si="23"/>
        <v>0</v>
      </c>
      <c r="J18" s="556">
        <f t="shared" si="23"/>
        <v>0</v>
      </c>
      <c r="K18" s="556">
        <f t="shared" si="23"/>
        <v>0</v>
      </c>
      <c r="L18" s="556">
        <f t="shared" si="23"/>
        <v>0</v>
      </c>
      <c r="M18" s="556">
        <f t="shared" si="23"/>
        <v>0</v>
      </c>
      <c r="N18" s="556">
        <f t="shared" si="23"/>
        <v>0</v>
      </c>
      <c r="O18" s="556">
        <f t="shared" si="23"/>
        <v>0</v>
      </c>
      <c r="P18" s="556">
        <f t="shared" si="23"/>
        <v>0</v>
      </c>
      <c r="Q18" s="556">
        <f t="shared" si="23"/>
        <v>0</v>
      </c>
      <c r="R18" s="556">
        <f t="shared" si="23"/>
        <v>0</v>
      </c>
      <c r="S18" s="556">
        <f t="shared" si="23"/>
        <v>0</v>
      </c>
      <c r="T18" s="556">
        <f t="shared" si="23"/>
        <v>0</v>
      </c>
      <c r="V18" s="558" t="e">
        <f t="shared" ref="V18:AL18" si="24">D18/D14</f>
        <v>#DIV/0!</v>
      </c>
      <c r="W18" s="559" t="e">
        <f t="shared" si="24"/>
        <v>#DIV/0!</v>
      </c>
      <c r="X18" s="559" t="e">
        <f t="shared" si="24"/>
        <v>#DIV/0!</v>
      </c>
      <c r="Y18" s="559" t="e">
        <f t="shared" si="24"/>
        <v>#DIV/0!</v>
      </c>
      <c r="Z18" s="558" t="e">
        <f t="shared" si="24"/>
        <v>#DIV/0!</v>
      </c>
      <c r="AA18" s="559" t="e">
        <f t="shared" si="24"/>
        <v>#DIV/0!</v>
      </c>
      <c r="AB18" s="559" t="e">
        <f t="shared" si="24"/>
        <v>#DIV/0!</v>
      </c>
      <c r="AC18" s="559" t="e">
        <f t="shared" si="24"/>
        <v>#DIV/0!</v>
      </c>
      <c r="AD18" s="559" t="e">
        <f t="shared" si="24"/>
        <v>#DIV/0!</v>
      </c>
      <c r="AE18" s="559" t="e">
        <f t="shared" si="24"/>
        <v>#DIV/0!</v>
      </c>
      <c r="AF18" s="559" t="e">
        <f t="shared" si="24"/>
        <v>#DIV/0!</v>
      </c>
      <c r="AG18" s="559" t="e">
        <f t="shared" si="24"/>
        <v>#DIV/0!</v>
      </c>
      <c r="AH18" s="559" t="e">
        <f t="shared" si="24"/>
        <v>#DIV/0!</v>
      </c>
      <c r="AI18" s="559" t="e">
        <f t="shared" si="24"/>
        <v>#DIV/0!</v>
      </c>
      <c r="AJ18" s="559" t="e">
        <f t="shared" si="24"/>
        <v>#DIV/0!</v>
      </c>
      <c r="AK18" s="559" t="e">
        <f t="shared" si="24"/>
        <v>#DIV/0!</v>
      </c>
      <c r="AL18" s="559" t="e">
        <f t="shared" si="24"/>
        <v>#DIV/0!</v>
      </c>
      <c r="AO18" s="554" t="e">
        <f t="shared" ref="AO18:BE18" si="25">D18/D$9</f>
        <v>#DIV/0!</v>
      </c>
      <c r="AP18" s="556" t="e">
        <f t="shared" si="25"/>
        <v>#DIV/0!</v>
      </c>
      <c r="AQ18" s="556" t="e">
        <f t="shared" si="25"/>
        <v>#DIV/0!</v>
      </c>
      <c r="AR18" s="556" t="e">
        <f t="shared" si="25"/>
        <v>#DIV/0!</v>
      </c>
      <c r="AS18" s="554" t="e">
        <f t="shared" si="25"/>
        <v>#DIV/0!</v>
      </c>
      <c r="AT18" s="556" t="e">
        <f t="shared" si="25"/>
        <v>#DIV/0!</v>
      </c>
      <c r="AU18" s="556" t="e">
        <f t="shared" si="25"/>
        <v>#DIV/0!</v>
      </c>
      <c r="AV18" s="556" t="e">
        <f t="shared" si="25"/>
        <v>#DIV/0!</v>
      </c>
      <c r="AW18" s="556" t="e">
        <f t="shared" si="25"/>
        <v>#DIV/0!</v>
      </c>
      <c r="AX18" s="556" t="e">
        <f t="shared" si="25"/>
        <v>#DIV/0!</v>
      </c>
      <c r="AY18" s="556" t="e">
        <f t="shared" si="25"/>
        <v>#DIV/0!</v>
      </c>
      <c r="AZ18" s="556" t="e">
        <f t="shared" si="25"/>
        <v>#DIV/0!</v>
      </c>
      <c r="BA18" s="556" t="e">
        <f t="shared" si="25"/>
        <v>#DIV/0!</v>
      </c>
      <c r="BB18" s="556" t="e">
        <f t="shared" si="25"/>
        <v>#DIV/0!</v>
      </c>
      <c r="BC18" s="556" t="e">
        <f t="shared" si="25"/>
        <v>#DIV/0!</v>
      </c>
      <c r="BD18" s="556" t="e">
        <f t="shared" si="25"/>
        <v>#DIV/0!</v>
      </c>
      <c r="BE18" s="556" t="e">
        <f t="shared" si="25"/>
        <v>#DIV/0!</v>
      </c>
    </row>
    <row r="19" spans="1:60">
      <c r="A19" s="560"/>
      <c r="B19" s="560"/>
      <c r="C19" s="521" t="s">
        <v>18</v>
      </c>
      <c r="D19" s="554">
        <f t="shared" ref="D19:T19" si="26">D14-D18</f>
        <v>0</v>
      </c>
      <c r="E19" s="556">
        <f t="shared" si="26"/>
        <v>0</v>
      </c>
      <c r="F19" s="556">
        <f t="shared" si="26"/>
        <v>0</v>
      </c>
      <c r="G19" s="556">
        <f t="shared" si="26"/>
        <v>0</v>
      </c>
      <c r="H19" s="556">
        <f t="shared" si="26"/>
        <v>0</v>
      </c>
      <c r="I19" s="556">
        <f t="shared" si="26"/>
        <v>0</v>
      </c>
      <c r="J19" s="556">
        <f t="shared" si="26"/>
        <v>0</v>
      </c>
      <c r="K19" s="556">
        <f t="shared" si="26"/>
        <v>0</v>
      </c>
      <c r="L19" s="556">
        <f t="shared" si="26"/>
        <v>0</v>
      </c>
      <c r="M19" s="556">
        <f t="shared" si="26"/>
        <v>0</v>
      </c>
      <c r="N19" s="556">
        <f t="shared" si="26"/>
        <v>0</v>
      </c>
      <c r="O19" s="556">
        <f t="shared" si="26"/>
        <v>0</v>
      </c>
      <c r="P19" s="556">
        <f t="shared" si="26"/>
        <v>0</v>
      </c>
      <c r="Q19" s="556">
        <f t="shared" si="26"/>
        <v>0</v>
      </c>
      <c r="R19" s="556">
        <f t="shared" si="26"/>
        <v>0</v>
      </c>
      <c r="S19" s="556">
        <f t="shared" si="26"/>
        <v>0</v>
      </c>
      <c r="T19" s="556">
        <f t="shared" si="26"/>
        <v>0</v>
      </c>
      <c r="V19" s="559" t="e">
        <f t="shared" ref="V19:AL19" si="27">D19/D14</f>
        <v>#DIV/0!</v>
      </c>
      <c r="W19" s="559" t="e">
        <f t="shared" si="27"/>
        <v>#DIV/0!</v>
      </c>
      <c r="X19" s="559" t="e">
        <f t="shared" si="27"/>
        <v>#DIV/0!</v>
      </c>
      <c r="Y19" s="559" t="e">
        <f t="shared" si="27"/>
        <v>#DIV/0!</v>
      </c>
      <c r="Z19" s="559" t="e">
        <f t="shared" si="27"/>
        <v>#DIV/0!</v>
      </c>
      <c r="AA19" s="559" t="e">
        <f t="shared" si="27"/>
        <v>#DIV/0!</v>
      </c>
      <c r="AB19" s="559" t="e">
        <f t="shared" si="27"/>
        <v>#DIV/0!</v>
      </c>
      <c r="AC19" s="559" t="e">
        <f t="shared" si="27"/>
        <v>#DIV/0!</v>
      </c>
      <c r="AD19" s="559" t="e">
        <f t="shared" si="27"/>
        <v>#DIV/0!</v>
      </c>
      <c r="AE19" s="559" t="e">
        <f t="shared" si="27"/>
        <v>#DIV/0!</v>
      </c>
      <c r="AF19" s="559" t="e">
        <f t="shared" si="27"/>
        <v>#DIV/0!</v>
      </c>
      <c r="AG19" s="559" t="e">
        <f t="shared" si="27"/>
        <v>#DIV/0!</v>
      </c>
      <c r="AH19" s="559" t="e">
        <f t="shared" si="27"/>
        <v>#DIV/0!</v>
      </c>
      <c r="AI19" s="559" t="e">
        <f t="shared" si="27"/>
        <v>#DIV/0!</v>
      </c>
      <c r="AJ19" s="559" t="e">
        <f t="shared" si="27"/>
        <v>#DIV/0!</v>
      </c>
      <c r="AK19" s="559" t="e">
        <f t="shared" si="27"/>
        <v>#DIV/0!</v>
      </c>
      <c r="AL19" s="559" t="e">
        <f t="shared" si="27"/>
        <v>#DIV/0!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60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 t="e">
        <f>D21/D12</f>
        <v>#DIV/0!</v>
      </c>
      <c r="W20" s="563" t="e">
        <f>E21/E12</f>
        <v>#DIV/0!</v>
      </c>
      <c r="X20" s="563" t="e">
        <f>F21/F12</f>
        <v>#DIV/0!</v>
      </c>
      <c r="Y20" s="563" t="e">
        <f>G21/G12</f>
        <v>#DIV/0!</v>
      </c>
      <c r="Z20" s="1040" t="e">
        <f>H21/H12</f>
        <v>#DIV/0!</v>
      </c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1044" t="e">
        <f>AO21/LOOKUP(AO3,CPI!3:3,CPI!5:5)</f>
        <v>#DIV/0!</v>
      </c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60">
      <c r="A21" s="560"/>
      <c r="B21" s="560"/>
      <c r="C21" s="521" t="s">
        <v>17</v>
      </c>
      <c r="D21" s="556">
        <f>D22+D23</f>
        <v>0</v>
      </c>
      <c r="E21" s="556">
        <f t="shared" ref="E21:T21" si="28">E22+E23</f>
        <v>0</v>
      </c>
      <c r="F21" s="556">
        <f t="shared" si="28"/>
        <v>0</v>
      </c>
      <c r="G21" s="556">
        <f t="shared" si="28"/>
        <v>0</v>
      </c>
      <c r="H21" s="556">
        <f t="shared" si="28"/>
        <v>0</v>
      </c>
      <c r="I21" s="556">
        <f t="shared" si="28"/>
        <v>0</v>
      </c>
      <c r="J21" s="556">
        <f t="shared" si="28"/>
        <v>0</v>
      </c>
      <c r="K21" s="556">
        <f t="shared" si="28"/>
        <v>0</v>
      </c>
      <c r="L21" s="556">
        <f t="shared" si="28"/>
        <v>0</v>
      </c>
      <c r="M21" s="556">
        <f t="shared" si="28"/>
        <v>0</v>
      </c>
      <c r="N21" s="556">
        <f t="shared" si="28"/>
        <v>0</v>
      </c>
      <c r="O21" s="556">
        <f t="shared" si="28"/>
        <v>0</v>
      </c>
      <c r="P21" s="556">
        <f t="shared" si="28"/>
        <v>0</v>
      </c>
      <c r="Q21" s="556">
        <f t="shared" si="28"/>
        <v>0</v>
      </c>
      <c r="R21" s="556">
        <f t="shared" si="28"/>
        <v>0</v>
      </c>
      <c r="S21" s="556">
        <f t="shared" si="28"/>
        <v>0</v>
      </c>
      <c r="T21" s="556">
        <f t="shared" si="28"/>
        <v>0</v>
      </c>
      <c r="V21" s="555" t="e">
        <f t="shared" ref="V21:AL21" si="29">D21/D14</f>
        <v>#DIV/0!</v>
      </c>
      <c r="W21" s="555" t="e">
        <f t="shared" si="29"/>
        <v>#DIV/0!</v>
      </c>
      <c r="X21" s="555" t="e">
        <f t="shared" si="29"/>
        <v>#DIV/0!</v>
      </c>
      <c r="Y21" s="555" t="e">
        <f t="shared" si="29"/>
        <v>#DIV/0!</v>
      </c>
      <c r="Z21" s="555" t="e">
        <f t="shared" si="29"/>
        <v>#DIV/0!</v>
      </c>
      <c r="AA21" s="555" t="e">
        <f t="shared" si="29"/>
        <v>#DIV/0!</v>
      </c>
      <c r="AB21" s="555" t="e">
        <f t="shared" si="29"/>
        <v>#DIV/0!</v>
      </c>
      <c r="AC21" s="555" t="e">
        <f t="shared" si="29"/>
        <v>#DIV/0!</v>
      </c>
      <c r="AD21" s="555" t="e">
        <f t="shared" si="29"/>
        <v>#DIV/0!</v>
      </c>
      <c r="AE21" s="555" t="e">
        <f t="shared" si="29"/>
        <v>#DIV/0!</v>
      </c>
      <c r="AF21" s="555" t="e">
        <f t="shared" si="29"/>
        <v>#DIV/0!</v>
      </c>
      <c r="AG21" s="555" t="e">
        <f t="shared" si="29"/>
        <v>#DIV/0!</v>
      </c>
      <c r="AH21" s="555" t="e">
        <f t="shared" si="29"/>
        <v>#DIV/0!</v>
      </c>
      <c r="AI21" s="555" t="e">
        <f t="shared" si="29"/>
        <v>#DIV/0!</v>
      </c>
      <c r="AJ21" s="555" t="e">
        <f t="shared" si="29"/>
        <v>#DIV/0!</v>
      </c>
      <c r="AK21" s="555" t="e">
        <f t="shared" si="29"/>
        <v>#DIV/0!</v>
      </c>
      <c r="AL21" s="555" t="e">
        <f t="shared" si="29"/>
        <v>#DIV/0!</v>
      </c>
      <c r="AO21" s="554" t="e">
        <f>D21/D9</f>
        <v>#DIV/0!</v>
      </c>
      <c r="AP21" s="556" t="e">
        <f t="shared" ref="AP21:BE21" si="30">E21/E9</f>
        <v>#DIV/0!</v>
      </c>
      <c r="AQ21" s="556" t="e">
        <f t="shared" si="30"/>
        <v>#DIV/0!</v>
      </c>
      <c r="AR21" s="556" t="e">
        <f t="shared" si="30"/>
        <v>#DIV/0!</v>
      </c>
      <c r="AS21" s="556" t="e">
        <f t="shared" si="30"/>
        <v>#DIV/0!</v>
      </c>
      <c r="AT21" s="556" t="e">
        <f t="shared" si="30"/>
        <v>#DIV/0!</v>
      </c>
      <c r="AU21" s="556" t="e">
        <f t="shared" si="30"/>
        <v>#DIV/0!</v>
      </c>
      <c r="AV21" s="556" t="e">
        <f t="shared" si="30"/>
        <v>#DIV/0!</v>
      </c>
      <c r="AW21" s="556" t="e">
        <f t="shared" si="30"/>
        <v>#DIV/0!</v>
      </c>
      <c r="AX21" s="556" t="e">
        <f t="shared" si="30"/>
        <v>#DIV/0!</v>
      </c>
      <c r="AY21" s="556" t="e">
        <f t="shared" si="30"/>
        <v>#DIV/0!</v>
      </c>
      <c r="AZ21" s="556" t="e">
        <f t="shared" si="30"/>
        <v>#DIV/0!</v>
      </c>
      <c r="BA21" s="556" t="e">
        <f t="shared" si="30"/>
        <v>#DIV/0!</v>
      </c>
      <c r="BB21" s="556" t="e">
        <f t="shared" si="30"/>
        <v>#DIV/0!</v>
      </c>
      <c r="BC21" s="556" t="e">
        <f t="shared" si="30"/>
        <v>#DIV/0!</v>
      </c>
      <c r="BD21" s="556" t="e">
        <f t="shared" si="30"/>
        <v>#DIV/0!</v>
      </c>
      <c r="BE21" s="556" t="e">
        <f t="shared" si="30"/>
        <v>#DIV/0!</v>
      </c>
      <c r="BF21" s="1367" t="s">
        <v>725</v>
      </c>
      <c r="BG21" s="1368"/>
      <c r="BH21" s="1368"/>
    </row>
    <row r="22" spans="1:60">
      <c r="A22" s="560"/>
      <c r="B22" s="560"/>
      <c r="C22" s="517" t="s">
        <v>45</v>
      </c>
      <c r="D22" s="811">
        <f>D14*V22</f>
        <v>0</v>
      </c>
      <c r="E22" s="811">
        <f t="shared" ref="E22:T22" si="31">E14*W22</f>
        <v>0</v>
      </c>
      <c r="F22" s="811">
        <f t="shared" si="31"/>
        <v>0</v>
      </c>
      <c r="G22" s="811">
        <f t="shared" si="31"/>
        <v>0</v>
      </c>
      <c r="H22" s="811">
        <f t="shared" si="31"/>
        <v>0</v>
      </c>
      <c r="I22" s="811">
        <f t="shared" si="31"/>
        <v>0</v>
      </c>
      <c r="J22" s="811">
        <f t="shared" si="31"/>
        <v>0</v>
      </c>
      <c r="K22" s="811">
        <f t="shared" si="31"/>
        <v>0</v>
      </c>
      <c r="L22" s="811">
        <f t="shared" si="31"/>
        <v>0</v>
      </c>
      <c r="M22" s="811">
        <f t="shared" si="31"/>
        <v>0</v>
      </c>
      <c r="N22" s="811">
        <f t="shared" si="31"/>
        <v>0</v>
      </c>
      <c r="O22" s="811">
        <f t="shared" si="31"/>
        <v>0</v>
      </c>
      <c r="P22" s="811">
        <f t="shared" si="31"/>
        <v>0</v>
      </c>
      <c r="Q22" s="811">
        <f t="shared" si="31"/>
        <v>0</v>
      </c>
      <c r="R22" s="811">
        <f t="shared" si="31"/>
        <v>0</v>
      </c>
      <c r="S22" s="811">
        <f t="shared" si="31"/>
        <v>0</v>
      </c>
      <c r="T22" s="811">
        <f t="shared" si="31"/>
        <v>0</v>
      </c>
      <c r="V22" s="816">
        <f>'Прогноз F&amp;B'!F10</f>
        <v>0.27</v>
      </c>
      <c r="W22" s="816">
        <f>'Прогноз F&amp;B'!G10</f>
        <v>0.22</v>
      </c>
      <c r="X22" s="816">
        <f>'Прогноз F&amp;B'!H10</f>
        <v>0.2</v>
      </c>
      <c r="Y22" s="816">
        <f>'Прогноз F&amp;B'!I10</f>
        <v>0.17</v>
      </c>
      <c r="Z22" s="816">
        <f>'Прогноз F&amp;B'!J10</f>
        <v>0.15</v>
      </c>
      <c r="AA22" s="812">
        <f t="shared" ref="AA22:AL29" si="32">Z22</f>
        <v>0.15</v>
      </c>
      <c r="AB22" s="812">
        <f t="shared" si="32"/>
        <v>0.15</v>
      </c>
      <c r="AC22" s="812">
        <f t="shared" si="32"/>
        <v>0.15</v>
      </c>
      <c r="AD22" s="812">
        <f t="shared" si="32"/>
        <v>0.15</v>
      </c>
      <c r="AE22" s="812">
        <f t="shared" si="32"/>
        <v>0.15</v>
      </c>
      <c r="AF22" s="812">
        <f t="shared" si="32"/>
        <v>0.15</v>
      </c>
      <c r="AG22" s="812">
        <f t="shared" si="32"/>
        <v>0.15</v>
      </c>
      <c r="AH22" s="812">
        <f t="shared" si="32"/>
        <v>0.15</v>
      </c>
      <c r="AI22" s="812">
        <f t="shared" si="32"/>
        <v>0.15</v>
      </c>
      <c r="AJ22" s="812">
        <f t="shared" si="32"/>
        <v>0.15</v>
      </c>
      <c r="AK22" s="812">
        <f t="shared" si="32"/>
        <v>0.15</v>
      </c>
      <c r="AL22" s="812">
        <f t="shared" si="32"/>
        <v>0.15</v>
      </c>
      <c r="AO22" s="556" t="e">
        <f t="shared" ref="AO22:BE22" si="33">D22/D9/$AO$5</f>
        <v>#DIV/0!</v>
      </c>
      <c r="AP22" s="556" t="e">
        <f t="shared" si="33"/>
        <v>#DIV/0!</v>
      </c>
      <c r="AQ22" s="556" t="e">
        <f t="shared" si="33"/>
        <v>#DIV/0!</v>
      </c>
      <c r="AR22" s="556" t="e">
        <f t="shared" si="33"/>
        <v>#DIV/0!</v>
      </c>
      <c r="AS22" s="556" t="e">
        <f t="shared" si="33"/>
        <v>#DIV/0!</v>
      </c>
      <c r="AT22" s="556" t="e">
        <f t="shared" si="33"/>
        <v>#DIV/0!</v>
      </c>
      <c r="AU22" s="556" t="e">
        <f t="shared" si="33"/>
        <v>#DIV/0!</v>
      </c>
      <c r="AV22" s="556" t="e">
        <f t="shared" si="33"/>
        <v>#DIV/0!</v>
      </c>
      <c r="AW22" s="556" t="e">
        <f t="shared" si="33"/>
        <v>#DIV/0!</v>
      </c>
      <c r="AX22" s="556" t="e">
        <f t="shared" si="33"/>
        <v>#DIV/0!</v>
      </c>
      <c r="AY22" s="556" t="e">
        <f t="shared" si="33"/>
        <v>#DIV/0!</v>
      </c>
      <c r="AZ22" s="556" t="e">
        <f t="shared" si="33"/>
        <v>#DIV/0!</v>
      </c>
      <c r="BA22" s="556" t="e">
        <f t="shared" si="33"/>
        <v>#DIV/0!</v>
      </c>
      <c r="BB22" s="556" t="e">
        <f t="shared" si="33"/>
        <v>#DIV/0!</v>
      </c>
      <c r="BC22" s="556" t="e">
        <f t="shared" si="33"/>
        <v>#DIV/0!</v>
      </c>
      <c r="BD22" s="556" t="e">
        <f t="shared" si="33"/>
        <v>#DIV/0!</v>
      </c>
      <c r="BE22" s="556" t="e">
        <f t="shared" si="33"/>
        <v>#DIV/0!</v>
      </c>
      <c r="BF22" s="1367" t="s">
        <v>550</v>
      </c>
      <c r="BG22" s="1368"/>
      <c r="BH22" s="1368"/>
    </row>
    <row r="23" spans="1:60">
      <c r="A23" s="560"/>
      <c r="B23" s="560"/>
      <c r="C23" s="517" t="s">
        <v>509</v>
      </c>
      <c r="D23" s="811">
        <f>D14*V23</f>
        <v>0</v>
      </c>
      <c r="E23" s="811">
        <f t="shared" ref="E23:T23" si="34">E14*W23</f>
        <v>0</v>
      </c>
      <c r="F23" s="811">
        <f t="shared" si="34"/>
        <v>0</v>
      </c>
      <c r="G23" s="811">
        <f t="shared" si="34"/>
        <v>0</v>
      </c>
      <c r="H23" s="811">
        <f t="shared" si="34"/>
        <v>0</v>
      </c>
      <c r="I23" s="811">
        <f t="shared" si="34"/>
        <v>0</v>
      </c>
      <c r="J23" s="811">
        <f t="shared" si="34"/>
        <v>0</v>
      </c>
      <c r="K23" s="811">
        <f t="shared" si="34"/>
        <v>0</v>
      </c>
      <c r="L23" s="811">
        <f t="shared" si="34"/>
        <v>0</v>
      </c>
      <c r="M23" s="811">
        <f t="shared" si="34"/>
        <v>0</v>
      </c>
      <c r="N23" s="811">
        <f t="shared" si="34"/>
        <v>0</v>
      </c>
      <c r="O23" s="811">
        <f t="shared" si="34"/>
        <v>0</v>
      </c>
      <c r="P23" s="811">
        <f t="shared" si="34"/>
        <v>0</v>
      </c>
      <c r="Q23" s="811">
        <f t="shared" si="34"/>
        <v>0</v>
      </c>
      <c r="R23" s="811">
        <f t="shared" si="34"/>
        <v>0</v>
      </c>
      <c r="S23" s="811">
        <f t="shared" si="34"/>
        <v>0</v>
      </c>
      <c r="T23" s="811">
        <f t="shared" si="34"/>
        <v>0</v>
      </c>
      <c r="V23" s="816">
        <f>'Прогноз F&amp;B'!F18</f>
        <v>0</v>
      </c>
      <c r="W23" s="816">
        <f>'Прогноз F&amp;B'!G18</f>
        <v>0</v>
      </c>
      <c r="X23" s="816">
        <f>'Прогноз F&amp;B'!H18</f>
        <v>0</v>
      </c>
      <c r="Y23" s="816">
        <f>'Прогноз F&amp;B'!I18</f>
        <v>0</v>
      </c>
      <c r="Z23" s="816">
        <f>'Прогноз F&amp;B'!J18</f>
        <v>0</v>
      </c>
      <c r="AA23" s="812">
        <f t="shared" si="32"/>
        <v>0</v>
      </c>
      <c r="AB23" s="812">
        <f t="shared" si="32"/>
        <v>0</v>
      </c>
      <c r="AC23" s="812">
        <f t="shared" si="32"/>
        <v>0</v>
      </c>
      <c r="AD23" s="812">
        <f t="shared" si="32"/>
        <v>0</v>
      </c>
      <c r="AE23" s="812">
        <f t="shared" si="32"/>
        <v>0</v>
      </c>
      <c r="AF23" s="812">
        <f t="shared" si="32"/>
        <v>0</v>
      </c>
      <c r="AG23" s="812">
        <f t="shared" si="32"/>
        <v>0</v>
      </c>
      <c r="AH23" s="812">
        <f t="shared" si="32"/>
        <v>0</v>
      </c>
      <c r="AI23" s="812">
        <f t="shared" si="32"/>
        <v>0</v>
      </c>
      <c r="AJ23" s="812">
        <f t="shared" si="32"/>
        <v>0</v>
      </c>
      <c r="AK23" s="812">
        <f t="shared" si="32"/>
        <v>0</v>
      </c>
      <c r="AL23" s="812">
        <f t="shared" si="32"/>
        <v>0</v>
      </c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/>
      <c r="BF23" s="1043"/>
    </row>
    <row r="24" spans="1:60">
      <c r="A24" s="560"/>
      <c r="B24" s="560"/>
      <c r="C24" s="519" t="s">
        <v>516</v>
      </c>
      <c r="D24" s="201">
        <f t="shared" ref="D24:T25" si="35">V24*D22</f>
        <v>0</v>
      </c>
      <c r="E24" s="201">
        <f t="shared" si="35"/>
        <v>0</v>
      </c>
      <c r="F24" s="201">
        <f t="shared" si="35"/>
        <v>0</v>
      </c>
      <c r="G24" s="201">
        <f t="shared" si="35"/>
        <v>0</v>
      </c>
      <c r="H24" s="201">
        <f t="shared" si="35"/>
        <v>0</v>
      </c>
      <c r="I24" s="201">
        <f t="shared" si="35"/>
        <v>0</v>
      </c>
      <c r="J24" s="201">
        <f t="shared" si="35"/>
        <v>0</v>
      </c>
      <c r="K24" s="201">
        <f t="shared" si="35"/>
        <v>0</v>
      </c>
      <c r="L24" s="201">
        <f t="shared" si="35"/>
        <v>0</v>
      </c>
      <c r="M24" s="201">
        <f t="shared" si="35"/>
        <v>0</v>
      </c>
      <c r="N24" s="201">
        <f t="shared" si="35"/>
        <v>0</v>
      </c>
      <c r="O24" s="201">
        <f t="shared" si="35"/>
        <v>0</v>
      </c>
      <c r="P24" s="201">
        <f t="shared" si="35"/>
        <v>0</v>
      </c>
      <c r="Q24" s="201">
        <f t="shared" si="35"/>
        <v>0</v>
      </c>
      <c r="R24" s="201">
        <f t="shared" si="35"/>
        <v>0</v>
      </c>
      <c r="S24" s="201">
        <f t="shared" si="35"/>
        <v>0</v>
      </c>
      <c r="T24" s="201">
        <f t="shared" si="35"/>
        <v>0</v>
      </c>
      <c r="V24" s="522">
        <f>'Прогноз F&amp;B'!F37</f>
        <v>0.38</v>
      </c>
      <c r="W24" s="522">
        <f>'Прогноз F&amp;B'!G37</f>
        <v>0.35</v>
      </c>
      <c r="X24" s="522">
        <f>'Прогноз F&amp;B'!H37</f>
        <v>0.33</v>
      </c>
      <c r="Y24" s="522">
        <f>'Прогноз F&amp;B'!I37</f>
        <v>0.33</v>
      </c>
      <c r="Z24" s="522">
        <f>'Прогноз F&amp;B'!J37</f>
        <v>0.33</v>
      </c>
      <c r="AA24" s="567">
        <f t="shared" si="32"/>
        <v>0.33</v>
      </c>
      <c r="AB24" s="567">
        <f t="shared" si="32"/>
        <v>0.33</v>
      </c>
      <c r="AC24" s="567">
        <f t="shared" si="32"/>
        <v>0.33</v>
      </c>
      <c r="AD24" s="567">
        <f t="shared" si="32"/>
        <v>0.33</v>
      </c>
      <c r="AE24" s="567">
        <f t="shared" si="32"/>
        <v>0.33</v>
      </c>
      <c r="AF24" s="567">
        <f t="shared" si="32"/>
        <v>0.33</v>
      </c>
      <c r="AG24" s="567">
        <f t="shared" si="32"/>
        <v>0.33</v>
      </c>
      <c r="AH24" s="567">
        <f t="shared" si="32"/>
        <v>0.33</v>
      </c>
      <c r="AI24" s="567">
        <f t="shared" si="32"/>
        <v>0.33</v>
      </c>
      <c r="AJ24" s="567">
        <f t="shared" si="32"/>
        <v>0.33</v>
      </c>
      <c r="AK24" s="567">
        <f t="shared" si="32"/>
        <v>0.33</v>
      </c>
      <c r="AL24" s="567">
        <f t="shared" si="32"/>
        <v>0.33</v>
      </c>
      <c r="AO24" s="201" t="e">
        <f t="shared" ref="AO24:BE24" si="36">D24/D$9</f>
        <v>#DIV/0!</v>
      </c>
      <c r="AP24" s="201" t="e">
        <f t="shared" si="36"/>
        <v>#DIV/0!</v>
      </c>
      <c r="AQ24" s="201" t="e">
        <f t="shared" si="36"/>
        <v>#DIV/0!</v>
      </c>
      <c r="AR24" s="201" t="e">
        <f t="shared" si="36"/>
        <v>#DIV/0!</v>
      </c>
      <c r="AS24" s="201" t="e">
        <f t="shared" si="36"/>
        <v>#DIV/0!</v>
      </c>
      <c r="AT24" s="201" t="e">
        <f t="shared" si="36"/>
        <v>#DIV/0!</v>
      </c>
      <c r="AU24" s="201" t="e">
        <f t="shared" si="36"/>
        <v>#DIV/0!</v>
      </c>
      <c r="AV24" s="201" t="e">
        <f t="shared" si="36"/>
        <v>#DIV/0!</v>
      </c>
      <c r="AW24" s="201" t="e">
        <f t="shared" si="36"/>
        <v>#DIV/0!</v>
      </c>
      <c r="AX24" s="201" t="e">
        <f t="shared" si="36"/>
        <v>#DIV/0!</v>
      </c>
      <c r="AY24" s="201" t="e">
        <f t="shared" si="36"/>
        <v>#DIV/0!</v>
      </c>
      <c r="AZ24" s="201" t="e">
        <f t="shared" si="36"/>
        <v>#DIV/0!</v>
      </c>
      <c r="BA24" s="201" t="e">
        <f t="shared" si="36"/>
        <v>#DIV/0!</v>
      </c>
      <c r="BB24" s="201" t="e">
        <f t="shared" si="36"/>
        <v>#DIV/0!</v>
      </c>
      <c r="BC24" s="201" t="e">
        <f t="shared" si="36"/>
        <v>#DIV/0!</v>
      </c>
      <c r="BD24" s="201" t="e">
        <f t="shared" si="36"/>
        <v>#DIV/0!</v>
      </c>
      <c r="BE24" s="201" t="e">
        <f t="shared" si="36"/>
        <v>#DIV/0!</v>
      </c>
    </row>
    <row r="25" spans="1:60">
      <c r="A25" s="560"/>
      <c r="B25" s="560"/>
      <c r="C25" s="519" t="s">
        <v>517</v>
      </c>
      <c r="D25" s="201">
        <f t="shared" si="35"/>
        <v>0</v>
      </c>
      <c r="E25" s="201">
        <f t="shared" si="35"/>
        <v>0</v>
      </c>
      <c r="F25" s="201">
        <f t="shared" si="35"/>
        <v>0</v>
      </c>
      <c r="G25" s="201">
        <f t="shared" si="35"/>
        <v>0</v>
      </c>
      <c r="H25" s="201">
        <f t="shared" si="35"/>
        <v>0</v>
      </c>
      <c r="I25" s="201">
        <f t="shared" si="35"/>
        <v>0</v>
      </c>
      <c r="J25" s="201">
        <f t="shared" si="35"/>
        <v>0</v>
      </c>
      <c r="K25" s="201">
        <f t="shared" si="35"/>
        <v>0</v>
      </c>
      <c r="L25" s="201">
        <f t="shared" si="35"/>
        <v>0</v>
      </c>
      <c r="M25" s="201">
        <f t="shared" si="35"/>
        <v>0</v>
      </c>
      <c r="N25" s="201">
        <f t="shared" si="35"/>
        <v>0</v>
      </c>
      <c r="O25" s="201">
        <f t="shared" si="35"/>
        <v>0</v>
      </c>
      <c r="P25" s="201">
        <f t="shared" si="35"/>
        <v>0</v>
      </c>
      <c r="Q25" s="201">
        <f t="shared" si="35"/>
        <v>0</v>
      </c>
      <c r="R25" s="201">
        <f t="shared" si="35"/>
        <v>0</v>
      </c>
      <c r="S25" s="201">
        <f t="shared" si="35"/>
        <v>0</v>
      </c>
      <c r="T25" s="201">
        <f t="shared" si="35"/>
        <v>0</v>
      </c>
      <c r="V25" s="522">
        <f>'Прогноз F&amp;B'!F45</f>
        <v>0</v>
      </c>
      <c r="W25" s="522">
        <f>'Прогноз F&amp;B'!G45</f>
        <v>0</v>
      </c>
      <c r="X25" s="522">
        <f>'Прогноз F&amp;B'!H45</f>
        <v>0</v>
      </c>
      <c r="Y25" s="522">
        <f>'Прогноз F&amp;B'!I45</f>
        <v>0</v>
      </c>
      <c r="Z25" s="522">
        <f>'Прогноз F&amp;B'!J45</f>
        <v>0</v>
      </c>
      <c r="AA25" s="567">
        <f t="shared" si="32"/>
        <v>0</v>
      </c>
      <c r="AB25" s="567">
        <f t="shared" si="32"/>
        <v>0</v>
      </c>
      <c r="AC25" s="567">
        <f t="shared" si="32"/>
        <v>0</v>
      </c>
      <c r="AD25" s="567">
        <f t="shared" si="32"/>
        <v>0</v>
      </c>
      <c r="AE25" s="567">
        <f t="shared" si="32"/>
        <v>0</v>
      </c>
      <c r="AF25" s="567">
        <f t="shared" si="32"/>
        <v>0</v>
      </c>
      <c r="AG25" s="567">
        <f t="shared" si="32"/>
        <v>0</v>
      </c>
      <c r="AH25" s="567">
        <f t="shared" si="32"/>
        <v>0</v>
      </c>
      <c r="AI25" s="567">
        <f t="shared" si="32"/>
        <v>0</v>
      </c>
      <c r="AJ25" s="567">
        <f t="shared" si="32"/>
        <v>0</v>
      </c>
      <c r="AK25" s="567">
        <f t="shared" si="32"/>
        <v>0</v>
      </c>
      <c r="AL25" s="567">
        <f t="shared" si="32"/>
        <v>0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60">
      <c r="A26" s="560"/>
      <c r="B26" s="560"/>
      <c r="C26" s="519" t="s">
        <v>518</v>
      </c>
      <c r="D26" s="201">
        <f t="shared" ref="D26:T27" si="37">V26*D22</f>
        <v>0</v>
      </c>
      <c r="E26" s="201">
        <f t="shared" si="37"/>
        <v>0</v>
      </c>
      <c r="F26" s="201">
        <f t="shared" si="37"/>
        <v>0</v>
      </c>
      <c r="G26" s="201">
        <f t="shared" si="37"/>
        <v>0</v>
      </c>
      <c r="H26" s="201">
        <f t="shared" si="37"/>
        <v>0</v>
      </c>
      <c r="I26" s="201">
        <f t="shared" si="37"/>
        <v>0</v>
      </c>
      <c r="J26" s="201">
        <f t="shared" si="37"/>
        <v>0</v>
      </c>
      <c r="K26" s="201">
        <f t="shared" si="37"/>
        <v>0</v>
      </c>
      <c r="L26" s="201">
        <f t="shared" si="37"/>
        <v>0</v>
      </c>
      <c r="M26" s="201">
        <f t="shared" si="37"/>
        <v>0</v>
      </c>
      <c r="N26" s="201">
        <f t="shared" si="37"/>
        <v>0</v>
      </c>
      <c r="O26" s="201">
        <f t="shared" si="37"/>
        <v>0</v>
      </c>
      <c r="P26" s="201">
        <f t="shared" si="37"/>
        <v>0</v>
      </c>
      <c r="Q26" s="201">
        <f t="shared" si="37"/>
        <v>0</v>
      </c>
      <c r="R26" s="201">
        <f t="shared" si="37"/>
        <v>0</v>
      </c>
      <c r="S26" s="201">
        <f t="shared" si="37"/>
        <v>0</v>
      </c>
      <c r="T26" s="201">
        <f t="shared" si="37"/>
        <v>0</v>
      </c>
      <c r="V26" s="522">
        <f>'Прогноз F&amp;B'!F52</f>
        <v>0.25</v>
      </c>
      <c r="W26" s="522">
        <f>'Прогноз F&amp;B'!G52</f>
        <v>0.25</v>
      </c>
      <c r="X26" s="522">
        <f>'Прогноз F&amp;B'!H52</f>
        <v>0.25</v>
      </c>
      <c r="Y26" s="522">
        <f>'Прогноз F&amp;B'!I52</f>
        <v>0.24</v>
      </c>
      <c r="Z26" s="522">
        <f>'Прогноз F&amp;B'!J52</f>
        <v>0.24</v>
      </c>
      <c r="AA26" s="567">
        <f t="shared" si="32"/>
        <v>0.24</v>
      </c>
      <c r="AB26" s="567">
        <f t="shared" si="32"/>
        <v>0.24</v>
      </c>
      <c r="AC26" s="567">
        <f t="shared" si="32"/>
        <v>0.24</v>
      </c>
      <c r="AD26" s="567">
        <f t="shared" si="32"/>
        <v>0.24</v>
      </c>
      <c r="AE26" s="567">
        <f t="shared" si="32"/>
        <v>0.24</v>
      </c>
      <c r="AF26" s="567">
        <f t="shared" si="32"/>
        <v>0.24</v>
      </c>
      <c r="AG26" s="567">
        <f t="shared" si="32"/>
        <v>0.24</v>
      </c>
      <c r="AH26" s="567">
        <f t="shared" si="32"/>
        <v>0.24</v>
      </c>
      <c r="AI26" s="567">
        <f t="shared" si="32"/>
        <v>0.24</v>
      </c>
      <c r="AJ26" s="567">
        <f t="shared" si="32"/>
        <v>0.24</v>
      </c>
      <c r="AK26" s="567">
        <f t="shared" si="32"/>
        <v>0.24</v>
      </c>
      <c r="AL26" s="567">
        <f t="shared" si="32"/>
        <v>0.24</v>
      </c>
      <c r="AO26" s="201" t="e">
        <f t="shared" ref="AO26:BE26" si="38">D26/D$9</f>
        <v>#DIV/0!</v>
      </c>
      <c r="AP26" s="201" t="e">
        <f t="shared" si="38"/>
        <v>#DIV/0!</v>
      </c>
      <c r="AQ26" s="201" t="e">
        <f t="shared" si="38"/>
        <v>#DIV/0!</v>
      </c>
      <c r="AR26" s="201" t="e">
        <f t="shared" si="38"/>
        <v>#DIV/0!</v>
      </c>
      <c r="AS26" s="201" t="e">
        <f t="shared" si="38"/>
        <v>#DIV/0!</v>
      </c>
      <c r="AT26" s="201" t="e">
        <f t="shared" si="38"/>
        <v>#DIV/0!</v>
      </c>
      <c r="AU26" s="201" t="e">
        <f t="shared" si="38"/>
        <v>#DIV/0!</v>
      </c>
      <c r="AV26" s="201" t="e">
        <f t="shared" si="38"/>
        <v>#DIV/0!</v>
      </c>
      <c r="AW26" s="201" t="e">
        <f t="shared" si="38"/>
        <v>#DIV/0!</v>
      </c>
      <c r="AX26" s="201" t="e">
        <f t="shared" si="38"/>
        <v>#DIV/0!</v>
      </c>
      <c r="AY26" s="201" t="e">
        <f t="shared" si="38"/>
        <v>#DIV/0!</v>
      </c>
      <c r="AZ26" s="201" t="e">
        <f t="shared" si="38"/>
        <v>#DIV/0!</v>
      </c>
      <c r="BA26" s="201" t="e">
        <f t="shared" si="38"/>
        <v>#DIV/0!</v>
      </c>
      <c r="BB26" s="201" t="e">
        <f t="shared" si="38"/>
        <v>#DIV/0!</v>
      </c>
      <c r="BC26" s="201" t="e">
        <f t="shared" si="38"/>
        <v>#DIV/0!</v>
      </c>
      <c r="BD26" s="201" t="e">
        <f t="shared" si="38"/>
        <v>#DIV/0!</v>
      </c>
      <c r="BE26" s="201" t="e">
        <f t="shared" si="38"/>
        <v>#DIV/0!</v>
      </c>
    </row>
    <row r="27" spans="1:60">
      <c r="A27" s="560"/>
      <c r="B27" s="560"/>
      <c r="C27" s="519" t="s">
        <v>519</v>
      </c>
      <c r="D27" s="201">
        <f t="shared" si="37"/>
        <v>0</v>
      </c>
      <c r="E27" s="201">
        <f t="shared" si="37"/>
        <v>0</v>
      </c>
      <c r="F27" s="201">
        <f t="shared" si="37"/>
        <v>0</v>
      </c>
      <c r="G27" s="201">
        <f t="shared" si="37"/>
        <v>0</v>
      </c>
      <c r="H27" s="201">
        <f t="shared" si="37"/>
        <v>0</v>
      </c>
      <c r="I27" s="201">
        <f t="shared" si="37"/>
        <v>0</v>
      </c>
      <c r="J27" s="201">
        <f t="shared" si="37"/>
        <v>0</v>
      </c>
      <c r="K27" s="201">
        <f t="shared" si="37"/>
        <v>0</v>
      </c>
      <c r="L27" s="201">
        <f t="shared" si="37"/>
        <v>0</v>
      </c>
      <c r="M27" s="201">
        <f t="shared" si="37"/>
        <v>0</v>
      </c>
      <c r="N27" s="201">
        <f t="shared" si="37"/>
        <v>0</v>
      </c>
      <c r="O27" s="201">
        <f t="shared" si="37"/>
        <v>0</v>
      </c>
      <c r="P27" s="201">
        <f t="shared" si="37"/>
        <v>0</v>
      </c>
      <c r="Q27" s="201">
        <f t="shared" si="37"/>
        <v>0</v>
      </c>
      <c r="R27" s="201">
        <f t="shared" si="37"/>
        <v>0</v>
      </c>
      <c r="S27" s="201">
        <f t="shared" si="37"/>
        <v>0</v>
      </c>
      <c r="T27" s="201">
        <f t="shared" si="37"/>
        <v>0</v>
      </c>
      <c r="V27" s="522">
        <f>'Прогноз F&amp;B'!F60</f>
        <v>0</v>
      </c>
      <c r="W27" s="522">
        <f>'Прогноз F&amp;B'!G60</f>
        <v>0</v>
      </c>
      <c r="X27" s="522">
        <f>'Прогноз F&amp;B'!H60</f>
        <v>0</v>
      </c>
      <c r="Y27" s="522">
        <f>'Прогноз F&amp;B'!I60</f>
        <v>0</v>
      </c>
      <c r="Z27" s="522">
        <f>'Прогноз F&amp;B'!J60</f>
        <v>0</v>
      </c>
      <c r="AA27" s="567">
        <f t="shared" si="32"/>
        <v>0</v>
      </c>
      <c r="AB27" s="567">
        <f t="shared" si="32"/>
        <v>0</v>
      </c>
      <c r="AC27" s="567">
        <f t="shared" si="32"/>
        <v>0</v>
      </c>
      <c r="AD27" s="567">
        <f t="shared" si="32"/>
        <v>0</v>
      </c>
      <c r="AE27" s="567">
        <f t="shared" si="32"/>
        <v>0</v>
      </c>
      <c r="AF27" s="567">
        <f t="shared" si="32"/>
        <v>0</v>
      </c>
      <c r="AG27" s="567">
        <f t="shared" si="32"/>
        <v>0</v>
      </c>
      <c r="AH27" s="567">
        <f t="shared" si="32"/>
        <v>0</v>
      </c>
      <c r="AI27" s="567">
        <f t="shared" si="32"/>
        <v>0</v>
      </c>
      <c r="AJ27" s="567">
        <f t="shared" si="32"/>
        <v>0</v>
      </c>
      <c r="AK27" s="567">
        <f t="shared" si="32"/>
        <v>0</v>
      </c>
      <c r="AL27" s="567">
        <f t="shared" si="32"/>
        <v>0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60">
      <c r="A28" s="560"/>
      <c r="B28" s="560"/>
      <c r="C28" s="519" t="s">
        <v>520</v>
      </c>
      <c r="D28" s="201">
        <f t="shared" ref="D28:T29" si="39">V28*D22</f>
        <v>0</v>
      </c>
      <c r="E28" s="201">
        <f t="shared" si="39"/>
        <v>0</v>
      </c>
      <c r="F28" s="201">
        <f t="shared" si="39"/>
        <v>0</v>
      </c>
      <c r="G28" s="201">
        <f t="shared" si="39"/>
        <v>0</v>
      </c>
      <c r="H28" s="201">
        <f t="shared" si="39"/>
        <v>0</v>
      </c>
      <c r="I28" s="201">
        <f t="shared" si="39"/>
        <v>0</v>
      </c>
      <c r="J28" s="201">
        <f t="shared" si="39"/>
        <v>0</v>
      </c>
      <c r="K28" s="201">
        <f t="shared" si="39"/>
        <v>0</v>
      </c>
      <c r="L28" s="201">
        <f t="shared" si="39"/>
        <v>0</v>
      </c>
      <c r="M28" s="201">
        <f t="shared" si="39"/>
        <v>0</v>
      </c>
      <c r="N28" s="201">
        <f t="shared" si="39"/>
        <v>0</v>
      </c>
      <c r="O28" s="201">
        <f t="shared" si="39"/>
        <v>0</v>
      </c>
      <c r="P28" s="201">
        <f t="shared" si="39"/>
        <v>0</v>
      </c>
      <c r="Q28" s="201">
        <f t="shared" si="39"/>
        <v>0</v>
      </c>
      <c r="R28" s="201">
        <f t="shared" si="39"/>
        <v>0</v>
      </c>
      <c r="S28" s="201">
        <f t="shared" si="39"/>
        <v>0</v>
      </c>
      <c r="T28" s="201">
        <f t="shared" si="39"/>
        <v>0</v>
      </c>
      <c r="V28" s="522">
        <f>'Прогноз F&amp;B'!F67</f>
        <v>0.05</v>
      </c>
      <c r="W28" s="522">
        <f>'Прогноз F&amp;B'!G67</f>
        <v>0.05</v>
      </c>
      <c r="X28" s="522">
        <f>'Прогноз F&amp;B'!H67</f>
        <v>0.05</v>
      </c>
      <c r="Y28" s="522">
        <f>'Прогноз F&amp;B'!I67</f>
        <v>0.05</v>
      </c>
      <c r="Z28" s="522">
        <f>'Прогноз F&amp;B'!J67</f>
        <v>0.05</v>
      </c>
      <c r="AA28" s="567">
        <f t="shared" si="32"/>
        <v>0.05</v>
      </c>
      <c r="AB28" s="567">
        <f t="shared" si="32"/>
        <v>0.05</v>
      </c>
      <c r="AC28" s="567">
        <f t="shared" si="32"/>
        <v>0.05</v>
      </c>
      <c r="AD28" s="567">
        <f t="shared" si="32"/>
        <v>0.05</v>
      </c>
      <c r="AE28" s="567">
        <f t="shared" si="32"/>
        <v>0.05</v>
      </c>
      <c r="AF28" s="567">
        <f t="shared" si="32"/>
        <v>0.05</v>
      </c>
      <c r="AG28" s="567">
        <f t="shared" si="32"/>
        <v>0.05</v>
      </c>
      <c r="AH28" s="567">
        <f t="shared" si="32"/>
        <v>0.05</v>
      </c>
      <c r="AI28" s="567">
        <f t="shared" si="32"/>
        <v>0.05</v>
      </c>
      <c r="AJ28" s="567">
        <f t="shared" si="32"/>
        <v>0.05</v>
      </c>
      <c r="AK28" s="567">
        <f t="shared" si="32"/>
        <v>0.05</v>
      </c>
      <c r="AL28" s="567">
        <f t="shared" si="32"/>
        <v>0.05</v>
      </c>
      <c r="AO28" s="201" t="e">
        <f t="shared" ref="AO28:BE28" si="40">D28/D$9</f>
        <v>#DIV/0!</v>
      </c>
      <c r="AP28" s="201" t="e">
        <f t="shared" si="40"/>
        <v>#DIV/0!</v>
      </c>
      <c r="AQ28" s="201" t="e">
        <f t="shared" si="40"/>
        <v>#DIV/0!</v>
      </c>
      <c r="AR28" s="201" t="e">
        <f t="shared" si="40"/>
        <v>#DIV/0!</v>
      </c>
      <c r="AS28" s="201" t="e">
        <f t="shared" si="40"/>
        <v>#DIV/0!</v>
      </c>
      <c r="AT28" s="201" t="e">
        <f t="shared" si="40"/>
        <v>#DIV/0!</v>
      </c>
      <c r="AU28" s="201" t="e">
        <f t="shared" si="40"/>
        <v>#DIV/0!</v>
      </c>
      <c r="AV28" s="201" t="e">
        <f t="shared" si="40"/>
        <v>#DIV/0!</v>
      </c>
      <c r="AW28" s="201" t="e">
        <f t="shared" si="40"/>
        <v>#DIV/0!</v>
      </c>
      <c r="AX28" s="201" t="e">
        <f t="shared" si="40"/>
        <v>#DIV/0!</v>
      </c>
      <c r="AY28" s="201" t="e">
        <f t="shared" si="40"/>
        <v>#DIV/0!</v>
      </c>
      <c r="AZ28" s="201" t="e">
        <f t="shared" si="40"/>
        <v>#DIV/0!</v>
      </c>
      <c r="BA28" s="201" t="e">
        <f t="shared" si="40"/>
        <v>#DIV/0!</v>
      </c>
      <c r="BB28" s="201" t="e">
        <f t="shared" si="40"/>
        <v>#DIV/0!</v>
      </c>
      <c r="BC28" s="201" t="e">
        <f t="shared" si="40"/>
        <v>#DIV/0!</v>
      </c>
      <c r="BD28" s="201" t="e">
        <f t="shared" si="40"/>
        <v>#DIV/0!</v>
      </c>
      <c r="BE28" s="201" t="e">
        <f t="shared" si="40"/>
        <v>#DIV/0!</v>
      </c>
    </row>
    <row r="29" spans="1:60">
      <c r="A29" s="560"/>
      <c r="B29" s="560"/>
      <c r="C29" s="519" t="s">
        <v>521</v>
      </c>
      <c r="D29" s="201">
        <f t="shared" si="39"/>
        <v>0</v>
      </c>
      <c r="E29" s="201">
        <f t="shared" si="39"/>
        <v>0</v>
      </c>
      <c r="F29" s="201">
        <f t="shared" si="39"/>
        <v>0</v>
      </c>
      <c r="G29" s="201">
        <f t="shared" si="39"/>
        <v>0</v>
      </c>
      <c r="H29" s="201">
        <f t="shared" si="39"/>
        <v>0</v>
      </c>
      <c r="I29" s="201">
        <f t="shared" si="39"/>
        <v>0</v>
      </c>
      <c r="J29" s="201">
        <f t="shared" si="39"/>
        <v>0</v>
      </c>
      <c r="K29" s="201">
        <f t="shared" si="39"/>
        <v>0</v>
      </c>
      <c r="L29" s="201">
        <f t="shared" si="39"/>
        <v>0</v>
      </c>
      <c r="M29" s="201">
        <f t="shared" si="39"/>
        <v>0</v>
      </c>
      <c r="N29" s="201">
        <f t="shared" si="39"/>
        <v>0</v>
      </c>
      <c r="O29" s="201">
        <f t="shared" si="39"/>
        <v>0</v>
      </c>
      <c r="P29" s="201">
        <f t="shared" si="39"/>
        <v>0</v>
      </c>
      <c r="Q29" s="201">
        <f t="shared" si="39"/>
        <v>0</v>
      </c>
      <c r="R29" s="201">
        <f t="shared" si="39"/>
        <v>0</v>
      </c>
      <c r="S29" s="201">
        <f t="shared" si="39"/>
        <v>0</v>
      </c>
      <c r="T29" s="201">
        <f t="shared" si="39"/>
        <v>0</v>
      </c>
      <c r="V29" s="522">
        <f>'Прогноз F&amp;B'!F75</f>
        <v>0</v>
      </c>
      <c r="W29" s="522">
        <f>'Прогноз F&amp;B'!G75</f>
        <v>0</v>
      </c>
      <c r="X29" s="522">
        <f>'Прогноз F&amp;B'!H75</f>
        <v>0</v>
      </c>
      <c r="Y29" s="522">
        <f>'Прогноз F&amp;B'!I75</f>
        <v>0</v>
      </c>
      <c r="Z29" s="522">
        <f>'Прогноз F&amp;B'!J75</f>
        <v>0</v>
      </c>
      <c r="AA29" s="567">
        <f t="shared" si="32"/>
        <v>0</v>
      </c>
      <c r="AB29" s="567">
        <f t="shared" si="32"/>
        <v>0</v>
      </c>
      <c r="AC29" s="567">
        <f t="shared" si="32"/>
        <v>0</v>
      </c>
      <c r="AD29" s="567">
        <f t="shared" si="32"/>
        <v>0</v>
      </c>
      <c r="AE29" s="567">
        <f t="shared" si="32"/>
        <v>0</v>
      </c>
      <c r="AF29" s="567">
        <f t="shared" si="32"/>
        <v>0</v>
      </c>
      <c r="AG29" s="567">
        <f t="shared" si="32"/>
        <v>0</v>
      </c>
      <c r="AH29" s="567">
        <f t="shared" si="32"/>
        <v>0</v>
      </c>
      <c r="AI29" s="567">
        <f t="shared" si="32"/>
        <v>0</v>
      </c>
      <c r="AJ29" s="567">
        <f t="shared" si="32"/>
        <v>0</v>
      </c>
      <c r="AK29" s="567">
        <f t="shared" si="32"/>
        <v>0</v>
      </c>
      <c r="AL29" s="567">
        <f t="shared" si="32"/>
        <v>0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60">
      <c r="A30" s="560"/>
      <c r="B30" s="560"/>
      <c r="C30" s="521" t="s">
        <v>28</v>
      </c>
      <c r="D30" s="556">
        <f>SUM(D24:D28)</f>
        <v>0</v>
      </c>
      <c r="E30" s="556">
        <f t="shared" ref="E30:T30" si="41">SUM(E24:E28)</f>
        <v>0</v>
      </c>
      <c r="F30" s="556">
        <f t="shared" si="41"/>
        <v>0</v>
      </c>
      <c r="G30" s="556">
        <f t="shared" si="41"/>
        <v>0</v>
      </c>
      <c r="H30" s="556">
        <f t="shared" si="41"/>
        <v>0</v>
      </c>
      <c r="I30" s="556">
        <f t="shared" si="41"/>
        <v>0</v>
      </c>
      <c r="J30" s="556">
        <f t="shared" si="41"/>
        <v>0</v>
      </c>
      <c r="K30" s="556">
        <f t="shared" si="41"/>
        <v>0</v>
      </c>
      <c r="L30" s="556">
        <f t="shared" si="41"/>
        <v>0</v>
      </c>
      <c r="M30" s="556">
        <f t="shared" si="41"/>
        <v>0</v>
      </c>
      <c r="N30" s="556">
        <f t="shared" si="41"/>
        <v>0</v>
      </c>
      <c r="O30" s="556">
        <f t="shared" si="41"/>
        <v>0</v>
      </c>
      <c r="P30" s="556">
        <f t="shared" si="41"/>
        <v>0</v>
      </c>
      <c r="Q30" s="556">
        <f t="shared" si="41"/>
        <v>0</v>
      </c>
      <c r="R30" s="556">
        <f t="shared" si="41"/>
        <v>0</v>
      </c>
      <c r="S30" s="556">
        <f t="shared" si="41"/>
        <v>0</v>
      </c>
      <c r="T30" s="556">
        <f t="shared" si="41"/>
        <v>0</v>
      </c>
      <c r="V30" s="568" t="e">
        <f t="shared" ref="V30:AL30" si="42">D30/D21</f>
        <v>#DIV/0!</v>
      </c>
      <c r="W30" s="555" t="e">
        <f t="shared" si="42"/>
        <v>#DIV/0!</v>
      </c>
      <c r="X30" s="555" t="e">
        <f t="shared" si="42"/>
        <v>#DIV/0!</v>
      </c>
      <c r="Y30" s="555" t="e">
        <f t="shared" si="42"/>
        <v>#DIV/0!</v>
      </c>
      <c r="Z30" s="568" t="e">
        <f t="shared" si="42"/>
        <v>#DIV/0!</v>
      </c>
      <c r="AA30" s="555" t="e">
        <f t="shared" si="42"/>
        <v>#DIV/0!</v>
      </c>
      <c r="AB30" s="555" t="e">
        <f t="shared" si="42"/>
        <v>#DIV/0!</v>
      </c>
      <c r="AC30" s="555" t="e">
        <f t="shared" si="42"/>
        <v>#DIV/0!</v>
      </c>
      <c r="AD30" s="555" t="e">
        <f t="shared" si="42"/>
        <v>#DIV/0!</v>
      </c>
      <c r="AE30" s="555" t="e">
        <f t="shared" si="42"/>
        <v>#DIV/0!</v>
      </c>
      <c r="AF30" s="555" t="e">
        <f t="shared" si="42"/>
        <v>#DIV/0!</v>
      </c>
      <c r="AG30" s="555" t="e">
        <f t="shared" si="42"/>
        <v>#DIV/0!</v>
      </c>
      <c r="AH30" s="555" t="e">
        <f t="shared" si="42"/>
        <v>#DIV/0!</v>
      </c>
      <c r="AI30" s="555" t="e">
        <f t="shared" si="42"/>
        <v>#DIV/0!</v>
      </c>
      <c r="AJ30" s="555" t="e">
        <f t="shared" si="42"/>
        <v>#DIV/0!</v>
      </c>
      <c r="AK30" s="555" t="e">
        <f t="shared" si="42"/>
        <v>#DIV/0!</v>
      </c>
      <c r="AL30" s="555" t="e">
        <f t="shared" si="42"/>
        <v>#DIV/0!</v>
      </c>
      <c r="AO30" s="556" t="e">
        <f t="shared" ref="AO30:BE30" si="43">D30/D$9</f>
        <v>#DIV/0!</v>
      </c>
      <c r="AP30" s="556" t="e">
        <f t="shared" si="43"/>
        <v>#DIV/0!</v>
      </c>
      <c r="AQ30" s="556" t="e">
        <f t="shared" si="43"/>
        <v>#DIV/0!</v>
      </c>
      <c r="AR30" s="556" t="e">
        <f t="shared" si="43"/>
        <v>#DIV/0!</v>
      </c>
      <c r="AS30" s="554" t="e">
        <f t="shared" si="43"/>
        <v>#DIV/0!</v>
      </c>
      <c r="AT30" s="556" t="e">
        <f t="shared" si="43"/>
        <v>#DIV/0!</v>
      </c>
      <c r="AU30" s="556" t="e">
        <f t="shared" si="43"/>
        <v>#DIV/0!</v>
      </c>
      <c r="AV30" s="556" t="e">
        <f t="shared" si="43"/>
        <v>#DIV/0!</v>
      </c>
      <c r="AW30" s="556" t="e">
        <f t="shared" si="43"/>
        <v>#DIV/0!</v>
      </c>
      <c r="AX30" s="556" t="e">
        <f t="shared" si="43"/>
        <v>#DIV/0!</v>
      </c>
      <c r="AY30" s="556" t="e">
        <f t="shared" si="43"/>
        <v>#DIV/0!</v>
      </c>
      <c r="AZ30" s="556" t="e">
        <f t="shared" si="43"/>
        <v>#DIV/0!</v>
      </c>
      <c r="BA30" s="556" t="e">
        <f t="shared" si="43"/>
        <v>#DIV/0!</v>
      </c>
      <c r="BB30" s="556" t="e">
        <f t="shared" si="43"/>
        <v>#DIV/0!</v>
      </c>
      <c r="BC30" s="556" t="e">
        <f t="shared" si="43"/>
        <v>#DIV/0!</v>
      </c>
      <c r="BD30" s="556" t="e">
        <f t="shared" si="43"/>
        <v>#DIV/0!</v>
      </c>
      <c r="BE30" s="556" t="e">
        <f t="shared" si="43"/>
        <v>#DIV/0!</v>
      </c>
    </row>
    <row r="31" spans="1:60">
      <c r="A31" s="511"/>
      <c r="B31" s="511"/>
      <c r="C31" s="521" t="s">
        <v>18</v>
      </c>
      <c r="D31" s="554">
        <f t="shared" ref="D31:T31" si="44">D21-D30</f>
        <v>0</v>
      </c>
      <c r="E31" s="556">
        <f t="shared" si="44"/>
        <v>0</v>
      </c>
      <c r="F31" s="556">
        <f t="shared" si="44"/>
        <v>0</v>
      </c>
      <c r="G31" s="556">
        <f t="shared" si="44"/>
        <v>0</v>
      </c>
      <c r="H31" s="556">
        <f t="shared" si="44"/>
        <v>0</v>
      </c>
      <c r="I31" s="556">
        <f t="shared" si="44"/>
        <v>0</v>
      </c>
      <c r="J31" s="556">
        <f t="shared" si="44"/>
        <v>0</v>
      </c>
      <c r="K31" s="556">
        <f t="shared" si="44"/>
        <v>0</v>
      </c>
      <c r="L31" s="556">
        <f t="shared" si="44"/>
        <v>0</v>
      </c>
      <c r="M31" s="556">
        <f t="shared" si="44"/>
        <v>0</v>
      </c>
      <c r="N31" s="556">
        <f t="shared" si="44"/>
        <v>0</v>
      </c>
      <c r="O31" s="556">
        <f t="shared" si="44"/>
        <v>0</v>
      </c>
      <c r="P31" s="556">
        <f t="shared" si="44"/>
        <v>0</v>
      </c>
      <c r="Q31" s="556">
        <f t="shared" si="44"/>
        <v>0</v>
      </c>
      <c r="R31" s="556">
        <f t="shared" si="44"/>
        <v>0</v>
      </c>
      <c r="S31" s="556">
        <f t="shared" si="44"/>
        <v>0</v>
      </c>
      <c r="T31" s="556">
        <f t="shared" si="44"/>
        <v>0</v>
      </c>
      <c r="V31" s="568" t="e">
        <f t="shared" ref="V31:AL31" si="45">D31/D21</f>
        <v>#DIV/0!</v>
      </c>
      <c r="W31" s="555" t="e">
        <f t="shared" si="45"/>
        <v>#DIV/0!</v>
      </c>
      <c r="X31" s="555" t="e">
        <f t="shared" si="45"/>
        <v>#DIV/0!</v>
      </c>
      <c r="Y31" s="555" t="e">
        <f t="shared" si="45"/>
        <v>#DIV/0!</v>
      </c>
      <c r="Z31" s="555" t="e">
        <f t="shared" si="45"/>
        <v>#DIV/0!</v>
      </c>
      <c r="AA31" s="555" t="e">
        <f t="shared" si="45"/>
        <v>#DIV/0!</v>
      </c>
      <c r="AB31" s="555" t="e">
        <f t="shared" si="45"/>
        <v>#DIV/0!</v>
      </c>
      <c r="AC31" s="555" t="e">
        <f t="shared" si="45"/>
        <v>#DIV/0!</v>
      </c>
      <c r="AD31" s="555" t="e">
        <f t="shared" si="45"/>
        <v>#DIV/0!</v>
      </c>
      <c r="AE31" s="555" t="e">
        <f t="shared" si="45"/>
        <v>#DIV/0!</v>
      </c>
      <c r="AF31" s="555" t="e">
        <f t="shared" si="45"/>
        <v>#DIV/0!</v>
      </c>
      <c r="AG31" s="555" t="e">
        <f t="shared" si="45"/>
        <v>#DIV/0!</v>
      </c>
      <c r="AH31" s="555" t="e">
        <f t="shared" si="45"/>
        <v>#DIV/0!</v>
      </c>
      <c r="AI31" s="555" t="e">
        <f t="shared" si="45"/>
        <v>#DIV/0!</v>
      </c>
      <c r="AJ31" s="555" t="e">
        <f t="shared" si="45"/>
        <v>#DIV/0!</v>
      </c>
      <c r="AK31" s="555" t="e">
        <f t="shared" si="45"/>
        <v>#DIV/0!</v>
      </c>
      <c r="AL31" s="555" t="e">
        <f t="shared" si="45"/>
        <v>#DIV/0!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60" hidden="1" outlineLevel="1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 t="e">
        <f>D33/D$12</f>
        <v>#DIV/0!</v>
      </c>
      <c r="W32" s="570" t="e">
        <f t="shared" ref="W32:AL32" si="46">E33/E$12</f>
        <v>#DIV/0!</v>
      </c>
      <c r="X32" s="570" t="e">
        <f t="shared" si="46"/>
        <v>#DIV/0!</v>
      </c>
      <c r="Y32" s="570" t="e">
        <f t="shared" si="46"/>
        <v>#DIV/0!</v>
      </c>
      <c r="Z32" s="570" t="e">
        <f t="shared" si="46"/>
        <v>#DIV/0!</v>
      </c>
      <c r="AA32" s="570" t="e">
        <f t="shared" si="46"/>
        <v>#DIV/0!</v>
      </c>
      <c r="AB32" s="570" t="e">
        <f t="shared" si="46"/>
        <v>#DIV/0!</v>
      </c>
      <c r="AC32" s="570" t="e">
        <f t="shared" si="46"/>
        <v>#DIV/0!</v>
      </c>
      <c r="AD32" s="570" t="e">
        <f t="shared" si="46"/>
        <v>#DIV/0!</v>
      </c>
      <c r="AE32" s="570" t="e">
        <f t="shared" si="46"/>
        <v>#DIV/0!</v>
      </c>
      <c r="AF32" s="570" t="e">
        <f t="shared" si="46"/>
        <v>#DIV/0!</v>
      </c>
      <c r="AG32" s="570" t="e">
        <f t="shared" si="46"/>
        <v>#DIV/0!</v>
      </c>
      <c r="AH32" s="570" t="e">
        <f t="shared" si="46"/>
        <v>#DIV/0!</v>
      </c>
      <c r="AI32" s="570" t="e">
        <f t="shared" si="46"/>
        <v>#DIV/0!</v>
      </c>
      <c r="AJ32" s="570" t="e">
        <f t="shared" si="46"/>
        <v>#DIV/0!</v>
      </c>
      <c r="AK32" s="570" t="e">
        <f t="shared" si="46"/>
        <v>#DIV/0!</v>
      </c>
      <c r="AL32" s="570" t="e">
        <f t="shared" si="46"/>
        <v>#DIV/0!</v>
      </c>
      <c r="AO32" s="550"/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 hidden="1" outlineLevel="1">
      <c r="A33" s="553"/>
      <c r="B33" s="553"/>
      <c r="C33" s="521" t="s">
        <v>17</v>
      </c>
      <c r="D33" s="556">
        <f t="shared" ref="D33:T33" si="47">V33*D14</f>
        <v>0</v>
      </c>
      <c r="E33" s="556">
        <f t="shared" si="47"/>
        <v>0</v>
      </c>
      <c r="F33" s="556">
        <f t="shared" si="47"/>
        <v>0</v>
      </c>
      <c r="G33" s="556">
        <f t="shared" si="47"/>
        <v>0</v>
      </c>
      <c r="H33" s="556">
        <f t="shared" si="47"/>
        <v>0</v>
      </c>
      <c r="I33" s="556">
        <f t="shared" si="47"/>
        <v>0</v>
      </c>
      <c r="J33" s="556">
        <f t="shared" si="47"/>
        <v>0</v>
      </c>
      <c r="K33" s="556">
        <f t="shared" si="47"/>
        <v>0</v>
      </c>
      <c r="L33" s="556">
        <f t="shared" si="47"/>
        <v>0</v>
      </c>
      <c r="M33" s="556">
        <f t="shared" si="47"/>
        <v>0</v>
      </c>
      <c r="N33" s="556">
        <f t="shared" si="47"/>
        <v>0</v>
      </c>
      <c r="O33" s="556">
        <f t="shared" si="47"/>
        <v>0</v>
      </c>
      <c r="P33" s="556">
        <f t="shared" si="47"/>
        <v>0</v>
      </c>
      <c r="Q33" s="556">
        <f t="shared" si="47"/>
        <v>0</v>
      </c>
      <c r="R33" s="556">
        <f t="shared" si="47"/>
        <v>0</v>
      </c>
      <c r="S33" s="556">
        <f t="shared" si="47"/>
        <v>0</v>
      </c>
      <c r="T33" s="556">
        <f t="shared" si="47"/>
        <v>0</v>
      </c>
      <c r="V33" s="558"/>
      <c r="W33" s="558"/>
      <c r="X33" s="558"/>
      <c r="Y33" s="558"/>
      <c r="Z33" s="558"/>
      <c r="AA33" s="559">
        <f>Z33</f>
        <v>0</v>
      </c>
      <c r="AB33" s="559">
        <f t="shared" ref="AB33:AL35" si="48">AA33</f>
        <v>0</v>
      </c>
      <c r="AC33" s="559">
        <f t="shared" si="48"/>
        <v>0</v>
      </c>
      <c r="AD33" s="559">
        <f t="shared" si="48"/>
        <v>0</v>
      </c>
      <c r="AE33" s="559">
        <f t="shared" si="48"/>
        <v>0</v>
      </c>
      <c r="AF33" s="559">
        <f t="shared" si="48"/>
        <v>0</v>
      </c>
      <c r="AG33" s="559">
        <f t="shared" si="48"/>
        <v>0</v>
      </c>
      <c r="AH33" s="559">
        <f t="shared" si="48"/>
        <v>0</v>
      </c>
      <c r="AI33" s="559">
        <f t="shared" si="48"/>
        <v>0</v>
      </c>
      <c r="AJ33" s="559">
        <f t="shared" si="48"/>
        <v>0</v>
      </c>
      <c r="AK33" s="559">
        <f t="shared" si="48"/>
        <v>0</v>
      </c>
      <c r="AL33" s="559">
        <f t="shared" si="48"/>
        <v>0</v>
      </c>
      <c r="AO33" s="556" t="e">
        <f t="shared" ref="AO33:BD36" si="49">D33/D$9</f>
        <v>#DIV/0!</v>
      </c>
      <c r="AP33" s="556" t="e">
        <f t="shared" si="49"/>
        <v>#DIV/0!</v>
      </c>
      <c r="AQ33" s="556" t="e">
        <f t="shared" si="49"/>
        <v>#DIV/0!</v>
      </c>
      <c r="AR33" s="556" t="e">
        <f t="shared" si="49"/>
        <v>#DIV/0!</v>
      </c>
      <c r="AS33" s="556" t="e">
        <f t="shared" si="49"/>
        <v>#DIV/0!</v>
      </c>
      <c r="AT33" s="556" t="e">
        <f t="shared" si="49"/>
        <v>#DIV/0!</v>
      </c>
      <c r="AU33" s="556" t="e">
        <f t="shared" si="49"/>
        <v>#DIV/0!</v>
      </c>
      <c r="AV33" s="556" t="e">
        <f t="shared" si="49"/>
        <v>#DIV/0!</v>
      </c>
      <c r="AW33" s="556" t="e">
        <f t="shared" si="49"/>
        <v>#DIV/0!</v>
      </c>
      <c r="AX33" s="556" t="e">
        <f t="shared" si="49"/>
        <v>#DIV/0!</v>
      </c>
      <c r="AY33" s="556" t="e">
        <f t="shared" si="49"/>
        <v>#DIV/0!</v>
      </c>
      <c r="AZ33" s="556" t="e">
        <f t="shared" si="49"/>
        <v>#DIV/0!</v>
      </c>
      <c r="BA33" s="556" t="e">
        <f t="shared" si="49"/>
        <v>#DIV/0!</v>
      </c>
      <c r="BB33" s="556" t="e">
        <f t="shared" si="49"/>
        <v>#DIV/0!</v>
      </c>
      <c r="BC33" s="556" t="e">
        <f t="shared" si="49"/>
        <v>#DIV/0!</v>
      </c>
      <c r="BD33" s="556" t="e">
        <f t="shared" si="49"/>
        <v>#DIV/0!</v>
      </c>
      <c r="BE33" s="556" t="e">
        <f t="shared" ref="AY33:BE36" si="50">T33/T$9</f>
        <v>#DIV/0!</v>
      </c>
    </row>
    <row r="34" spans="1:57" hidden="1" outlineLevel="1">
      <c r="A34" s="511"/>
      <c r="B34" s="511"/>
      <c r="C34" s="519" t="s">
        <v>25</v>
      </c>
      <c r="D34" s="201">
        <f t="shared" ref="D34:T34" si="51">V34*D33</f>
        <v>0</v>
      </c>
      <c r="E34" s="201">
        <f t="shared" si="51"/>
        <v>0</v>
      </c>
      <c r="F34" s="201">
        <f t="shared" si="51"/>
        <v>0</v>
      </c>
      <c r="G34" s="201">
        <f t="shared" si="51"/>
        <v>0</v>
      </c>
      <c r="H34" s="201">
        <f t="shared" si="51"/>
        <v>0</v>
      </c>
      <c r="I34" s="201">
        <f t="shared" si="51"/>
        <v>0</v>
      </c>
      <c r="J34" s="201">
        <f t="shared" si="51"/>
        <v>0</v>
      </c>
      <c r="K34" s="201">
        <f t="shared" si="51"/>
        <v>0</v>
      </c>
      <c r="L34" s="201">
        <f t="shared" si="51"/>
        <v>0</v>
      </c>
      <c r="M34" s="201">
        <f t="shared" si="51"/>
        <v>0</v>
      </c>
      <c r="N34" s="201">
        <f t="shared" si="51"/>
        <v>0</v>
      </c>
      <c r="O34" s="201">
        <f t="shared" si="51"/>
        <v>0</v>
      </c>
      <c r="P34" s="201">
        <f t="shared" si="51"/>
        <v>0</v>
      </c>
      <c r="Q34" s="201">
        <f t="shared" si="51"/>
        <v>0</v>
      </c>
      <c r="R34" s="201">
        <f t="shared" si="51"/>
        <v>0</v>
      </c>
      <c r="S34" s="201">
        <f t="shared" si="51"/>
        <v>0</v>
      </c>
      <c r="T34" s="201">
        <f t="shared" si="51"/>
        <v>0</v>
      </c>
      <c r="V34" s="522"/>
      <c r="W34" s="522"/>
      <c r="X34" s="522"/>
      <c r="Y34" s="522"/>
      <c r="Z34" s="522"/>
      <c r="AA34" s="522">
        <f>Z34</f>
        <v>0</v>
      </c>
      <c r="AB34" s="522">
        <f t="shared" si="48"/>
        <v>0</v>
      </c>
      <c r="AC34" s="522">
        <f t="shared" si="48"/>
        <v>0</v>
      </c>
      <c r="AD34" s="522">
        <f t="shared" si="48"/>
        <v>0</v>
      </c>
      <c r="AE34" s="522">
        <f t="shared" si="48"/>
        <v>0</v>
      </c>
      <c r="AF34" s="522">
        <f t="shared" si="48"/>
        <v>0</v>
      </c>
      <c r="AG34" s="522">
        <f t="shared" si="48"/>
        <v>0</v>
      </c>
      <c r="AH34" s="522">
        <f t="shared" si="48"/>
        <v>0</v>
      </c>
      <c r="AI34" s="522">
        <f t="shared" si="48"/>
        <v>0</v>
      </c>
      <c r="AJ34" s="522">
        <f t="shared" si="48"/>
        <v>0</v>
      </c>
      <c r="AK34" s="522">
        <f t="shared" si="48"/>
        <v>0</v>
      </c>
      <c r="AL34" s="522">
        <f t="shared" si="48"/>
        <v>0</v>
      </c>
      <c r="AO34" s="201" t="e">
        <f t="shared" si="49"/>
        <v>#DIV/0!</v>
      </c>
      <c r="AP34" s="201" t="e">
        <f t="shared" si="49"/>
        <v>#DIV/0!</v>
      </c>
      <c r="AQ34" s="201" t="e">
        <f t="shared" si="49"/>
        <v>#DIV/0!</v>
      </c>
      <c r="AR34" s="201" t="e">
        <f t="shared" si="49"/>
        <v>#DIV/0!</v>
      </c>
      <c r="AS34" s="201" t="e">
        <f t="shared" si="49"/>
        <v>#DIV/0!</v>
      </c>
      <c r="AT34" s="201" t="e">
        <f t="shared" si="49"/>
        <v>#DIV/0!</v>
      </c>
      <c r="AU34" s="201" t="e">
        <f t="shared" si="49"/>
        <v>#DIV/0!</v>
      </c>
      <c r="AV34" s="201" t="e">
        <f t="shared" si="49"/>
        <v>#DIV/0!</v>
      </c>
      <c r="AW34" s="201" t="e">
        <f t="shared" si="49"/>
        <v>#DIV/0!</v>
      </c>
      <c r="AX34" s="201" t="e">
        <f t="shared" si="49"/>
        <v>#DIV/0!</v>
      </c>
      <c r="AY34" s="201" t="e">
        <f t="shared" si="50"/>
        <v>#DIV/0!</v>
      </c>
      <c r="AZ34" s="201" t="e">
        <f t="shared" si="50"/>
        <v>#DIV/0!</v>
      </c>
      <c r="BA34" s="201" t="e">
        <f t="shared" si="50"/>
        <v>#DIV/0!</v>
      </c>
      <c r="BB34" s="201" t="e">
        <f t="shared" si="50"/>
        <v>#DIV/0!</v>
      </c>
      <c r="BC34" s="201" t="e">
        <f t="shared" si="50"/>
        <v>#DIV/0!</v>
      </c>
      <c r="BD34" s="201" t="e">
        <f t="shared" si="50"/>
        <v>#DIV/0!</v>
      </c>
      <c r="BE34" s="201" t="e">
        <f t="shared" si="50"/>
        <v>#DIV/0!</v>
      </c>
    </row>
    <row r="35" spans="1:57" hidden="1" outlineLevel="1">
      <c r="A35" s="511"/>
      <c r="B35" s="511"/>
      <c r="C35" s="519" t="s">
        <v>26</v>
      </c>
      <c r="D35" s="201">
        <f t="shared" ref="D35:T35" si="52">V35*D33</f>
        <v>0</v>
      </c>
      <c r="E35" s="201">
        <f t="shared" si="52"/>
        <v>0</v>
      </c>
      <c r="F35" s="201">
        <f t="shared" si="52"/>
        <v>0</v>
      </c>
      <c r="G35" s="201">
        <f t="shared" si="52"/>
        <v>0</v>
      </c>
      <c r="H35" s="201">
        <f t="shared" si="52"/>
        <v>0</v>
      </c>
      <c r="I35" s="201">
        <f t="shared" si="52"/>
        <v>0</v>
      </c>
      <c r="J35" s="201">
        <f t="shared" si="52"/>
        <v>0</v>
      </c>
      <c r="K35" s="201">
        <f t="shared" si="52"/>
        <v>0</v>
      </c>
      <c r="L35" s="201">
        <f t="shared" si="52"/>
        <v>0</v>
      </c>
      <c r="M35" s="201">
        <f t="shared" si="52"/>
        <v>0</v>
      </c>
      <c r="N35" s="201">
        <f t="shared" si="52"/>
        <v>0</v>
      </c>
      <c r="O35" s="201">
        <f t="shared" si="52"/>
        <v>0</v>
      </c>
      <c r="P35" s="201">
        <f t="shared" si="52"/>
        <v>0</v>
      </c>
      <c r="Q35" s="201">
        <f t="shared" si="52"/>
        <v>0</v>
      </c>
      <c r="R35" s="201">
        <f t="shared" si="52"/>
        <v>0</v>
      </c>
      <c r="S35" s="201">
        <f t="shared" si="52"/>
        <v>0</v>
      </c>
      <c r="T35" s="201">
        <f t="shared" si="52"/>
        <v>0</v>
      </c>
      <c r="V35" s="522"/>
      <c r="W35" s="522"/>
      <c r="X35" s="522"/>
      <c r="Y35" s="522"/>
      <c r="Z35" s="522"/>
      <c r="AA35" s="522">
        <f>Z35</f>
        <v>0</v>
      </c>
      <c r="AB35" s="522">
        <f t="shared" si="48"/>
        <v>0</v>
      </c>
      <c r="AC35" s="522">
        <f t="shared" si="48"/>
        <v>0</v>
      </c>
      <c r="AD35" s="522">
        <f t="shared" si="48"/>
        <v>0</v>
      </c>
      <c r="AE35" s="522">
        <f t="shared" si="48"/>
        <v>0</v>
      </c>
      <c r="AF35" s="522">
        <f t="shared" si="48"/>
        <v>0</v>
      </c>
      <c r="AG35" s="522">
        <f t="shared" si="48"/>
        <v>0</v>
      </c>
      <c r="AH35" s="522">
        <f t="shared" si="48"/>
        <v>0</v>
      </c>
      <c r="AI35" s="522">
        <f t="shared" si="48"/>
        <v>0</v>
      </c>
      <c r="AJ35" s="522">
        <f t="shared" si="48"/>
        <v>0</v>
      </c>
      <c r="AK35" s="522">
        <f t="shared" si="48"/>
        <v>0</v>
      </c>
      <c r="AL35" s="522">
        <f t="shared" si="48"/>
        <v>0</v>
      </c>
      <c r="AO35" s="201" t="e">
        <f t="shared" si="49"/>
        <v>#DIV/0!</v>
      </c>
      <c r="AP35" s="201" t="e">
        <f t="shared" si="49"/>
        <v>#DIV/0!</v>
      </c>
      <c r="AQ35" s="201" t="e">
        <f t="shared" si="49"/>
        <v>#DIV/0!</v>
      </c>
      <c r="AR35" s="201" t="e">
        <f t="shared" si="49"/>
        <v>#DIV/0!</v>
      </c>
      <c r="AS35" s="201" t="e">
        <f t="shared" si="49"/>
        <v>#DIV/0!</v>
      </c>
      <c r="AT35" s="201" t="e">
        <f t="shared" si="49"/>
        <v>#DIV/0!</v>
      </c>
      <c r="AU35" s="201" t="e">
        <f t="shared" si="49"/>
        <v>#DIV/0!</v>
      </c>
      <c r="AV35" s="201" t="e">
        <f t="shared" si="49"/>
        <v>#DIV/0!</v>
      </c>
      <c r="AW35" s="201" t="e">
        <f t="shared" si="49"/>
        <v>#DIV/0!</v>
      </c>
      <c r="AX35" s="201" t="e">
        <f t="shared" si="49"/>
        <v>#DIV/0!</v>
      </c>
      <c r="AY35" s="201" t="e">
        <f t="shared" si="50"/>
        <v>#DIV/0!</v>
      </c>
      <c r="AZ35" s="201" t="e">
        <f t="shared" si="50"/>
        <v>#DIV/0!</v>
      </c>
      <c r="BA35" s="201" t="e">
        <f t="shared" si="50"/>
        <v>#DIV/0!</v>
      </c>
      <c r="BB35" s="201" t="e">
        <f t="shared" si="50"/>
        <v>#DIV/0!</v>
      </c>
      <c r="BC35" s="201" t="e">
        <f t="shared" si="50"/>
        <v>#DIV/0!</v>
      </c>
      <c r="BD35" s="201" t="e">
        <f t="shared" si="50"/>
        <v>#DIV/0!</v>
      </c>
      <c r="BE35" s="201" t="e">
        <f t="shared" si="50"/>
        <v>#DIV/0!</v>
      </c>
    </row>
    <row r="36" spans="1:57" hidden="1" outlineLevel="1">
      <c r="A36" s="511"/>
      <c r="B36" s="511"/>
      <c r="C36" s="521" t="s">
        <v>28</v>
      </c>
      <c r="D36" s="556">
        <f>D34+D35</f>
        <v>0</v>
      </c>
      <c r="E36" s="556">
        <f t="shared" ref="E36:T36" si="53">E34+E35</f>
        <v>0</v>
      </c>
      <c r="F36" s="556">
        <f t="shared" si="53"/>
        <v>0</v>
      </c>
      <c r="G36" s="556">
        <f t="shared" si="53"/>
        <v>0</v>
      </c>
      <c r="H36" s="556">
        <f t="shared" si="53"/>
        <v>0</v>
      </c>
      <c r="I36" s="556">
        <f t="shared" si="53"/>
        <v>0</v>
      </c>
      <c r="J36" s="556">
        <f t="shared" si="53"/>
        <v>0</v>
      </c>
      <c r="K36" s="556">
        <f t="shared" si="53"/>
        <v>0</v>
      </c>
      <c r="L36" s="556">
        <f t="shared" si="53"/>
        <v>0</v>
      </c>
      <c r="M36" s="556">
        <f t="shared" si="53"/>
        <v>0</v>
      </c>
      <c r="N36" s="556">
        <f t="shared" si="53"/>
        <v>0</v>
      </c>
      <c r="O36" s="556">
        <f t="shared" si="53"/>
        <v>0</v>
      </c>
      <c r="P36" s="556">
        <f t="shared" si="53"/>
        <v>0</v>
      </c>
      <c r="Q36" s="556">
        <f t="shared" si="53"/>
        <v>0</v>
      </c>
      <c r="R36" s="556">
        <f t="shared" si="53"/>
        <v>0</v>
      </c>
      <c r="S36" s="556">
        <f t="shared" si="53"/>
        <v>0</v>
      </c>
      <c r="T36" s="556">
        <f t="shared" si="53"/>
        <v>0</v>
      </c>
      <c r="V36" s="559" t="e">
        <f t="shared" ref="V36:AL36" si="54">D36/D33</f>
        <v>#DIV/0!</v>
      </c>
      <c r="W36" s="559" t="e">
        <f t="shared" si="54"/>
        <v>#DIV/0!</v>
      </c>
      <c r="X36" s="559" t="e">
        <f t="shared" si="54"/>
        <v>#DIV/0!</v>
      </c>
      <c r="Y36" s="559" t="e">
        <f t="shared" si="54"/>
        <v>#DIV/0!</v>
      </c>
      <c r="Z36" s="559" t="e">
        <f t="shared" si="54"/>
        <v>#DIV/0!</v>
      </c>
      <c r="AA36" s="559" t="e">
        <f t="shared" si="54"/>
        <v>#DIV/0!</v>
      </c>
      <c r="AB36" s="559" t="e">
        <f t="shared" si="54"/>
        <v>#DIV/0!</v>
      </c>
      <c r="AC36" s="559" t="e">
        <f t="shared" si="54"/>
        <v>#DIV/0!</v>
      </c>
      <c r="AD36" s="559" t="e">
        <f t="shared" si="54"/>
        <v>#DIV/0!</v>
      </c>
      <c r="AE36" s="559" t="e">
        <f t="shared" si="54"/>
        <v>#DIV/0!</v>
      </c>
      <c r="AF36" s="559" t="e">
        <f t="shared" si="54"/>
        <v>#DIV/0!</v>
      </c>
      <c r="AG36" s="559" t="e">
        <f t="shared" si="54"/>
        <v>#DIV/0!</v>
      </c>
      <c r="AH36" s="559" t="e">
        <f t="shared" si="54"/>
        <v>#DIV/0!</v>
      </c>
      <c r="AI36" s="559" t="e">
        <f t="shared" si="54"/>
        <v>#DIV/0!</v>
      </c>
      <c r="AJ36" s="559" t="e">
        <f t="shared" si="54"/>
        <v>#DIV/0!</v>
      </c>
      <c r="AK36" s="559" t="e">
        <f t="shared" si="54"/>
        <v>#DIV/0!</v>
      </c>
      <c r="AL36" s="559" t="e">
        <f t="shared" si="54"/>
        <v>#DIV/0!</v>
      </c>
      <c r="AO36" s="556" t="e">
        <f t="shared" si="49"/>
        <v>#DIV/0!</v>
      </c>
      <c r="AP36" s="556" t="e">
        <f t="shared" si="49"/>
        <v>#DIV/0!</v>
      </c>
      <c r="AQ36" s="556" t="e">
        <f t="shared" si="49"/>
        <v>#DIV/0!</v>
      </c>
      <c r="AR36" s="556" t="e">
        <f t="shared" si="49"/>
        <v>#DIV/0!</v>
      </c>
      <c r="AS36" s="556" t="e">
        <f t="shared" si="49"/>
        <v>#DIV/0!</v>
      </c>
      <c r="AT36" s="556" t="e">
        <f t="shared" si="49"/>
        <v>#DIV/0!</v>
      </c>
      <c r="AU36" s="556" t="e">
        <f t="shared" si="49"/>
        <v>#DIV/0!</v>
      </c>
      <c r="AV36" s="556" t="e">
        <f t="shared" si="49"/>
        <v>#DIV/0!</v>
      </c>
      <c r="AW36" s="556" t="e">
        <f t="shared" si="49"/>
        <v>#DIV/0!</v>
      </c>
      <c r="AX36" s="556" t="e">
        <f t="shared" si="49"/>
        <v>#DIV/0!</v>
      </c>
      <c r="AY36" s="556" t="e">
        <f t="shared" si="50"/>
        <v>#DIV/0!</v>
      </c>
      <c r="AZ36" s="556" t="e">
        <f t="shared" si="50"/>
        <v>#DIV/0!</v>
      </c>
      <c r="BA36" s="556" t="e">
        <f t="shared" si="50"/>
        <v>#DIV/0!</v>
      </c>
      <c r="BB36" s="556" t="e">
        <f t="shared" si="50"/>
        <v>#DIV/0!</v>
      </c>
      <c r="BC36" s="556" t="e">
        <f t="shared" si="50"/>
        <v>#DIV/0!</v>
      </c>
      <c r="BD36" s="556" t="e">
        <f t="shared" si="50"/>
        <v>#DIV/0!</v>
      </c>
      <c r="BE36" s="556" t="e">
        <f t="shared" si="50"/>
        <v>#DIV/0!</v>
      </c>
    </row>
    <row r="37" spans="1:57" hidden="1" outlineLevel="1">
      <c r="A37" s="511"/>
      <c r="B37" s="511"/>
      <c r="C37" s="521" t="s">
        <v>18</v>
      </c>
      <c r="D37" s="556">
        <f>D33-D36</f>
        <v>0</v>
      </c>
      <c r="E37" s="556">
        <f t="shared" ref="E37:T37" si="55">E33-E36</f>
        <v>0</v>
      </c>
      <c r="F37" s="556">
        <f t="shared" si="55"/>
        <v>0</v>
      </c>
      <c r="G37" s="556">
        <f t="shared" si="55"/>
        <v>0</v>
      </c>
      <c r="H37" s="556">
        <f t="shared" si="55"/>
        <v>0</v>
      </c>
      <c r="I37" s="556">
        <f t="shared" si="55"/>
        <v>0</v>
      </c>
      <c r="J37" s="556">
        <f t="shared" si="55"/>
        <v>0</v>
      </c>
      <c r="K37" s="556">
        <f t="shared" si="55"/>
        <v>0</v>
      </c>
      <c r="L37" s="556">
        <f t="shared" si="55"/>
        <v>0</v>
      </c>
      <c r="M37" s="556">
        <f t="shared" si="55"/>
        <v>0</v>
      </c>
      <c r="N37" s="556">
        <f t="shared" si="55"/>
        <v>0</v>
      </c>
      <c r="O37" s="556">
        <f t="shared" si="55"/>
        <v>0</v>
      </c>
      <c r="P37" s="556">
        <f t="shared" si="55"/>
        <v>0</v>
      </c>
      <c r="Q37" s="556">
        <f t="shared" si="55"/>
        <v>0</v>
      </c>
      <c r="R37" s="556">
        <f t="shared" si="55"/>
        <v>0</v>
      </c>
      <c r="S37" s="556">
        <f t="shared" si="55"/>
        <v>0</v>
      </c>
      <c r="T37" s="556">
        <f t="shared" si="55"/>
        <v>0</v>
      </c>
      <c r="V37" s="559" t="e">
        <f t="shared" ref="V37:AL37" si="56">D37/D33</f>
        <v>#DIV/0!</v>
      </c>
      <c r="W37" s="559" t="e">
        <f t="shared" si="56"/>
        <v>#DIV/0!</v>
      </c>
      <c r="X37" s="559" t="e">
        <f t="shared" si="56"/>
        <v>#DIV/0!</v>
      </c>
      <c r="Y37" s="559" t="e">
        <f t="shared" si="56"/>
        <v>#DIV/0!</v>
      </c>
      <c r="Z37" s="559" t="e">
        <f t="shared" si="56"/>
        <v>#DIV/0!</v>
      </c>
      <c r="AA37" s="559" t="e">
        <f t="shared" si="56"/>
        <v>#DIV/0!</v>
      </c>
      <c r="AB37" s="559" t="e">
        <f t="shared" si="56"/>
        <v>#DIV/0!</v>
      </c>
      <c r="AC37" s="559" t="e">
        <f t="shared" si="56"/>
        <v>#DIV/0!</v>
      </c>
      <c r="AD37" s="559" t="e">
        <f t="shared" si="56"/>
        <v>#DIV/0!</v>
      </c>
      <c r="AE37" s="559" t="e">
        <f t="shared" si="56"/>
        <v>#DIV/0!</v>
      </c>
      <c r="AF37" s="559" t="e">
        <f t="shared" si="56"/>
        <v>#DIV/0!</v>
      </c>
      <c r="AG37" s="559" t="e">
        <f t="shared" si="56"/>
        <v>#DIV/0!</v>
      </c>
      <c r="AH37" s="559" t="e">
        <f t="shared" si="56"/>
        <v>#DIV/0!</v>
      </c>
      <c r="AI37" s="559" t="e">
        <f t="shared" si="56"/>
        <v>#DIV/0!</v>
      </c>
      <c r="AJ37" s="559" t="e">
        <f t="shared" si="56"/>
        <v>#DIV/0!</v>
      </c>
      <c r="AK37" s="559" t="e">
        <f t="shared" si="56"/>
        <v>#DIV/0!</v>
      </c>
      <c r="AL37" s="559" t="e">
        <f t="shared" si="56"/>
        <v>#DIV/0!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 t="e">
        <f>D39/D$12</f>
        <v>#DIV/0!</v>
      </c>
      <c r="W38" s="570" t="e">
        <f t="shared" ref="W38:AL38" si="57">E39/E$12</f>
        <v>#DIV/0!</v>
      </c>
      <c r="X38" s="570" t="e">
        <f t="shared" si="57"/>
        <v>#DIV/0!</v>
      </c>
      <c r="Y38" s="570" t="e">
        <f t="shared" si="57"/>
        <v>#DIV/0!</v>
      </c>
      <c r="Z38" s="570" t="e">
        <f t="shared" si="57"/>
        <v>#DIV/0!</v>
      </c>
      <c r="AA38" s="570" t="e">
        <f t="shared" si="57"/>
        <v>#DIV/0!</v>
      </c>
      <c r="AB38" s="570" t="e">
        <f t="shared" si="57"/>
        <v>#DIV/0!</v>
      </c>
      <c r="AC38" s="570" t="e">
        <f t="shared" si="57"/>
        <v>#DIV/0!</v>
      </c>
      <c r="AD38" s="570" t="e">
        <f t="shared" si="57"/>
        <v>#DIV/0!</v>
      </c>
      <c r="AE38" s="570" t="e">
        <f t="shared" si="57"/>
        <v>#DIV/0!</v>
      </c>
      <c r="AF38" s="570" t="e">
        <f t="shared" si="57"/>
        <v>#DIV/0!</v>
      </c>
      <c r="AG38" s="570" t="e">
        <f t="shared" si="57"/>
        <v>#DIV/0!</v>
      </c>
      <c r="AH38" s="570" t="e">
        <f t="shared" si="57"/>
        <v>#DIV/0!</v>
      </c>
      <c r="AI38" s="570" t="e">
        <f t="shared" si="57"/>
        <v>#DIV/0!</v>
      </c>
      <c r="AJ38" s="570" t="e">
        <f t="shared" si="57"/>
        <v>#DIV/0!</v>
      </c>
      <c r="AK38" s="570" t="e">
        <f t="shared" si="57"/>
        <v>#DIV/0!</v>
      </c>
      <c r="AL38" s="570" t="e">
        <f t="shared" si="57"/>
        <v>#DIV/0!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58">V39*D14</f>
        <v>0</v>
      </c>
      <c r="E39" s="556">
        <f t="shared" si="58"/>
        <v>0</v>
      </c>
      <c r="F39" s="556">
        <f t="shared" si="58"/>
        <v>0</v>
      </c>
      <c r="G39" s="556">
        <f t="shared" si="58"/>
        <v>0</v>
      </c>
      <c r="H39" s="556">
        <f t="shared" si="58"/>
        <v>0</v>
      </c>
      <c r="I39" s="556">
        <f t="shared" si="58"/>
        <v>0</v>
      </c>
      <c r="J39" s="556">
        <f t="shared" si="58"/>
        <v>0</v>
      </c>
      <c r="K39" s="556">
        <f t="shared" si="58"/>
        <v>0</v>
      </c>
      <c r="L39" s="556">
        <f t="shared" si="58"/>
        <v>0</v>
      </c>
      <c r="M39" s="556">
        <f t="shared" si="58"/>
        <v>0</v>
      </c>
      <c r="N39" s="556">
        <f t="shared" si="58"/>
        <v>0</v>
      </c>
      <c r="O39" s="556">
        <f t="shared" si="58"/>
        <v>0</v>
      </c>
      <c r="P39" s="556">
        <f t="shared" si="58"/>
        <v>0</v>
      </c>
      <c r="Q39" s="556">
        <f t="shared" si="58"/>
        <v>0</v>
      </c>
      <c r="R39" s="556">
        <f t="shared" si="58"/>
        <v>0</v>
      </c>
      <c r="S39" s="556">
        <f t="shared" si="58"/>
        <v>0</v>
      </c>
      <c r="T39" s="556">
        <f t="shared" si="58"/>
        <v>0</v>
      </c>
      <c r="V39" s="558">
        <f>'Прогноз прочих'!F32</f>
        <v>4.4999999999999998E-2</v>
      </c>
      <c r="W39" s="558">
        <f>'Прогноз прочих'!G32</f>
        <v>3.5000000000000003E-2</v>
      </c>
      <c r="X39" s="558">
        <f>'Прогноз прочих'!H32</f>
        <v>3.5000000000000003E-2</v>
      </c>
      <c r="Y39" s="558">
        <f>'Прогноз прочих'!I32</f>
        <v>0.03</v>
      </c>
      <c r="Z39" s="558">
        <f>'Прогноз прочих'!J32</f>
        <v>0.03</v>
      </c>
      <c r="AA39" s="559">
        <f>Z39</f>
        <v>0.03</v>
      </c>
      <c r="AB39" s="559">
        <f t="shared" ref="AB39:AL41" si="59">AA39</f>
        <v>0.03</v>
      </c>
      <c r="AC39" s="559">
        <f t="shared" si="59"/>
        <v>0.03</v>
      </c>
      <c r="AD39" s="559">
        <f t="shared" si="59"/>
        <v>0.03</v>
      </c>
      <c r="AE39" s="559">
        <f t="shared" si="59"/>
        <v>0.03</v>
      </c>
      <c r="AF39" s="559">
        <f t="shared" si="59"/>
        <v>0.03</v>
      </c>
      <c r="AG39" s="559">
        <f t="shared" si="59"/>
        <v>0.03</v>
      </c>
      <c r="AH39" s="559">
        <f t="shared" si="59"/>
        <v>0.03</v>
      </c>
      <c r="AI39" s="559">
        <f t="shared" si="59"/>
        <v>0.03</v>
      </c>
      <c r="AJ39" s="559">
        <f t="shared" si="59"/>
        <v>0.03</v>
      </c>
      <c r="AK39" s="559">
        <f t="shared" si="59"/>
        <v>0.03</v>
      </c>
      <c r="AL39" s="559">
        <f t="shared" si="59"/>
        <v>0.03</v>
      </c>
      <c r="AO39" s="556" t="e">
        <f t="shared" ref="AO39:BE39" si="60">D39/D9</f>
        <v>#DIV/0!</v>
      </c>
      <c r="AP39" s="556" t="e">
        <f t="shared" si="60"/>
        <v>#DIV/0!</v>
      </c>
      <c r="AQ39" s="556" t="e">
        <f t="shared" si="60"/>
        <v>#DIV/0!</v>
      </c>
      <c r="AR39" s="556" t="e">
        <f t="shared" si="60"/>
        <v>#DIV/0!</v>
      </c>
      <c r="AS39" s="556" t="e">
        <f t="shared" si="60"/>
        <v>#DIV/0!</v>
      </c>
      <c r="AT39" s="556" t="e">
        <f t="shared" si="60"/>
        <v>#DIV/0!</v>
      </c>
      <c r="AU39" s="556" t="e">
        <f t="shared" si="60"/>
        <v>#DIV/0!</v>
      </c>
      <c r="AV39" s="556" t="e">
        <f t="shared" si="60"/>
        <v>#DIV/0!</v>
      </c>
      <c r="AW39" s="556" t="e">
        <f t="shared" si="60"/>
        <v>#DIV/0!</v>
      </c>
      <c r="AX39" s="556" t="e">
        <f t="shared" si="60"/>
        <v>#DIV/0!</v>
      </c>
      <c r="AY39" s="556" t="e">
        <f t="shared" si="60"/>
        <v>#DIV/0!</v>
      </c>
      <c r="AZ39" s="556" t="e">
        <f t="shared" si="60"/>
        <v>#DIV/0!</v>
      </c>
      <c r="BA39" s="556" t="e">
        <f t="shared" si="60"/>
        <v>#DIV/0!</v>
      </c>
      <c r="BB39" s="556" t="e">
        <f t="shared" si="60"/>
        <v>#DIV/0!</v>
      </c>
      <c r="BC39" s="556" t="e">
        <f t="shared" si="60"/>
        <v>#DIV/0!</v>
      </c>
      <c r="BD39" s="556" t="e">
        <f t="shared" si="60"/>
        <v>#DIV/0!</v>
      </c>
      <c r="BE39" s="556" t="e">
        <f t="shared" si="60"/>
        <v>#DIV/0!</v>
      </c>
    </row>
    <row r="40" spans="1:57">
      <c r="A40" s="511"/>
      <c r="B40" s="511"/>
      <c r="C40" s="519" t="s">
        <v>25</v>
      </c>
      <c r="D40" s="201">
        <f t="shared" ref="D40:T40" si="61">V40*D39</f>
        <v>0</v>
      </c>
      <c r="E40" s="201">
        <f t="shared" si="61"/>
        <v>0</v>
      </c>
      <c r="F40" s="201">
        <f t="shared" si="61"/>
        <v>0</v>
      </c>
      <c r="G40" s="201">
        <f t="shared" si="61"/>
        <v>0</v>
      </c>
      <c r="H40" s="201">
        <f t="shared" si="61"/>
        <v>0</v>
      </c>
      <c r="I40" s="201">
        <f t="shared" si="61"/>
        <v>0</v>
      </c>
      <c r="J40" s="201">
        <f t="shared" si="61"/>
        <v>0</v>
      </c>
      <c r="K40" s="201">
        <f t="shared" si="61"/>
        <v>0</v>
      </c>
      <c r="L40" s="201">
        <f t="shared" si="61"/>
        <v>0</v>
      </c>
      <c r="M40" s="201">
        <f t="shared" si="61"/>
        <v>0</v>
      </c>
      <c r="N40" s="201">
        <f t="shared" si="61"/>
        <v>0</v>
      </c>
      <c r="O40" s="201">
        <f t="shared" si="61"/>
        <v>0</v>
      </c>
      <c r="P40" s="201">
        <f t="shared" si="61"/>
        <v>0</v>
      </c>
      <c r="Q40" s="201">
        <f t="shared" si="61"/>
        <v>0</v>
      </c>
      <c r="R40" s="201">
        <f t="shared" si="61"/>
        <v>0</v>
      </c>
      <c r="S40" s="201">
        <f t="shared" si="61"/>
        <v>0</v>
      </c>
      <c r="T40" s="201">
        <f t="shared" si="61"/>
        <v>0</v>
      </c>
      <c r="V40" s="522">
        <f>'Прогноз прочих'!F40</f>
        <v>0.09</v>
      </c>
      <c r="W40" s="522">
        <f>'Прогноз прочих'!G40</f>
        <v>7.0000000000000007E-2</v>
      </c>
      <c r="X40" s="522">
        <f>'Прогноз прочих'!H40</f>
        <v>0.06</v>
      </c>
      <c r="Y40" s="522">
        <f>'Прогноз прочих'!I40</f>
        <v>0.06</v>
      </c>
      <c r="Z40" s="522">
        <f>'Прогноз прочих'!J40</f>
        <v>0.06</v>
      </c>
      <c r="AA40" s="522">
        <f>Z40</f>
        <v>0.06</v>
      </c>
      <c r="AB40" s="522">
        <f t="shared" si="59"/>
        <v>0.06</v>
      </c>
      <c r="AC40" s="522">
        <f t="shared" si="59"/>
        <v>0.06</v>
      </c>
      <c r="AD40" s="522">
        <f t="shared" si="59"/>
        <v>0.06</v>
      </c>
      <c r="AE40" s="522">
        <f t="shared" si="59"/>
        <v>0.06</v>
      </c>
      <c r="AF40" s="522">
        <f t="shared" si="59"/>
        <v>0.06</v>
      </c>
      <c r="AG40" s="522">
        <f t="shared" si="59"/>
        <v>0.06</v>
      </c>
      <c r="AH40" s="522">
        <f t="shared" si="59"/>
        <v>0.06</v>
      </c>
      <c r="AI40" s="522">
        <f t="shared" si="59"/>
        <v>0.06</v>
      </c>
      <c r="AJ40" s="522">
        <f t="shared" si="59"/>
        <v>0.06</v>
      </c>
      <c r="AK40" s="522">
        <f t="shared" si="59"/>
        <v>0.06</v>
      </c>
      <c r="AL40" s="522">
        <f t="shared" si="59"/>
        <v>0.06</v>
      </c>
      <c r="AO40" s="201" t="e">
        <f t="shared" ref="AO40:BD41" si="62">D40/D$9</f>
        <v>#DIV/0!</v>
      </c>
      <c r="AP40" s="201" t="e">
        <f t="shared" si="62"/>
        <v>#DIV/0!</v>
      </c>
      <c r="AQ40" s="201" t="e">
        <f t="shared" si="62"/>
        <v>#DIV/0!</v>
      </c>
      <c r="AR40" s="201" t="e">
        <f t="shared" si="62"/>
        <v>#DIV/0!</v>
      </c>
      <c r="AS40" s="201" t="e">
        <f t="shared" si="62"/>
        <v>#DIV/0!</v>
      </c>
      <c r="AT40" s="201" t="e">
        <f t="shared" si="62"/>
        <v>#DIV/0!</v>
      </c>
      <c r="AU40" s="201" t="e">
        <f t="shared" si="62"/>
        <v>#DIV/0!</v>
      </c>
      <c r="AV40" s="201" t="e">
        <f t="shared" si="62"/>
        <v>#DIV/0!</v>
      </c>
      <c r="AW40" s="201" t="e">
        <f t="shared" si="62"/>
        <v>#DIV/0!</v>
      </c>
      <c r="AX40" s="201" t="e">
        <f t="shared" si="62"/>
        <v>#DIV/0!</v>
      </c>
      <c r="AY40" s="201" t="e">
        <f t="shared" si="62"/>
        <v>#DIV/0!</v>
      </c>
      <c r="AZ40" s="201" t="e">
        <f t="shared" si="62"/>
        <v>#DIV/0!</v>
      </c>
      <c r="BA40" s="201" t="e">
        <f t="shared" si="62"/>
        <v>#DIV/0!</v>
      </c>
      <c r="BB40" s="201" t="e">
        <f t="shared" si="62"/>
        <v>#DIV/0!</v>
      </c>
      <c r="BC40" s="201" t="e">
        <f t="shared" si="62"/>
        <v>#DIV/0!</v>
      </c>
      <c r="BD40" s="201" t="e">
        <f t="shared" si="62"/>
        <v>#DIV/0!</v>
      </c>
      <c r="BE40" s="201" t="e">
        <f t="shared" ref="AY40:BE41" si="63">T40/T$9</f>
        <v>#DIV/0!</v>
      </c>
    </row>
    <row r="41" spans="1:57">
      <c r="A41" s="511"/>
      <c r="B41" s="511"/>
      <c r="C41" s="519" t="s">
        <v>26</v>
      </c>
      <c r="D41" s="201">
        <f t="shared" ref="D41:T41" si="64">V41*D39</f>
        <v>0</v>
      </c>
      <c r="E41" s="201">
        <f t="shared" si="64"/>
        <v>0</v>
      </c>
      <c r="F41" s="201">
        <f t="shared" si="64"/>
        <v>0</v>
      </c>
      <c r="G41" s="201">
        <f t="shared" si="64"/>
        <v>0</v>
      </c>
      <c r="H41" s="201">
        <f t="shared" si="64"/>
        <v>0</v>
      </c>
      <c r="I41" s="201">
        <f t="shared" si="64"/>
        <v>0</v>
      </c>
      <c r="J41" s="201">
        <f t="shared" si="64"/>
        <v>0</v>
      </c>
      <c r="K41" s="201">
        <f t="shared" si="64"/>
        <v>0</v>
      </c>
      <c r="L41" s="201">
        <f t="shared" si="64"/>
        <v>0</v>
      </c>
      <c r="M41" s="201">
        <f t="shared" si="64"/>
        <v>0</v>
      </c>
      <c r="N41" s="201">
        <f t="shared" si="64"/>
        <v>0</v>
      </c>
      <c r="O41" s="201">
        <f t="shared" si="64"/>
        <v>0</v>
      </c>
      <c r="P41" s="201">
        <f t="shared" si="64"/>
        <v>0</v>
      </c>
      <c r="Q41" s="201">
        <f t="shared" si="64"/>
        <v>0</v>
      </c>
      <c r="R41" s="201">
        <f t="shared" si="64"/>
        <v>0</v>
      </c>
      <c r="S41" s="201">
        <f t="shared" si="64"/>
        <v>0</v>
      </c>
      <c r="T41" s="201">
        <f t="shared" si="64"/>
        <v>0</v>
      </c>
      <c r="V41" s="522">
        <f>'Прогноз прочих'!F48</f>
        <v>0.08</v>
      </c>
      <c r="W41" s="522">
        <f>'Прогноз прочих'!G48</f>
        <v>7.0000000000000007E-2</v>
      </c>
      <c r="X41" s="522">
        <f>'Прогноз прочих'!H48</f>
        <v>0.06</v>
      </c>
      <c r="Y41" s="522">
        <f>'Прогноз прочих'!I48</f>
        <v>0.06</v>
      </c>
      <c r="Z41" s="522">
        <f>'Прогноз прочих'!J48</f>
        <v>0.06</v>
      </c>
      <c r="AA41" s="522">
        <f>Z41</f>
        <v>0.06</v>
      </c>
      <c r="AB41" s="522">
        <f t="shared" si="59"/>
        <v>0.06</v>
      </c>
      <c r="AC41" s="522">
        <f t="shared" si="59"/>
        <v>0.06</v>
      </c>
      <c r="AD41" s="522">
        <f t="shared" si="59"/>
        <v>0.06</v>
      </c>
      <c r="AE41" s="522">
        <f t="shared" si="59"/>
        <v>0.06</v>
      </c>
      <c r="AF41" s="522">
        <f t="shared" si="59"/>
        <v>0.06</v>
      </c>
      <c r="AG41" s="522">
        <f t="shared" si="59"/>
        <v>0.06</v>
      </c>
      <c r="AH41" s="522">
        <f t="shared" si="59"/>
        <v>0.06</v>
      </c>
      <c r="AI41" s="522">
        <f t="shared" si="59"/>
        <v>0.06</v>
      </c>
      <c r="AJ41" s="522">
        <f t="shared" si="59"/>
        <v>0.06</v>
      </c>
      <c r="AK41" s="522">
        <f t="shared" si="59"/>
        <v>0.06</v>
      </c>
      <c r="AL41" s="522">
        <f t="shared" si="59"/>
        <v>0.06</v>
      </c>
      <c r="AO41" s="201" t="e">
        <f t="shared" si="62"/>
        <v>#DIV/0!</v>
      </c>
      <c r="AP41" s="201" t="e">
        <f t="shared" si="62"/>
        <v>#DIV/0!</v>
      </c>
      <c r="AQ41" s="201" t="e">
        <f t="shared" si="62"/>
        <v>#DIV/0!</v>
      </c>
      <c r="AR41" s="201" t="e">
        <f t="shared" si="62"/>
        <v>#DIV/0!</v>
      </c>
      <c r="AS41" s="201" t="e">
        <f t="shared" si="62"/>
        <v>#DIV/0!</v>
      </c>
      <c r="AT41" s="201" t="e">
        <f t="shared" si="62"/>
        <v>#DIV/0!</v>
      </c>
      <c r="AU41" s="201" t="e">
        <f t="shared" si="62"/>
        <v>#DIV/0!</v>
      </c>
      <c r="AV41" s="201" t="e">
        <f t="shared" si="62"/>
        <v>#DIV/0!</v>
      </c>
      <c r="AW41" s="201" t="e">
        <f t="shared" si="62"/>
        <v>#DIV/0!</v>
      </c>
      <c r="AX41" s="201" t="e">
        <f t="shared" si="62"/>
        <v>#DIV/0!</v>
      </c>
      <c r="AY41" s="201" t="e">
        <f t="shared" si="63"/>
        <v>#DIV/0!</v>
      </c>
      <c r="AZ41" s="201" t="e">
        <f t="shared" si="63"/>
        <v>#DIV/0!</v>
      </c>
      <c r="BA41" s="201" t="e">
        <f t="shared" si="63"/>
        <v>#DIV/0!</v>
      </c>
      <c r="BB41" s="201" t="e">
        <f t="shared" si="63"/>
        <v>#DIV/0!</v>
      </c>
      <c r="BC41" s="201" t="e">
        <f t="shared" si="63"/>
        <v>#DIV/0!</v>
      </c>
      <c r="BD41" s="201" t="e">
        <f t="shared" si="63"/>
        <v>#DIV/0!</v>
      </c>
      <c r="BE41" s="201" t="e">
        <f t="shared" si="63"/>
        <v>#DIV/0!</v>
      </c>
    </row>
    <row r="42" spans="1:57">
      <c r="A42" s="511"/>
      <c r="B42" s="511"/>
      <c r="C42" s="521" t="s">
        <v>28</v>
      </c>
      <c r="D42" s="556">
        <f>D40+D41</f>
        <v>0</v>
      </c>
      <c r="E42" s="556">
        <f t="shared" ref="E42:T42" si="65">E40+E41</f>
        <v>0</v>
      </c>
      <c r="F42" s="556">
        <f t="shared" si="65"/>
        <v>0</v>
      </c>
      <c r="G42" s="556">
        <f t="shared" si="65"/>
        <v>0</v>
      </c>
      <c r="H42" s="556">
        <f t="shared" si="65"/>
        <v>0</v>
      </c>
      <c r="I42" s="556">
        <f t="shared" si="65"/>
        <v>0</v>
      </c>
      <c r="J42" s="556">
        <f t="shared" si="65"/>
        <v>0</v>
      </c>
      <c r="K42" s="556">
        <f t="shared" si="65"/>
        <v>0</v>
      </c>
      <c r="L42" s="556">
        <f t="shared" si="65"/>
        <v>0</v>
      </c>
      <c r="M42" s="556">
        <f t="shared" si="65"/>
        <v>0</v>
      </c>
      <c r="N42" s="556">
        <f t="shared" si="65"/>
        <v>0</v>
      </c>
      <c r="O42" s="556">
        <f t="shared" si="65"/>
        <v>0</v>
      </c>
      <c r="P42" s="556">
        <f t="shared" si="65"/>
        <v>0</v>
      </c>
      <c r="Q42" s="556">
        <f t="shared" si="65"/>
        <v>0</v>
      </c>
      <c r="R42" s="556">
        <f t="shared" si="65"/>
        <v>0</v>
      </c>
      <c r="S42" s="556">
        <f t="shared" si="65"/>
        <v>0</v>
      </c>
      <c r="T42" s="556">
        <f t="shared" si="65"/>
        <v>0</v>
      </c>
      <c r="V42" s="559" t="e">
        <f t="shared" ref="V42:AL42" si="66">D42/D39</f>
        <v>#DIV/0!</v>
      </c>
      <c r="W42" s="559" t="e">
        <f t="shared" si="66"/>
        <v>#DIV/0!</v>
      </c>
      <c r="X42" s="559" t="e">
        <f t="shared" si="66"/>
        <v>#DIV/0!</v>
      </c>
      <c r="Y42" s="559" t="e">
        <f t="shared" si="66"/>
        <v>#DIV/0!</v>
      </c>
      <c r="Z42" s="559" t="e">
        <f t="shared" si="66"/>
        <v>#DIV/0!</v>
      </c>
      <c r="AA42" s="559" t="e">
        <f t="shared" si="66"/>
        <v>#DIV/0!</v>
      </c>
      <c r="AB42" s="559" t="e">
        <f t="shared" si="66"/>
        <v>#DIV/0!</v>
      </c>
      <c r="AC42" s="559" t="e">
        <f t="shared" si="66"/>
        <v>#DIV/0!</v>
      </c>
      <c r="AD42" s="559" t="e">
        <f t="shared" si="66"/>
        <v>#DIV/0!</v>
      </c>
      <c r="AE42" s="559" t="e">
        <f t="shared" si="66"/>
        <v>#DIV/0!</v>
      </c>
      <c r="AF42" s="559" t="e">
        <f t="shared" si="66"/>
        <v>#DIV/0!</v>
      </c>
      <c r="AG42" s="559" t="e">
        <f t="shared" si="66"/>
        <v>#DIV/0!</v>
      </c>
      <c r="AH42" s="559" t="e">
        <f t="shared" si="66"/>
        <v>#DIV/0!</v>
      </c>
      <c r="AI42" s="559" t="e">
        <f t="shared" si="66"/>
        <v>#DIV/0!</v>
      </c>
      <c r="AJ42" s="559" t="e">
        <f t="shared" si="66"/>
        <v>#DIV/0!</v>
      </c>
      <c r="AK42" s="559" t="e">
        <f t="shared" si="66"/>
        <v>#DIV/0!</v>
      </c>
      <c r="AL42" s="559" t="e">
        <f t="shared" si="66"/>
        <v>#DIV/0!</v>
      </c>
      <c r="AO42" s="556" t="e">
        <f>AO41+AO40</f>
        <v>#DIV/0!</v>
      </c>
      <c r="AP42" s="556" t="e">
        <f t="shared" ref="AP42:BE42" si="67">AP41+AP40</f>
        <v>#DIV/0!</v>
      </c>
      <c r="AQ42" s="556" t="e">
        <f t="shared" si="67"/>
        <v>#DIV/0!</v>
      </c>
      <c r="AR42" s="556" t="e">
        <f t="shared" si="67"/>
        <v>#DIV/0!</v>
      </c>
      <c r="AS42" s="556" t="e">
        <f t="shared" si="67"/>
        <v>#DIV/0!</v>
      </c>
      <c r="AT42" s="556" t="e">
        <f t="shared" si="67"/>
        <v>#DIV/0!</v>
      </c>
      <c r="AU42" s="556" t="e">
        <f t="shared" si="67"/>
        <v>#DIV/0!</v>
      </c>
      <c r="AV42" s="556" t="e">
        <f t="shared" si="67"/>
        <v>#DIV/0!</v>
      </c>
      <c r="AW42" s="556" t="e">
        <f t="shared" si="67"/>
        <v>#DIV/0!</v>
      </c>
      <c r="AX42" s="556" t="e">
        <f t="shared" si="67"/>
        <v>#DIV/0!</v>
      </c>
      <c r="AY42" s="556" t="e">
        <f t="shared" si="67"/>
        <v>#DIV/0!</v>
      </c>
      <c r="AZ42" s="556" t="e">
        <f t="shared" si="67"/>
        <v>#DIV/0!</v>
      </c>
      <c r="BA42" s="556" t="e">
        <f t="shared" si="67"/>
        <v>#DIV/0!</v>
      </c>
      <c r="BB42" s="556" t="e">
        <f t="shared" si="67"/>
        <v>#DIV/0!</v>
      </c>
      <c r="BC42" s="556" t="e">
        <f t="shared" si="67"/>
        <v>#DIV/0!</v>
      </c>
      <c r="BD42" s="556" t="e">
        <f t="shared" si="67"/>
        <v>#DIV/0!</v>
      </c>
      <c r="BE42" s="556" t="e">
        <f t="shared" si="67"/>
        <v>#DIV/0!</v>
      </c>
    </row>
    <row r="43" spans="1:57">
      <c r="A43" s="511"/>
      <c r="B43" s="511"/>
      <c r="C43" s="521" t="s">
        <v>18</v>
      </c>
      <c r="D43" s="556">
        <f>D39-D42</f>
        <v>0</v>
      </c>
      <c r="E43" s="556">
        <f t="shared" ref="E43:T43" si="68">E39-E42</f>
        <v>0</v>
      </c>
      <c r="F43" s="556">
        <f t="shared" si="68"/>
        <v>0</v>
      </c>
      <c r="G43" s="556">
        <f t="shared" si="68"/>
        <v>0</v>
      </c>
      <c r="H43" s="556">
        <f t="shared" si="68"/>
        <v>0</v>
      </c>
      <c r="I43" s="556">
        <f t="shared" si="68"/>
        <v>0</v>
      </c>
      <c r="J43" s="556">
        <f t="shared" si="68"/>
        <v>0</v>
      </c>
      <c r="K43" s="556">
        <f t="shared" si="68"/>
        <v>0</v>
      </c>
      <c r="L43" s="556">
        <f t="shared" si="68"/>
        <v>0</v>
      </c>
      <c r="M43" s="556">
        <f t="shared" si="68"/>
        <v>0</v>
      </c>
      <c r="N43" s="556">
        <f t="shared" si="68"/>
        <v>0</v>
      </c>
      <c r="O43" s="556">
        <f t="shared" si="68"/>
        <v>0</v>
      </c>
      <c r="P43" s="556">
        <f t="shared" si="68"/>
        <v>0</v>
      </c>
      <c r="Q43" s="556">
        <f t="shared" si="68"/>
        <v>0</v>
      </c>
      <c r="R43" s="556">
        <f t="shared" si="68"/>
        <v>0</v>
      </c>
      <c r="S43" s="556">
        <f t="shared" si="68"/>
        <v>0</v>
      </c>
      <c r="T43" s="556">
        <f t="shared" si="68"/>
        <v>0</v>
      </c>
      <c r="V43" s="559" t="e">
        <f t="shared" ref="V43:AL43" si="69">D43/D39</f>
        <v>#DIV/0!</v>
      </c>
      <c r="W43" s="559" t="e">
        <f t="shared" si="69"/>
        <v>#DIV/0!</v>
      </c>
      <c r="X43" s="559" t="e">
        <f t="shared" si="69"/>
        <v>#DIV/0!</v>
      </c>
      <c r="Y43" s="559" t="e">
        <f t="shared" si="69"/>
        <v>#DIV/0!</v>
      </c>
      <c r="Z43" s="559" t="e">
        <f t="shared" si="69"/>
        <v>#DIV/0!</v>
      </c>
      <c r="AA43" s="559" t="e">
        <f t="shared" si="69"/>
        <v>#DIV/0!</v>
      </c>
      <c r="AB43" s="559" t="e">
        <f t="shared" si="69"/>
        <v>#DIV/0!</v>
      </c>
      <c r="AC43" s="559" t="e">
        <f t="shared" si="69"/>
        <v>#DIV/0!</v>
      </c>
      <c r="AD43" s="559" t="e">
        <f t="shared" si="69"/>
        <v>#DIV/0!</v>
      </c>
      <c r="AE43" s="559" t="e">
        <f t="shared" si="69"/>
        <v>#DIV/0!</v>
      </c>
      <c r="AF43" s="559" t="e">
        <f t="shared" si="69"/>
        <v>#DIV/0!</v>
      </c>
      <c r="AG43" s="559" t="e">
        <f t="shared" si="69"/>
        <v>#DIV/0!</v>
      </c>
      <c r="AH43" s="559" t="e">
        <f t="shared" si="69"/>
        <v>#DIV/0!</v>
      </c>
      <c r="AI43" s="559" t="e">
        <f t="shared" si="69"/>
        <v>#DIV/0!</v>
      </c>
      <c r="AJ43" s="559" t="e">
        <f t="shared" si="69"/>
        <v>#DIV/0!</v>
      </c>
      <c r="AK43" s="559" t="e">
        <f t="shared" si="69"/>
        <v>#DIV/0!</v>
      </c>
      <c r="AL43" s="559" t="e">
        <f t="shared" si="69"/>
        <v>#DIV/0!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70">V45*D14</f>
        <v>0</v>
      </c>
      <c r="E45" s="556">
        <f t="shared" si="70"/>
        <v>0</v>
      </c>
      <c r="F45" s="556">
        <f t="shared" si="70"/>
        <v>0</v>
      </c>
      <c r="G45" s="556">
        <f t="shared" si="70"/>
        <v>0</v>
      </c>
      <c r="H45" s="556">
        <f t="shared" si="70"/>
        <v>0</v>
      </c>
      <c r="I45" s="556">
        <f t="shared" si="70"/>
        <v>0</v>
      </c>
      <c r="J45" s="556">
        <f t="shared" si="70"/>
        <v>0</v>
      </c>
      <c r="K45" s="556">
        <f t="shared" si="70"/>
        <v>0</v>
      </c>
      <c r="L45" s="556">
        <f t="shared" si="70"/>
        <v>0</v>
      </c>
      <c r="M45" s="556">
        <f t="shared" si="70"/>
        <v>0</v>
      </c>
      <c r="N45" s="556">
        <f t="shared" si="70"/>
        <v>0</v>
      </c>
      <c r="O45" s="556">
        <f t="shared" si="70"/>
        <v>0</v>
      </c>
      <c r="P45" s="556">
        <f t="shared" si="70"/>
        <v>0</v>
      </c>
      <c r="Q45" s="556">
        <f t="shared" si="70"/>
        <v>0</v>
      </c>
      <c r="R45" s="556">
        <f t="shared" si="70"/>
        <v>0</v>
      </c>
      <c r="S45" s="556">
        <f t="shared" si="70"/>
        <v>0</v>
      </c>
      <c r="T45" s="556">
        <f t="shared" si="70"/>
        <v>0</v>
      </c>
      <c r="V45" s="558">
        <f>'Прогноз прочих'!F76</f>
        <v>0.01</v>
      </c>
      <c r="W45" s="558">
        <f>'Прогноз прочих'!G76</f>
        <v>0.01</v>
      </c>
      <c r="X45" s="558">
        <f>'Прогноз прочих'!H76</f>
        <v>0.01</v>
      </c>
      <c r="Y45" s="558">
        <f>'Прогноз прочих'!I76</f>
        <v>0.01</v>
      </c>
      <c r="Z45" s="558">
        <f>'Прогноз прочих'!J76</f>
        <v>0.01</v>
      </c>
      <c r="AA45" s="559">
        <f>Z45</f>
        <v>0.01</v>
      </c>
      <c r="AB45" s="559">
        <f t="shared" ref="AB45:AL45" si="71">AA45</f>
        <v>0.01</v>
      </c>
      <c r="AC45" s="559">
        <f t="shared" si="71"/>
        <v>0.01</v>
      </c>
      <c r="AD45" s="559">
        <f t="shared" si="71"/>
        <v>0.01</v>
      </c>
      <c r="AE45" s="559">
        <f t="shared" si="71"/>
        <v>0.01</v>
      </c>
      <c r="AF45" s="559">
        <f t="shared" si="71"/>
        <v>0.01</v>
      </c>
      <c r="AG45" s="559">
        <f t="shared" si="71"/>
        <v>0.01</v>
      </c>
      <c r="AH45" s="559">
        <f t="shared" si="71"/>
        <v>0.01</v>
      </c>
      <c r="AI45" s="559">
        <f t="shared" si="71"/>
        <v>0.01</v>
      </c>
      <c r="AJ45" s="559">
        <f t="shared" si="71"/>
        <v>0.01</v>
      </c>
      <c r="AK45" s="559">
        <f t="shared" si="71"/>
        <v>0.01</v>
      </c>
      <c r="AL45" s="559">
        <f t="shared" si="71"/>
        <v>0.01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548">
        <f>D42+D30+D18+D36</f>
        <v>0</v>
      </c>
      <c r="E46" s="548">
        <f t="shared" ref="E46:T46" si="72">E42+E30+E18+E36</f>
        <v>0</v>
      </c>
      <c r="F46" s="1035">
        <f t="shared" si="72"/>
        <v>0</v>
      </c>
      <c r="G46" s="548">
        <f t="shared" si="72"/>
        <v>0</v>
      </c>
      <c r="H46" s="548">
        <f t="shared" si="72"/>
        <v>0</v>
      </c>
      <c r="I46" s="548">
        <f t="shared" si="72"/>
        <v>0</v>
      </c>
      <c r="J46" s="548">
        <f t="shared" si="72"/>
        <v>0</v>
      </c>
      <c r="K46" s="548">
        <f t="shared" si="72"/>
        <v>0</v>
      </c>
      <c r="L46" s="548">
        <f t="shared" si="72"/>
        <v>0</v>
      </c>
      <c r="M46" s="548">
        <f t="shared" si="72"/>
        <v>0</v>
      </c>
      <c r="N46" s="548">
        <f t="shared" si="72"/>
        <v>0</v>
      </c>
      <c r="O46" s="548">
        <f t="shared" si="72"/>
        <v>0</v>
      </c>
      <c r="P46" s="548">
        <f t="shared" si="72"/>
        <v>0</v>
      </c>
      <c r="Q46" s="548">
        <f t="shared" si="72"/>
        <v>0</v>
      </c>
      <c r="R46" s="548">
        <f t="shared" si="72"/>
        <v>0</v>
      </c>
      <c r="S46" s="548">
        <f t="shared" si="72"/>
        <v>0</v>
      </c>
      <c r="T46" s="548">
        <f t="shared" si="72"/>
        <v>0</v>
      </c>
      <c r="V46" s="573" t="e">
        <f t="shared" ref="V46:AL46" si="73">D46/D12</f>
        <v>#DIV/0!</v>
      </c>
      <c r="W46" s="573" t="e">
        <f t="shared" si="73"/>
        <v>#DIV/0!</v>
      </c>
      <c r="X46" s="573" t="e">
        <f t="shared" si="73"/>
        <v>#DIV/0!</v>
      </c>
      <c r="Y46" s="573" t="e">
        <f t="shared" si="73"/>
        <v>#DIV/0!</v>
      </c>
      <c r="Z46" s="573" t="e">
        <f t="shared" si="73"/>
        <v>#DIV/0!</v>
      </c>
      <c r="AA46" s="573" t="e">
        <f t="shared" si="73"/>
        <v>#DIV/0!</v>
      </c>
      <c r="AB46" s="573" t="e">
        <f t="shared" si="73"/>
        <v>#DIV/0!</v>
      </c>
      <c r="AC46" s="573" t="e">
        <f t="shared" si="73"/>
        <v>#DIV/0!</v>
      </c>
      <c r="AD46" s="573" t="e">
        <f t="shared" si="73"/>
        <v>#DIV/0!</v>
      </c>
      <c r="AE46" s="573" t="e">
        <f t="shared" si="73"/>
        <v>#DIV/0!</v>
      </c>
      <c r="AF46" s="573" t="e">
        <f t="shared" si="73"/>
        <v>#DIV/0!</v>
      </c>
      <c r="AG46" s="573" t="e">
        <f t="shared" si="73"/>
        <v>#DIV/0!</v>
      </c>
      <c r="AH46" s="573" t="e">
        <f t="shared" si="73"/>
        <v>#DIV/0!</v>
      </c>
      <c r="AI46" s="573" t="e">
        <f t="shared" si="73"/>
        <v>#DIV/0!</v>
      </c>
      <c r="AJ46" s="573" t="e">
        <f t="shared" si="73"/>
        <v>#DIV/0!</v>
      </c>
      <c r="AK46" s="573" t="e">
        <f t="shared" si="73"/>
        <v>#DIV/0!</v>
      </c>
      <c r="AL46" s="573" t="e">
        <f t="shared" si="73"/>
        <v>#DIV/0!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4">D12-D46</f>
        <v>0</v>
      </c>
      <c r="E47" s="1035">
        <f t="shared" si="74"/>
        <v>0</v>
      </c>
      <c r="F47" s="1035">
        <f t="shared" si="74"/>
        <v>0</v>
      </c>
      <c r="G47" s="1035">
        <f t="shared" si="74"/>
        <v>0</v>
      </c>
      <c r="H47" s="1035">
        <f t="shared" si="74"/>
        <v>0</v>
      </c>
      <c r="I47" s="1035">
        <f t="shared" si="74"/>
        <v>0</v>
      </c>
      <c r="J47" s="1035">
        <f t="shared" si="74"/>
        <v>0</v>
      </c>
      <c r="K47" s="1035">
        <f t="shared" si="74"/>
        <v>0</v>
      </c>
      <c r="L47" s="1035">
        <f t="shared" si="74"/>
        <v>0</v>
      </c>
      <c r="M47" s="1035">
        <f t="shared" si="74"/>
        <v>0</v>
      </c>
      <c r="N47" s="548">
        <f t="shared" si="74"/>
        <v>0</v>
      </c>
      <c r="O47" s="548">
        <f t="shared" si="74"/>
        <v>0</v>
      </c>
      <c r="P47" s="548">
        <f t="shared" si="74"/>
        <v>0</v>
      </c>
      <c r="Q47" s="548">
        <f t="shared" si="74"/>
        <v>0</v>
      </c>
      <c r="R47" s="548">
        <f t="shared" si="74"/>
        <v>0</v>
      </c>
      <c r="S47" s="548">
        <f t="shared" si="74"/>
        <v>0</v>
      </c>
      <c r="T47" s="548">
        <f t="shared" si="74"/>
        <v>0</v>
      </c>
      <c r="V47" s="573" t="e">
        <f t="shared" ref="V47:AL47" si="75">D47/D12</f>
        <v>#DIV/0!</v>
      </c>
      <c r="W47" s="573" t="e">
        <f t="shared" si="75"/>
        <v>#DIV/0!</v>
      </c>
      <c r="X47" s="573" t="e">
        <f t="shared" si="75"/>
        <v>#DIV/0!</v>
      </c>
      <c r="Y47" s="573" t="e">
        <f t="shared" si="75"/>
        <v>#DIV/0!</v>
      </c>
      <c r="Z47" s="573" t="e">
        <f t="shared" si="75"/>
        <v>#DIV/0!</v>
      </c>
      <c r="AA47" s="573" t="e">
        <f t="shared" si="75"/>
        <v>#DIV/0!</v>
      </c>
      <c r="AB47" s="573" t="e">
        <f t="shared" si="75"/>
        <v>#DIV/0!</v>
      </c>
      <c r="AC47" s="573" t="e">
        <f t="shared" si="75"/>
        <v>#DIV/0!</v>
      </c>
      <c r="AD47" s="573" t="e">
        <f t="shared" si="75"/>
        <v>#DIV/0!</v>
      </c>
      <c r="AE47" s="573" t="e">
        <f t="shared" si="75"/>
        <v>#DIV/0!</v>
      </c>
      <c r="AF47" s="573" t="e">
        <f t="shared" si="75"/>
        <v>#DIV/0!</v>
      </c>
      <c r="AG47" s="573" t="e">
        <f t="shared" si="75"/>
        <v>#DIV/0!</v>
      </c>
      <c r="AH47" s="573" t="e">
        <f t="shared" si="75"/>
        <v>#DIV/0!</v>
      </c>
      <c r="AI47" s="573" t="e">
        <f t="shared" si="75"/>
        <v>#DIV/0!</v>
      </c>
      <c r="AJ47" s="573" t="e">
        <f t="shared" si="75"/>
        <v>#DIV/0!</v>
      </c>
      <c r="AK47" s="573" t="e">
        <f t="shared" si="75"/>
        <v>#DIV/0!</v>
      </c>
      <c r="AL47" s="573" t="e">
        <f t="shared" si="75"/>
        <v>#DIV/0!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 t="e">
        <f>D47/D7</f>
        <v>#DIV/0!</v>
      </c>
      <c r="E48" s="1629" t="e">
        <f t="shared" ref="E48:T48" si="76">E47/E7</f>
        <v>#DIV/0!</v>
      </c>
      <c r="F48" s="1629" t="e">
        <f t="shared" si="76"/>
        <v>#DIV/0!</v>
      </c>
      <c r="G48" s="1629" t="e">
        <f t="shared" si="76"/>
        <v>#DIV/0!</v>
      </c>
      <c r="H48" s="1629" t="e">
        <f>H47/H7</f>
        <v>#DIV/0!</v>
      </c>
      <c r="I48" s="1629" t="e">
        <f t="shared" si="76"/>
        <v>#DIV/0!</v>
      </c>
      <c r="J48" s="1629" t="e">
        <f t="shared" si="76"/>
        <v>#DIV/0!</v>
      </c>
      <c r="K48" s="1629" t="e">
        <f t="shared" si="76"/>
        <v>#DIV/0!</v>
      </c>
      <c r="L48" s="1629" t="e">
        <f t="shared" si="76"/>
        <v>#DIV/0!</v>
      </c>
      <c r="M48" s="1629" t="e">
        <f t="shared" si="76"/>
        <v>#DIV/0!</v>
      </c>
      <c r="N48" s="1629" t="e">
        <f t="shared" si="76"/>
        <v>#DIV/0!</v>
      </c>
      <c r="O48" s="1629" t="e">
        <f t="shared" si="76"/>
        <v>#DIV/0!</v>
      </c>
      <c r="P48" s="1629" t="e">
        <f t="shared" si="76"/>
        <v>#DIV/0!</v>
      </c>
      <c r="Q48" s="1629" t="e">
        <f t="shared" si="76"/>
        <v>#DIV/0!</v>
      </c>
      <c r="R48" s="1629" t="e">
        <f t="shared" si="76"/>
        <v>#DIV/0!</v>
      </c>
      <c r="S48" s="1629" t="e">
        <f t="shared" si="76"/>
        <v>#DIV/0!</v>
      </c>
      <c r="T48" s="1629" t="e">
        <f t="shared" si="76"/>
        <v>#DIV/0!</v>
      </c>
    </row>
    <row r="50" spans="3:41" ht="15" customHeight="1">
      <c r="C50" s="1533" t="s">
        <v>1081</v>
      </c>
      <c r="D50" s="1539">
        <f>D15+D24+D25+D34+D40</f>
        <v>0</v>
      </c>
      <c r="E50" s="1534">
        <f t="shared" ref="E50:T50" si="77">E15+E24+E25+E34+E40</f>
        <v>0</v>
      </c>
      <c r="F50" s="1534">
        <f t="shared" si="77"/>
        <v>0</v>
      </c>
      <c r="G50" s="1534">
        <f t="shared" si="77"/>
        <v>0</v>
      </c>
      <c r="H50" s="1534">
        <f t="shared" si="77"/>
        <v>0</v>
      </c>
      <c r="I50" s="1534">
        <f t="shared" si="77"/>
        <v>0</v>
      </c>
      <c r="J50" s="1534">
        <f t="shared" si="77"/>
        <v>0</v>
      </c>
      <c r="K50" s="1534">
        <f t="shared" si="77"/>
        <v>0</v>
      </c>
      <c r="L50" s="1534">
        <f t="shared" si="77"/>
        <v>0</v>
      </c>
      <c r="M50" s="1534">
        <f t="shared" si="77"/>
        <v>0</v>
      </c>
      <c r="N50" s="1534">
        <f t="shared" si="77"/>
        <v>0</v>
      </c>
      <c r="O50" s="1534">
        <f t="shared" si="77"/>
        <v>0</v>
      </c>
      <c r="P50" s="1534">
        <f t="shared" si="77"/>
        <v>0</v>
      </c>
      <c r="Q50" s="1534">
        <f t="shared" si="77"/>
        <v>0</v>
      </c>
      <c r="R50" s="1534">
        <f t="shared" si="77"/>
        <v>0</v>
      </c>
      <c r="S50" s="1534">
        <f t="shared" si="77"/>
        <v>0</v>
      </c>
      <c r="T50" s="1534">
        <f t="shared" si="77"/>
        <v>0</v>
      </c>
      <c r="V50" s="1540"/>
      <c r="AO50" s="823"/>
    </row>
  </sheetData>
  <conditionalFormatting sqref="V40:Z41">
    <cfRule type="expression" dxfId="305" priority="8">
      <formula>$A$1=1</formula>
    </cfRule>
  </conditionalFormatting>
  <conditionalFormatting sqref="V33:Z35">
    <cfRule type="expression" dxfId="304" priority="7">
      <formula>$A$1=1</formula>
    </cfRule>
  </conditionalFormatting>
  <conditionalFormatting sqref="V24:Z29">
    <cfRule type="expression" dxfId="303" priority="6">
      <formula>$A$1=1</formula>
    </cfRule>
  </conditionalFormatting>
  <conditionalFormatting sqref="V23:Z23">
    <cfRule type="expression" dxfId="302" priority="5">
      <formula>$A$1=1</formula>
    </cfRule>
  </conditionalFormatting>
  <conditionalFormatting sqref="V22:Z22">
    <cfRule type="expression" dxfId="301" priority="4">
      <formula>$A$1=1</formula>
    </cfRule>
  </conditionalFormatting>
  <conditionalFormatting sqref="V39:Z39">
    <cfRule type="expression" dxfId="300" priority="3">
      <formula>$A$1=1</formula>
    </cfRule>
  </conditionalFormatting>
  <conditionalFormatting sqref="V45:Z45">
    <cfRule type="expression" dxfId="299" priority="2">
      <formula>$A$1=1</formula>
    </cfRule>
  </conditionalFormatting>
  <conditionalFormatting sqref="V16:Z16">
    <cfRule type="expression" dxfId="298" priority="1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B8E6"/>
  </sheetPr>
  <dimension ref="A1:BE50"/>
  <sheetViews>
    <sheetView showGridLines="0" zoomScale="70" zoomScaleNormal="70" workbookViewId="0">
      <pane xSplit="3" ySplit="6" topLeftCell="D7" activePane="bottomRight" state="frozen"/>
      <selection activeCell="I13" sqref="I13"/>
      <selection pane="topRight" activeCell="I13" sqref="I13"/>
      <selection pane="bottomLeft" activeCell="I13" sqref="I13"/>
      <selection pane="bottomRight" activeCell="Q69" sqref="Q69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2.7109375" style="197" customWidth="1"/>
    <col min="4" max="4" width="12.28515625" style="199" customWidth="1"/>
    <col min="5" max="8" width="12.28515625" style="197" customWidth="1"/>
    <col min="9" max="9" width="14.28515625" style="197" customWidth="1" outlineLevel="1"/>
    <col min="10" max="19" width="14.5703125" style="197" customWidth="1" outlineLevel="1"/>
    <col min="20" max="20" width="16.5703125" style="197" customWidth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6.8554687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46" width="8.7109375" style="197" customWidth="1"/>
    <col min="47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>
      <c r="A3" s="511"/>
      <c r="B3" s="511"/>
      <c r="C3" s="536" t="str">
        <f>Объекты!C9</f>
        <v>Хостел в составе МФЦ</v>
      </c>
      <c r="D3" s="800">
        <f>YEAR(D4)</f>
        <v>2025</v>
      </c>
      <c r="E3" s="800">
        <f>D3+1</f>
        <v>2026</v>
      </c>
      <c r="F3" s="800">
        <f t="shared" ref="F3:T3" si="0">E3+1</f>
        <v>2027</v>
      </c>
      <c r="G3" s="800">
        <f t="shared" si="0"/>
        <v>2028</v>
      </c>
      <c r="H3" s="800">
        <f t="shared" si="0"/>
        <v>2029</v>
      </c>
      <c r="I3" s="800">
        <f t="shared" si="0"/>
        <v>2030</v>
      </c>
      <c r="J3" s="800">
        <f t="shared" si="0"/>
        <v>2031</v>
      </c>
      <c r="K3" s="800">
        <f t="shared" si="0"/>
        <v>2032</v>
      </c>
      <c r="L3" s="800">
        <f t="shared" si="0"/>
        <v>2033</v>
      </c>
      <c r="M3" s="800">
        <f>L3+1</f>
        <v>2034</v>
      </c>
      <c r="N3" s="800">
        <f t="shared" si="0"/>
        <v>2035</v>
      </c>
      <c r="O3" s="800">
        <f t="shared" si="0"/>
        <v>2036</v>
      </c>
      <c r="P3" s="800">
        <f t="shared" si="0"/>
        <v>2037</v>
      </c>
      <c r="Q3" s="800">
        <f t="shared" si="0"/>
        <v>2038</v>
      </c>
      <c r="R3" s="800">
        <f t="shared" si="0"/>
        <v>2039</v>
      </c>
      <c r="S3" s="800">
        <f t="shared" si="0"/>
        <v>2040</v>
      </c>
      <c r="T3" s="800">
        <f t="shared" si="0"/>
        <v>2041</v>
      </c>
      <c r="V3" s="800">
        <f t="shared" ref="V3:AL3" si="1">D3</f>
        <v>2025</v>
      </c>
      <c r="W3" s="800">
        <f t="shared" si="1"/>
        <v>2026</v>
      </c>
      <c r="X3" s="800">
        <f t="shared" si="1"/>
        <v>2027</v>
      </c>
      <c r="Y3" s="800">
        <f t="shared" si="1"/>
        <v>2028</v>
      </c>
      <c r="Z3" s="800">
        <f t="shared" si="1"/>
        <v>2029</v>
      </c>
      <c r="AA3" s="800">
        <f t="shared" si="1"/>
        <v>2030</v>
      </c>
      <c r="AB3" s="800">
        <f t="shared" si="1"/>
        <v>2031</v>
      </c>
      <c r="AC3" s="800">
        <f t="shared" si="1"/>
        <v>2032</v>
      </c>
      <c r="AD3" s="800">
        <f t="shared" si="1"/>
        <v>2033</v>
      </c>
      <c r="AE3" s="800">
        <f t="shared" si="1"/>
        <v>2034</v>
      </c>
      <c r="AF3" s="800">
        <f t="shared" si="1"/>
        <v>2035</v>
      </c>
      <c r="AG3" s="800">
        <f t="shared" si="1"/>
        <v>2036</v>
      </c>
      <c r="AH3" s="800">
        <f t="shared" si="1"/>
        <v>2037</v>
      </c>
      <c r="AI3" s="800">
        <f t="shared" si="1"/>
        <v>2038</v>
      </c>
      <c r="AJ3" s="800">
        <f t="shared" si="1"/>
        <v>2039</v>
      </c>
      <c r="AK3" s="800">
        <f t="shared" si="1"/>
        <v>2040</v>
      </c>
      <c r="AL3" s="800">
        <f t="shared" si="1"/>
        <v>2041</v>
      </c>
      <c r="AO3" s="800">
        <f t="shared" ref="AO3:BE3" si="2">V3</f>
        <v>2025</v>
      </c>
      <c r="AP3" s="800">
        <f t="shared" si="2"/>
        <v>2026</v>
      </c>
      <c r="AQ3" s="800">
        <f t="shared" si="2"/>
        <v>2027</v>
      </c>
      <c r="AR3" s="800">
        <f t="shared" si="2"/>
        <v>2028</v>
      </c>
      <c r="AS3" s="800">
        <f t="shared" si="2"/>
        <v>2029</v>
      </c>
      <c r="AT3" s="800">
        <f t="shared" si="2"/>
        <v>2030</v>
      </c>
      <c r="AU3" s="800">
        <f t="shared" si="2"/>
        <v>2031</v>
      </c>
      <c r="AV3" s="800">
        <f t="shared" si="2"/>
        <v>2032</v>
      </c>
      <c r="AW3" s="800">
        <f t="shared" si="2"/>
        <v>2033</v>
      </c>
      <c r="AX3" s="800">
        <f t="shared" si="2"/>
        <v>2034</v>
      </c>
      <c r="AY3" s="800">
        <f t="shared" si="2"/>
        <v>2035</v>
      </c>
      <c r="AZ3" s="800">
        <f t="shared" si="2"/>
        <v>2036</v>
      </c>
      <c r="BA3" s="800">
        <f t="shared" si="2"/>
        <v>2037</v>
      </c>
      <c r="BB3" s="800">
        <f t="shared" si="2"/>
        <v>2038</v>
      </c>
      <c r="BC3" s="800">
        <f t="shared" si="2"/>
        <v>2039</v>
      </c>
      <c r="BD3" s="800">
        <f t="shared" si="2"/>
        <v>2040</v>
      </c>
      <c r="BE3" s="800">
        <f t="shared" si="2"/>
        <v>2041</v>
      </c>
    </row>
    <row r="4" spans="1:57">
      <c r="A4" s="511"/>
      <c r="B4" s="511"/>
      <c r="C4" s="512" t="s">
        <v>1</v>
      </c>
      <c r="D4" s="782">
        <f>Объекты!K9</f>
        <v>45839</v>
      </c>
      <c r="E4" s="514">
        <f>D5+1</f>
        <v>46023</v>
      </c>
      <c r="F4" s="514">
        <f t="shared" ref="F4:T4" si="3">E5+1</f>
        <v>46388</v>
      </c>
      <c r="G4" s="514">
        <f t="shared" si="3"/>
        <v>46753</v>
      </c>
      <c r="H4" s="514">
        <f t="shared" si="3"/>
        <v>47119</v>
      </c>
      <c r="I4" s="514">
        <f t="shared" si="3"/>
        <v>47484</v>
      </c>
      <c r="J4" s="514">
        <f t="shared" si="3"/>
        <v>47849</v>
      </c>
      <c r="K4" s="514">
        <f t="shared" si="3"/>
        <v>48214</v>
      </c>
      <c r="L4" s="514">
        <f>K5+1</f>
        <v>48580</v>
      </c>
      <c r="M4" s="514">
        <f t="shared" si="3"/>
        <v>48945</v>
      </c>
      <c r="N4" s="514">
        <f t="shared" si="3"/>
        <v>49310</v>
      </c>
      <c r="O4" s="514">
        <f t="shared" si="3"/>
        <v>49675</v>
      </c>
      <c r="P4" s="514">
        <f t="shared" si="3"/>
        <v>50041</v>
      </c>
      <c r="Q4" s="514">
        <f t="shared" si="3"/>
        <v>50406</v>
      </c>
      <c r="R4" s="514">
        <f t="shared" si="3"/>
        <v>50771</v>
      </c>
      <c r="S4" s="514">
        <f t="shared" si="3"/>
        <v>51136</v>
      </c>
      <c r="T4" s="514">
        <f t="shared" si="3"/>
        <v>51502</v>
      </c>
      <c r="AO4" s="537" t="s">
        <v>548</v>
      </c>
    </row>
    <row r="5" spans="1:57">
      <c r="A5" s="511"/>
      <c r="B5" s="511"/>
      <c r="C5" s="512" t="s">
        <v>2</v>
      </c>
      <c r="D5" s="513">
        <f>DATE(D3,12,31)</f>
        <v>46022</v>
      </c>
      <c r="E5" s="514">
        <f>DATE(E3,12,31)</f>
        <v>46387</v>
      </c>
      <c r="F5" s="514">
        <f t="shared" ref="F5:K5" si="4">DATE(F3,12,31)</f>
        <v>46752</v>
      </c>
      <c r="G5" s="514">
        <f t="shared" si="4"/>
        <v>47118</v>
      </c>
      <c r="H5" s="514">
        <f t="shared" si="4"/>
        <v>47483</v>
      </c>
      <c r="I5" s="514">
        <f t="shared" si="4"/>
        <v>47848</v>
      </c>
      <c r="J5" s="514">
        <f t="shared" si="4"/>
        <v>48213</v>
      </c>
      <c r="K5" s="514">
        <f t="shared" si="4"/>
        <v>48579</v>
      </c>
      <c r="L5" s="514">
        <f>DATE(L3,12,31)</f>
        <v>48944</v>
      </c>
      <c r="M5" s="514">
        <f t="shared" ref="M5:T5" si="5">DATE(M3,12,31)</f>
        <v>49309</v>
      </c>
      <c r="N5" s="514">
        <f t="shared" si="5"/>
        <v>49674</v>
      </c>
      <c r="O5" s="514">
        <f t="shared" si="5"/>
        <v>50040</v>
      </c>
      <c r="P5" s="514">
        <f t="shared" si="5"/>
        <v>50405</v>
      </c>
      <c r="Q5" s="514">
        <f t="shared" si="5"/>
        <v>50770</v>
      </c>
      <c r="R5" s="514">
        <f t="shared" si="5"/>
        <v>51135</v>
      </c>
      <c r="S5" s="514">
        <f t="shared" si="5"/>
        <v>51501</v>
      </c>
      <c r="T5" s="514">
        <f t="shared" si="5"/>
        <v>51866</v>
      </c>
      <c r="AO5" s="814">
        <f>'К дв.загр'!G11</f>
        <v>4.25</v>
      </c>
    </row>
    <row r="6" spans="1:57" hidden="1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365</v>
      </c>
      <c r="G6" s="515">
        <f t="shared" si="6"/>
        <v>366</v>
      </c>
      <c r="H6" s="515">
        <f t="shared" si="6"/>
        <v>365</v>
      </c>
      <c r="I6" s="515">
        <f t="shared" si="6"/>
        <v>365</v>
      </c>
      <c r="J6" s="515">
        <f t="shared" si="6"/>
        <v>365</v>
      </c>
      <c r="K6" s="515">
        <f t="shared" si="6"/>
        <v>366</v>
      </c>
      <c r="L6" s="515">
        <f t="shared" si="6"/>
        <v>365</v>
      </c>
      <c r="M6" s="515">
        <f t="shared" si="6"/>
        <v>365</v>
      </c>
      <c r="N6" s="515">
        <f t="shared" si="6"/>
        <v>365</v>
      </c>
      <c r="O6" s="515">
        <f t="shared" si="6"/>
        <v>366</v>
      </c>
      <c r="P6" s="515">
        <f t="shared" si="6"/>
        <v>365</v>
      </c>
      <c r="Q6" s="515">
        <f t="shared" si="6"/>
        <v>365</v>
      </c>
      <c r="R6" s="515">
        <f t="shared" si="6"/>
        <v>365</v>
      </c>
      <c r="S6" s="515">
        <f t="shared" si="6"/>
        <v>366</v>
      </c>
      <c r="T6" s="515">
        <f t="shared" si="6"/>
        <v>365</v>
      </c>
    </row>
    <row r="7" spans="1:57" hidden="1" outlineLevel="1">
      <c r="A7" s="509"/>
      <c r="B7" s="509"/>
      <c r="C7" s="512" t="s">
        <v>549</v>
      </c>
      <c r="D7" s="815">
        <f>Объекты!F9</f>
        <v>101</v>
      </c>
      <c r="E7" s="538">
        <f>D7</f>
        <v>101</v>
      </c>
      <c r="F7" s="538">
        <f t="shared" ref="F7:T7" si="7">E7</f>
        <v>101</v>
      </c>
      <c r="G7" s="538">
        <f t="shared" si="7"/>
        <v>101</v>
      </c>
      <c r="H7" s="538">
        <f t="shared" si="7"/>
        <v>101</v>
      </c>
      <c r="I7" s="538">
        <f t="shared" si="7"/>
        <v>101</v>
      </c>
      <c r="J7" s="538">
        <f t="shared" si="7"/>
        <v>101</v>
      </c>
      <c r="K7" s="538">
        <f t="shared" si="7"/>
        <v>101</v>
      </c>
      <c r="L7" s="538">
        <f t="shared" si="7"/>
        <v>101</v>
      </c>
      <c r="M7" s="538">
        <f t="shared" si="7"/>
        <v>101</v>
      </c>
      <c r="N7" s="538">
        <f t="shared" si="7"/>
        <v>101</v>
      </c>
      <c r="O7" s="538">
        <f t="shared" si="7"/>
        <v>101</v>
      </c>
      <c r="P7" s="538">
        <f t="shared" si="7"/>
        <v>101</v>
      </c>
      <c r="Q7" s="538">
        <f t="shared" si="7"/>
        <v>101</v>
      </c>
      <c r="R7" s="538">
        <f t="shared" si="7"/>
        <v>101</v>
      </c>
      <c r="S7" s="538">
        <f t="shared" si="7"/>
        <v>101</v>
      </c>
      <c r="T7" s="538">
        <f t="shared" si="7"/>
        <v>101</v>
      </c>
      <c r="V7" s="539"/>
      <c r="W7" s="540"/>
      <c r="X7" s="540"/>
      <c r="Y7" s="540"/>
      <c r="Z7" s="540"/>
    </row>
    <row r="8" spans="1:57" collapsed="1">
      <c r="A8" s="509"/>
      <c r="B8" s="509"/>
      <c r="C8" s="512" t="s">
        <v>546</v>
      </c>
      <c r="D8" s="201">
        <f>D7*D6</f>
        <v>18584</v>
      </c>
      <c r="E8" s="201">
        <f t="shared" ref="E8:T8" si="8">E7*E6</f>
        <v>36865</v>
      </c>
      <c r="F8" s="201">
        <f t="shared" si="8"/>
        <v>36865</v>
      </c>
      <c r="G8" s="201">
        <f t="shared" si="8"/>
        <v>36966</v>
      </c>
      <c r="H8" s="201">
        <f t="shared" si="8"/>
        <v>36865</v>
      </c>
      <c r="I8" s="201">
        <f t="shared" si="8"/>
        <v>36865</v>
      </c>
      <c r="J8" s="201">
        <f t="shared" si="8"/>
        <v>36865</v>
      </c>
      <c r="K8" s="201">
        <f t="shared" si="8"/>
        <v>36966</v>
      </c>
      <c r="L8" s="201">
        <f t="shared" si="8"/>
        <v>36865</v>
      </c>
      <c r="M8" s="201">
        <f t="shared" si="8"/>
        <v>36865</v>
      </c>
      <c r="N8" s="201">
        <f t="shared" si="8"/>
        <v>36865</v>
      </c>
      <c r="O8" s="201">
        <f t="shared" si="8"/>
        <v>36966</v>
      </c>
      <c r="P8" s="201">
        <f t="shared" si="8"/>
        <v>36865</v>
      </c>
      <c r="Q8" s="201">
        <f t="shared" si="8"/>
        <v>36865</v>
      </c>
      <c r="R8" s="201">
        <f t="shared" si="8"/>
        <v>36865</v>
      </c>
      <c r="S8" s="201">
        <f t="shared" si="8"/>
        <v>36966</v>
      </c>
      <c r="T8" s="201">
        <f t="shared" si="8"/>
        <v>36865</v>
      </c>
      <c r="AO8" s="537"/>
    </row>
    <row r="9" spans="1:57">
      <c r="A9" s="509"/>
      <c r="B9" s="509"/>
      <c r="C9" s="512" t="s">
        <v>547</v>
      </c>
      <c r="D9" s="201">
        <f>D8*D10</f>
        <v>7209.0561017357868</v>
      </c>
      <c r="E9" s="201">
        <f t="shared" ref="E9:T9" si="9">E8*E10</f>
        <v>21039.40880434783</v>
      </c>
      <c r="F9" s="201">
        <f t="shared" si="9"/>
        <v>22277.021086956527</v>
      </c>
      <c r="G9" s="201">
        <f t="shared" si="9"/>
        <v>23579.057022632522</v>
      </c>
      <c r="H9" s="201">
        <f t="shared" si="9"/>
        <v>24752.245652173915</v>
      </c>
      <c r="I9" s="208">
        <f t="shared" si="9"/>
        <v>24752.245652173915</v>
      </c>
      <c r="J9" s="201">
        <f t="shared" si="9"/>
        <v>24752.245652173915</v>
      </c>
      <c r="K9" s="201">
        <f t="shared" si="9"/>
        <v>24820.060023823709</v>
      </c>
      <c r="L9" s="201">
        <f t="shared" si="9"/>
        <v>24752.245652173915</v>
      </c>
      <c r="M9" s="201">
        <f t="shared" si="9"/>
        <v>24752.245652173915</v>
      </c>
      <c r="N9" s="201">
        <f t="shared" si="9"/>
        <v>24752.245652173915</v>
      </c>
      <c r="O9" s="201">
        <f t="shared" si="9"/>
        <v>24820.060023823709</v>
      </c>
      <c r="P9" s="201">
        <f t="shared" si="9"/>
        <v>24752.245652173915</v>
      </c>
      <c r="Q9" s="201">
        <f t="shared" si="9"/>
        <v>24752.245652173915</v>
      </c>
      <c r="R9" s="201">
        <f t="shared" si="9"/>
        <v>24752.245652173915</v>
      </c>
      <c r="S9" s="201">
        <f t="shared" si="9"/>
        <v>24820.060023823709</v>
      </c>
      <c r="T9" s="201">
        <f t="shared" si="9"/>
        <v>24752.245652173915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SUMIF(ADR_OCC!$91:$91,D$3,ADR_OCC!96:96)</f>
        <v>0.38791735373093988</v>
      </c>
      <c r="E10" s="542">
        <f>SUMIF(ADR_OCC!$91:$91,E$3,ADR_OCC!96:96)</f>
        <v>0.57071500893388927</v>
      </c>
      <c r="F10" s="542">
        <f>SUMIF(ADR_OCC!$91:$91,F$3,ADR_OCC!96:96)</f>
        <v>0.60428648004764751</v>
      </c>
      <c r="G10" s="542">
        <f>SUMIF(ADR_OCC!$91:$91,G$3,ADR_OCC!96:96)</f>
        <v>0.63785795116140565</v>
      </c>
      <c r="H10" s="542">
        <f>SUMIF(ADR_OCC!$91:$91,H$3,ADR_OCC!96:96)</f>
        <v>0.67142942227516389</v>
      </c>
      <c r="I10" s="542">
        <f>SUMIF(ADR_OCC!$91:$91,I$3,ADR_OCC!96:96)</f>
        <v>0.67142942227516389</v>
      </c>
      <c r="J10" s="542">
        <f>SUMIF(ADR_OCC!$91:$91,J$3,ADR_OCC!96:96)</f>
        <v>0.67142942227516389</v>
      </c>
      <c r="K10" s="542">
        <f>SUMIF(ADR_OCC!$91:$91,K$3,ADR_OCC!96:96)</f>
        <v>0.67142942227516389</v>
      </c>
      <c r="L10" s="542">
        <f>SUMIF(ADR_OCC!$91:$91,L$3,ADR_OCC!96:96)</f>
        <v>0.67142942227516389</v>
      </c>
      <c r="M10" s="542">
        <f>SUMIF(ADR_OCC!$91:$91,M$3,ADR_OCC!96:96)</f>
        <v>0.67142942227516389</v>
      </c>
      <c r="N10" s="542">
        <f>SUMIF(ADR_OCC!$91:$91,N$3,ADR_OCC!96:96)</f>
        <v>0.67142942227516389</v>
      </c>
      <c r="O10" s="542">
        <f>SUMIF(ADR_OCC!$91:$91,O$3,ADR_OCC!96:96)</f>
        <v>0.67142942227516389</v>
      </c>
      <c r="P10" s="542">
        <f>SUMIF(ADR_OCC!$91:$91,P$3,ADR_OCC!96:96)</f>
        <v>0.67142942227516389</v>
      </c>
      <c r="Q10" s="542">
        <f>SUMIF(ADR_OCC!$91:$91,Q$3,ADR_OCC!96:96)</f>
        <v>0.67142942227516389</v>
      </c>
      <c r="R10" s="542">
        <f>SUMIF(ADR_OCC!$91:$91,R$3,ADR_OCC!96:96)</f>
        <v>0.67142942227516389</v>
      </c>
      <c r="S10" s="542">
        <f>SUMIF(ADR_OCC!$91:$91,S$3,ADR_OCC!96:96)</f>
        <v>0.67142942227516389</v>
      </c>
      <c r="T10" s="542">
        <f>SUMIF(ADR_OCC!$91:$91,T$3,ADR_OCC!96:96)</f>
        <v>0.67142942227516389</v>
      </c>
      <c r="V10" s="543"/>
      <c r="W10" s="544" t="str">
        <f t="shared" ref="W10:AL10" si="10">ROUND((E10-D10),2)*100 &amp; "пп."</f>
        <v>18пп.</v>
      </c>
      <c r="X10" s="544" t="str">
        <f t="shared" si="10"/>
        <v>3пп.</v>
      </c>
      <c r="Y10" s="544" t="str">
        <f t="shared" si="10"/>
        <v>3пп.</v>
      </c>
      <c r="Z10" s="544" t="str">
        <f t="shared" si="10"/>
        <v>3пп.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SUMIF(ADR_OCC!$65:$65,D$3,ADR_OCC!70:70)</f>
        <v>4488.2073599999994</v>
      </c>
      <c r="E11" s="208">
        <f>SUMIF(ADR_OCC!$65:$65,E$3,ADR_OCC!70:70)</f>
        <v>5001.1453440000005</v>
      </c>
      <c r="F11" s="208">
        <f>SUMIF(ADR_OCC!$65:$65,F$3,ADR_OCC!70:70)</f>
        <v>5547.9372349440009</v>
      </c>
      <c r="G11" s="208">
        <f>SUMIF(ADR_OCC!$65:$65,G$3,ADR_OCC!70:70)</f>
        <v>6130.4706446131204</v>
      </c>
      <c r="H11" s="208">
        <f>SUMIF(ADR_OCC!$65:$65,H$3,ADR_OCC!70:70)</f>
        <v>6750.7300274798599</v>
      </c>
      <c r="I11" s="208">
        <f>SUMIF(ADR_OCC!$65:$65,I$3,ADR_OCC!70:70)</f>
        <v>7020.7592285790552</v>
      </c>
      <c r="J11" s="208">
        <f>SUMIF(ADR_OCC!$65:$65,J$3,ADR_OCC!70:70)</f>
        <v>7301.5895977222171</v>
      </c>
      <c r="K11" s="208">
        <f>SUMIF(ADR_OCC!$65:$65,K$3,ADR_OCC!70:70)</f>
        <v>7593.6531816311062</v>
      </c>
      <c r="L11" s="208">
        <f>SUMIF(ADR_OCC!$65:$65,L$3,ADR_OCC!70:70)</f>
        <v>7897.3993088963507</v>
      </c>
      <c r="M11" s="208">
        <f>SUMIF(ADR_OCC!$65:$65,M$3,ADR_OCC!70:70)</f>
        <v>8213.2952812522053</v>
      </c>
      <c r="N11" s="208">
        <f>SUMIF(ADR_OCC!$65:$65,N$3,ADR_OCC!70:70)</f>
        <v>8541.8270925022953</v>
      </c>
      <c r="O11" s="208">
        <f>SUMIF(ADR_OCC!$65:$65,O$3,ADR_OCC!70:70)</f>
        <v>8883.5001762023876</v>
      </c>
      <c r="P11" s="208">
        <f>SUMIF(ADR_OCC!$65:$65,P$3,ADR_OCC!70:70)</f>
        <v>9238.8401832504824</v>
      </c>
      <c r="Q11" s="208">
        <f>SUMIF(ADR_OCC!$65:$65,Q$3,ADR_OCC!70:70)</f>
        <v>9608.3937905805033</v>
      </c>
      <c r="R11" s="208">
        <f>SUMIF(ADR_OCC!$65:$65,R$3,ADR_OCC!70:70)</f>
        <v>9992.7295422037223</v>
      </c>
      <c r="S11" s="208">
        <f>SUMIF(ADR_OCC!$65:$65,S$3,ADR_OCC!70:70)</f>
        <v>10392.438723891872</v>
      </c>
      <c r="T11" s="208">
        <f>SUMIF(ADR_OCC!$65:$65,T$3,ADR_OCC!70:70)</f>
        <v>10808.136272847547</v>
      </c>
      <c r="V11" s="543"/>
      <c r="W11" s="522">
        <f t="shared" ref="W11:AL11" si="11">E11/D11-1</f>
        <v>0.11428571428571455</v>
      </c>
      <c r="X11" s="522">
        <f t="shared" si="11"/>
        <v>0.1093333333333335</v>
      </c>
      <c r="Y11" s="522">
        <f t="shared" si="11"/>
        <v>0.10499999999999998</v>
      </c>
      <c r="Z11" s="522">
        <f t="shared" si="11"/>
        <v>0.10117647058823542</v>
      </c>
      <c r="AA11" s="522">
        <f t="shared" si="11"/>
        <v>4.0000000000000036E-2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4.0000000000000258E-2</v>
      </c>
      <c r="AG11" s="522">
        <f t="shared" si="11"/>
        <v>4.0000000000000036E-2</v>
      </c>
      <c r="AH11" s="522">
        <f t="shared" si="11"/>
        <v>3.9999999999999813E-2</v>
      </c>
      <c r="AI11" s="522">
        <f t="shared" si="11"/>
        <v>4.0000000000000258E-2</v>
      </c>
      <c r="AJ11" s="522">
        <f t="shared" si="11"/>
        <v>3.9999999999999813E-2</v>
      </c>
      <c r="AK11" s="522">
        <f t="shared" si="11"/>
        <v>4.0000000000000036E-2</v>
      </c>
      <c r="AL11" s="522">
        <f t="shared" si="11"/>
        <v>4.0000000000000036E-2</v>
      </c>
      <c r="AO11" s="545">
        <f>SUMIF(CPI!3:3,AO3,CPI!4:4)</f>
        <v>0.04</v>
      </c>
      <c r="AP11" s="546">
        <f>SUMIF(CPI!3:3,AP3,CPI!4:4)</f>
        <v>0.04</v>
      </c>
      <c r="AQ11" s="546">
        <f>SUMIF(CPI!3:3,AQ3,CPI!4:4)</f>
        <v>0.04</v>
      </c>
      <c r="AR11" s="546">
        <f>SUMIF(CPI!3:3,AR3,CPI!4:4)</f>
        <v>0.04</v>
      </c>
      <c r="AS11" s="546">
        <f>SUMIF(CPI!3:3,AS3,CPI!4:4)</f>
        <v>0.04</v>
      </c>
      <c r="AT11" s="546">
        <f>SUMIF(CPI!3:3,AT3,CPI!4:4)</f>
        <v>0.04</v>
      </c>
      <c r="AU11" s="546">
        <f>SUMIF(CPI!3:3,AU3,CPI!4:4)</f>
        <v>0.04</v>
      </c>
      <c r="AV11" s="546">
        <f>SUMIF(CPI!3:3,AV3,CPI!4:4)</f>
        <v>0.04</v>
      </c>
      <c r="AW11" s="546">
        <f>SUMIF(CPI!3:3,AW3,CPI!4:4)</f>
        <v>0.04</v>
      </c>
      <c r="AX11" s="546">
        <f>SUMIF(CPI!3:3,AX3,CPI!4:4)</f>
        <v>0.04</v>
      </c>
      <c r="AY11" s="546">
        <f>SUMIF(CPI!3:3,AY3,CPI!4:4)</f>
        <v>0.04</v>
      </c>
      <c r="AZ11" s="546">
        <f>SUMIF(CPI!3:3,AZ3,CPI!4:4)</f>
        <v>0.04</v>
      </c>
      <c r="BA11" s="546">
        <f>SUMIF(CPI!3:3,BA3,CPI!4:4)</f>
        <v>0.04</v>
      </c>
      <c r="BB11" s="546">
        <f>SUMIF(CPI!3:3,BB3,CPI!4:4)</f>
        <v>0.04</v>
      </c>
      <c r="BC11" s="546">
        <f>SUMIF(CPI!3:3,BC3,CPI!4:4)</f>
        <v>0.04</v>
      </c>
      <c r="BD11" s="546">
        <f>SUMIF(CPI!3:3,BD3,CPI!4:4)</f>
        <v>0.04</v>
      </c>
      <c r="BE11" s="546">
        <f>SUMIF(CPI!3:3,BE3,CPI!4:4)</f>
        <v>0.04</v>
      </c>
    </row>
    <row r="12" spans="1:57">
      <c r="A12" s="509"/>
      <c r="B12" s="509"/>
      <c r="C12" s="547" t="s">
        <v>31</v>
      </c>
      <c r="D12" s="1035">
        <f t="shared" ref="D12:T12" si="12">D14+D21+D39+D45+D33</f>
        <v>34135304.280458957</v>
      </c>
      <c r="E12" s="548">
        <f t="shared" si="12"/>
        <v>109956092.74458371</v>
      </c>
      <c r="F12" s="1035">
        <f t="shared" si="12"/>
        <v>129153132.93669695</v>
      </c>
      <c r="G12" s="548">
        <f t="shared" si="12"/>
        <v>150332745.58110383</v>
      </c>
      <c r="H12" s="548">
        <f t="shared" si="12"/>
        <v>173779557.09055579</v>
      </c>
      <c r="I12" s="548">
        <f t="shared" si="12"/>
        <v>180730739.37417805</v>
      </c>
      <c r="J12" s="548">
        <f t="shared" si="12"/>
        <v>187959968.94914514</v>
      </c>
      <c r="K12" s="548">
        <f t="shared" si="12"/>
        <v>196013924.87891129</v>
      </c>
      <c r="L12" s="548">
        <f t="shared" si="12"/>
        <v>203297502.41539544</v>
      </c>
      <c r="M12" s="548">
        <f t="shared" si="12"/>
        <v>211429402.51201126</v>
      </c>
      <c r="N12" s="548">
        <f t="shared" si="12"/>
        <v>219886578.61249173</v>
      </c>
      <c r="O12" s="548">
        <f t="shared" si="12"/>
        <v>229308567.8987914</v>
      </c>
      <c r="P12" s="548">
        <f t="shared" si="12"/>
        <v>237829323.42727107</v>
      </c>
      <c r="Q12" s="548">
        <f t="shared" si="12"/>
        <v>247342496.36436194</v>
      </c>
      <c r="R12" s="548">
        <f t="shared" si="12"/>
        <v>257236196.21893638</v>
      </c>
      <c r="S12" s="548">
        <f t="shared" si="12"/>
        <v>268258591.03774235</v>
      </c>
      <c r="T12" s="548">
        <f t="shared" si="12"/>
        <v>278226669.83040166</v>
      </c>
      <c r="V12" s="549"/>
      <c r="W12" s="549"/>
      <c r="X12" s="549"/>
      <c r="Y12" s="549"/>
      <c r="Z12" s="549"/>
      <c r="AO12" s="548">
        <f t="shared" ref="AO12:BE12" si="13">D12/D9</f>
        <v>4735.0587648000001</v>
      </c>
      <c r="AP12" s="548">
        <f t="shared" si="13"/>
        <v>5226.1968844800003</v>
      </c>
      <c r="AQ12" s="548">
        <f t="shared" si="13"/>
        <v>5797.5944105164808</v>
      </c>
      <c r="AR12" s="548">
        <f t="shared" si="13"/>
        <v>6375.6894703976459</v>
      </c>
      <c r="AS12" s="548">
        <f t="shared" si="13"/>
        <v>7020.7592285790543</v>
      </c>
      <c r="AT12" s="548">
        <f t="shared" si="13"/>
        <v>7301.5895977222181</v>
      </c>
      <c r="AU12" s="548">
        <f t="shared" si="13"/>
        <v>7593.6531816311053</v>
      </c>
      <c r="AV12" s="548">
        <f t="shared" si="13"/>
        <v>7897.3993088963498</v>
      </c>
      <c r="AW12" s="548">
        <f t="shared" si="13"/>
        <v>8213.2952812522053</v>
      </c>
      <c r="AX12" s="548">
        <f t="shared" si="13"/>
        <v>8541.8270925022935</v>
      </c>
      <c r="AY12" s="548">
        <f t="shared" si="13"/>
        <v>8883.5001762023858</v>
      </c>
      <c r="AZ12" s="548">
        <f t="shared" si="13"/>
        <v>9238.8401832504824</v>
      </c>
      <c r="BA12" s="548">
        <f t="shared" si="13"/>
        <v>9608.3937905805014</v>
      </c>
      <c r="BB12" s="548">
        <f t="shared" si="13"/>
        <v>9992.7295422037223</v>
      </c>
      <c r="BC12" s="548">
        <f t="shared" si="13"/>
        <v>10392.43872389187</v>
      </c>
      <c r="BD12" s="548">
        <f t="shared" si="13"/>
        <v>10808.136272847545</v>
      </c>
      <c r="BE12" s="548">
        <f t="shared" si="13"/>
        <v>11240.461723761449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>
        <f t="shared" ref="AO13:BE13" si="14">D14/D9</f>
        <v>4488.2073599999994</v>
      </c>
      <c r="AP13" s="552">
        <f t="shared" si="14"/>
        <v>5001.1453440000005</v>
      </c>
      <c r="AQ13" s="552">
        <f t="shared" si="14"/>
        <v>5547.9372349440009</v>
      </c>
      <c r="AR13" s="552">
        <f t="shared" si="14"/>
        <v>6130.4706446131204</v>
      </c>
      <c r="AS13" s="552">
        <f t="shared" si="14"/>
        <v>6750.7300274798608</v>
      </c>
      <c r="AT13" s="552">
        <f t="shared" si="14"/>
        <v>7020.7592285790552</v>
      </c>
      <c r="AU13" s="552">
        <f t="shared" si="14"/>
        <v>7301.5895977222162</v>
      </c>
      <c r="AV13" s="552">
        <f t="shared" si="14"/>
        <v>7593.6531816311062</v>
      </c>
      <c r="AW13" s="552">
        <f t="shared" si="14"/>
        <v>7897.3993088963507</v>
      </c>
      <c r="AX13" s="552">
        <f t="shared" si="14"/>
        <v>8213.2952812522053</v>
      </c>
      <c r="AY13" s="552">
        <f t="shared" si="14"/>
        <v>8541.8270925022953</v>
      </c>
      <c r="AZ13" s="552">
        <f t="shared" si="14"/>
        <v>8883.5001762023876</v>
      </c>
      <c r="BA13" s="552">
        <f t="shared" si="14"/>
        <v>9238.8401832504824</v>
      </c>
      <c r="BB13" s="552">
        <f t="shared" si="14"/>
        <v>9608.3937905805033</v>
      </c>
      <c r="BC13" s="552">
        <f t="shared" si="14"/>
        <v>9992.7295422037223</v>
      </c>
      <c r="BD13" s="552">
        <f t="shared" si="14"/>
        <v>10392.438723891872</v>
      </c>
      <c r="BE13" s="552">
        <f t="shared" si="14"/>
        <v>10808.136272847547</v>
      </c>
    </row>
    <row r="14" spans="1:57">
      <c r="A14" s="553"/>
      <c r="B14" s="553"/>
      <c r="C14" s="521" t="s">
        <v>17</v>
      </c>
      <c r="D14" s="554">
        <f>D11*D9</f>
        <v>32355738.654463463</v>
      </c>
      <c r="E14" s="554">
        <f t="shared" ref="E14:T14" si="15">E11*E9</f>
        <v>105221141.38237676</v>
      </c>
      <c r="F14" s="554">
        <f t="shared" si="15"/>
        <v>123591514.7719588</v>
      </c>
      <c r="G14" s="554">
        <f t="shared" si="15"/>
        <v>144550716.90490752</v>
      </c>
      <c r="H14" s="554">
        <f t="shared" si="15"/>
        <v>167095727.97168827</v>
      </c>
      <c r="I14" s="554">
        <f t="shared" si="15"/>
        <v>173779557.09055582</v>
      </c>
      <c r="J14" s="554">
        <f t="shared" si="15"/>
        <v>180730739.37417802</v>
      </c>
      <c r="K14" s="554">
        <f t="shared" si="15"/>
        <v>188474927.76818395</v>
      </c>
      <c r="L14" s="554">
        <f t="shared" si="15"/>
        <v>195478367.70711097</v>
      </c>
      <c r="M14" s="554">
        <f t="shared" si="15"/>
        <v>203297502.41539544</v>
      </c>
      <c r="N14" s="554">
        <f t="shared" si="15"/>
        <v>211429402.51201129</v>
      </c>
      <c r="O14" s="554">
        <f t="shared" si="15"/>
        <v>220489007.59499174</v>
      </c>
      <c r="P14" s="554">
        <f t="shared" si="15"/>
        <v>228682041.75699142</v>
      </c>
      <c r="Q14" s="554">
        <f t="shared" si="15"/>
        <v>237829323.4272711</v>
      </c>
      <c r="R14" s="554">
        <f t="shared" si="15"/>
        <v>247342496.36436191</v>
      </c>
      <c r="S14" s="554">
        <f t="shared" si="15"/>
        <v>257940952.92090613</v>
      </c>
      <c r="T14" s="554">
        <f t="shared" si="15"/>
        <v>267525644.06769389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4301615.7036733096</v>
      </c>
      <c r="E15" s="201">
        <f t="shared" si="16"/>
        <v>12208606.700864781</v>
      </c>
      <c r="F15" s="201">
        <f t="shared" si="16"/>
        <v>12682858.903451094</v>
      </c>
      <c r="G15" s="201">
        <f t="shared" si="16"/>
        <v>13165983.612997727</v>
      </c>
      <c r="H15" s="201">
        <f t="shared" si="16"/>
        <v>13550062.931037491</v>
      </c>
      <c r="I15" s="201">
        <f t="shared" si="16"/>
        <v>14092065.448278993</v>
      </c>
      <c r="J15" s="201">
        <f t="shared" si="16"/>
        <v>14655748.066210153</v>
      </c>
      <c r="K15" s="201">
        <f t="shared" si="16"/>
        <v>15283736.832663655</v>
      </c>
      <c r="L15" s="201">
        <f t="shared" si="16"/>
        <v>15851657.108412905</v>
      </c>
      <c r="M15" s="201">
        <f t="shared" si="16"/>
        <v>16485723.392749419</v>
      </c>
      <c r="N15" s="201">
        <f t="shared" si="16"/>
        <v>17145152.328459397</v>
      </c>
      <c r="O15" s="201">
        <f t="shared" si="16"/>
        <v>17879810.362478867</v>
      </c>
      <c r="P15" s="201">
        <f t="shared" si="16"/>
        <v>18544196.758461688</v>
      </c>
      <c r="Q15" s="201">
        <f t="shared" si="16"/>
        <v>19285964.628800154</v>
      </c>
      <c r="R15" s="201">
        <f t="shared" si="16"/>
        <v>20057403.213952161</v>
      </c>
      <c r="S15" s="201">
        <f t="shared" si="16"/>
        <v>20916849.203722611</v>
      </c>
      <c r="T15" s="201">
        <f t="shared" si="16"/>
        <v>21694087.316210661</v>
      </c>
      <c r="V15" s="522">
        <f>D15/D14</f>
        <v>0.13294753519959907</v>
      </c>
      <c r="W15" s="522">
        <f>E15/E14</f>
        <v>0.11602807706198834</v>
      </c>
      <c r="X15" s="522">
        <f>F15/F14</f>
        <v>0.10261917192982459</v>
      </c>
      <c r="Y15" s="522">
        <f>G15/G14</f>
        <v>9.1082105263157909E-2</v>
      </c>
      <c r="Z15" s="522">
        <f>H15/H14</f>
        <v>8.1091617933723215E-2</v>
      </c>
      <c r="AA15" s="522">
        <f>Z15</f>
        <v>8.1091617933723215E-2</v>
      </c>
      <c r="AB15" s="522">
        <f t="shared" ref="AB15:AL17" si="17">AA15</f>
        <v>8.1091617933723215E-2</v>
      </c>
      <c r="AC15" s="522">
        <f t="shared" si="17"/>
        <v>8.1091617933723215E-2</v>
      </c>
      <c r="AD15" s="522">
        <f t="shared" si="17"/>
        <v>8.1091617933723215E-2</v>
      </c>
      <c r="AE15" s="522">
        <f t="shared" si="17"/>
        <v>8.1091617933723215E-2</v>
      </c>
      <c r="AF15" s="522">
        <f t="shared" si="17"/>
        <v>8.1091617933723215E-2</v>
      </c>
      <c r="AG15" s="522">
        <f t="shared" si="17"/>
        <v>8.1091617933723215E-2</v>
      </c>
      <c r="AH15" s="522">
        <f t="shared" si="17"/>
        <v>8.1091617933723215E-2</v>
      </c>
      <c r="AI15" s="522">
        <f t="shared" si="17"/>
        <v>8.1091617933723215E-2</v>
      </c>
      <c r="AJ15" s="522">
        <f t="shared" si="17"/>
        <v>8.1091617933723215E-2</v>
      </c>
      <c r="AK15" s="522">
        <f t="shared" si="17"/>
        <v>8.1091617933723215E-2</v>
      </c>
      <c r="AL15" s="522">
        <f t="shared" si="17"/>
        <v>8.1091617933723215E-2</v>
      </c>
      <c r="AO15" s="557">
        <f>'Прогноз расходов'!M10</f>
        <v>596.69610597669953</v>
      </c>
      <c r="AP15" s="557">
        <f>'Прогноз расходов'!N10</f>
        <v>580.27327737183623</v>
      </c>
      <c r="AQ15" s="557">
        <f>'Прогноз расходов'!O10</f>
        <v>569.32472496859407</v>
      </c>
      <c r="AR15" s="557">
        <f>'Прогноз расходов'!P10</f>
        <v>558.37617256535179</v>
      </c>
      <c r="AS15" s="557">
        <f>'Прогноз расходов'!Q10</f>
        <v>547.42762016210963</v>
      </c>
      <c r="AT15" s="201">
        <f t="shared" ref="AT15:BE15" si="18">AS15*(1+AT11)</f>
        <v>569.32472496859407</v>
      </c>
      <c r="AU15" s="201">
        <f t="shared" si="18"/>
        <v>592.09771396733788</v>
      </c>
      <c r="AV15" s="201">
        <f t="shared" si="18"/>
        <v>615.78162252603147</v>
      </c>
      <c r="AW15" s="201">
        <f t="shared" si="18"/>
        <v>640.41288742707275</v>
      </c>
      <c r="AX15" s="201">
        <f t="shared" si="18"/>
        <v>666.02940292415565</v>
      </c>
      <c r="AY15" s="201">
        <f t="shared" si="18"/>
        <v>692.67057904112187</v>
      </c>
      <c r="AZ15" s="201">
        <f t="shared" si="18"/>
        <v>720.3774022027668</v>
      </c>
      <c r="BA15" s="201">
        <f t="shared" si="18"/>
        <v>749.19249829087755</v>
      </c>
      <c r="BB15" s="201">
        <f t="shared" si="18"/>
        <v>779.16019822251269</v>
      </c>
      <c r="BC15" s="201">
        <f t="shared" si="18"/>
        <v>810.32660615141322</v>
      </c>
      <c r="BD15" s="201">
        <f t="shared" si="18"/>
        <v>842.73967039746981</v>
      </c>
      <c r="BE15" s="201">
        <f t="shared" si="18"/>
        <v>876.44925721336858</v>
      </c>
    </row>
    <row r="16" spans="1:57">
      <c r="A16" s="553"/>
      <c r="B16" s="553"/>
      <c r="C16" s="519" t="s">
        <v>529</v>
      </c>
      <c r="D16" s="201">
        <f t="shared" ref="D16:T16" si="19">V16*D14</f>
        <v>1132450.8529062213</v>
      </c>
      <c r="E16" s="201">
        <f t="shared" si="19"/>
        <v>3156634.2414713032</v>
      </c>
      <c r="F16" s="201">
        <f t="shared" si="19"/>
        <v>3089787.8692989703</v>
      </c>
      <c r="G16" s="201">
        <f t="shared" si="19"/>
        <v>2891014.3380981507</v>
      </c>
      <c r="H16" s="201">
        <f t="shared" si="19"/>
        <v>2506435.9195753238</v>
      </c>
      <c r="I16" s="201">
        <f t="shared" si="19"/>
        <v>2606693.3563583372</v>
      </c>
      <c r="J16" s="201">
        <f t="shared" si="19"/>
        <v>2710961.0906126704</v>
      </c>
      <c r="K16" s="201">
        <f t="shared" si="19"/>
        <v>2827123.916522759</v>
      </c>
      <c r="L16" s="201">
        <f t="shared" si="19"/>
        <v>2932175.5156066646</v>
      </c>
      <c r="M16" s="201">
        <f t="shared" si="19"/>
        <v>3049462.5362309315</v>
      </c>
      <c r="N16" s="201">
        <f t="shared" si="19"/>
        <v>3171441.0376801691</v>
      </c>
      <c r="O16" s="201">
        <f t="shared" si="19"/>
        <v>3307335.1139248759</v>
      </c>
      <c r="P16" s="201">
        <f t="shared" si="19"/>
        <v>3430230.6263548713</v>
      </c>
      <c r="Q16" s="201">
        <f t="shared" si="19"/>
        <v>3567439.8514090665</v>
      </c>
      <c r="R16" s="201">
        <f t="shared" si="19"/>
        <v>3710137.4454654288</v>
      </c>
      <c r="S16" s="201">
        <f t="shared" si="19"/>
        <v>3869114.2938135918</v>
      </c>
      <c r="T16" s="201">
        <f t="shared" si="19"/>
        <v>4012884.6610154081</v>
      </c>
      <c r="V16" s="522">
        <f>'Прогноз расходов'!M20</f>
        <v>3.5000000000000003E-2</v>
      </c>
      <c r="W16" s="522">
        <f>'Прогноз расходов'!N20</f>
        <v>3.0000000000000002E-2</v>
      </c>
      <c r="X16" s="522">
        <f>'Прогноз расходов'!O20</f>
        <v>2.5000000000000001E-2</v>
      </c>
      <c r="Y16" s="522">
        <f>'Прогноз расходов'!P20</f>
        <v>0.02</v>
      </c>
      <c r="Z16" s="522">
        <f>'Прогноз расходов'!Q20</f>
        <v>1.4999999999999999E-2</v>
      </c>
      <c r="AA16" s="522">
        <f>Z16</f>
        <v>1.4999999999999999E-2</v>
      </c>
      <c r="AB16" s="522">
        <f t="shared" si="17"/>
        <v>1.4999999999999999E-2</v>
      </c>
      <c r="AC16" s="522">
        <f t="shared" si="17"/>
        <v>1.4999999999999999E-2</v>
      </c>
      <c r="AD16" s="522">
        <f t="shared" si="17"/>
        <v>1.4999999999999999E-2</v>
      </c>
      <c r="AE16" s="522">
        <f t="shared" si="17"/>
        <v>1.4999999999999999E-2</v>
      </c>
      <c r="AF16" s="522">
        <f t="shared" si="17"/>
        <v>1.4999999999999999E-2</v>
      </c>
      <c r="AG16" s="522">
        <f t="shared" si="17"/>
        <v>1.4999999999999999E-2</v>
      </c>
      <c r="AH16" s="522">
        <f t="shared" si="17"/>
        <v>1.4999999999999999E-2</v>
      </c>
      <c r="AI16" s="522">
        <f t="shared" si="17"/>
        <v>1.4999999999999999E-2</v>
      </c>
      <c r="AJ16" s="522">
        <f t="shared" si="17"/>
        <v>1.4999999999999999E-2</v>
      </c>
      <c r="AK16" s="522">
        <f t="shared" si="17"/>
        <v>1.4999999999999999E-2</v>
      </c>
      <c r="AL16" s="522">
        <f t="shared" si="17"/>
        <v>1.4999999999999999E-2</v>
      </c>
      <c r="AO16" s="201">
        <f t="shared" ref="AO16:BE16" si="20">D16/D9</f>
        <v>157.08725759999999</v>
      </c>
      <c r="AP16" s="201">
        <f t="shared" si="20"/>
        <v>150.03436032000002</v>
      </c>
      <c r="AQ16" s="201">
        <f t="shared" si="20"/>
        <v>138.69843087360005</v>
      </c>
      <c r="AR16" s="201">
        <f t="shared" si="20"/>
        <v>122.60941289226243</v>
      </c>
      <c r="AS16" s="201">
        <f t="shared" si="20"/>
        <v>101.2609504121979</v>
      </c>
      <c r="AT16" s="201">
        <f t="shared" si="20"/>
        <v>105.31138842868583</v>
      </c>
      <c r="AU16" s="201">
        <f t="shared" si="20"/>
        <v>109.52384396583325</v>
      </c>
      <c r="AV16" s="201">
        <f t="shared" si="20"/>
        <v>113.90479772446659</v>
      </c>
      <c r="AW16" s="201">
        <f t="shared" si="20"/>
        <v>118.46098963344525</v>
      </c>
      <c r="AX16" s="201">
        <f t="shared" si="20"/>
        <v>123.19942921878308</v>
      </c>
      <c r="AY16" s="201">
        <f t="shared" si="20"/>
        <v>128.12740638753442</v>
      </c>
      <c r="AZ16" s="201">
        <f t="shared" si="20"/>
        <v>133.2525026430358</v>
      </c>
      <c r="BA16" s="201">
        <f t="shared" si="20"/>
        <v>138.58260274875724</v>
      </c>
      <c r="BB16" s="201">
        <f t="shared" si="20"/>
        <v>144.12590685870754</v>
      </c>
      <c r="BC16" s="201">
        <f t="shared" si="20"/>
        <v>149.89094313305583</v>
      </c>
      <c r="BD16" s="201">
        <f t="shared" si="20"/>
        <v>155.88658085837807</v>
      </c>
      <c r="BE16" s="201">
        <f t="shared" si="20"/>
        <v>162.1220440927132</v>
      </c>
    </row>
    <row r="17" spans="1:57">
      <c r="A17" s="553"/>
      <c r="B17" s="553"/>
      <c r="C17" s="519" t="s">
        <v>27</v>
      </c>
      <c r="D17" s="201">
        <f t="shared" ref="D17:T17" si="21">AO17*D9</f>
        <v>3660319.7845477015</v>
      </c>
      <c r="E17" s="201">
        <f t="shared" si="21"/>
        <v>10480973.677157501</v>
      </c>
      <c r="F17" s="201">
        <f t="shared" si="21"/>
        <v>10884088.049355866</v>
      </c>
      <c r="G17" s="201">
        <f t="shared" si="21"/>
        <v>11520235.661373012</v>
      </c>
      <c r="H17" s="201">
        <f t="shared" si="21"/>
        <v>11856305.064657805</v>
      </c>
      <c r="I17" s="201">
        <f t="shared" si="21"/>
        <v>12330557.267244117</v>
      </c>
      <c r="J17" s="201">
        <f t="shared" si="21"/>
        <v>12823779.557933884</v>
      </c>
      <c r="K17" s="201">
        <f t="shared" si="21"/>
        <v>13373269.728580697</v>
      </c>
      <c r="L17" s="201">
        <f t="shared" si="21"/>
        <v>13870199.969861288</v>
      </c>
      <c r="M17" s="201">
        <f t="shared" si="21"/>
        <v>14425007.968655739</v>
      </c>
      <c r="N17" s="201">
        <f t="shared" si="21"/>
        <v>15002008.28740197</v>
      </c>
      <c r="O17" s="201">
        <f t="shared" si="21"/>
        <v>15644834.067169007</v>
      </c>
      <c r="P17" s="201">
        <f t="shared" si="21"/>
        <v>16226172.163653973</v>
      </c>
      <c r="Q17" s="201">
        <f t="shared" si="21"/>
        <v>16875219.050200131</v>
      </c>
      <c r="R17" s="201">
        <f t="shared" si="21"/>
        <v>17550227.812208138</v>
      </c>
      <c r="S17" s="201">
        <f t="shared" si="21"/>
        <v>18302243.053257279</v>
      </c>
      <c r="T17" s="201">
        <f t="shared" si="21"/>
        <v>18982326.401684325</v>
      </c>
      <c r="V17" s="160">
        <f>D17/D14</f>
        <v>0.11312737513543866</v>
      </c>
      <c r="W17" s="160">
        <f>E17/E14</f>
        <v>9.9609009553216402E-2</v>
      </c>
      <c r="X17" s="160">
        <f>F17/F14</f>
        <v>8.8065010526315796E-2</v>
      </c>
      <c r="Y17" s="160">
        <f>G17/G14</f>
        <v>7.9696842105263177E-2</v>
      </c>
      <c r="Z17" s="160">
        <f>H17/H14</f>
        <v>7.0955165692007813E-2</v>
      </c>
      <c r="AA17" s="522">
        <f>Z17</f>
        <v>7.0955165692007813E-2</v>
      </c>
      <c r="AB17" s="522">
        <f t="shared" si="17"/>
        <v>7.0955165692007813E-2</v>
      </c>
      <c r="AC17" s="522">
        <f t="shared" si="17"/>
        <v>7.0955165692007813E-2</v>
      </c>
      <c r="AD17" s="522">
        <f t="shared" si="17"/>
        <v>7.0955165692007813E-2</v>
      </c>
      <c r="AE17" s="522">
        <f t="shared" si="17"/>
        <v>7.0955165692007813E-2</v>
      </c>
      <c r="AF17" s="522">
        <f t="shared" si="17"/>
        <v>7.0955165692007813E-2</v>
      </c>
      <c r="AG17" s="522">
        <f t="shared" si="17"/>
        <v>7.0955165692007813E-2</v>
      </c>
      <c r="AH17" s="522">
        <f t="shared" si="17"/>
        <v>7.0955165692007813E-2</v>
      </c>
      <c r="AI17" s="522">
        <f t="shared" si="17"/>
        <v>7.0955165692007813E-2</v>
      </c>
      <c r="AJ17" s="522">
        <f t="shared" si="17"/>
        <v>7.0955165692007813E-2</v>
      </c>
      <c r="AK17" s="522">
        <f t="shared" si="17"/>
        <v>7.0955165692007813E-2</v>
      </c>
      <c r="AL17" s="522">
        <f t="shared" si="17"/>
        <v>7.0955165692007813E-2</v>
      </c>
      <c r="AN17" s="823"/>
      <c r="AO17" s="557">
        <f>'Прогноз расходов'!M30</f>
        <v>507.7391177003567</v>
      </c>
      <c r="AP17" s="557">
        <f>'Прогноз расходов'!N30</f>
        <v>498.1591343475198</v>
      </c>
      <c r="AQ17" s="557">
        <f>'Прогноз расходов'!O30</f>
        <v>488.57915099468283</v>
      </c>
      <c r="AR17" s="557">
        <f>'Прогноз расходов'!P30</f>
        <v>488.57915099468283</v>
      </c>
      <c r="AS17" s="557">
        <f>'Прогноз расходов'!Q30</f>
        <v>478.99916764184593</v>
      </c>
      <c r="AT17" s="201">
        <f t="shared" ref="AT17:BE17" si="22">AS17*(1+AT11)</f>
        <v>498.1591343475198</v>
      </c>
      <c r="AU17" s="201">
        <f t="shared" si="22"/>
        <v>518.08549972142066</v>
      </c>
      <c r="AV17" s="201">
        <f t="shared" si="22"/>
        <v>538.80891971027745</v>
      </c>
      <c r="AW17" s="201">
        <f t="shared" si="22"/>
        <v>560.36127649868854</v>
      </c>
      <c r="AX17" s="201">
        <f t="shared" si="22"/>
        <v>582.77572755863605</v>
      </c>
      <c r="AY17" s="201">
        <f t="shared" si="22"/>
        <v>606.08675666098156</v>
      </c>
      <c r="AZ17" s="201">
        <f t="shared" si="22"/>
        <v>630.33022692742088</v>
      </c>
      <c r="BA17" s="201">
        <f t="shared" si="22"/>
        <v>655.54343600451773</v>
      </c>
      <c r="BB17" s="201">
        <f t="shared" si="22"/>
        <v>681.76517344469846</v>
      </c>
      <c r="BC17" s="201">
        <f t="shared" si="22"/>
        <v>709.03578038248645</v>
      </c>
      <c r="BD17" s="201">
        <f t="shared" si="22"/>
        <v>737.39721159778594</v>
      </c>
      <c r="BE17" s="201">
        <f t="shared" si="22"/>
        <v>766.8931000616974</v>
      </c>
    </row>
    <row r="18" spans="1:57">
      <c r="A18" s="553"/>
      <c r="B18" s="553"/>
      <c r="C18" s="521" t="s">
        <v>28</v>
      </c>
      <c r="D18" s="556">
        <f>SUM(D15:D17)</f>
        <v>9094386.3411272317</v>
      </c>
      <c r="E18" s="556">
        <f t="shared" ref="E18:T18" si="23">SUM(E15:E17)</f>
        <v>25846214.619493585</v>
      </c>
      <c r="F18" s="556">
        <f t="shared" si="23"/>
        <v>26656734.822105929</v>
      </c>
      <c r="G18" s="554">
        <f t="shared" si="23"/>
        <v>27577233.612468891</v>
      </c>
      <c r="H18" s="556">
        <f t="shared" si="23"/>
        <v>27912803.915270619</v>
      </c>
      <c r="I18" s="556">
        <f t="shared" si="23"/>
        <v>29029316.071881451</v>
      </c>
      <c r="J18" s="556">
        <f t="shared" si="23"/>
        <v>30190488.714756705</v>
      </c>
      <c r="K18" s="556">
        <f t="shared" si="23"/>
        <v>31484130.47776711</v>
      </c>
      <c r="L18" s="556">
        <f t="shared" si="23"/>
        <v>32654032.593880858</v>
      </c>
      <c r="M18" s="556">
        <f t="shared" si="23"/>
        <v>33960193.897636086</v>
      </c>
      <c r="N18" s="556">
        <f t="shared" si="23"/>
        <v>35318601.653541535</v>
      </c>
      <c r="O18" s="556">
        <f t="shared" si="23"/>
        <v>36831979.543572754</v>
      </c>
      <c r="P18" s="556">
        <f t="shared" si="23"/>
        <v>38200599.548470527</v>
      </c>
      <c r="Q18" s="556">
        <f t="shared" si="23"/>
        <v>39728623.530409351</v>
      </c>
      <c r="R18" s="556">
        <f t="shared" si="23"/>
        <v>41317768.47162573</v>
      </c>
      <c r="S18" s="556">
        <f t="shared" si="23"/>
        <v>43088206.550793484</v>
      </c>
      <c r="T18" s="556">
        <f t="shared" si="23"/>
        <v>44689298.378910393</v>
      </c>
      <c r="V18" s="558">
        <f t="shared" ref="V18:AL18" si="24">D18/D14</f>
        <v>0.28107491033503773</v>
      </c>
      <c r="W18" s="559">
        <f t="shared" si="24"/>
        <v>0.24563708661520475</v>
      </c>
      <c r="X18" s="559">
        <f t="shared" si="24"/>
        <v>0.21568418245614038</v>
      </c>
      <c r="Y18" s="559">
        <f t="shared" si="24"/>
        <v>0.1907789473684211</v>
      </c>
      <c r="Z18" s="559">
        <f t="shared" si="24"/>
        <v>0.167046783625731</v>
      </c>
      <c r="AA18" s="559">
        <f t="shared" si="24"/>
        <v>0.16704678362573103</v>
      </c>
      <c r="AB18" s="559">
        <f t="shared" si="24"/>
        <v>0.16704678362573103</v>
      </c>
      <c r="AC18" s="559">
        <f t="shared" si="24"/>
        <v>0.16704678362573103</v>
      </c>
      <c r="AD18" s="559">
        <f t="shared" si="24"/>
        <v>0.16704678362573105</v>
      </c>
      <c r="AE18" s="559">
        <f t="shared" si="24"/>
        <v>0.167046783625731</v>
      </c>
      <c r="AF18" s="559">
        <f t="shared" si="24"/>
        <v>0.167046783625731</v>
      </c>
      <c r="AG18" s="559">
        <f t="shared" si="24"/>
        <v>0.16704678362573103</v>
      </c>
      <c r="AH18" s="559">
        <f t="shared" si="24"/>
        <v>0.167046783625731</v>
      </c>
      <c r="AI18" s="559">
        <f t="shared" si="24"/>
        <v>0.167046783625731</v>
      </c>
      <c r="AJ18" s="559">
        <f t="shared" si="24"/>
        <v>0.16704678362573103</v>
      </c>
      <c r="AK18" s="559">
        <f t="shared" si="24"/>
        <v>0.16704678362573105</v>
      </c>
      <c r="AL18" s="559">
        <f t="shared" si="24"/>
        <v>0.16704678362573103</v>
      </c>
      <c r="AO18" s="554">
        <f t="shared" ref="AO18:BE18" si="25">D18/D$9</f>
        <v>1261.5224812770562</v>
      </c>
      <c r="AP18" s="556">
        <f t="shared" si="25"/>
        <v>1228.4667720393561</v>
      </c>
      <c r="AQ18" s="556">
        <f t="shared" si="25"/>
        <v>1196.6023068368768</v>
      </c>
      <c r="AR18" s="556">
        <f t="shared" si="25"/>
        <v>1169.5647364522972</v>
      </c>
      <c r="AS18" s="554">
        <f t="shared" si="25"/>
        <v>1127.6877382161533</v>
      </c>
      <c r="AT18" s="556">
        <f t="shared" si="25"/>
        <v>1172.7952477447998</v>
      </c>
      <c r="AU18" s="556">
        <f t="shared" si="25"/>
        <v>1219.7070576545916</v>
      </c>
      <c r="AV18" s="556">
        <f t="shared" si="25"/>
        <v>1268.4953399607755</v>
      </c>
      <c r="AW18" s="556">
        <f t="shared" si="25"/>
        <v>1319.2351535592065</v>
      </c>
      <c r="AX18" s="556">
        <f t="shared" si="25"/>
        <v>1372.0045597015746</v>
      </c>
      <c r="AY18" s="556">
        <f t="shared" si="25"/>
        <v>1426.8847420896377</v>
      </c>
      <c r="AZ18" s="556">
        <f t="shared" si="25"/>
        <v>1483.9601317732238</v>
      </c>
      <c r="BA18" s="556">
        <f t="shared" si="25"/>
        <v>1543.3185370441524</v>
      </c>
      <c r="BB18" s="556">
        <f t="shared" si="25"/>
        <v>1605.0512785259186</v>
      </c>
      <c r="BC18" s="556">
        <f t="shared" si="25"/>
        <v>1669.2533296669556</v>
      </c>
      <c r="BD18" s="556">
        <f t="shared" si="25"/>
        <v>1736.0234628536339</v>
      </c>
      <c r="BE18" s="556">
        <f t="shared" si="25"/>
        <v>1805.4644013677791</v>
      </c>
    </row>
    <row r="19" spans="1:57">
      <c r="A19" s="560"/>
      <c r="B19" s="560"/>
      <c r="C19" s="521" t="s">
        <v>18</v>
      </c>
      <c r="D19" s="554">
        <f t="shared" ref="D19:T19" si="26">D14-D18</f>
        <v>23261352.313336231</v>
      </c>
      <c r="E19" s="556">
        <f t="shared" si="26"/>
        <v>79374926.762883171</v>
      </c>
      <c r="F19" s="556">
        <f t="shared" si="26"/>
        <v>96934779.949852869</v>
      </c>
      <c r="G19" s="556">
        <f t="shared" si="26"/>
        <v>116973483.29243863</v>
      </c>
      <c r="H19" s="556">
        <f t="shared" si="26"/>
        <v>139182924.05641764</v>
      </c>
      <c r="I19" s="556">
        <f t="shared" si="26"/>
        <v>144750241.01867437</v>
      </c>
      <c r="J19" s="556">
        <f t="shared" si="26"/>
        <v>150540250.65942132</v>
      </c>
      <c r="K19" s="556">
        <f t="shared" si="26"/>
        <v>156990797.29041684</v>
      </c>
      <c r="L19" s="556">
        <f t="shared" si="26"/>
        <v>162824335.11323011</v>
      </c>
      <c r="M19" s="556">
        <f t="shared" si="26"/>
        <v>169337308.51775935</v>
      </c>
      <c r="N19" s="556">
        <f t="shared" si="26"/>
        <v>176110800.85846975</v>
      </c>
      <c r="O19" s="556">
        <f t="shared" si="26"/>
        <v>183657028.05141899</v>
      </c>
      <c r="P19" s="556">
        <f t="shared" si="26"/>
        <v>190481442.20852089</v>
      </c>
      <c r="Q19" s="556">
        <f t="shared" si="26"/>
        <v>198100699.89686173</v>
      </c>
      <c r="R19" s="556">
        <f t="shared" si="26"/>
        <v>206024727.8927362</v>
      </c>
      <c r="S19" s="556">
        <f t="shared" si="26"/>
        <v>214852746.37011266</v>
      </c>
      <c r="T19" s="556">
        <f t="shared" si="26"/>
        <v>222836345.6887835</v>
      </c>
      <c r="V19" s="559">
        <f t="shared" ref="V19:AL19" si="27">D19/D14</f>
        <v>0.71892508966496227</v>
      </c>
      <c r="W19" s="559">
        <f t="shared" si="27"/>
        <v>0.75436291338479522</v>
      </c>
      <c r="X19" s="559">
        <f t="shared" si="27"/>
        <v>0.78431581754385959</v>
      </c>
      <c r="Y19" s="559">
        <f t="shared" si="27"/>
        <v>0.80922105263157884</v>
      </c>
      <c r="Z19" s="559">
        <f t="shared" si="27"/>
        <v>0.832953216374269</v>
      </c>
      <c r="AA19" s="559">
        <f t="shared" si="27"/>
        <v>0.832953216374269</v>
      </c>
      <c r="AB19" s="559">
        <f t="shared" si="27"/>
        <v>0.832953216374269</v>
      </c>
      <c r="AC19" s="559">
        <f t="shared" si="27"/>
        <v>0.832953216374269</v>
      </c>
      <c r="AD19" s="559">
        <f t="shared" si="27"/>
        <v>0.83295321637426889</v>
      </c>
      <c r="AE19" s="559">
        <f t="shared" si="27"/>
        <v>0.832953216374269</v>
      </c>
      <c r="AF19" s="559">
        <f t="shared" si="27"/>
        <v>0.832953216374269</v>
      </c>
      <c r="AG19" s="559">
        <f t="shared" si="27"/>
        <v>0.832953216374269</v>
      </c>
      <c r="AH19" s="559">
        <f t="shared" si="27"/>
        <v>0.832953216374269</v>
      </c>
      <c r="AI19" s="559">
        <f t="shared" si="27"/>
        <v>0.83295321637426889</v>
      </c>
      <c r="AJ19" s="559">
        <f t="shared" si="27"/>
        <v>0.832953216374269</v>
      </c>
      <c r="AK19" s="559">
        <f t="shared" si="27"/>
        <v>0.832953216374269</v>
      </c>
      <c r="AL19" s="559">
        <f t="shared" si="27"/>
        <v>0.832953216374269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57" hidden="1" outlineLevel="1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/>
      <c r="W20" s="563"/>
      <c r="X20" s="563"/>
      <c r="Y20" s="563"/>
      <c r="Z20" s="563"/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562"/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57" hidden="1" outlineLevel="1">
      <c r="A21" s="560"/>
      <c r="B21" s="560"/>
      <c r="C21" s="521" t="s">
        <v>17</v>
      </c>
      <c r="D21" s="556">
        <f>D22+D23</f>
        <v>0</v>
      </c>
      <c r="E21" s="556">
        <f t="shared" ref="E21:T21" si="28">E22+E23</f>
        <v>0</v>
      </c>
      <c r="F21" s="556">
        <f t="shared" si="28"/>
        <v>0</v>
      </c>
      <c r="G21" s="556">
        <f t="shared" si="28"/>
        <v>0</v>
      </c>
      <c r="H21" s="556">
        <f t="shared" si="28"/>
        <v>0</v>
      </c>
      <c r="I21" s="556">
        <f t="shared" si="28"/>
        <v>0</v>
      </c>
      <c r="J21" s="556">
        <f t="shared" si="28"/>
        <v>0</v>
      </c>
      <c r="K21" s="556">
        <f t="shared" si="28"/>
        <v>0</v>
      </c>
      <c r="L21" s="556">
        <f t="shared" si="28"/>
        <v>0</v>
      </c>
      <c r="M21" s="556">
        <f t="shared" si="28"/>
        <v>0</v>
      </c>
      <c r="N21" s="556">
        <f t="shared" si="28"/>
        <v>0</v>
      </c>
      <c r="O21" s="556">
        <f t="shared" si="28"/>
        <v>0</v>
      </c>
      <c r="P21" s="556">
        <f t="shared" si="28"/>
        <v>0</v>
      </c>
      <c r="Q21" s="556">
        <f t="shared" si="28"/>
        <v>0</v>
      </c>
      <c r="R21" s="556">
        <f t="shared" si="28"/>
        <v>0</v>
      </c>
      <c r="S21" s="556">
        <f t="shared" si="28"/>
        <v>0</v>
      </c>
      <c r="T21" s="556">
        <f t="shared" si="28"/>
        <v>0</v>
      </c>
      <c r="V21" s="555">
        <f t="shared" ref="V21:AL21" si="29">D21/D14</f>
        <v>0</v>
      </c>
      <c r="W21" s="555">
        <f t="shared" si="29"/>
        <v>0</v>
      </c>
      <c r="X21" s="555">
        <f t="shared" si="29"/>
        <v>0</v>
      </c>
      <c r="Y21" s="555">
        <f t="shared" si="29"/>
        <v>0</v>
      </c>
      <c r="Z21" s="555">
        <f t="shared" si="29"/>
        <v>0</v>
      </c>
      <c r="AA21" s="555">
        <f t="shared" si="29"/>
        <v>0</v>
      </c>
      <c r="AB21" s="555">
        <f t="shared" si="29"/>
        <v>0</v>
      </c>
      <c r="AC21" s="555">
        <f t="shared" si="29"/>
        <v>0</v>
      </c>
      <c r="AD21" s="555">
        <f t="shared" si="29"/>
        <v>0</v>
      </c>
      <c r="AE21" s="555">
        <f t="shared" si="29"/>
        <v>0</v>
      </c>
      <c r="AF21" s="555">
        <f t="shared" si="29"/>
        <v>0</v>
      </c>
      <c r="AG21" s="555">
        <f t="shared" si="29"/>
        <v>0</v>
      </c>
      <c r="AH21" s="555">
        <f t="shared" si="29"/>
        <v>0</v>
      </c>
      <c r="AI21" s="555">
        <f t="shared" si="29"/>
        <v>0</v>
      </c>
      <c r="AJ21" s="555">
        <f t="shared" si="29"/>
        <v>0</v>
      </c>
      <c r="AK21" s="555">
        <f t="shared" si="29"/>
        <v>0</v>
      </c>
      <c r="AL21" s="555">
        <f t="shared" si="29"/>
        <v>0</v>
      </c>
      <c r="AO21" s="565" t="s">
        <v>550</v>
      </c>
      <c r="AP21" s="566"/>
      <c r="AQ21" s="566"/>
      <c r="AR21" s="566"/>
      <c r="AS21" s="566"/>
      <c r="AT21" s="556"/>
      <c r="AU21" s="556"/>
      <c r="AV21" s="556"/>
      <c r="AW21" s="556"/>
      <c r="AX21" s="556"/>
      <c r="AY21" s="556"/>
      <c r="AZ21" s="556"/>
      <c r="BA21" s="556"/>
      <c r="BB21" s="556"/>
      <c r="BC21" s="556"/>
      <c r="BD21" s="556"/>
      <c r="BE21" s="556"/>
    </row>
    <row r="22" spans="1:57" hidden="1" outlineLevel="1">
      <c r="A22" s="560"/>
      <c r="B22" s="560"/>
      <c r="C22" s="517" t="s">
        <v>45</v>
      </c>
      <c r="D22" s="811">
        <f>D14*V22</f>
        <v>0</v>
      </c>
      <c r="E22" s="811">
        <f t="shared" ref="E22:T22" si="30">E14*W22</f>
        <v>0</v>
      </c>
      <c r="F22" s="811">
        <f t="shared" si="30"/>
        <v>0</v>
      </c>
      <c r="G22" s="811">
        <f t="shared" si="30"/>
        <v>0</v>
      </c>
      <c r="H22" s="811">
        <f t="shared" si="30"/>
        <v>0</v>
      </c>
      <c r="I22" s="811">
        <f t="shared" si="30"/>
        <v>0</v>
      </c>
      <c r="J22" s="811">
        <f t="shared" si="30"/>
        <v>0</v>
      </c>
      <c r="K22" s="811">
        <f t="shared" si="30"/>
        <v>0</v>
      </c>
      <c r="L22" s="811">
        <f t="shared" si="30"/>
        <v>0</v>
      </c>
      <c r="M22" s="811">
        <f t="shared" si="30"/>
        <v>0</v>
      </c>
      <c r="N22" s="811">
        <f t="shared" si="30"/>
        <v>0</v>
      </c>
      <c r="O22" s="811">
        <f t="shared" si="30"/>
        <v>0</v>
      </c>
      <c r="P22" s="811">
        <f t="shared" si="30"/>
        <v>0</v>
      </c>
      <c r="Q22" s="811">
        <f t="shared" si="30"/>
        <v>0</v>
      </c>
      <c r="R22" s="811">
        <f t="shared" si="30"/>
        <v>0</v>
      </c>
      <c r="S22" s="811">
        <f t="shared" si="30"/>
        <v>0</v>
      </c>
      <c r="T22" s="811">
        <f t="shared" si="30"/>
        <v>0</v>
      </c>
      <c r="V22" s="816"/>
      <c r="W22" s="816"/>
      <c r="X22" s="816"/>
      <c r="Y22" s="816"/>
      <c r="Z22" s="816"/>
      <c r="AA22" s="812">
        <f t="shared" ref="AA22:AL29" si="31">Z22</f>
        <v>0</v>
      </c>
      <c r="AB22" s="812">
        <f t="shared" si="31"/>
        <v>0</v>
      </c>
      <c r="AC22" s="812">
        <f t="shared" si="31"/>
        <v>0</v>
      </c>
      <c r="AD22" s="812">
        <f t="shared" si="31"/>
        <v>0</v>
      </c>
      <c r="AE22" s="812">
        <f t="shared" si="31"/>
        <v>0</v>
      </c>
      <c r="AF22" s="812">
        <f t="shared" si="31"/>
        <v>0</v>
      </c>
      <c r="AG22" s="812">
        <f t="shared" si="31"/>
        <v>0</v>
      </c>
      <c r="AH22" s="812">
        <f t="shared" si="31"/>
        <v>0</v>
      </c>
      <c r="AI22" s="812">
        <f t="shared" si="31"/>
        <v>0</v>
      </c>
      <c r="AJ22" s="812">
        <f t="shared" si="31"/>
        <v>0</v>
      </c>
      <c r="AK22" s="812">
        <f t="shared" si="31"/>
        <v>0</v>
      </c>
      <c r="AL22" s="812">
        <f t="shared" si="31"/>
        <v>0</v>
      </c>
      <c r="AO22" s="556">
        <f t="shared" ref="AO22:BE22" si="32">D22/D9/$AO$5</f>
        <v>0</v>
      </c>
      <c r="AP22" s="556">
        <f t="shared" si="32"/>
        <v>0</v>
      </c>
      <c r="AQ22" s="556">
        <f t="shared" si="32"/>
        <v>0</v>
      </c>
      <c r="AR22" s="556">
        <f t="shared" si="32"/>
        <v>0</v>
      </c>
      <c r="AS22" s="556">
        <f t="shared" si="32"/>
        <v>0</v>
      </c>
      <c r="AT22" s="556">
        <f t="shared" si="32"/>
        <v>0</v>
      </c>
      <c r="AU22" s="556">
        <f t="shared" si="32"/>
        <v>0</v>
      </c>
      <c r="AV22" s="556">
        <f t="shared" si="32"/>
        <v>0</v>
      </c>
      <c r="AW22" s="556">
        <f t="shared" si="32"/>
        <v>0</v>
      </c>
      <c r="AX22" s="556">
        <f t="shared" si="32"/>
        <v>0</v>
      </c>
      <c r="AY22" s="556">
        <f t="shared" si="32"/>
        <v>0</v>
      </c>
      <c r="AZ22" s="556">
        <f t="shared" si="32"/>
        <v>0</v>
      </c>
      <c r="BA22" s="556">
        <f t="shared" si="32"/>
        <v>0</v>
      </c>
      <c r="BB22" s="556">
        <f t="shared" si="32"/>
        <v>0</v>
      </c>
      <c r="BC22" s="556">
        <f t="shared" si="32"/>
        <v>0</v>
      </c>
      <c r="BD22" s="556">
        <f t="shared" si="32"/>
        <v>0</v>
      </c>
      <c r="BE22" s="556">
        <f t="shared" si="32"/>
        <v>0</v>
      </c>
    </row>
    <row r="23" spans="1:57" hidden="1" outlineLevel="1">
      <c r="A23" s="560"/>
      <c r="B23" s="560"/>
      <c r="C23" s="517" t="s">
        <v>509</v>
      </c>
      <c r="D23" s="811">
        <f>D14*V23</f>
        <v>0</v>
      </c>
      <c r="E23" s="811">
        <f t="shared" ref="E23:T23" si="33">E14*W23</f>
        <v>0</v>
      </c>
      <c r="F23" s="811">
        <f t="shared" si="33"/>
        <v>0</v>
      </c>
      <c r="G23" s="811">
        <f t="shared" si="33"/>
        <v>0</v>
      </c>
      <c r="H23" s="811">
        <f t="shared" si="33"/>
        <v>0</v>
      </c>
      <c r="I23" s="811">
        <f t="shared" si="33"/>
        <v>0</v>
      </c>
      <c r="J23" s="811">
        <f t="shared" si="33"/>
        <v>0</v>
      </c>
      <c r="K23" s="811">
        <f t="shared" si="33"/>
        <v>0</v>
      </c>
      <c r="L23" s="811">
        <f t="shared" si="33"/>
        <v>0</v>
      </c>
      <c r="M23" s="811">
        <f t="shared" si="33"/>
        <v>0</v>
      </c>
      <c r="N23" s="811">
        <f t="shared" si="33"/>
        <v>0</v>
      </c>
      <c r="O23" s="811">
        <f t="shared" si="33"/>
        <v>0</v>
      </c>
      <c r="P23" s="811">
        <f t="shared" si="33"/>
        <v>0</v>
      </c>
      <c r="Q23" s="811">
        <f t="shared" si="33"/>
        <v>0</v>
      </c>
      <c r="R23" s="811">
        <f t="shared" si="33"/>
        <v>0</v>
      </c>
      <c r="S23" s="811">
        <f t="shared" si="33"/>
        <v>0</v>
      </c>
      <c r="T23" s="811">
        <f t="shared" si="33"/>
        <v>0</v>
      </c>
      <c r="V23" s="816"/>
      <c r="W23" s="816"/>
      <c r="X23" s="816"/>
      <c r="Y23" s="816"/>
      <c r="Z23" s="816"/>
      <c r="AA23" s="812">
        <f t="shared" si="31"/>
        <v>0</v>
      </c>
      <c r="AB23" s="812">
        <f t="shared" si="31"/>
        <v>0</v>
      </c>
      <c r="AC23" s="812">
        <f t="shared" si="31"/>
        <v>0</v>
      </c>
      <c r="AD23" s="812">
        <f t="shared" si="31"/>
        <v>0</v>
      </c>
      <c r="AE23" s="812">
        <f t="shared" si="31"/>
        <v>0</v>
      </c>
      <c r="AF23" s="812">
        <f t="shared" si="31"/>
        <v>0</v>
      </c>
      <c r="AG23" s="812">
        <f t="shared" si="31"/>
        <v>0</v>
      </c>
      <c r="AH23" s="812">
        <f t="shared" si="31"/>
        <v>0</v>
      </c>
      <c r="AI23" s="812">
        <f t="shared" si="31"/>
        <v>0</v>
      </c>
      <c r="AJ23" s="812">
        <f t="shared" si="31"/>
        <v>0</v>
      </c>
      <c r="AK23" s="812">
        <f t="shared" si="31"/>
        <v>0</v>
      </c>
      <c r="AL23" s="812">
        <f t="shared" si="31"/>
        <v>0</v>
      </c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/>
    </row>
    <row r="24" spans="1:57" hidden="1" outlineLevel="1">
      <c r="A24" s="560"/>
      <c r="B24" s="560"/>
      <c r="C24" s="519" t="s">
        <v>516</v>
      </c>
      <c r="D24" s="201">
        <f t="shared" ref="D24:T25" si="34">V24*D22</f>
        <v>0</v>
      </c>
      <c r="E24" s="201">
        <f t="shared" si="34"/>
        <v>0</v>
      </c>
      <c r="F24" s="201">
        <f t="shared" si="34"/>
        <v>0</v>
      </c>
      <c r="G24" s="201">
        <f t="shared" si="34"/>
        <v>0</v>
      </c>
      <c r="H24" s="201">
        <f t="shared" si="34"/>
        <v>0</v>
      </c>
      <c r="I24" s="201">
        <f t="shared" si="34"/>
        <v>0</v>
      </c>
      <c r="J24" s="201">
        <f t="shared" si="34"/>
        <v>0</v>
      </c>
      <c r="K24" s="201">
        <f t="shared" si="34"/>
        <v>0</v>
      </c>
      <c r="L24" s="201">
        <f t="shared" si="34"/>
        <v>0</v>
      </c>
      <c r="M24" s="201">
        <f t="shared" si="34"/>
        <v>0</v>
      </c>
      <c r="N24" s="201">
        <f t="shared" si="34"/>
        <v>0</v>
      </c>
      <c r="O24" s="201">
        <f t="shared" si="34"/>
        <v>0</v>
      </c>
      <c r="P24" s="201">
        <f t="shared" si="34"/>
        <v>0</v>
      </c>
      <c r="Q24" s="201">
        <f t="shared" si="34"/>
        <v>0</v>
      </c>
      <c r="R24" s="201">
        <f t="shared" si="34"/>
        <v>0</v>
      </c>
      <c r="S24" s="201">
        <f t="shared" si="34"/>
        <v>0</v>
      </c>
      <c r="T24" s="201">
        <f t="shared" si="34"/>
        <v>0</v>
      </c>
      <c r="V24" s="522"/>
      <c r="W24" s="522"/>
      <c r="X24" s="522"/>
      <c r="Y24" s="522"/>
      <c r="Z24" s="522"/>
      <c r="AA24" s="567">
        <f t="shared" si="31"/>
        <v>0</v>
      </c>
      <c r="AB24" s="567">
        <f t="shared" si="31"/>
        <v>0</v>
      </c>
      <c r="AC24" s="567">
        <f t="shared" si="31"/>
        <v>0</v>
      </c>
      <c r="AD24" s="567">
        <f t="shared" si="31"/>
        <v>0</v>
      </c>
      <c r="AE24" s="567">
        <f t="shared" si="31"/>
        <v>0</v>
      </c>
      <c r="AF24" s="567">
        <f t="shared" si="31"/>
        <v>0</v>
      </c>
      <c r="AG24" s="567">
        <f t="shared" si="31"/>
        <v>0</v>
      </c>
      <c r="AH24" s="567">
        <f t="shared" si="31"/>
        <v>0</v>
      </c>
      <c r="AI24" s="567">
        <f t="shared" si="31"/>
        <v>0</v>
      </c>
      <c r="AJ24" s="567">
        <f t="shared" si="31"/>
        <v>0</v>
      </c>
      <c r="AK24" s="567">
        <f t="shared" si="31"/>
        <v>0</v>
      </c>
      <c r="AL24" s="567">
        <f t="shared" si="31"/>
        <v>0</v>
      </c>
      <c r="AO24" s="201">
        <f t="shared" ref="AO24:BE24" si="35">D24/D$9</f>
        <v>0</v>
      </c>
      <c r="AP24" s="201">
        <f t="shared" si="35"/>
        <v>0</v>
      </c>
      <c r="AQ24" s="201">
        <f t="shared" si="35"/>
        <v>0</v>
      </c>
      <c r="AR24" s="201">
        <f t="shared" si="35"/>
        <v>0</v>
      </c>
      <c r="AS24" s="201">
        <f t="shared" si="35"/>
        <v>0</v>
      </c>
      <c r="AT24" s="201">
        <f t="shared" si="35"/>
        <v>0</v>
      </c>
      <c r="AU24" s="201">
        <f t="shared" si="35"/>
        <v>0</v>
      </c>
      <c r="AV24" s="201">
        <f t="shared" si="35"/>
        <v>0</v>
      </c>
      <c r="AW24" s="201">
        <f t="shared" si="35"/>
        <v>0</v>
      </c>
      <c r="AX24" s="201">
        <f t="shared" si="35"/>
        <v>0</v>
      </c>
      <c r="AY24" s="201">
        <f t="shared" si="35"/>
        <v>0</v>
      </c>
      <c r="AZ24" s="201">
        <f t="shared" si="35"/>
        <v>0</v>
      </c>
      <c r="BA24" s="201">
        <f t="shared" si="35"/>
        <v>0</v>
      </c>
      <c r="BB24" s="201">
        <f t="shared" si="35"/>
        <v>0</v>
      </c>
      <c r="BC24" s="201">
        <f t="shared" si="35"/>
        <v>0</v>
      </c>
      <c r="BD24" s="201">
        <f t="shared" si="35"/>
        <v>0</v>
      </c>
      <c r="BE24" s="201">
        <f t="shared" si="35"/>
        <v>0</v>
      </c>
    </row>
    <row r="25" spans="1:57" hidden="1" outlineLevel="1">
      <c r="A25" s="560"/>
      <c r="B25" s="560"/>
      <c r="C25" s="519" t="s">
        <v>517</v>
      </c>
      <c r="D25" s="201">
        <f t="shared" si="34"/>
        <v>0</v>
      </c>
      <c r="E25" s="201">
        <f t="shared" si="34"/>
        <v>0</v>
      </c>
      <c r="F25" s="201">
        <f t="shared" si="34"/>
        <v>0</v>
      </c>
      <c r="G25" s="201">
        <f t="shared" si="34"/>
        <v>0</v>
      </c>
      <c r="H25" s="201">
        <f t="shared" si="34"/>
        <v>0</v>
      </c>
      <c r="I25" s="201">
        <f t="shared" si="34"/>
        <v>0</v>
      </c>
      <c r="J25" s="201">
        <f t="shared" si="34"/>
        <v>0</v>
      </c>
      <c r="K25" s="201">
        <f t="shared" si="34"/>
        <v>0</v>
      </c>
      <c r="L25" s="201">
        <f t="shared" si="34"/>
        <v>0</v>
      </c>
      <c r="M25" s="201">
        <f t="shared" si="34"/>
        <v>0</v>
      </c>
      <c r="N25" s="201">
        <f t="shared" si="34"/>
        <v>0</v>
      </c>
      <c r="O25" s="201">
        <f t="shared" si="34"/>
        <v>0</v>
      </c>
      <c r="P25" s="201">
        <f t="shared" si="34"/>
        <v>0</v>
      </c>
      <c r="Q25" s="201">
        <f t="shared" si="34"/>
        <v>0</v>
      </c>
      <c r="R25" s="201">
        <f t="shared" si="34"/>
        <v>0</v>
      </c>
      <c r="S25" s="201">
        <f t="shared" si="34"/>
        <v>0</v>
      </c>
      <c r="T25" s="201">
        <f t="shared" si="34"/>
        <v>0</v>
      </c>
      <c r="V25" s="522"/>
      <c r="W25" s="522"/>
      <c r="X25" s="522"/>
      <c r="Y25" s="522"/>
      <c r="Z25" s="522"/>
      <c r="AA25" s="567">
        <f t="shared" si="31"/>
        <v>0</v>
      </c>
      <c r="AB25" s="567">
        <f t="shared" si="31"/>
        <v>0</v>
      </c>
      <c r="AC25" s="567">
        <f t="shared" si="31"/>
        <v>0</v>
      </c>
      <c r="AD25" s="567">
        <f t="shared" si="31"/>
        <v>0</v>
      </c>
      <c r="AE25" s="567">
        <f t="shared" si="31"/>
        <v>0</v>
      </c>
      <c r="AF25" s="567">
        <f t="shared" si="31"/>
        <v>0</v>
      </c>
      <c r="AG25" s="567">
        <f t="shared" si="31"/>
        <v>0</v>
      </c>
      <c r="AH25" s="567">
        <f t="shared" si="31"/>
        <v>0</v>
      </c>
      <c r="AI25" s="567">
        <f t="shared" si="31"/>
        <v>0</v>
      </c>
      <c r="AJ25" s="567">
        <f t="shared" si="31"/>
        <v>0</v>
      </c>
      <c r="AK25" s="567">
        <f t="shared" si="31"/>
        <v>0</v>
      </c>
      <c r="AL25" s="567">
        <f t="shared" si="31"/>
        <v>0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57" hidden="1" outlineLevel="1">
      <c r="A26" s="560"/>
      <c r="B26" s="560"/>
      <c r="C26" s="519" t="s">
        <v>518</v>
      </c>
      <c r="D26" s="201">
        <f t="shared" ref="D26:T27" si="36">V26*D22</f>
        <v>0</v>
      </c>
      <c r="E26" s="201">
        <f t="shared" si="36"/>
        <v>0</v>
      </c>
      <c r="F26" s="201">
        <f t="shared" si="36"/>
        <v>0</v>
      </c>
      <c r="G26" s="201">
        <f t="shared" si="36"/>
        <v>0</v>
      </c>
      <c r="H26" s="201">
        <f t="shared" si="36"/>
        <v>0</v>
      </c>
      <c r="I26" s="201">
        <f t="shared" si="36"/>
        <v>0</v>
      </c>
      <c r="J26" s="201">
        <f t="shared" si="36"/>
        <v>0</v>
      </c>
      <c r="K26" s="201">
        <f t="shared" si="36"/>
        <v>0</v>
      </c>
      <c r="L26" s="201">
        <f t="shared" si="36"/>
        <v>0</v>
      </c>
      <c r="M26" s="201">
        <f t="shared" si="36"/>
        <v>0</v>
      </c>
      <c r="N26" s="201">
        <f t="shared" si="36"/>
        <v>0</v>
      </c>
      <c r="O26" s="201">
        <f t="shared" si="36"/>
        <v>0</v>
      </c>
      <c r="P26" s="201">
        <f t="shared" si="36"/>
        <v>0</v>
      </c>
      <c r="Q26" s="201">
        <f t="shared" si="36"/>
        <v>0</v>
      </c>
      <c r="R26" s="201">
        <f t="shared" si="36"/>
        <v>0</v>
      </c>
      <c r="S26" s="201">
        <f t="shared" si="36"/>
        <v>0</v>
      </c>
      <c r="T26" s="201">
        <f t="shared" si="36"/>
        <v>0</v>
      </c>
      <c r="V26" s="522"/>
      <c r="W26" s="522"/>
      <c r="X26" s="522"/>
      <c r="Y26" s="522"/>
      <c r="Z26" s="522"/>
      <c r="AA26" s="567">
        <f t="shared" si="31"/>
        <v>0</v>
      </c>
      <c r="AB26" s="567">
        <f t="shared" si="31"/>
        <v>0</v>
      </c>
      <c r="AC26" s="567">
        <f t="shared" si="31"/>
        <v>0</v>
      </c>
      <c r="AD26" s="567">
        <f t="shared" si="31"/>
        <v>0</v>
      </c>
      <c r="AE26" s="567">
        <f t="shared" si="31"/>
        <v>0</v>
      </c>
      <c r="AF26" s="567">
        <f t="shared" si="31"/>
        <v>0</v>
      </c>
      <c r="AG26" s="567">
        <f t="shared" si="31"/>
        <v>0</v>
      </c>
      <c r="AH26" s="567">
        <f t="shared" si="31"/>
        <v>0</v>
      </c>
      <c r="AI26" s="567">
        <f t="shared" si="31"/>
        <v>0</v>
      </c>
      <c r="AJ26" s="567">
        <f t="shared" si="31"/>
        <v>0</v>
      </c>
      <c r="AK26" s="567">
        <f t="shared" si="31"/>
        <v>0</v>
      </c>
      <c r="AL26" s="567">
        <f t="shared" si="31"/>
        <v>0</v>
      </c>
      <c r="AO26" s="201">
        <f t="shared" ref="AO26:BE26" si="37">D26/D$9</f>
        <v>0</v>
      </c>
      <c r="AP26" s="201">
        <f t="shared" si="37"/>
        <v>0</v>
      </c>
      <c r="AQ26" s="201">
        <f t="shared" si="37"/>
        <v>0</v>
      </c>
      <c r="AR26" s="201">
        <f t="shared" si="37"/>
        <v>0</v>
      </c>
      <c r="AS26" s="201">
        <f t="shared" si="37"/>
        <v>0</v>
      </c>
      <c r="AT26" s="201">
        <f t="shared" si="37"/>
        <v>0</v>
      </c>
      <c r="AU26" s="201">
        <f t="shared" si="37"/>
        <v>0</v>
      </c>
      <c r="AV26" s="201">
        <f t="shared" si="37"/>
        <v>0</v>
      </c>
      <c r="AW26" s="201">
        <f t="shared" si="37"/>
        <v>0</v>
      </c>
      <c r="AX26" s="201">
        <f t="shared" si="37"/>
        <v>0</v>
      </c>
      <c r="AY26" s="201">
        <f t="shared" si="37"/>
        <v>0</v>
      </c>
      <c r="AZ26" s="201">
        <f t="shared" si="37"/>
        <v>0</v>
      </c>
      <c r="BA26" s="201">
        <f t="shared" si="37"/>
        <v>0</v>
      </c>
      <c r="BB26" s="201">
        <f t="shared" si="37"/>
        <v>0</v>
      </c>
      <c r="BC26" s="201">
        <f t="shared" si="37"/>
        <v>0</v>
      </c>
      <c r="BD26" s="201">
        <f t="shared" si="37"/>
        <v>0</v>
      </c>
      <c r="BE26" s="201">
        <f t="shared" si="37"/>
        <v>0</v>
      </c>
    </row>
    <row r="27" spans="1:57" hidden="1" outlineLevel="1">
      <c r="A27" s="560"/>
      <c r="B27" s="560"/>
      <c r="C27" s="519" t="s">
        <v>519</v>
      </c>
      <c r="D27" s="201">
        <f t="shared" si="36"/>
        <v>0</v>
      </c>
      <c r="E27" s="201">
        <f t="shared" si="36"/>
        <v>0</v>
      </c>
      <c r="F27" s="201">
        <f t="shared" si="36"/>
        <v>0</v>
      </c>
      <c r="G27" s="201">
        <f t="shared" si="36"/>
        <v>0</v>
      </c>
      <c r="H27" s="201">
        <f t="shared" si="36"/>
        <v>0</v>
      </c>
      <c r="I27" s="201">
        <f t="shared" si="36"/>
        <v>0</v>
      </c>
      <c r="J27" s="201">
        <f t="shared" si="36"/>
        <v>0</v>
      </c>
      <c r="K27" s="201">
        <f t="shared" si="36"/>
        <v>0</v>
      </c>
      <c r="L27" s="201">
        <f t="shared" si="36"/>
        <v>0</v>
      </c>
      <c r="M27" s="201">
        <f t="shared" si="36"/>
        <v>0</v>
      </c>
      <c r="N27" s="201">
        <f t="shared" si="36"/>
        <v>0</v>
      </c>
      <c r="O27" s="201">
        <f t="shared" si="36"/>
        <v>0</v>
      </c>
      <c r="P27" s="201">
        <f t="shared" si="36"/>
        <v>0</v>
      </c>
      <c r="Q27" s="201">
        <f t="shared" si="36"/>
        <v>0</v>
      </c>
      <c r="R27" s="201">
        <f t="shared" si="36"/>
        <v>0</v>
      </c>
      <c r="S27" s="201">
        <f t="shared" si="36"/>
        <v>0</v>
      </c>
      <c r="T27" s="201">
        <f t="shared" si="36"/>
        <v>0</v>
      </c>
      <c r="V27" s="522"/>
      <c r="W27" s="522"/>
      <c r="X27" s="522"/>
      <c r="Y27" s="522"/>
      <c r="Z27" s="522"/>
      <c r="AA27" s="567">
        <f t="shared" si="31"/>
        <v>0</v>
      </c>
      <c r="AB27" s="567">
        <f t="shared" si="31"/>
        <v>0</v>
      </c>
      <c r="AC27" s="567">
        <f t="shared" si="31"/>
        <v>0</v>
      </c>
      <c r="AD27" s="567">
        <f t="shared" si="31"/>
        <v>0</v>
      </c>
      <c r="AE27" s="567">
        <f t="shared" si="31"/>
        <v>0</v>
      </c>
      <c r="AF27" s="567">
        <f t="shared" si="31"/>
        <v>0</v>
      </c>
      <c r="AG27" s="567">
        <f t="shared" si="31"/>
        <v>0</v>
      </c>
      <c r="AH27" s="567">
        <f t="shared" si="31"/>
        <v>0</v>
      </c>
      <c r="AI27" s="567">
        <f t="shared" si="31"/>
        <v>0</v>
      </c>
      <c r="AJ27" s="567">
        <f t="shared" si="31"/>
        <v>0</v>
      </c>
      <c r="AK27" s="567">
        <f t="shared" si="31"/>
        <v>0</v>
      </c>
      <c r="AL27" s="567">
        <f t="shared" si="31"/>
        <v>0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57" hidden="1" outlineLevel="1">
      <c r="A28" s="560"/>
      <c r="B28" s="560"/>
      <c r="C28" s="519" t="s">
        <v>520</v>
      </c>
      <c r="D28" s="201">
        <f t="shared" ref="D28:T29" si="38">V28*D22</f>
        <v>0</v>
      </c>
      <c r="E28" s="201">
        <f t="shared" si="38"/>
        <v>0</v>
      </c>
      <c r="F28" s="201">
        <f t="shared" si="38"/>
        <v>0</v>
      </c>
      <c r="G28" s="201">
        <f t="shared" si="38"/>
        <v>0</v>
      </c>
      <c r="H28" s="201">
        <f t="shared" si="38"/>
        <v>0</v>
      </c>
      <c r="I28" s="201">
        <f t="shared" si="38"/>
        <v>0</v>
      </c>
      <c r="J28" s="201">
        <f t="shared" si="38"/>
        <v>0</v>
      </c>
      <c r="K28" s="201">
        <f t="shared" si="38"/>
        <v>0</v>
      </c>
      <c r="L28" s="201">
        <f t="shared" si="38"/>
        <v>0</v>
      </c>
      <c r="M28" s="201">
        <f t="shared" si="38"/>
        <v>0</v>
      </c>
      <c r="N28" s="201">
        <f t="shared" si="38"/>
        <v>0</v>
      </c>
      <c r="O28" s="201">
        <f t="shared" si="38"/>
        <v>0</v>
      </c>
      <c r="P28" s="201">
        <f t="shared" si="38"/>
        <v>0</v>
      </c>
      <c r="Q28" s="201">
        <f t="shared" si="38"/>
        <v>0</v>
      </c>
      <c r="R28" s="201">
        <f t="shared" si="38"/>
        <v>0</v>
      </c>
      <c r="S28" s="201">
        <f t="shared" si="38"/>
        <v>0</v>
      </c>
      <c r="T28" s="201">
        <f t="shared" si="38"/>
        <v>0</v>
      </c>
      <c r="V28" s="522"/>
      <c r="W28" s="522"/>
      <c r="X28" s="522"/>
      <c r="Y28" s="522"/>
      <c r="Z28" s="522"/>
      <c r="AA28" s="567">
        <f t="shared" si="31"/>
        <v>0</v>
      </c>
      <c r="AB28" s="567">
        <f t="shared" si="31"/>
        <v>0</v>
      </c>
      <c r="AC28" s="567">
        <f t="shared" si="31"/>
        <v>0</v>
      </c>
      <c r="AD28" s="567">
        <f t="shared" si="31"/>
        <v>0</v>
      </c>
      <c r="AE28" s="567">
        <f t="shared" si="31"/>
        <v>0</v>
      </c>
      <c r="AF28" s="567">
        <f t="shared" si="31"/>
        <v>0</v>
      </c>
      <c r="AG28" s="567">
        <f t="shared" si="31"/>
        <v>0</v>
      </c>
      <c r="AH28" s="567">
        <f t="shared" si="31"/>
        <v>0</v>
      </c>
      <c r="AI28" s="567">
        <f t="shared" si="31"/>
        <v>0</v>
      </c>
      <c r="AJ28" s="567">
        <f t="shared" si="31"/>
        <v>0</v>
      </c>
      <c r="AK28" s="567">
        <f t="shared" si="31"/>
        <v>0</v>
      </c>
      <c r="AL28" s="567">
        <f t="shared" si="31"/>
        <v>0</v>
      </c>
      <c r="AO28" s="201">
        <f t="shared" ref="AO28:BE28" si="39">D28/D$9</f>
        <v>0</v>
      </c>
      <c r="AP28" s="201">
        <f t="shared" si="39"/>
        <v>0</v>
      </c>
      <c r="AQ28" s="201">
        <f t="shared" si="39"/>
        <v>0</v>
      </c>
      <c r="AR28" s="201">
        <f t="shared" si="39"/>
        <v>0</v>
      </c>
      <c r="AS28" s="201">
        <f t="shared" si="39"/>
        <v>0</v>
      </c>
      <c r="AT28" s="201">
        <f t="shared" si="39"/>
        <v>0</v>
      </c>
      <c r="AU28" s="201">
        <f t="shared" si="39"/>
        <v>0</v>
      </c>
      <c r="AV28" s="201">
        <f t="shared" si="39"/>
        <v>0</v>
      </c>
      <c r="AW28" s="201">
        <f t="shared" si="39"/>
        <v>0</v>
      </c>
      <c r="AX28" s="201">
        <f t="shared" si="39"/>
        <v>0</v>
      </c>
      <c r="AY28" s="201">
        <f t="shared" si="39"/>
        <v>0</v>
      </c>
      <c r="AZ28" s="201">
        <f t="shared" si="39"/>
        <v>0</v>
      </c>
      <c r="BA28" s="201">
        <f t="shared" si="39"/>
        <v>0</v>
      </c>
      <c r="BB28" s="201">
        <f t="shared" si="39"/>
        <v>0</v>
      </c>
      <c r="BC28" s="201">
        <f t="shared" si="39"/>
        <v>0</v>
      </c>
      <c r="BD28" s="201">
        <f t="shared" si="39"/>
        <v>0</v>
      </c>
      <c r="BE28" s="201">
        <f t="shared" si="39"/>
        <v>0</v>
      </c>
    </row>
    <row r="29" spans="1:57" hidden="1" outlineLevel="1">
      <c r="A29" s="560"/>
      <c r="B29" s="560"/>
      <c r="C29" s="519" t="s">
        <v>521</v>
      </c>
      <c r="D29" s="201">
        <f t="shared" si="38"/>
        <v>0</v>
      </c>
      <c r="E29" s="201">
        <f t="shared" si="38"/>
        <v>0</v>
      </c>
      <c r="F29" s="201">
        <f t="shared" si="38"/>
        <v>0</v>
      </c>
      <c r="G29" s="201">
        <f t="shared" si="38"/>
        <v>0</v>
      </c>
      <c r="H29" s="201">
        <f t="shared" si="38"/>
        <v>0</v>
      </c>
      <c r="I29" s="201">
        <f t="shared" si="38"/>
        <v>0</v>
      </c>
      <c r="J29" s="201">
        <f t="shared" si="38"/>
        <v>0</v>
      </c>
      <c r="K29" s="201">
        <f t="shared" si="38"/>
        <v>0</v>
      </c>
      <c r="L29" s="201">
        <f t="shared" si="38"/>
        <v>0</v>
      </c>
      <c r="M29" s="201">
        <f t="shared" si="38"/>
        <v>0</v>
      </c>
      <c r="N29" s="201">
        <f t="shared" si="38"/>
        <v>0</v>
      </c>
      <c r="O29" s="201">
        <f t="shared" si="38"/>
        <v>0</v>
      </c>
      <c r="P29" s="201">
        <f t="shared" si="38"/>
        <v>0</v>
      </c>
      <c r="Q29" s="201">
        <f t="shared" si="38"/>
        <v>0</v>
      </c>
      <c r="R29" s="201">
        <f t="shared" si="38"/>
        <v>0</v>
      </c>
      <c r="S29" s="201">
        <f t="shared" si="38"/>
        <v>0</v>
      </c>
      <c r="T29" s="201">
        <f t="shared" si="38"/>
        <v>0</v>
      </c>
      <c r="V29" s="522"/>
      <c r="W29" s="522"/>
      <c r="X29" s="522"/>
      <c r="Y29" s="522"/>
      <c r="Z29" s="522"/>
      <c r="AA29" s="567">
        <f t="shared" si="31"/>
        <v>0</v>
      </c>
      <c r="AB29" s="567">
        <f t="shared" si="31"/>
        <v>0</v>
      </c>
      <c r="AC29" s="567">
        <f t="shared" si="31"/>
        <v>0</v>
      </c>
      <c r="AD29" s="567">
        <f t="shared" si="31"/>
        <v>0</v>
      </c>
      <c r="AE29" s="567">
        <f t="shared" si="31"/>
        <v>0</v>
      </c>
      <c r="AF29" s="567">
        <f t="shared" si="31"/>
        <v>0</v>
      </c>
      <c r="AG29" s="567">
        <f t="shared" si="31"/>
        <v>0</v>
      </c>
      <c r="AH29" s="567">
        <f t="shared" si="31"/>
        <v>0</v>
      </c>
      <c r="AI29" s="567">
        <f t="shared" si="31"/>
        <v>0</v>
      </c>
      <c r="AJ29" s="567">
        <f t="shared" si="31"/>
        <v>0</v>
      </c>
      <c r="AK29" s="567">
        <f t="shared" si="31"/>
        <v>0</v>
      </c>
      <c r="AL29" s="567">
        <f t="shared" si="31"/>
        <v>0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57" hidden="1" outlineLevel="1">
      <c r="A30" s="560"/>
      <c r="B30" s="560"/>
      <c r="C30" s="521" t="s">
        <v>28</v>
      </c>
      <c r="D30" s="556">
        <f>SUM(D24:D28)</f>
        <v>0</v>
      </c>
      <c r="E30" s="556">
        <f t="shared" ref="E30:T30" si="40">SUM(E24:E28)</f>
        <v>0</v>
      </c>
      <c r="F30" s="556">
        <f t="shared" si="40"/>
        <v>0</v>
      </c>
      <c r="G30" s="556">
        <f t="shared" si="40"/>
        <v>0</v>
      </c>
      <c r="H30" s="556">
        <f t="shared" si="40"/>
        <v>0</v>
      </c>
      <c r="I30" s="556">
        <f t="shared" si="40"/>
        <v>0</v>
      </c>
      <c r="J30" s="556">
        <f t="shared" si="40"/>
        <v>0</v>
      </c>
      <c r="K30" s="556">
        <f t="shared" si="40"/>
        <v>0</v>
      </c>
      <c r="L30" s="556">
        <f t="shared" si="40"/>
        <v>0</v>
      </c>
      <c r="M30" s="556">
        <f t="shared" si="40"/>
        <v>0</v>
      </c>
      <c r="N30" s="556">
        <f t="shared" si="40"/>
        <v>0</v>
      </c>
      <c r="O30" s="556">
        <f t="shared" si="40"/>
        <v>0</v>
      </c>
      <c r="P30" s="556">
        <f t="shared" si="40"/>
        <v>0</v>
      </c>
      <c r="Q30" s="556">
        <f t="shared" si="40"/>
        <v>0</v>
      </c>
      <c r="R30" s="556">
        <f t="shared" si="40"/>
        <v>0</v>
      </c>
      <c r="S30" s="556">
        <f t="shared" si="40"/>
        <v>0</v>
      </c>
      <c r="T30" s="556">
        <f t="shared" si="40"/>
        <v>0</v>
      </c>
      <c r="V30" s="568" t="e">
        <f t="shared" ref="V30:AL30" si="41">D30/D21</f>
        <v>#DIV/0!</v>
      </c>
      <c r="W30" s="555" t="e">
        <f t="shared" si="41"/>
        <v>#DIV/0!</v>
      </c>
      <c r="X30" s="555" t="e">
        <f t="shared" si="41"/>
        <v>#DIV/0!</v>
      </c>
      <c r="Y30" s="555" t="e">
        <f t="shared" si="41"/>
        <v>#DIV/0!</v>
      </c>
      <c r="Z30" s="568" t="e">
        <f t="shared" si="41"/>
        <v>#DIV/0!</v>
      </c>
      <c r="AA30" s="555" t="e">
        <f t="shared" si="41"/>
        <v>#DIV/0!</v>
      </c>
      <c r="AB30" s="555" t="e">
        <f t="shared" si="41"/>
        <v>#DIV/0!</v>
      </c>
      <c r="AC30" s="555" t="e">
        <f t="shared" si="41"/>
        <v>#DIV/0!</v>
      </c>
      <c r="AD30" s="555" t="e">
        <f t="shared" si="41"/>
        <v>#DIV/0!</v>
      </c>
      <c r="AE30" s="555" t="e">
        <f t="shared" si="41"/>
        <v>#DIV/0!</v>
      </c>
      <c r="AF30" s="555" t="e">
        <f t="shared" si="41"/>
        <v>#DIV/0!</v>
      </c>
      <c r="AG30" s="555" t="e">
        <f t="shared" si="41"/>
        <v>#DIV/0!</v>
      </c>
      <c r="AH30" s="555" t="e">
        <f t="shared" si="41"/>
        <v>#DIV/0!</v>
      </c>
      <c r="AI30" s="555" t="e">
        <f t="shared" si="41"/>
        <v>#DIV/0!</v>
      </c>
      <c r="AJ30" s="555" t="e">
        <f t="shared" si="41"/>
        <v>#DIV/0!</v>
      </c>
      <c r="AK30" s="555" t="e">
        <f t="shared" si="41"/>
        <v>#DIV/0!</v>
      </c>
      <c r="AL30" s="555" t="e">
        <f t="shared" si="41"/>
        <v>#DIV/0!</v>
      </c>
      <c r="AO30" s="556">
        <f t="shared" ref="AO30:BE30" si="42">D30/D$9</f>
        <v>0</v>
      </c>
      <c r="AP30" s="556">
        <f t="shared" si="42"/>
        <v>0</v>
      </c>
      <c r="AQ30" s="556">
        <f t="shared" si="42"/>
        <v>0</v>
      </c>
      <c r="AR30" s="556">
        <f t="shared" si="42"/>
        <v>0</v>
      </c>
      <c r="AS30" s="554">
        <f t="shared" si="42"/>
        <v>0</v>
      </c>
      <c r="AT30" s="556">
        <f t="shared" si="42"/>
        <v>0</v>
      </c>
      <c r="AU30" s="556">
        <f t="shared" si="42"/>
        <v>0</v>
      </c>
      <c r="AV30" s="556">
        <f t="shared" si="42"/>
        <v>0</v>
      </c>
      <c r="AW30" s="556">
        <f t="shared" si="42"/>
        <v>0</v>
      </c>
      <c r="AX30" s="556">
        <f t="shared" si="42"/>
        <v>0</v>
      </c>
      <c r="AY30" s="556">
        <f t="shared" si="42"/>
        <v>0</v>
      </c>
      <c r="AZ30" s="556">
        <f t="shared" si="42"/>
        <v>0</v>
      </c>
      <c r="BA30" s="556">
        <f t="shared" si="42"/>
        <v>0</v>
      </c>
      <c r="BB30" s="556">
        <f t="shared" si="42"/>
        <v>0</v>
      </c>
      <c r="BC30" s="556">
        <f t="shared" si="42"/>
        <v>0</v>
      </c>
      <c r="BD30" s="556">
        <f t="shared" si="42"/>
        <v>0</v>
      </c>
      <c r="BE30" s="556">
        <f t="shared" si="42"/>
        <v>0</v>
      </c>
    </row>
    <row r="31" spans="1:57" hidden="1" outlineLevel="1">
      <c r="A31" s="511"/>
      <c r="B31" s="511"/>
      <c r="C31" s="521" t="s">
        <v>18</v>
      </c>
      <c r="D31" s="554">
        <f t="shared" ref="D31:T31" si="43">D21-D30</f>
        <v>0</v>
      </c>
      <c r="E31" s="556">
        <f t="shared" si="43"/>
        <v>0</v>
      </c>
      <c r="F31" s="556">
        <f t="shared" si="43"/>
        <v>0</v>
      </c>
      <c r="G31" s="556">
        <f t="shared" si="43"/>
        <v>0</v>
      </c>
      <c r="H31" s="556">
        <f t="shared" si="43"/>
        <v>0</v>
      </c>
      <c r="I31" s="556">
        <f t="shared" si="43"/>
        <v>0</v>
      </c>
      <c r="J31" s="556">
        <f t="shared" si="43"/>
        <v>0</v>
      </c>
      <c r="K31" s="556">
        <f t="shared" si="43"/>
        <v>0</v>
      </c>
      <c r="L31" s="556">
        <f t="shared" si="43"/>
        <v>0</v>
      </c>
      <c r="M31" s="556">
        <f t="shared" si="43"/>
        <v>0</v>
      </c>
      <c r="N31" s="556">
        <f t="shared" si="43"/>
        <v>0</v>
      </c>
      <c r="O31" s="556">
        <f t="shared" si="43"/>
        <v>0</v>
      </c>
      <c r="P31" s="556">
        <f t="shared" si="43"/>
        <v>0</v>
      </c>
      <c r="Q31" s="556">
        <f t="shared" si="43"/>
        <v>0</v>
      </c>
      <c r="R31" s="556">
        <f t="shared" si="43"/>
        <v>0</v>
      </c>
      <c r="S31" s="556">
        <f t="shared" si="43"/>
        <v>0</v>
      </c>
      <c r="T31" s="556">
        <f t="shared" si="43"/>
        <v>0</v>
      </c>
      <c r="V31" s="555" t="e">
        <f t="shared" ref="V31:AL31" si="44">D31/D21</f>
        <v>#DIV/0!</v>
      </c>
      <c r="W31" s="555" t="e">
        <f t="shared" si="44"/>
        <v>#DIV/0!</v>
      </c>
      <c r="X31" s="555" t="e">
        <f t="shared" si="44"/>
        <v>#DIV/0!</v>
      </c>
      <c r="Y31" s="555" t="e">
        <f t="shared" si="44"/>
        <v>#DIV/0!</v>
      </c>
      <c r="Z31" s="555" t="e">
        <f t="shared" si="44"/>
        <v>#DIV/0!</v>
      </c>
      <c r="AA31" s="555" t="e">
        <f t="shared" si="44"/>
        <v>#DIV/0!</v>
      </c>
      <c r="AB31" s="555" t="e">
        <f t="shared" si="44"/>
        <v>#DIV/0!</v>
      </c>
      <c r="AC31" s="555" t="e">
        <f t="shared" si="44"/>
        <v>#DIV/0!</v>
      </c>
      <c r="AD31" s="555" t="e">
        <f t="shared" si="44"/>
        <v>#DIV/0!</v>
      </c>
      <c r="AE31" s="555" t="e">
        <f t="shared" si="44"/>
        <v>#DIV/0!</v>
      </c>
      <c r="AF31" s="555" t="e">
        <f t="shared" si="44"/>
        <v>#DIV/0!</v>
      </c>
      <c r="AG31" s="555" t="e">
        <f t="shared" si="44"/>
        <v>#DIV/0!</v>
      </c>
      <c r="AH31" s="555" t="e">
        <f t="shared" si="44"/>
        <v>#DIV/0!</v>
      </c>
      <c r="AI31" s="555" t="e">
        <f t="shared" si="44"/>
        <v>#DIV/0!</v>
      </c>
      <c r="AJ31" s="555" t="e">
        <f t="shared" si="44"/>
        <v>#DIV/0!</v>
      </c>
      <c r="AK31" s="555" t="e">
        <f t="shared" si="44"/>
        <v>#DIV/0!</v>
      </c>
      <c r="AL31" s="555" t="e">
        <f t="shared" si="44"/>
        <v>#DIV/0!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57" hidden="1" outlineLevel="1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>
        <f>D33/D$12</f>
        <v>0</v>
      </c>
      <c r="W32" s="570">
        <f t="shared" ref="W32:AL32" si="45">E33/E$12</f>
        <v>0</v>
      </c>
      <c r="X32" s="570">
        <f t="shared" si="45"/>
        <v>0</v>
      </c>
      <c r="Y32" s="570">
        <f t="shared" si="45"/>
        <v>0</v>
      </c>
      <c r="Z32" s="570">
        <f t="shared" si="45"/>
        <v>0</v>
      </c>
      <c r="AA32" s="570">
        <f t="shared" si="45"/>
        <v>0</v>
      </c>
      <c r="AB32" s="570">
        <f t="shared" si="45"/>
        <v>0</v>
      </c>
      <c r="AC32" s="570">
        <f t="shared" si="45"/>
        <v>0</v>
      </c>
      <c r="AD32" s="570">
        <f t="shared" si="45"/>
        <v>0</v>
      </c>
      <c r="AE32" s="570">
        <f t="shared" si="45"/>
        <v>0</v>
      </c>
      <c r="AF32" s="570">
        <f t="shared" si="45"/>
        <v>0</v>
      </c>
      <c r="AG32" s="570">
        <f t="shared" si="45"/>
        <v>0</v>
      </c>
      <c r="AH32" s="570">
        <f t="shared" si="45"/>
        <v>0</v>
      </c>
      <c r="AI32" s="570">
        <f t="shared" si="45"/>
        <v>0</v>
      </c>
      <c r="AJ32" s="570">
        <f t="shared" si="45"/>
        <v>0</v>
      </c>
      <c r="AK32" s="570">
        <f t="shared" si="45"/>
        <v>0</v>
      </c>
      <c r="AL32" s="570">
        <f t="shared" si="45"/>
        <v>0</v>
      </c>
      <c r="AO32" s="550"/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 hidden="1" outlineLevel="1">
      <c r="A33" s="553"/>
      <c r="B33" s="553"/>
      <c r="C33" s="521" t="s">
        <v>17</v>
      </c>
      <c r="D33" s="556">
        <f t="shared" ref="D33:T33" si="46">V33*D14</f>
        <v>0</v>
      </c>
      <c r="E33" s="556">
        <f t="shared" si="46"/>
        <v>0</v>
      </c>
      <c r="F33" s="556">
        <f t="shared" si="46"/>
        <v>0</v>
      </c>
      <c r="G33" s="556">
        <f t="shared" si="46"/>
        <v>0</v>
      </c>
      <c r="H33" s="556">
        <f t="shared" si="46"/>
        <v>0</v>
      </c>
      <c r="I33" s="556">
        <f t="shared" si="46"/>
        <v>0</v>
      </c>
      <c r="J33" s="556">
        <f t="shared" si="46"/>
        <v>0</v>
      </c>
      <c r="K33" s="556">
        <f t="shared" si="46"/>
        <v>0</v>
      </c>
      <c r="L33" s="556">
        <f t="shared" si="46"/>
        <v>0</v>
      </c>
      <c r="M33" s="556">
        <f t="shared" si="46"/>
        <v>0</v>
      </c>
      <c r="N33" s="556">
        <f t="shared" si="46"/>
        <v>0</v>
      </c>
      <c r="O33" s="556">
        <f t="shared" si="46"/>
        <v>0</v>
      </c>
      <c r="P33" s="556">
        <f t="shared" si="46"/>
        <v>0</v>
      </c>
      <c r="Q33" s="556">
        <f t="shared" si="46"/>
        <v>0</v>
      </c>
      <c r="R33" s="556">
        <f t="shared" si="46"/>
        <v>0</v>
      </c>
      <c r="S33" s="556">
        <f t="shared" si="46"/>
        <v>0</v>
      </c>
      <c r="T33" s="556">
        <f t="shared" si="46"/>
        <v>0</v>
      </c>
      <c r="V33" s="558"/>
      <c r="W33" s="558"/>
      <c r="X33" s="558"/>
      <c r="Y33" s="558"/>
      <c r="Z33" s="558"/>
      <c r="AA33" s="559">
        <f>Z33</f>
        <v>0</v>
      </c>
      <c r="AB33" s="559">
        <f t="shared" ref="AB33:AL35" si="47">AA33</f>
        <v>0</v>
      </c>
      <c r="AC33" s="559">
        <f t="shared" si="47"/>
        <v>0</v>
      </c>
      <c r="AD33" s="559">
        <f t="shared" si="47"/>
        <v>0</v>
      </c>
      <c r="AE33" s="559">
        <f t="shared" si="47"/>
        <v>0</v>
      </c>
      <c r="AF33" s="559">
        <f t="shared" si="47"/>
        <v>0</v>
      </c>
      <c r="AG33" s="559">
        <f t="shared" si="47"/>
        <v>0</v>
      </c>
      <c r="AH33" s="559">
        <f t="shared" si="47"/>
        <v>0</v>
      </c>
      <c r="AI33" s="559">
        <f t="shared" si="47"/>
        <v>0</v>
      </c>
      <c r="AJ33" s="559">
        <f t="shared" si="47"/>
        <v>0</v>
      </c>
      <c r="AK33" s="559">
        <f t="shared" si="47"/>
        <v>0</v>
      </c>
      <c r="AL33" s="559">
        <f t="shared" si="47"/>
        <v>0</v>
      </c>
      <c r="AO33" s="556">
        <f t="shared" ref="AO33:BD36" si="48">D33/D$9</f>
        <v>0</v>
      </c>
      <c r="AP33" s="556">
        <f t="shared" si="48"/>
        <v>0</v>
      </c>
      <c r="AQ33" s="556">
        <f t="shared" si="48"/>
        <v>0</v>
      </c>
      <c r="AR33" s="556">
        <f t="shared" si="48"/>
        <v>0</v>
      </c>
      <c r="AS33" s="556">
        <f t="shared" si="48"/>
        <v>0</v>
      </c>
      <c r="AT33" s="556">
        <f t="shared" si="48"/>
        <v>0</v>
      </c>
      <c r="AU33" s="556">
        <f t="shared" si="48"/>
        <v>0</v>
      </c>
      <c r="AV33" s="556">
        <f t="shared" si="48"/>
        <v>0</v>
      </c>
      <c r="AW33" s="556">
        <f t="shared" si="48"/>
        <v>0</v>
      </c>
      <c r="AX33" s="556">
        <f t="shared" si="48"/>
        <v>0</v>
      </c>
      <c r="AY33" s="556">
        <f t="shared" si="48"/>
        <v>0</v>
      </c>
      <c r="AZ33" s="556">
        <f t="shared" si="48"/>
        <v>0</v>
      </c>
      <c r="BA33" s="556">
        <f t="shared" si="48"/>
        <v>0</v>
      </c>
      <c r="BB33" s="556">
        <f t="shared" si="48"/>
        <v>0</v>
      </c>
      <c r="BC33" s="556">
        <f t="shared" si="48"/>
        <v>0</v>
      </c>
      <c r="BD33" s="556">
        <f t="shared" si="48"/>
        <v>0</v>
      </c>
      <c r="BE33" s="556">
        <f t="shared" ref="AY33:BE36" si="49">T33/T$9</f>
        <v>0</v>
      </c>
    </row>
    <row r="34" spans="1:57" hidden="1" outlineLevel="1">
      <c r="A34" s="511"/>
      <c r="B34" s="511"/>
      <c r="C34" s="519" t="s">
        <v>25</v>
      </c>
      <c r="D34" s="201">
        <f t="shared" ref="D34:T34" si="50">V34*D33</f>
        <v>0</v>
      </c>
      <c r="E34" s="201">
        <f t="shared" si="50"/>
        <v>0</v>
      </c>
      <c r="F34" s="201">
        <f t="shared" si="50"/>
        <v>0</v>
      </c>
      <c r="G34" s="201">
        <f t="shared" si="50"/>
        <v>0</v>
      </c>
      <c r="H34" s="201">
        <f t="shared" si="50"/>
        <v>0</v>
      </c>
      <c r="I34" s="201">
        <f t="shared" si="50"/>
        <v>0</v>
      </c>
      <c r="J34" s="201">
        <f t="shared" si="50"/>
        <v>0</v>
      </c>
      <c r="K34" s="201">
        <f t="shared" si="50"/>
        <v>0</v>
      </c>
      <c r="L34" s="201">
        <f t="shared" si="50"/>
        <v>0</v>
      </c>
      <c r="M34" s="201">
        <f t="shared" si="50"/>
        <v>0</v>
      </c>
      <c r="N34" s="201">
        <f t="shared" si="50"/>
        <v>0</v>
      </c>
      <c r="O34" s="201">
        <f t="shared" si="50"/>
        <v>0</v>
      </c>
      <c r="P34" s="201">
        <f t="shared" si="50"/>
        <v>0</v>
      </c>
      <c r="Q34" s="201">
        <f t="shared" si="50"/>
        <v>0</v>
      </c>
      <c r="R34" s="201">
        <f t="shared" si="50"/>
        <v>0</v>
      </c>
      <c r="S34" s="201">
        <f t="shared" si="50"/>
        <v>0</v>
      </c>
      <c r="T34" s="201">
        <f t="shared" si="50"/>
        <v>0</v>
      </c>
      <c r="V34" s="522"/>
      <c r="W34" s="522"/>
      <c r="X34" s="522"/>
      <c r="Y34" s="522"/>
      <c r="Z34" s="522"/>
      <c r="AA34" s="522">
        <f>Z34</f>
        <v>0</v>
      </c>
      <c r="AB34" s="522">
        <f t="shared" si="47"/>
        <v>0</v>
      </c>
      <c r="AC34" s="522">
        <f t="shared" si="47"/>
        <v>0</v>
      </c>
      <c r="AD34" s="522">
        <f t="shared" si="47"/>
        <v>0</v>
      </c>
      <c r="AE34" s="522">
        <f t="shared" si="47"/>
        <v>0</v>
      </c>
      <c r="AF34" s="522">
        <f t="shared" si="47"/>
        <v>0</v>
      </c>
      <c r="AG34" s="522">
        <f t="shared" si="47"/>
        <v>0</v>
      </c>
      <c r="AH34" s="522">
        <f t="shared" si="47"/>
        <v>0</v>
      </c>
      <c r="AI34" s="522">
        <f t="shared" si="47"/>
        <v>0</v>
      </c>
      <c r="AJ34" s="522">
        <f t="shared" si="47"/>
        <v>0</v>
      </c>
      <c r="AK34" s="522">
        <f t="shared" si="47"/>
        <v>0</v>
      </c>
      <c r="AL34" s="522">
        <f t="shared" si="47"/>
        <v>0</v>
      </c>
      <c r="AO34" s="201">
        <f t="shared" si="48"/>
        <v>0</v>
      </c>
      <c r="AP34" s="201">
        <f t="shared" si="48"/>
        <v>0</v>
      </c>
      <c r="AQ34" s="201">
        <f t="shared" si="48"/>
        <v>0</v>
      </c>
      <c r="AR34" s="201">
        <f t="shared" si="48"/>
        <v>0</v>
      </c>
      <c r="AS34" s="201">
        <f t="shared" si="48"/>
        <v>0</v>
      </c>
      <c r="AT34" s="201">
        <f t="shared" si="48"/>
        <v>0</v>
      </c>
      <c r="AU34" s="201">
        <f t="shared" si="48"/>
        <v>0</v>
      </c>
      <c r="AV34" s="201">
        <f t="shared" si="48"/>
        <v>0</v>
      </c>
      <c r="AW34" s="201">
        <f t="shared" si="48"/>
        <v>0</v>
      </c>
      <c r="AX34" s="201">
        <f t="shared" si="48"/>
        <v>0</v>
      </c>
      <c r="AY34" s="201">
        <f t="shared" si="49"/>
        <v>0</v>
      </c>
      <c r="AZ34" s="201">
        <f t="shared" si="49"/>
        <v>0</v>
      </c>
      <c r="BA34" s="201">
        <f t="shared" si="49"/>
        <v>0</v>
      </c>
      <c r="BB34" s="201">
        <f t="shared" si="49"/>
        <v>0</v>
      </c>
      <c r="BC34" s="201">
        <f t="shared" si="49"/>
        <v>0</v>
      </c>
      <c r="BD34" s="201">
        <f t="shared" si="49"/>
        <v>0</v>
      </c>
      <c r="BE34" s="201">
        <f t="shared" si="49"/>
        <v>0</v>
      </c>
    </row>
    <row r="35" spans="1:57" hidden="1" outlineLevel="1">
      <c r="A35" s="511"/>
      <c r="B35" s="511"/>
      <c r="C35" s="519" t="s">
        <v>26</v>
      </c>
      <c r="D35" s="201">
        <f t="shared" ref="D35:T35" si="51">V35*D33</f>
        <v>0</v>
      </c>
      <c r="E35" s="201">
        <f t="shared" si="51"/>
        <v>0</v>
      </c>
      <c r="F35" s="201">
        <f t="shared" si="51"/>
        <v>0</v>
      </c>
      <c r="G35" s="201">
        <f t="shared" si="51"/>
        <v>0</v>
      </c>
      <c r="H35" s="201">
        <f t="shared" si="51"/>
        <v>0</v>
      </c>
      <c r="I35" s="201">
        <f t="shared" si="51"/>
        <v>0</v>
      </c>
      <c r="J35" s="201">
        <f t="shared" si="51"/>
        <v>0</v>
      </c>
      <c r="K35" s="201">
        <f t="shared" si="51"/>
        <v>0</v>
      </c>
      <c r="L35" s="201">
        <f t="shared" si="51"/>
        <v>0</v>
      </c>
      <c r="M35" s="201">
        <f t="shared" si="51"/>
        <v>0</v>
      </c>
      <c r="N35" s="201">
        <f t="shared" si="51"/>
        <v>0</v>
      </c>
      <c r="O35" s="201">
        <f t="shared" si="51"/>
        <v>0</v>
      </c>
      <c r="P35" s="201">
        <f t="shared" si="51"/>
        <v>0</v>
      </c>
      <c r="Q35" s="201">
        <f t="shared" si="51"/>
        <v>0</v>
      </c>
      <c r="R35" s="201">
        <f t="shared" si="51"/>
        <v>0</v>
      </c>
      <c r="S35" s="201">
        <f t="shared" si="51"/>
        <v>0</v>
      </c>
      <c r="T35" s="201">
        <f t="shared" si="51"/>
        <v>0</v>
      </c>
      <c r="V35" s="522"/>
      <c r="W35" s="522"/>
      <c r="X35" s="522"/>
      <c r="Y35" s="522"/>
      <c r="Z35" s="522"/>
      <c r="AA35" s="522">
        <f>Z35</f>
        <v>0</v>
      </c>
      <c r="AB35" s="522">
        <f t="shared" si="47"/>
        <v>0</v>
      </c>
      <c r="AC35" s="522">
        <f t="shared" si="47"/>
        <v>0</v>
      </c>
      <c r="AD35" s="522">
        <f t="shared" si="47"/>
        <v>0</v>
      </c>
      <c r="AE35" s="522">
        <f t="shared" si="47"/>
        <v>0</v>
      </c>
      <c r="AF35" s="522">
        <f t="shared" si="47"/>
        <v>0</v>
      </c>
      <c r="AG35" s="522">
        <f t="shared" si="47"/>
        <v>0</v>
      </c>
      <c r="AH35" s="522">
        <f t="shared" si="47"/>
        <v>0</v>
      </c>
      <c r="AI35" s="522">
        <f t="shared" si="47"/>
        <v>0</v>
      </c>
      <c r="AJ35" s="522">
        <f t="shared" si="47"/>
        <v>0</v>
      </c>
      <c r="AK35" s="522">
        <f t="shared" si="47"/>
        <v>0</v>
      </c>
      <c r="AL35" s="522">
        <f t="shared" si="47"/>
        <v>0</v>
      </c>
      <c r="AO35" s="201">
        <f t="shared" si="48"/>
        <v>0</v>
      </c>
      <c r="AP35" s="201">
        <f t="shared" si="48"/>
        <v>0</v>
      </c>
      <c r="AQ35" s="201">
        <f t="shared" si="48"/>
        <v>0</v>
      </c>
      <c r="AR35" s="201">
        <f t="shared" si="48"/>
        <v>0</v>
      </c>
      <c r="AS35" s="201">
        <f t="shared" si="48"/>
        <v>0</v>
      </c>
      <c r="AT35" s="201">
        <f t="shared" si="48"/>
        <v>0</v>
      </c>
      <c r="AU35" s="201">
        <f t="shared" si="48"/>
        <v>0</v>
      </c>
      <c r="AV35" s="201">
        <f t="shared" si="48"/>
        <v>0</v>
      </c>
      <c r="AW35" s="201">
        <f t="shared" si="48"/>
        <v>0</v>
      </c>
      <c r="AX35" s="201">
        <f t="shared" si="48"/>
        <v>0</v>
      </c>
      <c r="AY35" s="201">
        <f t="shared" si="49"/>
        <v>0</v>
      </c>
      <c r="AZ35" s="201">
        <f t="shared" si="49"/>
        <v>0</v>
      </c>
      <c r="BA35" s="201">
        <f t="shared" si="49"/>
        <v>0</v>
      </c>
      <c r="BB35" s="201">
        <f t="shared" si="49"/>
        <v>0</v>
      </c>
      <c r="BC35" s="201">
        <f t="shared" si="49"/>
        <v>0</v>
      </c>
      <c r="BD35" s="201">
        <f t="shared" si="49"/>
        <v>0</v>
      </c>
      <c r="BE35" s="201">
        <f t="shared" si="49"/>
        <v>0</v>
      </c>
    </row>
    <row r="36" spans="1:57" hidden="1" outlineLevel="1">
      <c r="A36" s="511"/>
      <c r="B36" s="511"/>
      <c r="C36" s="521" t="s">
        <v>28</v>
      </c>
      <c r="D36" s="556">
        <f>D34+D35</f>
        <v>0</v>
      </c>
      <c r="E36" s="556">
        <f t="shared" ref="E36:T36" si="52">E34+E35</f>
        <v>0</v>
      </c>
      <c r="F36" s="556">
        <f t="shared" si="52"/>
        <v>0</v>
      </c>
      <c r="G36" s="556">
        <f t="shared" si="52"/>
        <v>0</v>
      </c>
      <c r="H36" s="556">
        <f t="shared" si="52"/>
        <v>0</v>
      </c>
      <c r="I36" s="556">
        <f t="shared" si="52"/>
        <v>0</v>
      </c>
      <c r="J36" s="556">
        <f t="shared" si="52"/>
        <v>0</v>
      </c>
      <c r="K36" s="556">
        <f t="shared" si="52"/>
        <v>0</v>
      </c>
      <c r="L36" s="556">
        <f t="shared" si="52"/>
        <v>0</v>
      </c>
      <c r="M36" s="556">
        <f t="shared" si="52"/>
        <v>0</v>
      </c>
      <c r="N36" s="556">
        <f t="shared" si="52"/>
        <v>0</v>
      </c>
      <c r="O36" s="556">
        <f t="shared" si="52"/>
        <v>0</v>
      </c>
      <c r="P36" s="556">
        <f t="shared" si="52"/>
        <v>0</v>
      </c>
      <c r="Q36" s="556">
        <f t="shared" si="52"/>
        <v>0</v>
      </c>
      <c r="R36" s="556">
        <f t="shared" si="52"/>
        <v>0</v>
      </c>
      <c r="S36" s="556">
        <f t="shared" si="52"/>
        <v>0</v>
      </c>
      <c r="T36" s="556">
        <f t="shared" si="52"/>
        <v>0</v>
      </c>
      <c r="V36" s="559" t="e">
        <f t="shared" ref="V36:AL36" si="53">D36/D33</f>
        <v>#DIV/0!</v>
      </c>
      <c r="W36" s="559" t="e">
        <f t="shared" si="53"/>
        <v>#DIV/0!</v>
      </c>
      <c r="X36" s="559" t="e">
        <f t="shared" si="53"/>
        <v>#DIV/0!</v>
      </c>
      <c r="Y36" s="559" t="e">
        <f t="shared" si="53"/>
        <v>#DIV/0!</v>
      </c>
      <c r="Z36" s="559" t="e">
        <f t="shared" si="53"/>
        <v>#DIV/0!</v>
      </c>
      <c r="AA36" s="559" t="e">
        <f t="shared" si="53"/>
        <v>#DIV/0!</v>
      </c>
      <c r="AB36" s="559" t="e">
        <f t="shared" si="53"/>
        <v>#DIV/0!</v>
      </c>
      <c r="AC36" s="559" t="e">
        <f t="shared" si="53"/>
        <v>#DIV/0!</v>
      </c>
      <c r="AD36" s="559" t="e">
        <f t="shared" si="53"/>
        <v>#DIV/0!</v>
      </c>
      <c r="AE36" s="559" t="e">
        <f t="shared" si="53"/>
        <v>#DIV/0!</v>
      </c>
      <c r="AF36" s="559" t="e">
        <f t="shared" si="53"/>
        <v>#DIV/0!</v>
      </c>
      <c r="AG36" s="559" t="e">
        <f t="shared" si="53"/>
        <v>#DIV/0!</v>
      </c>
      <c r="AH36" s="559" t="e">
        <f t="shared" si="53"/>
        <v>#DIV/0!</v>
      </c>
      <c r="AI36" s="559" t="e">
        <f t="shared" si="53"/>
        <v>#DIV/0!</v>
      </c>
      <c r="AJ36" s="559" t="e">
        <f t="shared" si="53"/>
        <v>#DIV/0!</v>
      </c>
      <c r="AK36" s="559" t="e">
        <f t="shared" si="53"/>
        <v>#DIV/0!</v>
      </c>
      <c r="AL36" s="559" t="e">
        <f t="shared" si="53"/>
        <v>#DIV/0!</v>
      </c>
      <c r="AO36" s="556">
        <f t="shared" si="48"/>
        <v>0</v>
      </c>
      <c r="AP36" s="556">
        <f t="shared" si="48"/>
        <v>0</v>
      </c>
      <c r="AQ36" s="556">
        <f t="shared" si="48"/>
        <v>0</v>
      </c>
      <c r="AR36" s="556">
        <f t="shared" si="48"/>
        <v>0</v>
      </c>
      <c r="AS36" s="556">
        <f t="shared" si="48"/>
        <v>0</v>
      </c>
      <c r="AT36" s="556">
        <f t="shared" si="48"/>
        <v>0</v>
      </c>
      <c r="AU36" s="556">
        <f t="shared" si="48"/>
        <v>0</v>
      </c>
      <c r="AV36" s="556">
        <f t="shared" si="48"/>
        <v>0</v>
      </c>
      <c r="AW36" s="556">
        <f t="shared" si="48"/>
        <v>0</v>
      </c>
      <c r="AX36" s="556">
        <f t="shared" si="48"/>
        <v>0</v>
      </c>
      <c r="AY36" s="556">
        <f t="shared" si="49"/>
        <v>0</v>
      </c>
      <c r="AZ36" s="556">
        <f t="shared" si="49"/>
        <v>0</v>
      </c>
      <c r="BA36" s="556">
        <f t="shared" si="49"/>
        <v>0</v>
      </c>
      <c r="BB36" s="556">
        <f t="shared" si="49"/>
        <v>0</v>
      </c>
      <c r="BC36" s="556">
        <f t="shared" si="49"/>
        <v>0</v>
      </c>
      <c r="BD36" s="556">
        <f t="shared" si="49"/>
        <v>0</v>
      </c>
      <c r="BE36" s="556">
        <f t="shared" si="49"/>
        <v>0</v>
      </c>
    </row>
    <row r="37" spans="1:57" hidden="1" outlineLevel="1">
      <c r="A37" s="511"/>
      <c r="B37" s="511"/>
      <c r="C37" s="521" t="s">
        <v>18</v>
      </c>
      <c r="D37" s="556">
        <f>D33-D36</f>
        <v>0</v>
      </c>
      <c r="E37" s="556">
        <f t="shared" ref="E37:T37" si="54">E33-E36</f>
        <v>0</v>
      </c>
      <c r="F37" s="556">
        <f t="shared" si="54"/>
        <v>0</v>
      </c>
      <c r="G37" s="556">
        <f t="shared" si="54"/>
        <v>0</v>
      </c>
      <c r="H37" s="556">
        <f t="shared" si="54"/>
        <v>0</v>
      </c>
      <c r="I37" s="556">
        <f t="shared" si="54"/>
        <v>0</v>
      </c>
      <c r="J37" s="556">
        <f t="shared" si="54"/>
        <v>0</v>
      </c>
      <c r="K37" s="556">
        <f t="shared" si="54"/>
        <v>0</v>
      </c>
      <c r="L37" s="556">
        <f t="shared" si="54"/>
        <v>0</v>
      </c>
      <c r="M37" s="556">
        <f t="shared" si="54"/>
        <v>0</v>
      </c>
      <c r="N37" s="556">
        <f t="shared" si="54"/>
        <v>0</v>
      </c>
      <c r="O37" s="556">
        <f t="shared" si="54"/>
        <v>0</v>
      </c>
      <c r="P37" s="556">
        <f t="shared" si="54"/>
        <v>0</v>
      </c>
      <c r="Q37" s="556">
        <f t="shared" si="54"/>
        <v>0</v>
      </c>
      <c r="R37" s="556">
        <f t="shared" si="54"/>
        <v>0</v>
      </c>
      <c r="S37" s="556">
        <f t="shared" si="54"/>
        <v>0</v>
      </c>
      <c r="T37" s="556">
        <f t="shared" si="54"/>
        <v>0</v>
      </c>
      <c r="V37" s="559" t="e">
        <f t="shared" ref="V37:AL37" si="55">D37/D33</f>
        <v>#DIV/0!</v>
      </c>
      <c r="W37" s="559" t="e">
        <f t="shared" si="55"/>
        <v>#DIV/0!</v>
      </c>
      <c r="X37" s="559" t="e">
        <f t="shared" si="55"/>
        <v>#DIV/0!</v>
      </c>
      <c r="Y37" s="559" t="e">
        <f t="shared" si="55"/>
        <v>#DIV/0!</v>
      </c>
      <c r="Z37" s="559" t="e">
        <f t="shared" si="55"/>
        <v>#DIV/0!</v>
      </c>
      <c r="AA37" s="559" t="e">
        <f t="shared" si="55"/>
        <v>#DIV/0!</v>
      </c>
      <c r="AB37" s="559" t="e">
        <f t="shared" si="55"/>
        <v>#DIV/0!</v>
      </c>
      <c r="AC37" s="559" t="e">
        <f t="shared" si="55"/>
        <v>#DIV/0!</v>
      </c>
      <c r="AD37" s="559" t="e">
        <f t="shared" si="55"/>
        <v>#DIV/0!</v>
      </c>
      <c r="AE37" s="559" t="e">
        <f t="shared" si="55"/>
        <v>#DIV/0!</v>
      </c>
      <c r="AF37" s="559" t="e">
        <f t="shared" si="55"/>
        <v>#DIV/0!</v>
      </c>
      <c r="AG37" s="559" t="e">
        <f t="shared" si="55"/>
        <v>#DIV/0!</v>
      </c>
      <c r="AH37" s="559" t="e">
        <f t="shared" si="55"/>
        <v>#DIV/0!</v>
      </c>
      <c r="AI37" s="559" t="e">
        <f t="shared" si="55"/>
        <v>#DIV/0!</v>
      </c>
      <c r="AJ37" s="559" t="e">
        <f t="shared" si="55"/>
        <v>#DIV/0!</v>
      </c>
      <c r="AK37" s="559" t="e">
        <f t="shared" si="55"/>
        <v>#DIV/0!</v>
      </c>
      <c r="AL37" s="559" t="e">
        <f t="shared" si="55"/>
        <v>#DIV/0!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>
        <f>D39/D$12</f>
        <v>4.2654028436018947E-2</v>
      </c>
      <c r="W38" s="570">
        <f t="shared" ref="W38:AL38" si="56">E39/E$12</f>
        <v>3.3492822966507178E-2</v>
      </c>
      <c r="X38" s="570">
        <f t="shared" si="56"/>
        <v>3.3492822966507178E-2</v>
      </c>
      <c r="Y38" s="570">
        <f t="shared" si="56"/>
        <v>2.8846153846153844E-2</v>
      </c>
      <c r="Z38" s="570">
        <f t="shared" si="56"/>
        <v>2.8846153846153844E-2</v>
      </c>
      <c r="AA38" s="570">
        <f t="shared" si="56"/>
        <v>2.8846153846153844E-2</v>
      </c>
      <c r="AB38" s="570">
        <f t="shared" si="56"/>
        <v>2.8846153846153848E-2</v>
      </c>
      <c r="AC38" s="570">
        <f t="shared" si="56"/>
        <v>2.8846153846153848E-2</v>
      </c>
      <c r="AD38" s="570">
        <f t="shared" si="56"/>
        <v>2.8846153846153841E-2</v>
      </c>
      <c r="AE38" s="570">
        <f t="shared" si="56"/>
        <v>2.8846153846153844E-2</v>
      </c>
      <c r="AF38" s="570">
        <f t="shared" si="56"/>
        <v>2.8846153846153844E-2</v>
      </c>
      <c r="AG38" s="570">
        <f t="shared" si="56"/>
        <v>2.8846153846153844E-2</v>
      </c>
      <c r="AH38" s="570">
        <f t="shared" si="56"/>
        <v>2.8846153846153848E-2</v>
      </c>
      <c r="AI38" s="570">
        <f t="shared" si="56"/>
        <v>2.8846153846153848E-2</v>
      </c>
      <c r="AJ38" s="570">
        <f t="shared" si="56"/>
        <v>2.8846153846153848E-2</v>
      </c>
      <c r="AK38" s="570">
        <f t="shared" si="56"/>
        <v>2.8846153846153848E-2</v>
      </c>
      <c r="AL38" s="570">
        <f t="shared" si="56"/>
        <v>2.8846153846153844E-2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57">V39*D14</f>
        <v>1456008.2394508556</v>
      </c>
      <c r="E39" s="556">
        <f t="shared" si="57"/>
        <v>3682739.9483831869</v>
      </c>
      <c r="F39" s="556">
        <f t="shared" si="57"/>
        <v>4325703.0170185585</v>
      </c>
      <c r="G39" s="556">
        <f t="shared" si="57"/>
        <v>4336521.5071472256</v>
      </c>
      <c r="H39" s="556">
        <f t="shared" si="57"/>
        <v>5012871.8391506476</v>
      </c>
      <c r="I39" s="556">
        <f t="shared" si="57"/>
        <v>5213386.7127166744</v>
      </c>
      <c r="J39" s="556">
        <f t="shared" si="57"/>
        <v>5421922.1812253408</v>
      </c>
      <c r="K39" s="556">
        <f t="shared" si="57"/>
        <v>5654247.833045518</v>
      </c>
      <c r="L39" s="556">
        <f t="shared" si="57"/>
        <v>5864351.0312133292</v>
      </c>
      <c r="M39" s="556">
        <f t="shared" si="57"/>
        <v>6098925.072461863</v>
      </c>
      <c r="N39" s="556">
        <f t="shared" si="57"/>
        <v>6342882.0753603382</v>
      </c>
      <c r="O39" s="556">
        <f t="shared" si="57"/>
        <v>6614670.2278497517</v>
      </c>
      <c r="P39" s="556">
        <f t="shared" si="57"/>
        <v>6860461.2527097426</v>
      </c>
      <c r="Q39" s="556">
        <f t="shared" si="57"/>
        <v>7134879.7028181329</v>
      </c>
      <c r="R39" s="556">
        <f t="shared" si="57"/>
        <v>7420274.8909308575</v>
      </c>
      <c r="S39" s="556">
        <f t="shared" si="57"/>
        <v>7738228.5876271836</v>
      </c>
      <c r="T39" s="556">
        <f t="shared" si="57"/>
        <v>8025769.3220308162</v>
      </c>
      <c r="V39" s="558">
        <f>'Прогноз прочих'!F33</f>
        <v>4.4999999999999998E-2</v>
      </c>
      <c r="W39" s="558">
        <f>'Прогноз прочих'!G33</f>
        <v>3.5000000000000003E-2</v>
      </c>
      <c r="X39" s="558">
        <f>'Прогноз прочих'!H33</f>
        <v>3.5000000000000003E-2</v>
      </c>
      <c r="Y39" s="558">
        <f>'Прогноз прочих'!I33</f>
        <v>0.03</v>
      </c>
      <c r="Z39" s="558">
        <f>'Прогноз прочих'!J33</f>
        <v>0.03</v>
      </c>
      <c r="AA39" s="559">
        <f>Z39</f>
        <v>0.03</v>
      </c>
      <c r="AB39" s="559">
        <f t="shared" ref="AB39:AL41" si="58">AA39</f>
        <v>0.03</v>
      </c>
      <c r="AC39" s="559">
        <f t="shared" si="58"/>
        <v>0.03</v>
      </c>
      <c r="AD39" s="559">
        <f t="shared" si="58"/>
        <v>0.03</v>
      </c>
      <c r="AE39" s="559">
        <f t="shared" si="58"/>
        <v>0.03</v>
      </c>
      <c r="AF39" s="559">
        <f t="shared" si="58"/>
        <v>0.03</v>
      </c>
      <c r="AG39" s="559">
        <f t="shared" si="58"/>
        <v>0.03</v>
      </c>
      <c r="AH39" s="559">
        <f t="shared" si="58"/>
        <v>0.03</v>
      </c>
      <c r="AI39" s="559">
        <f t="shared" si="58"/>
        <v>0.03</v>
      </c>
      <c r="AJ39" s="559">
        <f t="shared" si="58"/>
        <v>0.03</v>
      </c>
      <c r="AK39" s="559">
        <f t="shared" si="58"/>
        <v>0.03</v>
      </c>
      <c r="AL39" s="559">
        <f t="shared" si="58"/>
        <v>0.03</v>
      </c>
      <c r="AO39" s="556">
        <f t="shared" ref="AO39:BE39" si="59">D39/D9</f>
        <v>201.96933119999994</v>
      </c>
      <c r="AP39" s="556">
        <f t="shared" si="59"/>
        <v>175.04008704000003</v>
      </c>
      <c r="AQ39" s="556">
        <f t="shared" si="59"/>
        <v>194.17780322304006</v>
      </c>
      <c r="AR39" s="556">
        <f t="shared" si="59"/>
        <v>183.91411933839362</v>
      </c>
      <c r="AS39" s="556">
        <f t="shared" si="59"/>
        <v>202.5219008243958</v>
      </c>
      <c r="AT39" s="556">
        <f t="shared" si="59"/>
        <v>210.62277685737166</v>
      </c>
      <c r="AU39" s="556">
        <f t="shared" si="59"/>
        <v>219.0476879316665</v>
      </c>
      <c r="AV39" s="556">
        <f t="shared" si="59"/>
        <v>227.80959544893318</v>
      </c>
      <c r="AW39" s="556">
        <f t="shared" si="59"/>
        <v>236.9219792668905</v>
      </c>
      <c r="AX39" s="556">
        <f t="shared" si="59"/>
        <v>246.39885843756616</v>
      </c>
      <c r="AY39" s="556">
        <f t="shared" si="59"/>
        <v>256.25481277506884</v>
      </c>
      <c r="AZ39" s="556">
        <f t="shared" si="59"/>
        <v>266.50500528607159</v>
      </c>
      <c r="BA39" s="556">
        <f t="shared" si="59"/>
        <v>277.16520549751448</v>
      </c>
      <c r="BB39" s="556">
        <f t="shared" si="59"/>
        <v>288.25181371741508</v>
      </c>
      <c r="BC39" s="556">
        <f t="shared" si="59"/>
        <v>299.78188626611166</v>
      </c>
      <c r="BD39" s="556">
        <f t="shared" si="59"/>
        <v>311.77316171675614</v>
      </c>
      <c r="BE39" s="556">
        <f t="shared" si="59"/>
        <v>324.24408818542639</v>
      </c>
    </row>
    <row r="40" spans="1:57">
      <c r="A40" s="511"/>
      <c r="B40" s="511"/>
      <c r="C40" s="519" t="s">
        <v>25</v>
      </c>
      <c r="D40" s="201">
        <f t="shared" ref="D40:T40" si="60">V40*D39</f>
        <v>131040.741550577</v>
      </c>
      <c r="E40" s="201">
        <f t="shared" si="60"/>
        <v>257791.79638682312</v>
      </c>
      <c r="F40" s="201">
        <f t="shared" si="60"/>
        <v>259542.1810211135</v>
      </c>
      <c r="G40" s="201">
        <f t="shared" si="60"/>
        <v>260191.29042883351</v>
      </c>
      <c r="H40" s="201">
        <f t="shared" si="60"/>
        <v>300772.31034903886</v>
      </c>
      <c r="I40" s="201">
        <f t="shared" si="60"/>
        <v>312803.20276300044</v>
      </c>
      <c r="J40" s="201">
        <f t="shared" si="60"/>
        <v>325315.33087352046</v>
      </c>
      <c r="K40" s="201">
        <f t="shared" si="60"/>
        <v>339254.86998273106</v>
      </c>
      <c r="L40" s="201">
        <f t="shared" si="60"/>
        <v>351861.06187279976</v>
      </c>
      <c r="M40" s="201">
        <f t="shared" si="60"/>
        <v>365935.50434771174</v>
      </c>
      <c r="N40" s="201">
        <f t="shared" si="60"/>
        <v>380572.92452162027</v>
      </c>
      <c r="O40" s="201">
        <f t="shared" si="60"/>
        <v>396880.21367098507</v>
      </c>
      <c r="P40" s="201">
        <f t="shared" si="60"/>
        <v>411627.67516258452</v>
      </c>
      <c r="Q40" s="201">
        <f t="shared" si="60"/>
        <v>428092.78216908796</v>
      </c>
      <c r="R40" s="201">
        <f t="shared" si="60"/>
        <v>445216.49345585145</v>
      </c>
      <c r="S40" s="201">
        <f t="shared" si="60"/>
        <v>464293.71525763097</v>
      </c>
      <c r="T40" s="201">
        <f t="shared" si="60"/>
        <v>481546.15932184894</v>
      </c>
      <c r="V40" s="522">
        <f>'Прогноз прочих'!F41</f>
        <v>0.09</v>
      </c>
      <c r="W40" s="522">
        <f>'Прогноз прочих'!G41</f>
        <v>7.0000000000000007E-2</v>
      </c>
      <c r="X40" s="522">
        <f>'Прогноз прочих'!H41</f>
        <v>0.06</v>
      </c>
      <c r="Y40" s="522">
        <f>'Прогноз прочих'!I41</f>
        <v>0.06</v>
      </c>
      <c r="Z40" s="522">
        <f>'Прогноз прочих'!J41</f>
        <v>0.06</v>
      </c>
      <c r="AA40" s="522">
        <f>Z40</f>
        <v>0.06</v>
      </c>
      <c r="AB40" s="522">
        <f t="shared" si="58"/>
        <v>0.06</v>
      </c>
      <c r="AC40" s="522">
        <f t="shared" si="58"/>
        <v>0.06</v>
      </c>
      <c r="AD40" s="522">
        <f t="shared" si="58"/>
        <v>0.06</v>
      </c>
      <c r="AE40" s="522">
        <f t="shared" si="58"/>
        <v>0.06</v>
      </c>
      <c r="AF40" s="522">
        <f t="shared" si="58"/>
        <v>0.06</v>
      </c>
      <c r="AG40" s="522">
        <f t="shared" si="58"/>
        <v>0.06</v>
      </c>
      <c r="AH40" s="522">
        <f t="shared" si="58"/>
        <v>0.06</v>
      </c>
      <c r="AI40" s="522">
        <f t="shared" si="58"/>
        <v>0.06</v>
      </c>
      <c r="AJ40" s="522">
        <f t="shared" si="58"/>
        <v>0.06</v>
      </c>
      <c r="AK40" s="522">
        <f t="shared" si="58"/>
        <v>0.06</v>
      </c>
      <c r="AL40" s="522">
        <f t="shared" si="58"/>
        <v>0.06</v>
      </c>
      <c r="AO40" s="201">
        <f t="shared" ref="AO40:BD41" si="61">D40/D$9</f>
        <v>18.177239807999996</v>
      </c>
      <c r="AP40" s="201">
        <f t="shared" si="61"/>
        <v>12.252806092800004</v>
      </c>
      <c r="AQ40" s="201">
        <f t="shared" si="61"/>
        <v>11.650668193382403</v>
      </c>
      <c r="AR40" s="201">
        <f t="shared" si="61"/>
        <v>11.034847160303617</v>
      </c>
      <c r="AS40" s="201">
        <f t="shared" si="61"/>
        <v>12.151314049463748</v>
      </c>
      <c r="AT40" s="201">
        <f t="shared" si="61"/>
        <v>12.6373666114423</v>
      </c>
      <c r="AU40" s="201">
        <f t="shared" si="61"/>
        <v>13.142861275899991</v>
      </c>
      <c r="AV40" s="201">
        <f t="shared" si="61"/>
        <v>13.668575726935989</v>
      </c>
      <c r="AW40" s="201">
        <f t="shared" si="61"/>
        <v>14.215318756013431</v>
      </c>
      <c r="AX40" s="201">
        <f t="shared" si="61"/>
        <v>14.783931506253968</v>
      </c>
      <c r="AY40" s="201">
        <f t="shared" si="61"/>
        <v>15.375288766504129</v>
      </c>
      <c r="AZ40" s="201">
        <f t="shared" si="61"/>
        <v>15.990300317164294</v>
      </c>
      <c r="BA40" s="201">
        <f t="shared" si="61"/>
        <v>16.629912329850868</v>
      </c>
      <c r="BB40" s="201">
        <f t="shared" si="61"/>
        <v>17.295108823044906</v>
      </c>
      <c r="BC40" s="201">
        <f t="shared" si="61"/>
        <v>17.986913175966698</v>
      </c>
      <c r="BD40" s="201">
        <f t="shared" si="61"/>
        <v>18.706389703005367</v>
      </c>
      <c r="BE40" s="201">
        <f t="shared" ref="AY40:BE41" si="62">T40/T$9</f>
        <v>19.454645291125583</v>
      </c>
    </row>
    <row r="41" spans="1:57">
      <c r="A41" s="511"/>
      <c r="B41" s="511"/>
      <c r="C41" s="519" t="s">
        <v>26</v>
      </c>
      <c r="D41" s="201">
        <f t="shared" ref="D41:T41" si="63">V41*D39</f>
        <v>116480.65915606846</v>
      </c>
      <c r="E41" s="201">
        <f t="shared" si="63"/>
        <v>257791.79638682312</v>
      </c>
      <c r="F41" s="201">
        <f t="shared" si="63"/>
        <v>259542.1810211135</v>
      </c>
      <c r="G41" s="201">
        <f t="shared" si="63"/>
        <v>260191.29042883351</v>
      </c>
      <c r="H41" s="201">
        <f t="shared" si="63"/>
        <v>300772.31034903886</v>
      </c>
      <c r="I41" s="201">
        <f t="shared" si="63"/>
        <v>312803.20276300044</v>
      </c>
      <c r="J41" s="201">
        <f t="shared" si="63"/>
        <v>325315.33087352046</v>
      </c>
      <c r="K41" s="201">
        <f t="shared" si="63"/>
        <v>339254.86998273106</v>
      </c>
      <c r="L41" s="201">
        <f t="shared" si="63"/>
        <v>351861.06187279976</v>
      </c>
      <c r="M41" s="201">
        <f t="shared" si="63"/>
        <v>365935.50434771174</v>
      </c>
      <c r="N41" s="201">
        <f t="shared" si="63"/>
        <v>380572.92452162027</v>
      </c>
      <c r="O41" s="201">
        <f t="shared" si="63"/>
        <v>396880.21367098507</v>
      </c>
      <c r="P41" s="201">
        <f t="shared" si="63"/>
        <v>411627.67516258452</v>
      </c>
      <c r="Q41" s="201">
        <f t="shared" si="63"/>
        <v>428092.78216908796</v>
      </c>
      <c r="R41" s="201">
        <f t="shared" si="63"/>
        <v>445216.49345585145</v>
      </c>
      <c r="S41" s="201">
        <f t="shared" si="63"/>
        <v>464293.71525763097</v>
      </c>
      <c r="T41" s="201">
        <f t="shared" si="63"/>
        <v>481546.15932184894</v>
      </c>
      <c r="V41" s="522">
        <f>'Прогноз прочих'!F49</f>
        <v>0.08</v>
      </c>
      <c r="W41" s="522">
        <f>'Прогноз прочих'!G49</f>
        <v>7.0000000000000007E-2</v>
      </c>
      <c r="X41" s="522">
        <f>'Прогноз прочих'!H49</f>
        <v>0.06</v>
      </c>
      <c r="Y41" s="522">
        <f>'Прогноз прочих'!I49</f>
        <v>0.06</v>
      </c>
      <c r="Z41" s="522">
        <f>'Прогноз прочих'!J49</f>
        <v>0.06</v>
      </c>
      <c r="AA41" s="522">
        <f>Z41</f>
        <v>0.06</v>
      </c>
      <c r="AB41" s="522">
        <f t="shared" si="58"/>
        <v>0.06</v>
      </c>
      <c r="AC41" s="522">
        <f t="shared" si="58"/>
        <v>0.06</v>
      </c>
      <c r="AD41" s="522">
        <f t="shared" si="58"/>
        <v>0.06</v>
      </c>
      <c r="AE41" s="522">
        <f t="shared" si="58"/>
        <v>0.06</v>
      </c>
      <c r="AF41" s="522">
        <f t="shared" si="58"/>
        <v>0.06</v>
      </c>
      <c r="AG41" s="522">
        <f t="shared" si="58"/>
        <v>0.06</v>
      </c>
      <c r="AH41" s="522">
        <f t="shared" si="58"/>
        <v>0.06</v>
      </c>
      <c r="AI41" s="522">
        <f t="shared" si="58"/>
        <v>0.06</v>
      </c>
      <c r="AJ41" s="522">
        <f t="shared" si="58"/>
        <v>0.06</v>
      </c>
      <c r="AK41" s="522">
        <f t="shared" si="58"/>
        <v>0.06</v>
      </c>
      <c r="AL41" s="522">
        <f t="shared" si="58"/>
        <v>0.06</v>
      </c>
      <c r="AO41" s="201">
        <f t="shared" si="61"/>
        <v>16.157546495999998</v>
      </c>
      <c r="AP41" s="201">
        <f t="shared" si="61"/>
        <v>12.252806092800004</v>
      </c>
      <c r="AQ41" s="201">
        <f t="shared" si="61"/>
        <v>11.650668193382403</v>
      </c>
      <c r="AR41" s="201">
        <f t="shared" si="61"/>
        <v>11.034847160303617</v>
      </c>
      <c r="AS41" s="201">
        <f t="shared" si="61"/>
        <v>12.151314049463748</v>
      </c>
      <c r="AT41" s="201">
        <f t="shared" si="61"/>
        <v>12.6373666114423</v>
      </c>
      <c r="AU41" s="201">
        <f t="shared" si="61"/>
        <v>13.142861275899991</v>
      </c>
      <c r="AV41" s="201">
        <f t="shared" si="61"/>
        <v>13.668575726935989</v>
      </c>
      <c r="AW41" s="201">
        <f t="shared" si="61"/>
        <v>14.215318756013431</v>
      </c>
      <c r="AX41" s="201">
        <f t="shared" si="61"/>
        <v>14.783931506253968</v>
      </c>
      <c r="AY41" s="201">
        <f t="shared" si="62"/>
        <v>15.375288766504129</v>
      </c>
      <c r="AZ41" s="201">
        <f t="shared" si="62"/>
        <v>15.990300317164294</v>
      </c>
      <c r="BA41" s="201">
        <f t="shared" si="62"/>
        <v>16.629912329850868</v>
      </c>
      <c r="BB41" s="201">
        <f t="shared" si="62"/>
        <v>17.295108823044906</v>
      </c>
      <c r="BC41" s="201">
        <f t="shared" si="62"/>
        <v>17.986913175966698</v>
      </c>
      <c r="BD41" s="201">
        <f t="shared" si="62"/>
        <v>18.706389703005367</v>
      </c>
      <c r="BE41" s="201">
        <f t="shared" si="62"/>
        <v>19.454645291125583</v>
      </c>
    </row>
    <row r="42" spans="1:57">
      <c r="A42" s="511"/>
      <c r="B42" s="511"/>
      <c r="C42" s="521" t="s">
        <v>28</v>
      </c>
      <c r="D42" s="556">
        <f>D40+D41</f>
        <v>247521.40070664545</v>
      </c>
      <c r="E42" s="556">
        <f t="shared" ref="E42:T42" si="64">E40+E41</f>
        <v>515583.59277364623</v>
      </c>
      <c r="F42" s="556">
        <f t="shared" si="64"/>
        <v>519084.362042227</v>
      </c>
      <c r="G42" s="556">
        <f t="shared" si="64"/>
        <v>520382.58085766702</v>
      </c>
      <c r="H42" s="556">
        <f t="shared" si="64"/>
        <v>601544.62069807772</v>
      </c>
      <c r="I42" s="556">
        <f t="shared" si="64"/>
        <v>625606.40552600089</v>
      </c>
      <c r="J42" s="556">
        <f t="shared" si="64"/>
        <v>650630.66174704093</v>
      </c>
      <c r="K42" s="556">
        <f t="shared" si="64"/>
        <v>678509.73996546213</v>
      </c>
      <c r="L42" s="556">
        <f t="shared" si="64"/>
        <v>703722.12374559953</v>
      </c>
      <c r="M42" s="556">
        <f t="shared" si="64"/>
        <v>731871.00869542349</v>
      </c>
      <c r="N42" s="556">
        <f t="shared" si="64"/>
        <v>761145.84904324054</v>
      </c>
      <c r="O42" s="556">
        <f t="shared" si="64"/>
        <v>793760.42734197015</v>
      </c>
      <c r="P42" s="556">
        <f t="shared" si="64"/>
        <v>823255.35032516904</v>
      </c>
      <c r="Q42" s="556">
        <f t="shared" si="64"/>
        <v>856185.56433817593</v>
      </c>
      <c r="R42" s="556">
        <f t="shared" si="64"/>
        <v>890432.9869117029</v>
      </c>
      <c r="S42" s="556">
        <f t="shared" si="64"/>
        <v>928587.43051526195</v>
      </c>
      <c r="T42" s="556">
        <f t="shared" si="64"/>
        <v>963092.31864369789</v>
      </c>
      <c r="V42" s="559">
        <f t="shared" ref="V42:AL42" si="65">D42/D39</f>
        <v>0.16999999999999998</v>
      </c>
      <c r="W42" s="559">
        <f t="shared" si="65"/>
        <v>0.14000000000000001</v>
      </c>
      <c r="X42" s="559">
        <f t="shared" si="65"/>
        <v>0.12</v>
      </c>
      <c r="Y42" s="559">
        <f t="shared" si="65"/>
        <v>0.12</v>
      </c>
      <c r="Z42" s="559">
        <f t="shared" si="65"/>
        <v>0.12</v>
      </c>
      <c r="AA42" s="559">
        <f t="shared" si="65"/>
        <v>0.12</v>
      </c>
      <c r="AB42" s="559">
        <f t="shared" si="65"/>
        <v>0.12000000000000001</v>
      </c>
      <c r="AC42" s="559">
        <f t="shared" si="65"/>
        <v>0.12</v>
      </c>
      <c r="AD42" s="559">
        <f t="shared" si="65"/>
        <v>0.12000000000000001</v>
      </c>
      <c r="AE42" s="559">
        <f t="shared" si="65"/>
        <v>0.11999999999999998</v>
      </c>
      <c r="AF42" s="559">
        <f t="shared" si="65"/>
        <v>0.12</v>
      </c>
      <c r="AG42" s="559">
        <f t="shared" si="65"/>
        <v>0.12</v>
      </c>
      <c r="AH42" s="559">
        <f t="shared" si="65"/>
        <v>0.12</v>
      </c>
      <c r="AI42" s="559">
        <f t="shared" si="65"/>
        <v>0.12</v>
      </c>
      <c r="AJ42" s="559">
        <f t="shared" si="65"/>
        <v>0.12</v>
      </c>
      <c r="AK42" s="559">
        <f t="shared" si="65"/>
        <v>0.11999999999999998</v>
      </c>
      <c r="AL42" s="559">
        <f t="shared" si="65"/>
        <v>0.12</v>
      </c>
      <c r="AO42" s="556">
        <f>AO41+AO40</f>
        <v>34.334786303999991</v>
      </c>
      <c r="AP42" s="556">
        <f t="shared" ref="AP42:BE42" si="66">AP41+AP40</f>
        <v>24.505612185600008</v>
      </c>
      <c r="AQ42" s="556">
        <f t="shared" si="66"/>
        <v>23.301336386764806</v>
      </c>
      <c r="AR42" s="556">
        <f t="shared" si="66"/>
        <v>22.069694320607233</v>
      </c>
      <c r="AS42" s="556">
        <f t="shared" si="66"/>
        <v>24.302628098927496</v>
      </c>
      <c r="AT42" s="556">
        <f t="shared" si="66"/>
        <v>25.274733222884599</v>
      </c>
      <c r="AU42" s="556">
        <f t="shared" si="66"/>
        <v>26.285722551799982</v>
      </c>
      <c r="AV42" s="556">
        <f t="shared" si="66"/>
        <v>27.337151453871979</v>
      </c>
      <c r="AW42" s="556">
        <f t="shared" si="66"/>
        <v>28.430637512026863</v>
      </c>
      <c r="AX42" s="556">
        <f t="shared" si="66"/>
        <v>29.567863012507935</v>
      </c>
      <c r="AY42" s="556">
        <f t="shared" si="66"/>
        <v>30.750577533008258</v>
      </c>
      <c r="AZ42" s="556">
        <f t="shared" si="66"/>
        <v>31.980600634328589</v>
      </c>
      <c r="BA42" s="556">
        <f t="shared" si="66"/>
        <v>33.259824659701735</v>
      </c>
      <c r="BB42" s="556">
        <f t="shared" si="66"/>
        <v>34.590217646089812</v>
      </c>
      <c r="BC42" s="556">
        <f t="shared" si="66"/>
        <v>35.973826351933397</v>
      </c>
      <c r="BD42" s="556">
        <f t="shared" si="66"/>
        <v>37.412779406010735</v>
      </c>
      <c r="BE42" s="556">
        <f t="shared" si="66"/>
        <v>38.909290582251167</v>
      </c>
    </row>
    <row r="43" spans="1:57">
      <c r="A43" s="511"/>
      <c r="B43" s="511"/>
      <c r="C43" s="521" t="s">
        <v>18</v>
      </c>
      <c r="D43" s="556">
        <f>D39-D42</f>
        <v>1208486.8387442101</v>
      </c>
      <c r="E43" s="556">
        <f t="shared" ref="E43:T43" si="67">E39-E42</f>
        <v>3167156.3556095408</v>
      </c>
      <c r="F43" s="556">
        <f t="shared" si="67"/>
        <v>3806618.6549763316</v>
      </c>
      <c r="G43" s="556">
        <f t="shared" si="67"/>
        <v>3816138.9262895584</v>
      </c>
      <c r="H43" s="556">
        <f t="shared" si="67"/>
        <v>4411327.21845257</v>
      </c>
      <c r="I43" s="556">
        <f t="shared" si="67"/>
        <v>4587780.3071906734</v>
      </c>
      <c r="J43" s="556">
        <f t="shared" si="67"/>
        <v>4771291.5194782997</v>
      </c>
      <c r="K43" s="556">
        <f t="shared" si="67"/>
        <v>4975738.0930800559</v>
      </c>
      <c r="L43" s="556">
        <f t="shared" si="67"/>
        <v>5160628.9074677294</v>
      </c>
      <c r="M43" s="556">
        <f t="shared" si="67"/>
        <v>5367054.0637664394</v>
      </c>
      <c r="N43" s="556">
        <f t="shared" si="67"/>
        <v>5581736.2263170974</v>
      </c>
      <c r="O43" s="556">
        <f t="shared" si="67"/>
        <v>5820909.800507782</v>
      </c>
      <c r="P43" s="556">
        <f t="shared" si="67"/>
        <v>6037205.9023845736</v>
      </c>
      <c r="Q43" s="556">
        <f t="shared" si="67"/>
        <v>6278694.1384799574</v>
      </c>
      <c r="R43" s="556">
        <f t="shared" si="67"/>
        <v>6529841.9040191546</v>
      </c>
      <c r="S43" s="556">
        <f t="shared" si="67"/>
        <v>6809641.1571119213</v>
      </c>
      <c r="T43" s="556">
        <f t="shared" si="67"/>
        <v>7062677.0033871187</v>
      </c>
      <c r="V43" s="559">
        <f t="shared" ref="V43:AL43" si="68">D43/D39</f>
        <v>0.83</v>
      </c>
      <c r="W43" s="559">
        <f t="shared" si="68"/>
        <v>0.86</v>
      </c>
      <c r="X43" s="559">
        <f t="shared" si="68"/>
        <v>0.88</v>
      </c>
      <c r="Y43" s="559">
        <f t="shared" si="68"/>
        <v>0.88</v>
      </c>
      <c r="Z43" s="559">
        <f t="shared" si="68"/>
        <v>0.88</v>
      </c>
      <c r="AA43" s="559">
        <f t="shared" si="68"/>
        <v>0.88</v>
      </c>
      <c r="AB43" s="559">
        <f t="shared" si="68"/>
        <v>0.88</v>
      </c>
      <c r="AC43" s="559">
        <f t="shared" si="68"/>
        <v>0.88</v>
      </c>
      <c r="AD43" s="559">
        <f t="shared" si="68"/>
        <v>0.88</v>
      </c>
      <c r="AE43" s="559">
        <f t="shared" si="68"/>
        <v>0.88</v>
      </c>
      <c r="AF43" s="559">
        <f t="shared" si="68"/>
        <v>0.88</v>
      </c>
      <c r="AG43" s="559">
        <f t="shared" si="68"/>
        <v>0.88000000000000012</v>
      </c>
      <c r="AH43" s="559">
        <f t="shared" si="68"/>
        <v>0.88</v>
      </c>
      <c r="AI43" s="559">
        <f t="shared" si="68"/>
        <v>0.88</v>
      </c>
      <c r="AJ43" s="559">
        <f t="shared" si="68"/>
        <v>0.88</v>
      </c>
      <c r="AK43" s="559">
        <f t="shared" si="68"/>
        <v>0.88</v>
      </c>
      <c r="AL43" s="559">
        <f t="shared" si="68"/>
        <v>0.88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69">V45*D14</f>
        <v>323557.38654463465</v>
      </c>
      <c r="E45" s="556">
        <f t="shared" si="69"/>
        <v>1052211.4138237676</v>
      </c>
      <c r="F45" s="556">
        <f t="shared" si="69"/>
        <v>1235915.1477195879</v>
      </c>
      <c r="G45" s="556">
        <f t="shared" si="69"/>
        <v>1445507.1690490753</v>
      </c>
      <c r="H45" s="556">
        <f t="shared" si="69"/>
        <v>1670957.2797168829</v>
      </c>
      <c r="I45" s="556">
        <f t="shared" si="69"/>
        <v>1737795.5709055583</v>
      </c>
      <c r="J45" s="556">
        <f t="shared" si="69"/>
        <v>1807307.3937417802</v>
      </c>
      <c r="K45" s="556">
        <f t="shared" si="69"/>
        <v>1884749.2776818394</v>
      </c>
      <c r="L45" s="556">
        <f t="shared" si="69"/>
        <v>1954783.6770711096</v>
      </c>
      <c r="M45" s="556">
        <f t="shared" si="69"/>
        <v>2032975.0241539543</v>
      </c>
      <c r="N45" s="556">
        <f t="shared" si="69"/>
        <v>2114294.025120113</v>
      </c>
      <c r="O45" s="556">
        <f t="shared" si="69"/>
        <v>2204890.0759499175</v>
      </c>
      <c r="P45" s="556">
        <f t="shared" si="69"/>
        <v>2286820.4175699144</v>
      </c>
      <c r="Q45" s="556">
        <f t="shared" si="69"/>
        <v>2378293.234272711</v>
      </c>
      <c r="R45" s="556">
        <f t="shared" si="69"/>
        <v>2473424.9636436193</v>
      </c>
      <c r="S45" s="556">
        <f t="shared" si="69"/>
        <v>2579409.5292090615</v>
      </c>
      <c r="T45" s="556">
        <f t="shared" si="69"/>
        <v>2675256.4406769387</v>
      </c>
      <c r="V45" s="558">
        <f>'Прогноз прочих'!F77</f>
        <v>0.01</v>
      </c>
      <c r="W45" s="558">
        <f>'Прогноз прочих'!G77</f>
        <v>0.01</v>
      </c>
      <c r="X45" s="558">
        <f>'Прогноз прочих'!H77</f>
        <v>0.01</v>
      </c>
      <c r="Y45" s="558">
        <f>'Прогноз прочих'!I77</f>
        <v>0.01</v>
      </c>
      <c r="Z45" s="558">
        <f>'Прогноз прочих'!J77</f>
        <v>0.01</v>
      </c>
      <c r="AA45" s="559">
        <f>Z45</f>
        <v>0.01</v>
      </c>
      <c r="AB45" s="559">
        <f t="shared" ref="AB45:AL45" si="70">AA45</f>
        <v>0.01</v>
      </c>
      <c r="AC45" s="559">
        <f t="shared" si="70"/>
        <v>0.01</v>
      </c>
      <c r="AD45" s="559">
        <f t="shared" si="70"/>
        <v>0.01</v>
      </c>
      <c r="AE45" s="559">
        <f t="shared" si="70"/>
        <v>0.01</v>
      </c>
      <c r="AF45" s="559">
        <f t="shared" si="70"/>
        <v>0.01</v>
      </c>
      <c r="AG45" s="559">
        <f t="shared" si="70"/>
        <v>0.01</v>
      </c>
      <c r="AH45" s="559">
        <f t="shared" si="70"/>
        <v>0.01</v>
      </c>
      <c r="AI45" s="559">
        <f t="shared" si="70"/>
        <v>0.01</v>
      </c>
      <c r="AJ45" s="559">
        <f t="shared" si="70"/>
        <v>0.01</v>
      </c>
      <c r="AK45" s="559">
        <f t="shared" si="70"/>
        <v>0.01</v>
      </c>
      <c r="AL45" s="559">
        <f t="shared" si="70"/>
        <v>0.01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548">
        <f>D42+D30+D18+D36</f>
        <v>9341907.7418338768</v>
      </c>
      <c r="E46" s="548">
        <f t="shared" ref="E46:T46" si="71">E42+E30+E18+E36</f>
        <v>26361798.212267231</v>
      </c>
      <c r="F46" s="1035">
        <f t="shared" si="71"/>
        <v>27175819.184148155</v>
      </c>
      <c r="G46" s="548">
        <f t="shared" si="71"/>
        <v>28097616.193326559</v>
      </c>
      <c r="H46" s="548">
        <f t="shared" si="71"/>
        <v>28514348.535968699</v>
      </c>
      <c r="I46" s="548">
        <f t="shared" si="71"/>
        <v>29654922.477407452</v>
      </c>
      <c r="J46" s="548">
        <f t="shared" si="71"/>
        <v>30841119.376503747</v>
      </c>
      <c r="K46" s="548">
        <f t="shared" si="71"/>
        <v>32162640.217732571</v>
      </c>
      <c r="L46" s="548">
        <f t="shared" si="71"/>
        <v>33357754.717626456</v>
      </c>
      <c r="M46" s="548">
        <f t="shared" si="71"/>
        <v>34692064.906331509</v>
      </c>
      <c r="N46" s="548">
        <f t="shared" si="71"/>
        <v>36079747.502584778</v>
      </c>
      <c r="O46" s="548">
        <f t="shared" si="71"/>
        <v>37625739.970914721</v>
      </c>
      <c r="P46" s="548">
        <f t="shared" si="71"/>
        <v>39023854.898795694</v>
      </c>
      <c r="Q46" s="548">
        <f t="shared" si="71"/>
        <v>40584809.094747528</v>
      </c>
      <c r="R46" s="548">
        <f t="shared" si="71"/>
        <v>42208201.45853743</v>
      </c>
      <c r="S46" s="548">
        <f t="shared" si="71"/>
        <v>44016793.981308743</v>
      </c>
      <c r="T46" s="548">
        <f t="shared" si="71"/>
        <v>45652390.697554089</v>
      </c>
      <c r="V46" s="573">
        <f t="shared" ref="V46:AL46" si="72">D46/D12</f>
        <v>0.27367290079150491</v>
      </c>
      <c r="W46" s="573">
        <f t="shared" si="72"/>
        <v>0.23974840824421509</v>
      </c>
      <c r="X46" s="573">
        <f t="shared" si="72"/>
        <v>0.21041548560396206</v>
      </c>
      <c r="Y46" s="573">
        <f t="shared" si="72"/>
        <v>0.18690283400809721</v>
      </c>
      <c r="Z46" s="573">
        <f t="shared" si="72"/>
        <v>0.16408344579397216</v>
      </c>
      <c r="AA46" s="573">
        <f t="shared" si="72"/>
        <v>0.16408344579397213</v>
      </c>
      <c r="AB46" s="573">
        <f t="shared" si="72"/>
        <v>0.16408344579397216</v>
      </c>
      <c r="AC46" s="573">
        <f t="shared" si="72"/>
        <v>0.16408344579397216</v>
      </c>
      <c r="AD46" s="573">
        <f t="shared" si="72"/>
        <v>0.16408344579397213</v>
      </c>
      <c r="AE46" s="573">
        <f t="shared" si="72"/>
        <v>0.1640834457939721</v>
      </c>
      <c r="AF46" s="573">
        <f t="shared" si="72"/>
        <v>0.16408344579397213</v>
      </c>
      <c r="AG46" s="573">
        <f t="shared" si="72"/>
        <v>0.16408344579397216</v>
      </c>
      <c r="AH46" s="573">
        <f t="shared" si="72"/>
        <v>0.1640834457939721</v>
      </c>
      <c r="AI46" s="573">
        <f t="shared" si="72"/>
        <v>0.1640834457939721</v>
      </c>
      <c r="AJ46" s="573">
        <f t="shared" si="72"/>
        <v>0.16408344579397213</v>
      </c>
      <c r="AK46" s="573">
        <f t="shared" si="72"/>
        <v>0.16408344579397216</v>
      </c>
      <c r="AL46" s="573">
        <f t="shared" si="72"/>
        <v>0.16408344579397213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3">D12-D46</f>
        <v>24793396.53862508</v>
      </c>
      <c r="E47" s="1035">
        <f t="shared" si="73"/>
        <v>83594294.532316476</v>
      </c>
      <c r="F47" s="1035">
        <f t="shared" si="73"/>
        <v>101977313.75254878</v>
      </c>
      <c r="G47" s="1035">
        <f t="shared" si="73"/>
        <v>122235129.38777727</v>
      </c>
      <c r="H47" s="1035">
        <f t="shared" si="73"/>
        <v>145265208.5545871</v>
      </c>
      <c r="I47" s="1035">
        <f t="shared" si="73"/>
        <v>151075816.8967706</v>
      </c>
      <c r="J47" s="1035">
        <f t="shared" si="73"/>
        <v>157118849.5726414</v>
      </c>
      <c r="K47" s="1035">
        <f t="shared" si="73"/>
        <v>163851284.66117871</v>
      </c>
      <c r="L47" s="1035">
        <f t="shared" si="73"/>
        <v>169939747.69776899</v>
      </c>
      <c r="M47" s="1035">
        <f t="shared" si="73"/>
        <v>176737337.60567975</v>
      </c>
      <c r="N47" s="548">
        <f t="shared" si="73"/>
        <v>183806831.10990694</v>
      </c>
      <c r="O47" s="548">
        <f t="shared" si="73"/>
        <v>191682827.92787668</v>
      </c>
      <c r="P47" s="548">
        <f t="shared" si="73"/>
        <v>198805468.52847537</v>
      </c>
      <c r="Q47" s="548">
        <f t="shared" si="73"/>
        <v>206757687.2696144</v>
      </c>
      <c r="R47" s="548">
        <f t="shared" si="73"/>
        <v>215027994.76039895</v>
      </c>
      <c r="S47" s="548">
        <f t="shared" si="73"/>
        <v>224241797.05643362</v>
      </c>
      <c r="T47" s="548">
        <f t="shared" si="73"/>
        <v>232574279.13284758</v>
      </c>
      <c r="V47" s="573">
        <f t="shared" ref="V47:AL47" si="74">D47/D12</f>
        <v>0.72632709920849514</v>
      </c>
      <c r="W47" s="573">
        <f t="shared" si="74"/>
        <v>0.76025159175578494</v>
      </c>
      <c r="X47" s="573">
        <f t="shared" si="74"/>
        <v>0.78958451439603783</v>
      </c>
      <c r="Y47" s="573">
        <f t="shared" si="74"/>
        <v>0.81309716599190274</v>
      </c>
      <c r="Z47" s="573">
        <f t="shared" si="74"/>
        <v>0.83591655420602795</v>
      </c>
      <c r="AA47" s="573">
        <f t="shared" si="74"/>
        <v>0.83591655420602784</v>
      </c>
      <c r="AB47" s="573">
        <f t="shared" si="74"/>
        <v>0.83591655420602795</v>
      </c>
      <c r="AC47" s="573">
        <f t="shared" si="74"/>
        <v>0.83591655420602784</v>
      </c>
      <c r="AD47" s="573">
        <f t="shared" si="74"/>
        <v>0.83591655420602784</v>
      </c>
      <c r="AE47" s="573">
        <f t="shared" si="74"/>
        <v>0.83591655420602784</v>
      </c>
      <c r="AF47" s="573">
        <f t="shared" si="74"/>
        <v>0.83591655420602784</v>
      </c>
      <c r="AG47" s="573">
        <f t="shared" si="74"/>
        <v>0.83591655420602784</v>
      </c>
      <c r="AH47" s="573">
        <f t="shared" si="74"/>
        <v>0.83591655420602784</v>
      </c>
      <c r="AI47" s="573">
        <f t="shared" si="74"/>
        <v>0.83591655420602784</v>
      </c>
      <c r="AJ47" s="573">
        <f t="shared" si="74"/>
        <v>0.83591655420602784</v>
      </c>
      <c r="AK47" s="573">
        <f t="shared" si="74"/>
        <v>0.83591655420602784</v>
      </c>
      <c r="AL47" s="573">
        <f t="shared" si="74"/>
        <v>0.83591655420602795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>
        <f>D47/D7</f>
        <v>245479.17364975327</v>
      </c>
      <c r="E48" s="1629">
        <f t="shared" ref="E48:T48" si="75">E47/E7</f>
        <v>827666.28249818296</v>
      </c>
      <c r="F48" s="1629">
        <f t="shared" si="75"/>
        <v>1009676.3737876117</v>
      </c>
      <c r="G48" s="1629">
        <f t="shared" si="75"/>
        <v>1210248.8058195768</v>
      </c>
      <c r="H48" s="1629">
        <f>H47/H7</f>
        <v>1438269.3916295753</v>
      </c>
      <c r="I48" s="1629">
        <f t="shared" si="75"/>
        <v>1495800.1672947584</v>
      </c>
      <c r="J48" s="1629">
        <f t="shared" si="75"/>
        <v>1555632.1739865486</v>
      </c>
      <c r="K48" s="1629">
        <f t="shared" si="75"/>
        <v>1622289.9471403833</v>
      </c>
      <c r="L48" s="1629">
        <f t="shared" si="75"/>
        <v>1682571.7593838514</v>
      </c>
      <c r="M48" s="1629">
        <f t="shared" si="75"/>
        <v>1749874.6297592055</v>
      </c>
      <c r="N48" s="1629">
        <f t="shared" si="75"/>
        <v>1819869.6149495738</v>
      </c>
      <c r="O48" s="1629">
        <f t="shared" si="75"/>
        <v>1897849.7814641255</v>
      </c>
      <c r="P48" s="1629">
        <f t="shared" si="75"/>
        <v>1968370.9755294591</v>
      </c>
      <c r="Q48" s="1629">
        <f t="shared" si="75"/>
        <v>2047105.8145506375</v>
      </c>
      <c r="R48" s="1629">
        <f t="shared" si="75"/>
        <v>2128990.047132663</v>
      </c>
      <c r="S48" s="1629">
        <f t="shared" si="75"/>
        <v>2220215.8124399367</v>
      </c>
      <c r="T48" s="1629">
        <f t="shared" si="75"/>
        <v>2302715.6349786888</v>
      </c>
    </row>
    <row r="50" spans="3:41" ht="15" customHeight="1">
      <c r="C50" s="1533" t="s">
        <v>1081</v>
      </c>
      <c r="D50" s="1539">
        <f>D15+D24+D25+D34+D40</f>
        <v>4432656.4452238865</v>
      </c>
      <c r="E50" s="1534">
        <f t="shared" ref="E50:T50" si="76">E15+E24+E25+E34+E40</f>
        <v>12466398.497251604</v>
      </c>
      <c r="F50" s="1534">
        <f t="shared" si="76"/>
        <v>12942401.084472207</v>
      </c>
      <c r="G50" s="1534">
        <f t="shared" si="76"/>
        <v>13426174.903426562</v>
      </c>
      <c r="H50" s="1534">
        <f t="shared" si="76"/>
        <v>13850835.241386531</v>
      </c>
      <c r="I50" s="1534">
        <f t="shared" si="76"/>
        <v>14404868.651041994</v>
      </c>
      <c r="J50" s="1534">
        <f t="shared" si="76"/>
        <v>14981063.397083674</v>
      </c>
      <c r="K50" s="1534">
        <f t="shared" si="76"/>
        <v>15622991.702646386</v>
      </c>
      <c r="L50" s="1534">
        <f t="shared" si="76"/>
        <v>16203518.170285704</v>
      </c>
      <c r="M50" s="1534">
        <f t="shared" si="76"/>
        <v>16851658.897097129</v>
      </c>
      <c r="N50" s="1534">
        <f t="shared" si="76"/>
        <v>17525725.252981018</v>
      </c>
      <c r="O50" s="1534">
        <f t="shared" si="76"/>
        <v>18276690.576149851</v>
      </c>
      <c r="P50" s="1534">
        <f t="shared" si="76"/>
        <v>18955824.433624271</v>
      </c>
      <c r="Q50" s="1534">
        <f t="shared" si="76"/>
        <v>19714057.410969242</v>
      </c>
      <c r="R50" s="1534">
        <f t="shared" si="76"/>
        <v>20502619.707408011</v>
      </c>
      <c r="S50" s="1534">
        <f t="shared" si="76"/>
        <v>21381142.918980241</v>
      </c>
      <c r="T50" s="1534">
        <f t="shared" si="76"/>
        <v>22175633.475532509</v>
      </c>
      <c r="V50" s="1540"/>
      <c r="AO50" s="823"/>
    </row>
  </sheetData>
  <conditionalFormatting sqref="V40:Z41">
    <cfRule type="expression" dxfId="297" priority="8">
      <formula>$A$1=1</formula>
    </cfRule>
  </conditionalFormatting>
  <conditionalFormatting sqref="V33:Z35">
    <cfRule type="expression" dxfId="296" priority="7">
      <formula>$A$1=1</formula>
    </cfRule>
  </conditionalFormatting>
  <conditionalFormatting sqref="V24:Z29">
    <cfRule type="expression" dxfId="295" priority="6">
      <formula>$A$1=1</formula>
    </cfRule>
  </conditionalFormatting>
  <conditionalFormatting sqref="V23:Z23">
    <cfRule type="expression" dxfId="294" priority="5">
      <formula>$A$1=1</formula>
    </cfRule>
  </conditionalFormatting>
  <conditionalFormatting sqref="V22:Z22">
    <cfRule type="expression" dxfId="293" priority="4">
      <formula>$A$1=1</formula>
    </cfRule>
  </conditionalFormatting>
  <conditionalFormatting sqref="V39:Z39">
    <cfRule type="expression" dxfId="292" priority="3">
      <formula>$A$1=1</formula>
    </cfRule>
  </conditionalFormatting>
  <conditionalFormatting sqref="V45:Z45">
    <cfRule type="expression" dxfId="291" priority="2">
      <formula>$A$1=1</formula>
    </cfRule>
  </conditionalFormatting>
  <conditionalFormatting sqref="V16:Z16">
    <cfRule type="expression" dxfId="290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B8E6"/>
  </sheetPr>
  <dimension ref="A1:BE50"/>
  <sheetViews>
    <sheetView showGridLines="0" zoomScale="70" zoomScaleNormal="70" workbookViewId="0">
      <pane xSplit="3" ySplit="6" topLeftCell="D7" activePane="bottomRight" state="frozen"/>
      <selection activeCell="I13" sqref="I13"/>
      <selection pane="topRight" activeCell="I13" sqref="I13"/>
      <selection pane="bottomLeft" activeCell="I13" sqref="I13"/>
      <selection pane="bottomRight" activeCell="O47" sqref="O47"/>
    </sheetView>
  </sheetViews>
  <sheetFormatPr defaultColWidth="9.140625" defaultRowHeight="15" customHeight="1" outlineLevelRow="1" outlineLevelCol="1"/>
  <cols>
    <col min="1" max="1" width="5.5703125" style="197" customWidth="1"/>
    <col min="2" max="2" width="5" style="197" customWidth="1"/>
    <col min="3" max="3" width="42.7109375" style="197" customWidth="1"/>
    <col min="4" max="4" width="12.28515625" style="199" customWidth="1"/>
    <col min="5" max="8" width="12.28515625" style="197" customWidth="1"/>
    <col min="9" max="9" width="14.28515625" style="197" customWidth="1" outlineLevel="1"/>
    <col min="10" max="19" width="14.5703125" style="197" customWidth="1" outlineLevel="1"/>
    <col min="20" max="20" width="16.5703125" style="197" customWidth="1"/>
    <col min="21" max="21" width="2" style="197" customWidth="1"/>
    <col min="22" max="22" width="7.28515625" style="534" customWidth="1"/>
    <col min="23" max="23" width="7.5703125" style="534" bestFit="1" customWidth="1"/>
    <col min="24" max="27" width="6.85546875" style="534" customWidth="1"/>
    <col min="28" max="37" width="6.85546875" style="534" hidden="1" customWidth="1" outlineLevel="1"/>
    <col min="38" max="38" width="6.8554687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46" width="8.7109375" style="197" customWidth="1"/>
    <col min="47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D1" s="197"/>
    </row>
    <row r="2" spans="1:57" ht="15" customHeight="1">
      <c r="A2" s="511"/>
      <c r="D2" s="197"/>
    </row>
    <row r="3" spans="1:57">
      <c r="A3" s="511"/>
      <c r="B3" s="511"/>
      <c r="C3" s="536" t="str">
        <f>Объекты!C10</f>
        <v>Шале</v>
      </c>
      <c r="D3" s="800">
        <f>YEAR(D4)</f>
        <v>2026</v>
      </c>
      <c r="E3" s="800">
        <f>D3+1</f>
        <v>2027</v>
      </c>
      <c r="F3" s="800">
        <f t="shared" ref="F3:T3" si="0">E3+1</f>
        <v>2028</v>
      </c>
      <c r="G3" s="800">
        <f t="shared" si="0"/>
        <v>2029</v>
      </c>
      <c r="H3" s="800">
        <f t="shared" si="0"/>
        <v>2030</v>
      </c>
      <c r="I3" s="800">
        <f t="shared" si="0"/>
        <v>2031</v>
      </c>
      <c r="J3" s="800">
        <f t="shared" si="0"/>
        <v>2032</v>
      </c>
      <c r="K3" s="800">
        <f t="shared" si="0"/>
        <v>2033</v>
      </c>
      <c r="L3" s="800">
        <f t="shared" si="0"/>
        <v>2034</v>
      </c>
      <c r="M3" s="800">
        <f>L3+1</f>
        <v>2035</v>
      </c>
      <c r="N3" s="800">
        <f t="shared" si="0"/>
        <v>2036</v>
      </c>
      <c r="O3" s="800">
        <f t="shared" si="0"/>
        <v>2037</v>
      </c>
      <c r="P3" s="800">
        <f t="shared" si="0"/>
        <v>2038</v>
      </c>
      <c r="Q3" s="800">
        <f t="shared" si="0"/>
        <v>2039</v>
      </c>
      <c r="R3" s="800">
        <f t="shared" si="0"/>
        <v>2040</v>
      </c>
      <c r="S3" s="800">
        <f t="shared" si="0"/>
        <v>2041</v>
      </c>
      <c r="T3" s="800">
        <f t="shared" si="0"/>
        <v>2042</v>
      </c>
      <c r="V3" s="800">
        <f t="shared" ref="V3:AL3" si="1">D3</f>
        <v>2026</v>
      </c>
      <c r="W3" s="800">
        <f t="shared" si="1"/>
        <v>2027</v>
      </c>
      <c r="X3" s="800">
        <f t="shared" si="1"/>
        <v>2028</v>
      </c>
      <c r="Y3" s="800">
        <f t="shared" si="1"/>
        <v>2029</v>
      </c>
      <c r="Z3" s="800">
        <f t="shared" si="1"/>
        <v>2030</v>
      </c>
      <c r="AA3" s="800">
        <f t="shared" si="1"/>
        <v>2031</v>
      </c>
      <c r="AB3" s="800">
        <f t="shared" si="1"/>
        <v>2032</v>
      </c>
      <c r="AC3" s="800">
        <f t="shared" si="1"/>
        <v>2033</v>
      </c>
      <c r="AD3" s="800">
        <f t="shared" si="1"/>
        <v>2034</v>
      </c>
      <c r="AE3" s="800">
        <f t="shared" si="1"/>
        <v>2035</v>
      </c>
      <c r="AF3" s="800">
        <f t="shared" si="1"/>
        <v>2036</v>
      </c>
      <c r="AG3" s="800">
        <f t="shared" si="1"/>
        <v>2037</v>
      </c>
      <c r="AH3" s="800">
        <f t="shared" si="1"/>
        <v>2038</v>
      </c>
      <c r="AI3" s="800">
        <f t="shared" si="1"/>
        <v>2039</v>
      </c>
      <c r="AJ3" s="800">
        <f t="shared" si="1"/>
        <v>2040</v>
      </c>
      <c r="AK3" s="800">
        <f t="shared" si="1"/>
        <v>2041</v>
      </c>
      <c r="AL3" s="800">
        <f t="shared" si="1"/>
        <v>2042</v>
      </c>
      <c r="AO3" s="800">
        <f t="shared" ref="AO3:BE3" si="2">V3</f>
        <v>2026</v>
      </c>
      <c r="AP3" s="800">
        <f t="shared" si="2"/>
        <v>2027</v>
      </c>
      <c r="AQ3" s="800">
        <f t="shared" si="2"/>
        <v>2028</v>
      </c>
      <c r="AR3" s="800">
        <f t="shared" si="2"/>
        <v>2029</v>
      </c>
      <c r="AS3" s="800">
        <f t="shared" si="2"/>
        <v>2030</v>
      </c>
      <c r="AT3" s="800">
        <f t="shared" si="2"/>
        <v>2031</v>
      </c>
      <c r="AU3" s="800">
        <f t="shared" si="2"/>
        <v>2032</v>
      </c>
      <c r="AV3" s="800">
        <f t="shared" si="2"/>
        <v>2033</v>
      </c>
      <c r="AW3" s="800">
        <f t="shared" si="2"/>
        <v>2034</v>
      </c>
      <c r="AX3" s="800">
        <f t="shared" si="2"/>
        <v>2035</v>
      </c>
      <c r="AY3" s="800">
        <f t="shared" si="2"/>
        <v>2036</v>
      </c>
      <c r="AZ3" s="800">
        <f t="shared" si="2"/>
        <v>2037</v>
      </c>
      <c r="BA3" s="800">
        <f t="shared" si="2"/>
        <v>2038</v>
      </c>
      <c r="BB3" s="800">
        <f t="shared" si="2"/>
        <v>2039</v>
      </c>
      <c r="BC3" s="800">
        <f t="shared" si="2"/>
        <v>2040</v>
      </c>
      <c r="BD3" s="800">
        <f t="shared" si="2"/>
        <v>2041</v>
      </c>
      <c r="BE3" s="800">
        <f t="shared" si="2"/>
        <v>2042</v>
      </c>
    </row>
    <row r="4" spans="1:57">
      <c r="A4" s="511"/>
      <c r="B4" s="511"/>
      <c r="C4" s="512" t="s">
        <v>1</v>
      </c>
      <c r="D4" s="782">
        <f>Объекты!K10</f>
        <v>46204</v>
      </c>
      <c r="E4" s="514">
        <f>D5+1</f>
        <v>46388</v>
      </c>
      <c r="F4" s="514">
        <f t="shared" ref="F4:T4" si="3">E5+1</f>
        <v>46753</v>
      </c>
      <c r="G4" s="514">
        <f t="shared" si="3"/>
        <v>47119</v>
      </c>
      <c r="H4" s="514">
        <f t="shared" si="3"/>
        <v>47484</v>
      </c>
      <c r="I4" s="514">
        <f t="shared" si="3"/>
        <v>47849</v>
      </c>
      <c r="J4" s="514">
        <f t="shared" si="3"/>
        <v>48214</v>
      </c>
      <c r="K4" s="514">
        <f t="shared" si="3"/>
        <v>48580</v>
      </c>
      <c r="L4" s="514">
        <f>K5+1</f>
        <v>48945</v>
      </c>
      <c r="M4" s="514">
        <f t="shared" si="3"/>
        <v>49310</v>
      </c>
      <c r="N4" s="514">
        <f t="shared" si="3"/>
        <v>49675</v>
      </c>
      <c r="O4" s="514">
        <f t="shared" si="3"/>
        <v>50041</v>
      </c>
      <c r="P4" s="514">
        <f t="shared" si="3"/>
        <v>50406</v>
      </c>
      <c r="Q4" s="514">
        <f t="shared" si="3"/>
        <v>50771</v>
      </c>
      <c r="R4" s="514">
        <f t="shared" si="3"/>
        <v>51136</v>
      </c>
      <c r="S4" s="514">
        <f t="shared" si="3"/>
        <v>51502</v>
      </c>
      <c r="T4" s="514">
        <f t="shared" si="3"/>
        <v>51867</v>
      </c>
      <c r="AO4" s="537" t="s">
        <v>548</v>
      </c>
    </row>
    <row r="5" spans="1:57">
      <c r="A5" s="511"/>
      <c r="B5" s="511"/>
      <c r="C5" s="512" t="s">
        <v>2</v>
      </c>
      <c r="D5" s="513">
        <f>DATE(D3,12,31)</f>
        <v>46387</v>
      </c>
      <c r="E5" s="514">
        <f>DATE(E3,12,31)</f>
        <v>46752</v>
      </c>
      <c r="F5" s="514">
        <f t="shared" ref="F5:K5" si="4">DATE(F3,12,31)</f>
        <v>47118</v>
      </c>
      <c r="G5" s="514">
        <f t="shared" si="4"/>
        <v>47483</v>
      </c>
      <c r="H5" s="514">
        <f t="shared" si="4"/>
        <v>47848</v>
      </c>
      <c r="I5" s="514">
        <f t="shared" si="4"/>
        <v>48213</v>
      </c>
      <c r="J5" s="514">
        <f t="shared" si="4"/>
        <v>48579</v>
      </c>
      <c r="K5" s="514">
        <f t="shared" si="4"/>
        <v>48944</v>
      </c>
      <c r="L5" s="514">
        <f>DATE(L3,12,31)</f>
        <v>49309</v>
      </c>
      <c r="M5" s="514">
        <f t="shared" ref="M5:T5" si="5">DATE(M3,12,31)</f>
        <v>49674</v>
      </c>
      <c r="N5" s="514">
        <f t="shared" si="5"/>
        <v>50040</v>
      </c>
      <c r="O5" s="514">
        <f t="shared" si="5"/>
        <v>50405</v>
      </c>
      <c r="P5" s="514">
        <f t="shared" si="5"/>
        <v>50770</v>
      </c>
      <c r="Q5" s="514">
        <f t="shared" si="5"/>
        <v>51135</v>
      </c>
      <c r="R5" s="514">
        <f t="shared" si="5"/>
        <v>51501</v>
      </c>
      <c r="S5" s="514">
        <f t="shared" si="5"/>
        <v>51866</v>
      </c>
      <c r="T5" s="514">
        <f t="shared" si="5"/>
        <v>52231</v>
      </c>
      <c r="AO5" s="814">
        <f>'К дв.загр'!G12</f>
        <v>4.8</v>
      </c>
    </row>
    <row r="6" spans="1:57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366</v>
      </c>
      <c r="G6" s="515">
        <f t="shared" si="6"/>
        <v>365</v>
      </c>
      <c r="H6" s="515">
        <f t="shared" si="6"/>
        <v>365</v>
      </c>
      <c r="I6" s="515">
        <f t="shared" si="6"/>
        <v>365</v>
      </c>
      <c r="J6" s="515">
        <f t="shared" si="6"/>
        <v>366</v>
      </c>
      <c r="K6" s="515">
        <f t="shared" si="6"/>
        <v>365</v>
      </c>
      <c r="L6" s="515">
        <f t="shared" si="6"/>
        <v>365</v>
      </c>
      <c r="M6" s="515">
        <f t="shared" si="6"/>
        <v>365</v>
      </c>
      <c r="N6" s="515">
        <f t="shared" si="6"/>
        <v>366</v>
      </c>
      <c r="O6" s="515">
        <f t="shared" si="6"/>
        <v>365</v>
      </c>
      <c r="P6" s="515">
        <f t="shared" si="6"/>
        <v>365</v>
      </c>
      <c r="Q6" s="515">
        <f t="shared" si="6"/>
        <v>365</v>
      </c>
      <c r="R6" s="515">
        <f t="shared" si="6"/>
        <v>366</v>
      </c>
      <c r="S6" s="515">
        <f t="shared" si="6"/>
        <v>365</v>
      </c>
      <c r="T6" s="515">
        <f t="shared" si="6"/>
        <v>365</v>
      </c>
    </row>
    <row r="7" spans="1:57" outlineLevel="1">
      <c r="A7" s="509"/>
      <c r="B7" s="509"/>
      <c r="C7" s="512" t="s">
        <v>549</v>
      </c>
      <c r="D7" s="815">
        <f>Объекты!F10</f>
        <v>13</v>
      </c>
      <c r="E7" s="538">
        <f>D7</f>
        <v>13</v>
      </c>
      <c r="F7" s="538">
        <f t="shared" ref="F7:T7" si="7">E7</f>
        <v>13</v>
      </c>
      <c r="G7" s="538">
        <f t="shared" si="7"/>
        <v>13</v>
      </c>
      <c r="H7" s="538">
        <f t="shared" si="7"/>
        <v>13</v>
      </c>
      <c r="I7" s="538">
        <f t="shared" si="7"/>
        <v>13</v>
      </c>
      <c r="J7" s="538">
        <f t="shared" si="7"/>
        <v>13</v>
      </c>
      <c r="K7" s="538">
        <f t="shared" si="7"/>
        <v>13</v>
      </c>
      <c r="L7" s="538">
        <f t="shared" si="7"/>
        <v>13</v>
      </c>
      <c r="M7" s="538">
        <f t="shared" si="7"/>
        <v>13</v>
      </c>
      <c r="N7" s="538">
        <f t="shared" si="7"/>
        <v>13</v>
      </c>
      <c r="O7" s="538">
        <f t="shared" si="7"/>
        <v>13</v>
      </c>
      <c r="P7" s="538">
        <f t="shared" si="7"/>
        <v>13</v>
      </c>
      <c r="Q7" s="538">
        <f t="shared" si="7"/>
        <v>13</v>
      </c>
      <c r="R7" s="538">
        <f t="shared" si="7"/>
        <v>13</v>
      </c>
      <c r="S7" s="538">
        <f t="shared" si="7"/>
        <v>13</v>
      </c>
      <c r="T7" s="538">
        <f t="shared" si="7"/>
        <v>13</v>
      </c>
      <c r="V7" s="539"/>
      <c r="W7" s="540"/>
      <c r="X7" s="540"/>
      <c r="Y7" s="540"/>
      <c r="Z7" s="540"/>
    </row>
    <row r="8" spans="1:57">
      <c r="A8" s="509"/>
      <c r="B8" s="509"/>
      <c r="C8" s="512" t="s">
        <v>546</v>
      </c>
      <c r="D8" s="201">
        <f>D7*D6</f>
        <v>2392</v>
      </c>
      <c r="E8" s="201">
        <f t="shared" ref="E8:T8" si="8">E7*E6</f>
        <v>4745</v>
      </c>
      <c r="F8" s="208">
        <f t="shared" si="8"/>
        <v>4758</v>
      </c>
      <c r="G8" s="201">
        <f t="shared" si="8"/>
        <v>4745</v>
      </c>
      <c r="H8" s="201">
        <f t="shared" si="8"/>
        <v>4745</v>
      </c>
      <c r="I8" s="201">
        <f t="shared" si="8"/>
        <v>4745</v>
      </c>
      <c r="J8" s="201">
        <f t="shared" si="8"/>
        <v>4758</v>
      </c>
      <c r="K8" s="201">
        <f t="shared" si="8"/>
        <v>4745</v>
      </c>
      <c r="L8" s="201">
        <f t="shared" si="8"/>
        <v>4745</v>
      </c>
      <c r="M8" s="201">
        <f t="shared" si="8"/>
        <v>4745</v>
      </c>
      <c r="N8" s="201">
        <f t="shared" si="8"/>
        <v>4758</v>
      </c>
      <c r="O8" s="201">
        <f t="shared" si="8"/>
        <v>4745</v>
      </c>
      <c r="P8" s="201">
        <f t="shared" si="8"/>
        <v>4745</v>
      </c>
      <c r="Q8" s="201">
        <f t="shared" si="8"/>
        <v>4745</v>
      </c>
      <c r="R8" s="201">
        <f t="shared" si="8"/>
        <v>4758</v>
      </c>
      <c r="S8" s="201">
        <f t="shared" si="8"/>
        <v>4745</v>
      </c>
      <c r="T8" s="201">
        <f t="shared" si="8"/>
        <v>4745</v>
      </c>
      <c r="AO8" s="537"/>
    </row>
    <row r="9" spans="1:57">
      <c r="A9" s="509"/>
      <c r="B9" s="509"/>
      <c r="C9" s="512" t="s">
        <v>547</v>
      </c>
      <c r="D9" s="208">
        <f>D8*D10</f>
        <v>393.19457888143825</v>
      </c>
      <c r="E9" s="201">
        <f t="shared" ref="E9:T9" si="9">E8*E10</f>
        <v>1681.357954545455</v>
      </c>
      <c r="F9" s="201">
        <f t="shared" si="9"/>
        <v>1785.1387920298885</v>
      </c>
      <c r="G9" s="201">
        <f t="shared" si="9"/>
        <v>1879.1647727272732</v>
      </c>
      <c r="H9" s="208">
        <f t="shared" si="9"/>
        <v>1978.0681818181824</v>
      </c>
      <c r="I9" s="201">
        <f t="shared" si="9"/>
        <v>1978.0681818181824</v>
      </c>
      <c r="J9" s="201">
        <f t="shared" si="9"/>
        <v>1983.487546699876</v>
      </c>
      <c r="K9" s="201">
        <f t="shared" si="9"/>
        <v>1978.0681818181824</v>
      </c>
      <c r="L9" s="201">
        <f t="shared" si="9"/>
        <v>1978.0681818181824</v>
      </c>
      <c r="M9" s="201">
        <f t="shared" si="9"/>
        <v>1978.0681818181824</v>
      </c>
      <c r="N9" s="201">
        <f t="shared" si="9"/>
        <v>1983.487546699876</v>
      </c>
      <c r="O9" s="201">
        <f t="shared" si="9"/>
        <v>1978.0681818181824</v>
      </c>
      <c r="P9" s="201">
        <f t="shared" si="9"/>
        <v>1978.0681818181824</v>
      </c>
      <c r="Q9" s="201">
        <f t="shared" si="9"/>
        <v>1978.0681818181824</v>
      </c>
      <c r="R9" s="201">
        <f t="shared" si="9"/>
        <v>1983.487546699876</v>
      </c>
      <c r="S9" s="201">
        <f t="shared" si="9"/>
        <v>1978.0681818181824</v>
      </c>
      <c r="T9" s="201">
        <f t="shared" si="9"/>
        <v>1978.0681818181824</v>
      </c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</row>
    <row r="10" spans="1:57">
      <c r="A10" s="509"/>
      <c r="B10" s="509"/>
      <c r="C10" s="512" t="s">
        <v>14</v>
      </c>
      <c r="D10" s="542">
        <f>SUMIF(ADR_OCC!$91:$91,D$3,ADR_OCC!97:97)</f>
        <v>0.16437900454909626</v>
      </c>
      <c r="E10" s="542">
        <f>SUMIF(ADR_OCC!$91:$91,E$3,ADR_OCC!97:97)</f>
        <v>0.35434308841843098</v>
      </c>
      <c r="F10" s="542">
        <f>SUMIF(ADR_OCC!$91:$91,F$3,ADR_OCC!97:97)</f>
        <v>0.37518679950186812</v>
      </c>
      <c r="G10" s="542">
        <f>SUMIF(ADR_OCC!$91:$91,G$3,ADR_OCC!97:97)</f>
        <v>0.3960305105853052</v>
      </c>
      <c r="H10" s="542">
        <f>SUMIF(ADR_OCC!$91:$91,H$3,ADR_OCC!97:97)</f>
        <v>0.41687422166874233</v>
      </c>
      <c r="I10" s="542">
        <f>SUMIF(ADR_OCC!$91:$91,I$3,ADR_OCC!97:97)</f>
        <v>0.41687422166874233</v>
      </c>
      <c r="J10" s="542">
        <f>SUMIF(ADR_OCC!$91:$91,J$3,ADR_OCC!97:97)</f>
        <v>0.41687422166874233</v>
      </c>
      <c r="K10" s="542">
        <f>SUMIF(ADR_OCC!$91:$91,K$3,ADR_OCC!97:97)</f>
        <v>0.41687422166874233</v>
      </c>
      <c r="L10" s="542">
        <f>SUMIF(ADR_OCC!$91:$91,L$3,ADR_OCC!97:97)</f>
        <v>0.41687422166874233</v>
      </c>
      <c r="M10" s="542">
        <f>SUMIF(ADR_OCC!$91:$91,M$3,ADR_OCC!97:97)</f>
        <v>0.41687422166874233</v>
      </c>
      <c r="N10" s="542">
        <f>SUMIF(ADR_OCC!$91:$91,N$3,ADR_OCC!97:97)</f>
        <v>0.41687422166874233</v>
      </c>
      <c r="O10" s="542">
        <f>SUMIF(ADR_OCC!$91:$91,O$3,ADR_OCC!97:97)</f>
        <v>0.41687422166874233</v>
      </c>
      <c r="P10" s="542">
        <f>SUMIF(ADR_OCC!$91:$91,P$3,ADR_OCC!97:97)</f>
        <v>0.41687422166874233</v>
      </c>
      <c r="Q10" s="542">
        <f>SUMIF(ADR_OCC!$91:$91,Q$3,ADR_OCC!97:97)</f>
        <v>0.41687422166874233</v>
      </c>
      <c r="R10" s="542">
        <f>SUMIF(ADR_OCC!$91:$91,R$3,ADR_OCC!97:97)</f>
        <v>0.41687422166874233</v>
      </c>
      <c r="S10" s="542">
        <f>SUMIF(ADR_OCC!$91:$91,S$3,ADR_OCC!97:97)</f>
        <v>0.41687422166874233</v>
      </c>
      <c r="T10" s="542">
        <f>SUMIF(ADR_OCC!$91:$91,T$3,ADR_OCC!97:97)</f>
        <v>0.41687422166874233</v>
      </c>
      <c r="V10" s="543"/>
      <c r="W10" s="544" t="str">
        <f t="shared" ref="W10:AL10" si="10">ROUND((E10-D10),2)*100 &amp; "пп."</f>
        <v>19пп.</v>
      </c>
      <c r="X10" s="544" t="str">
        <f t="shared" si="10"/>
        <v>2пп.</v>
      </c>
      <c r="Y10" s="544" t="str">
        <f t="shared" si="10"/>
        <v>2пп.</v>
      </c>
      <c r="Z10" s="544" t="str">
        <f t="shared" si="10"/>
        <v>2пп.</v>
      </c>
      <c r="AA10" s="544" t="str">
        <f t="shared" si="10"/>
        <v>0пп.</v>
      </c>
      <c r="AB10" s="544" t="str">
        <f t="shared" si="10"/>
        <v>0пп.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</row>
    <row r="11" spans="1:57">
      <c r="A11" s="511"/>
      <c r="B11" s="511"/>
      <c r="C11" s="512" t="s">
        <v>33</v>
      </c>
      <c r="D11" s="208">
        <f>SUMIF(ADR_OCC!$65:$65,D$3,ADR_OCC!71:71)</f>
        <v>96355.400294400009</v>
      </c>
      <c r="E11" s="208">
        <f>SUMIF(ADR_OCC!$65:$65,E$3,ADR_OCC!71:71)</f>
        <v>111998.98293043202</v>
      </c>
      <c r="F11" s="208">
        <f>SUMIF(ADR_OCC!$65:$65,F$3,ADR_OCC!71:71)</f>
        <v>122609.41289226242</v>
      </c>
      <c r="G11" s="208">
        <f>SUMIF(ADR_OCC!$65:$65,G$3,ADR_OCC!71:71)</f>
        <v>127513.78940795292</v>
      </c>
      <c r="H11" s="208">
        <f>SUMIF(ADR_OCC!$65:$65,H$3,ADR_OCC!71:71)</f>
        <v>132614.34098427105</v>
      </c>
      <c r="I11" s="208">
        <f>SUMIF(ADR_OCC!$65:$65,I$3,ADR_OCC!71:71)</f>
        <v>137918.9146236419</v>
      </c>
      <c r="J11" s="208">
        <f>SUMIF(ADR_OCC!$65:$65,J$3,ADR_OCC!71:71)</f>
        <v>143435.67120858759</v>
      </c>
      <c r="K11" s="208">
        <f>SUMIF(ADR_OCC!$65:$65,K$3,ADR_OCC!71:71)</f>
        <v>149173.09805693111</v>
      </c>
      <c r="L11" s="208">
        <f>SUMIF(ADR_OCC!$65:$65,L$3,ADR_OCC!71:71)</f>
        <v>155140.02197920837</v>
      </c>
      <c r="M11" s="208">
        <f>SUMIF(ADR_OCC!$65:$65,M$3,ADR_OCC!71:71)</f>
        <v>161345.62285837671</v>
      </c>
      <c r="N11" s="208">
        <f>SUMIF(ADR_OCC!$65:$65,N$3,ADR_OCC!71:71)</f>
        <v>167799.44777271178</v>
      </c>
      <c r="O11" s="208">
        <f>SUMIF(ADR_OCC!$65:$65,O$3,ADR_OCC!71:71)</f>
        <v>174511.42568362024</v>
      </c>
      <c r="P11" s="208">
        <f>SUMIF(ADR_OCC!$65:$65,P$3,ADR_OCC!71:71)</f>
        <v>181491.88271096506</v>
      </c>
      <c r="Q11" s="208">
        <f>SUMIF(ADR_OCC!$65:$65,Q$3,ADR_OCC!71:71)</f>
        <v>188751.55801940366</v>
      </c>
      <c r="R11" s="208">
        <f>SUMIF(ADR_OCC!$65:$65,R$3,ADR_OCC!71:71)</f>
        <v>196301.62034017983</v>
      </c>
      <c r="S11" s="208">
        <f>SUMIF(ADR_OCC!$65:$65,S$3,ADR_OCC!71:71)</f>
        <v>204153.68515378702</v>
      </c>
      <c r="T11" s="208">
        <f>SUMIF(ADR_OCC!$65:$65,T$3,ADR_OCC!71:71)</f>
        <v>212319.83255993851</v>
      </c>
      <c r="V11" s="543"/>
      <c r="W11" s="522">
        <f t="shared" ref="W11:AL11" si="11">E11/D11-1</f>
        <v>0.16235294117647059</v>
      </c>
      <c r="X11" s="522">
        <f t="shared" si="11"/>
        <v>9.473684210526323E-2</v>
      </c>
      <c r="Y11" s="522">
        <f t="shared" si="11"/>
        <v>4.0000000000000036E-2</v>
      </c>
      <c r="Z11" s="522">
        <f t="shared" si="11"/>
        <v>4.0000000000000036E-2</v>
      </c>
      <c r="AA11" s="522">
        <f t="shared" si="11"/>
        <v>4.0000000000000036E-2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4.0000000000000036E-2</v>
      </c>
      <c r="AG11" s="522">
        <f t="shared" si="11"/>
        <v>4.0000000000000036E-2</v>
      </c>
      <c r="AH11" s="522">
        <f t="shared" si="11"/>
        <v>4.0000000000000036E-2</v>
      </c>
      <c r="AI11" s="522">
        <f t="shared" si="11"/>
        <v>4.0000000000000036E-2</v>
      </c>
      <c r="AJ11" s="522">
        <f t="shared" si="11"/>
        <v>4.0000000000000036E-2</v>
      </c>
      <c r="AK11" s="522">
        <f t="shared" si="11"/>
        <v>4.0000000000000036E-2</v>
      </c>
      <c r="AL11" s="522">
        <f t="shared" si="11"/>
        <v>4.0000000000000036E-2</v>
      </c>
      <c r="AO11" s="545">
        <f>SUMIF(CPI!3:3,AO3,CPI!4:4)</f>
        <v>0.04</v>
      </c>
      <c r="AP11" s="546">
        <f>SUMIF(CPI!3:3,AP3,CPI!4:4)</f>
        <v>0.04</v>
      </c>
      <c r="AQ11" s="546">
        <f>SUMIF(CPI!3:3,AQ3,CPI!4:4)</f>
        <v>0.04</v>
      </c>
      <c r="AR11" s="546">
        <f>SUMIF(CPI!3:3,AR3,CPI!4:4)</f>
        <v>0.04</v>
      </c>
      <c r="AS11" s="546">
        <f>SUMIF(CPI!3:3,AS3,CPI!4:4)</f>
        <v>0.04</v>
      </c>
      <c r="AT11" s="546">
        <f>SUMIF(CPI!3:3,AT3,CPI!4:4)</f>
        <v>0.04</v>
      </c>
      <c r="AU11" s="546">
        <f>SUMIF(CPI!3:3,AU3,CPI!4:4)</f>
        <v>0.04</v>
      </c>
      <c r="AV11" s="546">
        <f>SUMIF(CPI!3:3,AV3,CPI!4:4)</f>
        <v>0.04</v>
      </c>
      <c r="AW11" s="546">
        <f>SUMIF(CPI!3:3,AW3,CPI!4:4)</f>
        <v>0.04</v>
      </c>
      <c r="AX11" s="546">
        <f>SUMIF(CPI!3:3,AX3,CPI!4:4)</f>
        <v>0.04</v>
      </c>
      <c r="AY11" s="546">
        <f>SUMIF(CPI!3:3,AY3,CPI!4:4)</f>
        <v>0.04</v>
      </c>
      <c r="AZ11" s="546">
        <f>SUMIF(CPI!3:3,AZ3,CPI!4:4)</f>
        <v>0.04</v>
      </c>
      <c r="BA11" s="546">
        <f>SUMIF(CPI!3:3,BA3,CPI!4:4)</f>
        <v>0.04</v>
      </c>
      <c r="BB11" s="546">
        <f>SUMIF(CPI!3:3,BB3,CPI!4:4)</f>
        <v>0.04</v>
      </c>
      <c r="BC11" s="546">
        <f>SUMIF(CPI!3:3,BC3,CPI!4:4)</f>
        <v>0.04</v>
      </c>
      <c r="BD11" s="546">
        <f>SUMIF(CPI!3:3,BD3,CPI!4:4)</f>
        <v>0.04</v>
      </c>
      <c r="BE11" s="546">
        <f>SUMIF(CPI!3:3,BE3,CPI!4:4)</f>
        <v>0.04</v>
      </c>
    </row>
    <row r="12" spans="1:57">
      <c r="A12" s="509"/>
      <c r="B12" s="509"/>
      <c r="C12" s="547" t="s">
        <v>31</v>
      </c>
      <c r="D12" s="1035">
        <f t="shared" ref="D12:T12" si="12">D14+D21+D39+D45+D33</f>
        <v>41864495.25108847</v>
      </c>
      <c r="E12" s="548">
        <f t="shared" si="12"/>
        <v>207141418.93619078</v>
      </c>
      <c r="F12" s="1035">
        <f t="shared" si="12"/>
        <v>239667927.04807597</v>
      </c>
      <c r="G12" s="548">
        <f t="shared" si="12"/>
        <v>261664407.83288902</v>
      </c>
      <c r="H12" s="548">
        <f t="shared" si="12"/>
        <v>285929027.10561317</v>
      </c>
      <c r="I12" s="548">
        <f t="shared" si="12"/>
        <v>297366188.18983763</v>
      </c>
      <c r="J12" s="548">
        <f t="shared" si="12"/>
        <v>310108125.67830092</v>
      </c>
      <c r="K12" s="548">
        <f t="shared" si="12"/>
        <v>321631269.14612842</v>
      </c>
      <c r="L12" s="548">
        <f t="shared" si="12"/>
        <v>334496519.91197366</v>
      </c>
      <c r="M12" s="548">
        <f t="shared" si="12"/>
        <v>347876380.70845264</v>
      </c>
      <c r="N12" s="548">
        <f t="shared" si="12"/>
        <v>362782645.35031611</v>
      </c>
      <c r="O12" s="548">
        <f t="shared" si="12"/>
        <v>376263093.37426227</v>
      </c>
      <c r="P12" s="548">
        <f t="shared" si="12"/>
        <v>391313617.10923284</v>
      </c>
      <c r="Q12" s="548">
        <f t="shared" si="12"/>
        <v>406966161.79360211</v>
      </c>
      <c r="R12" s="548">
        <f t="shared" si="12"/>
        <v>424404383.08251166</v>
      </c>
      <c r="S12" s="548">
        <f t="shared" si="12"/>
        <v>440174600.59596014</v>
      </c>
      <c r="T12" s="548">
        <f t="shared" si="12"/>
        <v>457781584.6197986</v>
      </c>
      <c r="V12" s="549"/>
      <c r="W12" s="549"/>
      <c r="X12" s="549"/>
      <c r="Y12" s="549"/>
      <c r="Z12" s="549"/>
      <c r="AO12" s="548">
        <f t="shared" ref="AO12:BE12" si="13">D12/D9</f>
        <v>106472.71732531201</v>
      </c>
      <c r="AP12" s="548">
        <f t="shared" si="13"/>
        <v>123198.88122347524</v>
      </c>
      <c r="AQ12" s="548">
        <f t="shared" si="13"/>
        <v>134257.30711702738</v>
      </c>
      <c r="AR12" s="548">
        <f t="shared" si="13"/>
        <v>139245.05803348459</v>
      </c>
      <c r="AS12" s="548">
        <f t="shared" si="13"/>
        <v>144549.63167285547</v>
      </c>
      <c r="AT12" s="548">
        <f t="shared" si="13"/>
        <v>150331.61693976965</v>
      </c>
      <c r="AU12" s="548">
        <f t="shared" si="13"/>
        <v>156344.88161736049</v>
      </c>
      <c r="AV12" s="548">
        <f t="shared" si="13"/>
        <v>162598.67688205486</v>
      </c>
      <c r="AW12" s="548">
        <f t="shared" si="13"/>
        <v>169102.62395733711</v>
      </c>
      <c r="AX12" s="548">
        <f t="shared" si="13"/>
        <v>175866.72891563064</v>
      </c>
      <c r="AY12" s="548">
        <f t="shared" si="13"/>
        <v>182901.3980722558</v>
      </c>
      <c r="AZ12" s="548">
        <f t="shared" si="13"/>
        <v>190217.45399514603</v>
      </c>
      <c r="BA12" s="548">
        <f t="shared" si="13"/>
        <v>197826.15215495191</v>
      </c>
      <c r="BB12" s="548">
        <f t="shared" si="13"/>
        <v>205739.19824114998</v>
      </c>
      <c r="BC12" s="548">
        <f t="shared" si="13"/>
        <v>213968.76617079604</v>
      </c>
      <c r="BD12" s="548">
        <f t="shared" si="13"/>
        <v>222527.51681762785</v>
      </c>
      <c r="BE12" s="548">
        <f t="shared" si="13"/>
        <v>231428.61749033298</v>
      </c>
    </row>
    <row r="13" spans="1:57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O13" s="552">
        <f t="shared" ref="AO13:BE13" si="14">D14/D9</f>
        <v>96355.400294400009</v>
      </c>
      <c r="AP13" s="552">
        <f t="shared" si="14"/>
        <v>111998.98293043202</v>
      </c>
      <c r="AQ13" s="552">
        <f t="shared" si="14"/>
        <v>122609.41289226244</v>
      </c>
      <c r="AR13" s="552">
        <f t="shared" si="14"/>
        <v>127513.78940795292</v>
      </c>
      <c r="AS13" s="552">
        <f t="shared" si="14"/>
        <v>132614.34098427105</v>
      </c>
      <c r="AT13" s="552">
        <f t="shared" si="14"/>
        <v>137918.91462364187</v>
      </c>
      <c r="AU13" s="552">
        <f t="shared" si="14"/>
        <v>143435.67120858759</v>
      </c>
      <c r="AV13" s="552">
        <f t="shared" si="14"/>
        <v>149173.09805693111</v>
      </c>
      <c r="AW13" s="552">
        <f t="shared" si="14"/>
        <v>155140.02197920837</v>
      </c>
      <c r="AX13" s="552">
        <f t="shared" si="14"/>
        <v>161345.62285837671</v>
      </c>
      <c r="AY13" s="552">
        <f t="shared" si="14"/>
        <v>167799.44777271178</v>
      </c>
      <c r="AZ13" s="552">
        <f t="shared" si="14"/>
        <v>174511.42568362024</v>
      </c>
      <c r="BA13" s="552">
        <f t="shared" si="14"/>
        <v>181491.88271096506</v>
      </c>
      <c r="BB13" s="552">
        <f t="shared" si="14"/>
        <v>188751.55801940366</v>
      </c>
      <c r="BC13" s="552">
        <f t="shared" si="14"/>
        <v>196301.62034017983</v>
      </c>
      <c r="BD13" s="552">
        <f t="shared" si="14"/>
        <v>204153.68515378702</v>
      </c>
      <c r="BE13" s="552">
        <f t="shared" si="14"/>
        <v>212319.83255993851</v>
      </c>
    </row>
    <row r="14" spans="1:57">
      <c r="A14" s="553"/>
      <c r="B14" s="553"/>
      <c r="C14" s="521" t="s">
        <v>17</v>
      </c>
      <c r="D14" s="554">
        <f>D11*D9</f>
        <v>37886421.041709021</v>
      </c>
      <c r="E14" s="554">
        <f t="shared" ref="E14:T14" si="15">E11*E9</f>
        <v>188310380.8510825</v>
      </c>
      <c r="F14" s="554">
        <f t="shared" si="15"/>
        <v>218874819.22198719</v>
      </c>
      <c r="G14" s="554">
        <f t="shared" si="15"/>
        <v>239619421.09238923</v>
      </c>
      <c r="H14" s="554">
        <f t="shared" si="15"/>
        <v>262320208.3537735</v>
      </c>
      <c r="I14" s="554">
        <f t="shared" si="15"/>
        <v>272813016.68792444</v>
      </c>
      <c r="J14" s="554">
        <f t="shared" si="15"/>
        <v>284502867.59477144</v>
      </c>
      <c r="K14" s="554">
        <f t="shared" si="15"/>
        <v>295074558.84965914</v>
      </c>
      <c r="L14" s="554">
        <f t="shared" si="15"/>
        <v>306877541.20364553</v>
      </c>
      <c r="M14" s="554">
        <f t="shared" si="15"/>
        <v>319152642.85179138</v>
      </c>
      <c r="N14" s="554">
        <f t="shared" si="15"/>
        <v>332828115.00029004</v>
      </c>
      <c r="O14" s="554">
        <f t="shared" si="15"/>
        <v>345195498.50849754</v>
      </c>
      <c r="P14" s="554">
        <f t="shared" si="15"/>
        <v>359003318.44883746</v>
      </c>
      <c r="Q14" s="554">
        <f t="shared" si="15"/>
        <v>373363451.18679094</v>
      </c>
      <c r="R14" s="554">
        <f t="shared" si="15"/>
        <v>389361819.34175378</v>
      </c>
      <c r="S14" s="554">
        <f t="shared" si="15"/>
        <v>403829908.80363315</v>
      </c>
      <c r="T14" s="554">
        <f t="shared" si="15"/>
        <v>419983105.15577853</v>
      </c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</row>
    <row r="15" spans="1:57">
      <c r="A15" s="553"/>
      <c r="B15" s="553"/>
      <c r="C15" s="519" t="s">
        <v>25</v>
      </c>
      <c r="D15" s="201">
        <f t="shared" ref="D15:T15" si="16">AO15*D9</f>
        <v>5490053.5741670374</v>
      </c>
      <c r="E15" s="201">
        <f t="shared" si="16"/>
        <v>22830141.922831576</v>
      </c>
      <c r="F15" s="201">
        <f t="shared" si="16"/>
        <v>23781973.452194519</v>
      </c>
      <c r="G15" s="201">
        <f t="shared" si="16"/>
        <v>24553171.501913205</v>
      </c>
      <c r="H15" s="201">
        <f t="shared" si="16"/>
        <v>25338670.280612182</v>
      </c>
      <c r="I15" s="201">
        <f t="shared" si="16"/>
        <v>26352217.091836669</v>
      </c>
      <c r="J15" s="201">
        <f t="shared" si="16"/>
        <v>27481391.544758108</v>
      </c>
      <c r="K15" s="201">
        <f t="shared" si="16"/>
        <v>28502558.006530542</v>
      </c>
      <c r="L15" s="201">
        <f t="shared" si="16"/>
        <v>29642660.326791767</v>
      </c>
      <c r="M15" s="201">
        <f t="shared" si="16"/>
        <v>30828366.739863437</v>
      </c>
      <c r="N15" s="201">
        <f t="shared" si="16"/>
        <v>32149341.139346898</v>
      </c>
      <c r="O15" s="201">
        <f t="shared" si="16"/>
        <v>33343961.465836294</v>
      </c>
      <c r="P15" s="201">
        <f t="shared" si="16"/>
        <v>34677719.924469754</v>
      </c>
      <c r="Q15" s="201">
        <f t="shared" si="16"/>
        <v>36064828.721448541</v>
      </c>
      <c r="R15" s="201">
        <f t="shared" si="16"/>
        <v>37610181.930225134</v>
      </c>
      <c r="S15" s="201">
        <f t="shared" si="16"/>
        <v>39007718.745118745</v>
      </c>
      <c r="T15" s="201">
        <f t="shared" si="16"/>
        <v>40568027.494923495</v>
      </c>
      <c r="V15" s="522">
        <f>D15/D14</f>
        <v>0.14490821310682944</v>
      </c>
      <c r="W15" s="522">
        <f>E15/E14</f>
        <v>0.121236767827929</v>
      </c>
      <c r="X15" s="522">
        <f>F15/F14</f>
        <v>0.10865559380804957</v>
      </c>
      <c r="Y15" s="522">
        <f>G15/G14</f>
        <v>0.10246736842105267</v>
      </c>
      <c r="Z15" s="522">
        <f>H15/H14</f>
        <v>9.659442724458206E-2</v>
      </c>
      <c r="AA15" s="522">
        <f>Z15</f>
        <v>9.659442724458206E-2</v>
      </c>
      <c r="AB15" s="522">
        <f t="shared" ref="AB15:AL17" si="17">AA15</f>
        <v>9.659442724458206E-2</v>
      </c>
      <c r="AC15" s="522">
        <f t="shared" si="17"/>
        <v>9.659442724458206E-2</v>
      </c>
      <c r="AD15" s="522">
        <f t="shared" si="17"/>
        <v>9.659442724458206E-2</v>
      </c>
      <c r="AE15" s="522">
        <f t="shared" si="17"/>
        <v>9.659442724458206E-2</v>
      </c>
      <c r="AF15" s="522">
        <f t="shared" si="17"/>
        <v>9.659442724458206E-2</v>
      </c>
      <c r="AG15" s="522">
        <f t="shared" si="17"/>
        <v>9.659442724458206E-2</v>
      </c>
      <c r="AH15" s="522">
        <f t="shared" si="17"/>
        <v>9.659442724458206E-2</v>
      </c>
      <c r="AI15" s="522">
        <f t="shared" si="17"/>
        <v>9.659442724458206E-2</v>
      </c>
      <c r="AJ15" s="522">
        <f t="shared" si="17"/>
        <v>9.659442724458206E-2</v>
      </c>
      <c r="AK15" s="522">
        <f t="shared" si="17"/>
        <v>9.659442724458206E-2</v>
      </c>
      <c r="AL15" s="522">
        <f t="shared" si="17"/>
        <v>9.659442724458206E-2</v>
      </c>
      <c r="AO15" s="557">
        <f>'Прогноз расходов'!M11</f>
        <v>13962.688879854772</v>
      </c>
      <c r="AP15" s="557">
        <f>'Прогноз расходов'!N11</f>
        <v>13578.394690500969</v>
      </c>
      <c r="AQ15" s="557">
        <f>'Прогноз расходов'!O11</f>
        <v>13322.198564265102</v>
      </c>
      <c r="AR15" s="557">
        <f>'Прогноз расходов'!P11</f>
        <v>13066.002438029234</v>
      </c>
      <c r="AS15" s="557">
        <f>'Прогноз расходов'!Q11</f>
        <v>12809.806311793367</v>
      </c>
      <c r="AT15" s="201">
        <f t="shared" ref="AT15:BE15" si="18">AS15*(1+AT11)</f>
        <v>13322.198564265102</v>
      </c>
      <c r="AU15" s="201">
        <f t="shared" si="18"/>
        <v>13855.086506835705</v>
      </c>
      <c r="AV15" s="201">
        <f t="shared" si="18"/>
        <v>14409.289967109135</v>
      </c>
      <c r="AW15" s="201">
        <f t="shared" si="18"/>
        <v>14985.6615657935</v>
      </c>
      <c r="AX15" s="201">
        <f t="shared" si="18"/>
        <v>15585.08802842524</v>
      </c>
      <c r="AY15" s="201">
        <f t="shared" si="18"/>
        <v>16208.49154956225</v>
      </c>
      <c r="AZ15" s="201">
        <f t="shared" si="18"/>
        <v>16856.831211544741</v>
      </c>
      <c r="BA15" s="201">
        <f t="shared" si="18"/>
        <v>17531.104460006532</v>
      </c>
      <c r="BB15" s="201">
        <f t="shared" si="18"/>
        <v>18232.348638406795</v>
      </c>
      <c r="BC15" s="201">
        <f t="shared" si="18"/>
        <v>18961.642583943067</v>
      </c>
      <c r="BD15" s="201">
        <f t="shared" si="18"/>
        <v>19720.108287300791</v>
      </c>
      <c r="BE15" s="201">
        <f t="shared" si="18"/>
        <v>20508.912618792823</v>
      </c>
    </row>
    <row r="16" spans="1:57">
      <c r="A16" s="553"/>
      <c r="B16" s="553"/>
      <c r="C16" s="519" t="s">
        <v>529</v>
      </c>
      <c r="D16" s="201">
        <f t="shared" ref="D16:T16" si="19">V16*D14</f>
        <v>4167506.3145879926</v>
      </c>
      <c r="E16" s="201">
        <f t="shared" si="19"/>
        <v>19772589.989363667</v>
      </c>
      <c r="F16" s="201">
        <f t="shared" si="19"/>
        <v>21887481.92219872</v>
      </c>
      <c r="G16" s="201">
        <f t="shared" si="19"/>
        <v>22763845.003776975</v>
      </c>
      <c r="H16" s="201">
        <f t="shared" si="19"/>
        <v>23608818.751839615</v>
      </c>
      <c r="I16" s="201">
        <f t="shared" si="19"/>
        <v>24553171.501913197</v>
      </c>
      <c r="J16" s="201">
        <f t="shared" si="19"/>
        <v>25605258.083529428</v>
      </c>
      <c r="K16" s="201">
        <f t="shared" si="19"/>
        <v>26556710.296469323</v>
      </c>
      <c r="L16" s="201">
        <f t="shared" si="19"/>
        <v>27618978.708328098</v>
      </c>
      <c r="M16" s="201">
        <f t="shared" si="19"/>
        <v>28723737.856661223</v>
      </c>
      <c r="N16" s="201">
        <f t="shared" si="19"/>
        <v>29954530.350026101</v>
      </c>
      <c r="O16" s="201">
        <f t="shared" si="19"/>
        <v>31067594.865764778</v>
      </c>
      <c r="P16" s="201">
        <f t="shared" si="19"/>
        <v>32310298.660395369</v>
      </c>
      <c r="Q16" s="201">
        <f t="shared" si="19"/>
        <v>33602710.606811181</v>
      </c>
      <c r="R16" s="201">
        <f t="shared" si="19"/>
        <v>35042563.740757838</v>
      </c>
      <c r="S16" s="201">
        <f t="shared" si="19"/>
        <v>36344691.792326979</v>
      </c>
      <c r="T16" s="201">
        <f t="shared" si="19"/>
        <v>37798479.464020066</v>
      </c>
      <c r="V16" s="522">
        <f>'Прогноз расходов'!M21</f>
        <v>0.11000000000000001</v>
      </c>
      <c r="W16" s="522">
        <f>'Прогноз расходов'!N21</f>
        <v>0.10500000000000001</v>
      </c>
      <c r="X16" s="522">
        <f>'Прогноз расходов'!O21</f>
        <v>0.1</v>
      </c>
      <c r="Y16" s="522">
        <f>'Прогноз расходов'!P21</f>
        <v>9.5000000000000001E-2</v>
      </c>
      <c r="Z16" s="522">
        <f>'Прогноз расходов'!Q21</f>
        <v>0.09</v>
      </c>
      <c r="AA16" s="522">
        <f>Z16</f>
        <v>0.09</v>
      </c>
      <c r="AB16" s="522">
        <f t="shared" si="17"/>
        <v>0.09</v>
      </c>
      <c r="AC16" s="522">
        <f t="shared" si="17"/>
        <v>0.09</v>
      </c>
      <c r="AD16" s="522">
        <f t="shared" si="17"/>
        <v>0.09</v>
      </c>
      <c r="AE16" s="522">
        <f t="shared" si="17"/>
        <v>0.09</v>
      </c>
      <c r="AF16" s="522">
        <f t="shared" si="17"/>
        <v>0.09</v>
      </c>
      <c r="AG16" s="522">
        <f t="shared" si="17"/>
        <v>0.09</v>
      </c>
      <c r="AH16" s="522">
        <f t="shared" si="17"/>
        <v>0.09</v>
      </c>
      <c r="AI16" s="522">
        <f t="shared" si="17"/>
        <v>0.09</v>
      </c>
      <c r="AJ16" s="522">
        <f t="shared" si="17"/>
        <v>0.09</v>
      </c>
      <c r="AK16" s="522">
        <f t="shared" si="17"/>
        <v>0.09</v>
      </c>
      <c r="AL16" s="522">
        <f t="shared" si="17"/>
        <v>0.09</v>
      </c>
      <c r="AO16" s="201">
        <f t="shared" ref="AO16:BE16" si="20">D16/D9</f>
        <v>10599.094032384002</v>
      </c>
      <c r="AP16" s="201">
        <f t="shared" si="20"/>
        <v>11759.893207695364</v>
      </c>
      <c r="AQ16" s="201">
        <f t="shared" si="20"/>
        <v>12260.941289226244</v>
      </c>
      <c r="AR16" s="201">
        <f t="shared" si="20"/>
        <v>12113.809993755527</v>
      </c>
      <c r="AS16" s="201">
        <f t="shared" si="20"/>
        <v>11935.290688584395</v>
      </c>
      <c r="AT16" s="201">
        <f t="shared" si="20"/>
        <v>12412.702316127768</v>
      </c>
      <c r="AU16" s="201">
        <f t="shared" si="20"/>
        <v>12909.210408772882</v>
      </c>
      <c r="AV16" s="201">
        <f t="shared" si="20"/>
        <v>13425.578825123799</v>
      </c>
      <c r="AW16" s="201">
        <f t="shared" si="20"/>
        <v>13962.601978128752</v>
      </c>
      <c r="AX16" s="201">
        <f t="shared" si="20"/>
        <v>14521.106057253903</v>
      </c>
      <c r="AY16" s="201">
        <f t="shared" si="20"/>
        <v>15101.950299544058</v>
      </c>
      <c r="AZ16" s="201">
        <f t="shared" si="20"/>
        <v>15706.028311525821</v>
      </c>
      <c r="BA16" s="201">
        <f t="shared" si="20"/>
        <v>16334.269443986854</v>
      </c>
      <c r="BB16" s="201">
        <f t="shared" si="20"/>
        <v>16987.640221746326</v>
      </c>
      <c r="BC16" s="201">
        <f t="shared" si="20"/>
        <v>17667.145830616184</v>
      </c>
      <c r="BD16" s="201">
        <f t="shared" si="20"/>
        <v>18373.831663840829</v>
      </c>
      <c r="BE16" s="201">
        <f t="shared" si="20"/>
        <v>19108.784930394468</v>
      </c>
    </row>
    <row r="17" spans="1:57">
      <c r="A17" s="553"/>
      <c r="B17" s="553"/>
      <c r="C17" s="519" t="s">
        <v>27</v>
      </c>
      <c r="D17" s="201">
        <f t="shared" ref="D17:T17" si="21">AO17*D9</f>
        <v>2966083.9901208254</v>
      </c>
      <c r="E17" s="201">
        <f t="shared" si="21"/>
        <v>12444102.515589537</v>
      </c>
      <c r="F17" s="201">
        <f t="shared" si="21"/>
        <v>12958126.560490603</v>
      </c>
      <c r="G17" s="201">
        <f t="shared" si="21"/>
        <v>13640650.834396224</v>
      </c>
      <c r="H17" s="201">
        <f t="shared" si="21"/>
        <v>14077039.044784546</v>
      </c>
      <c r="I17" s="201">
        <f t="shared" si="21"/>
        <v>14640120.606575927</v>
      </c>
      <c r="J17" s="201">
        <f t="shared" si="21"/>
        <v>15267439.747087838</v>
      </c>
      <c r="K17" s="201">
        <f t="shared" si="21"/>
        <v>15834754.448072525</v>
      </c>
      <c r="L17" s="201">
        <f t="shared" si="21"/>
        <v>16468144.625995426</v>
      </c>
      <c r="M17" s="201">
        <f t="shared" si="21"/>
        <v>17126870.411035243</v>
      </c>
      <c r="N17" s="201">
        <f t="shared" si="21"/>
        <v>17860745.077414945</v>
      </c>
      <c r="O17" s="201">
        <f t="shared" si="21"/>
        <v>18524423.03657572</v>
      </c>
      <c r="P17" s="201">
        <f t="shared" si="21"/>
        <v>19265399.958038751</v>
      </c>
      <c r="Q17" s="201">
        <f t="shared" si="21"/>
        <v>20036015.956360303</v>
      </c>
      <c r="R17" s="201">
        <f t="shared" si="21"/>
        <v>20894545.516791742</v>
      </c>
      <c r="S17" s="201">
        <f t="shared" si="21"/>
        <v>21670954.858399305</v>
      </c>
      <c r="T17" s="201">
        <f t="shared" si="21"/>
        <v>22537793.052735277</v>
      </c>
      <c r="V17" s="160">
        <f>D17/D14</f>
        <v>7.8288840924178996E-2</v>
      </c>
      <c r="W17" s="160">
        <f>E17/E14</f>
        <v>6.608293424583131E-2</v>
      </c>
      <c r="X17" s="160">
        <f>F17/F14</f>
        <v>5.9203368421052643E-2</v>
      </c>
      <c r="Y17" s="160">
        <f>G17/G14</f>
        <v>5.69263157894737E-2</v>
      </c>
      <c r="Z17" s="160">
        <f>H17/H14</f>
        <v>5.366357069143448E-2</v>
      </c>
      <c r="AA17" s="522">
        <f>Z17</f>
        <v>5.366357069143448E-2</v>
      </c>
      <c r="AB17" s="522">
        <f t="shared" si="17"/>
        <v>5.366357069143448E-2</v>
      </c>
      <c r="AC17" s="522">
        <f t="shared" si="17"/>
        <v>5.366357069143448E-2</v>
      </c>
      <c r="AD17" s="522">
        <f t="shared" si="17"/>
        <v>5.366357069143448E-2</v>
      </c>
      <c r="AE17" s="522">
        <f t="shared" si="17"/>
        <v>5.366357069143448E-2</v>
      </c>
      <c r="AF17" s="522">
        <f t="shared" si="17"/>
        <v>5.366357069143448E-2</v>
      </c>
      <c r="AG17" s="522">
        <f t="shared" si="17"/>
        <v>5.366357069143448E-2</v>
      </c>
      <c r="AH17" s="522">
        <f t="shared" si="17"/>
        <v>5.366357069143448E-2</v>
      </c>
      <c r="AI17" s="522">
        <f t="shared" si="17"/>
        <v>5.366357069143448E-2</v>
      </c>
      <c r="AJ17" s="522">
        <f t="shared" si="17"/>
        <v>5.366357069143448E-2</v>
      </c>
      <c r="AK17" s="522">
        <f t="shared" si="17"/>
        <v>5.366357069143448E-2</v>
      </c>
      <c r="AL17" s="522">
        <f t="shared" si="17"/>
        <v>5.366357069143448E-2</v>
      </c>
      <c r="AN17" s="823"/>
      <c r="AO17" s="557">
        <f>'Прогноз расходов'!M31</f>
        <v>7543.5526058338719</v>
      </c>
      <c r="AP17" s="557">
        <f>'Прогноз расходов'!N31</f>
        <v>7401.221424591723</v>
      </c>
      <c r="AQ17" s="557">
        <f>'Прогноз расходов'!O31</f>
        <v>7258.890243349575</v>
      </c>
      <c r="AR17" s="557">
        <f>'Прогноз расходов'!P31</f>
        <v>7258.890243349575</v>
      </c>
      <c r="AS17" s="557">
        <f>'Прогноз расходов'!Q31</f>
        <v>7116.5590621074261</v>
      </c>
      <c r="AT17" s="201">
        <f t="shared" ref="AT17:BE17" si="22">AS17*(1+AT11)</f>
        <v>7401.221424591723</v>
      </c>
      <c r="AU17" s="201">
        <f t="shared" si="22"/>
        <v>7697.2702815753919</v>
      </c>
      <c r="AV17" s="201">
        <f t="shared" si="22"/>
        <v>8005.161092838408</v>
      </c>
      <c r="AW17" s="201">
        <f t="shared" si="22"/>
        <v>8325.3675365519448</v>
      </c>
      <c r="AX17" s="201">
        <f t="shared" si="22"/>
        <v>8658.3822380140227</v>
      </c>
      <c r="AY17" s="201">
        <f t="shared" si="22"/>
        <v>9004.7175275345835</v>
      </c>
      <c r="AZ17" s="201">
        <f t="shared" si="22"/>
        <v>9364.9062286359676</v>
      </c>
      <c r="BA17" s="201">
        <f t="shared" si="22"/>
        <v>9739.5024777814069</v>
      </c>
      <c r="BB17" s="201">
        <f t="shared" si="22"/>
        <v>10129.082576892664</v>
      </c>
      <c r="BC17" s="201">
        <f t="shared" si="22"/>
        <v>10534.245879968372</v>
      </c>
      <c r="BD17" s="201">
        <f t="shared" si="22"/>
        <v>10955.615715167107</v>
      </c>
      <c r="BE17" s="201">
        <f t="shared" si="22"/>
        <v>11393.840343773791</v>
      </c>
    </row>
    <row r="18" spans="1:57">
      <c r="A18" s="553"/>
      <c r="B18" s="553"/>
      <c r="C18" s="521" t="s">
        <v>28</v>
      </c>
      <c r="D18" s="556">
        <f>SUM(D15:D17)</f>
        <v>12623643.878875855</v>
      </c>
      <c r="E18" s="556">
        <f t="shared" ref="E18:T18" si="23">SUM(E15:E17)</f>
        <v>55046834.427784778</v>
      </c>
      <c r="F18" s="556">
        <f t="shared" si="23"/>
        <v>58627581.93488384</v>
      </c>
      <c r="G18" s="554">
        <f t="shared" si="23"/>
        <v>60957667.340086401</v>
      </c>
      <c r="H18" s="556">
        <f t="shared" si="23"/>
        <v>63024528.077236339</v>
      </c>
      <c r="I18" s="556">
        <f t="shared" si="23"/>
        <v>65545509.200325795</v>
      </c>
      <c r="J18" s="556">
        <f t="shared" si="23"/>
        <v>68354089.375375375</v>
      </c>
      <c r="K18" s="556">
        <f t="shared" si="23"/>
        <v>70894022.751072392</v>
      </c>
      <c r="L18" s="556">
        <f t="shared" si="23"/>
        <v>73729783.661115289</v>
      </c>
      <c r="M18" s="556">
        <f t="shared" si="23"/>
        <v>76678975.007559896</v>
      </c>
      <c r="N18" s="556">
        <f t="shared" si="23"/>
        <v>79964616.566787943</v>
      </c>
      <c r="O18" s="556">
        <f t="shared" si="23"/>
        <v>82935979.368176788</v>
      </c>
      <c r="P18" s="556">
        <f t="shared" si="23"/>
        <v>86253418.54290387</v>
      </c>
      <c r="Q18" s="556">
        <f t="shared" si="23"/>
        <v>89703555.284620017</v>
      </c>
      <c r="R18" s="556">
        <f t="shared" si="23"/>
        <v>93547291.187774718</v>
      </c>
      <c r="S18" s="556">
        <f t="shared" si="23"/>
        <v>97023365.395845026</v>
      </c>
      <c r="T18" s="556">
        <f t="shared" si="23"/>
        <v>100904300.01167884</v>
      </c>
      <c r="V18" s="558">
        <f t="shared" ref="V18:AL18" si="24">D18/D14</f>
        <v>0.33319705403100841</v>
      </c>
      <c r="W18" s="559">
        <f t="shared" si="24"/>
        <v>0.29231970207376035</v>
      </c>
      <c r="X18" s="559">
        <f t="shared" si="24"/>
        <v>0.26785896222910222</v>
      </c>
      <c r="Y18" s="559">
        <f t="shared" si="24"/>
        <v>0.25439368421052633</v>
      </c>
      <c r="Z18" s="559">
        <f t="shared" si="24"/>
        <v>0.24025799793601652</v>
      </c>
      <c r="AA18" s="559">
        <f t="shared" si="24"/>
        <v>0.24025799793601654</v>
      </c>
      <c r="AB18" s="559">
        <f t="shared" si="24"/>
        <v>0.24025799793601652</v>
      </c>
      <c r="AC18" s="559">
        <f t="shared" si="24"/>
        <v>0.24025799793601652</v>
      </c>
      <c r="AD18" s="559">
        <f t="shared" si="24"/>
        <v>0.24025799793601652</v>
      </c>
      <c r="AE18" s="559">
        <f t="shared" si="24"/>
        <v>0.24025799793601646</v>
      </c>
      <c r="AF18" s="559">
        <f t="shared" si="24"/>
        <v>0.24025799793601649</v>
      </c>
      <c r="AG18" s="559">
        <f t="shared" si="24"/>
        <v>0.24025799793601649</v>
      </c>
      <c r="AH18" s="559">
        <f t="shared" si="24"/>
        <v>0.24025799793601652</v>
      </c>
      <c r="AI18" s="559">
        <f t="shared" si="24"/>
        <v>0.24025799793601652</v>
      </c>
      <c r="AJ18" s="559">
        <f t="shared" si="24"/>
        <v>0.24025799793601652</v>
      </c>
      <c r="AK18" s="559">
        <f t="shared" si="24"/>
        <v>0.24025799793601649</v>
      </c>
      <c r="AL18" s="559">
        <f t="shared" si="24"/>
        <v>0.24025799793601652</v>
      </c>
      <c r="AO18" s="554">
        <f t="shared" ref="AO18:BE18" si="25">D18/D$9</f>
        <v>32105.335518072643</v>
      </c>
      <c r="AP18" s="556">
        <f t="shared" si="25"/>
        <v>32739.509322788057</v>
      </c>
      <c r="AQ18" s="556">
        <f t="shared" si="25"/>
        <v>32842.030096840921</v>
      </c>
      <c r="AR18" s="556">
        <f t="shared" si="25"/>
        <v>32438.702675134333</v>
      </c>
      <c r="AS18" s="554">
        <f t="shared" si="25"/>
        <v>31861.656062485185</v>
      </c>
      <c r="AT18" s="556">
        <f t="shared" si="25"/>
        <v>33136.122304984594</v>
      </c>
      <c r="AU18" s="556">
        <f t="shared" si="25"/>
        <v>34461.567197183977</v>
      </c>
      <c r="AV18" s="556">
        <f t="shared" si="25"/>
        <v>35840.029885071344</v>
      </c>
      <c r="AW18" s="556">
        <f t="shared" si="25"/>
        <v>37273.631080474195</v>
      </c>
      <c r="AX18" s="556">
        <f t="shared" si="25"/>
        <v>38764.57632369316</v>
      </c>
      <c r="AY18" s="556">
        <f t="shared" si="25"/>
        <v>40315.159376640891</v>
      </c>
      <c r="AZ18" s="556">
        <f t="shared" si="25"/>
        <v>41927.765751706524</v>
      </c>
      <c r="BA18" s="556">
        <f t="shared" si="25"/>
        <v>43604.876381774789</v>
      </c>
      <c r="BB18" s="556">
        <f t="shared" si="25"/>
        <v>45349.071437045779</v>
      </c>
      <c r="BC18" s="556">
        <f t="shared" si="25"/>
        <v>47163.034294527628</v>
      </c>
      <c r="BD18" s="556">
        <f t="shared" si="25"/>
        <v>49049.555666308726</v>
      </c>
      <c r="BE18" s="556">
        <f t="shared" si="25"/>
        <v>51011.537892961082</v>
      </c>
    </row>
    <row r="19" spans="1:57">
      <c r="A19" s="560"/>
      <c r="B19" s="560"/>
      <c r="C19" s="521" t="s">
        <v>18</v>
      </c>
      <c r="D19" s="554">
        <f t="shared" ref="D19:T19" si="26">D14-D18</f>
        <v>25262777.162833165</v>
      </c>
      <c r="E19" s="556">
        <f t="shared" si="26"/>
        <v>133263546.42329773</v>
      </c>
      <c r="F19" s="556">
        <f t="shared" si="26"/>
        <v>160247237.28710335</v>
      </c>
      <c r="G19" s="556">
        <f t="shared" si="26"/>
        <v>178661753.75230283</v>
      </c>
      <c r="H19" s="556">
        <f t="shared" si="26"/>
        <v>199295680.27653718</v>
      </c>
      <c r="I19" s="556">
        <f t="shared" si="26"/>
        <v>207267507.48759866</v>
      </c>
      <c r="J19" s="556">
        <f t="shared" si="26"/>
        <v>216148778.21939605</v>
      </c>
      <c r="K19" s="556">
        <f t="shared" si="26"/>
        <v>224180536.09858674</v>
      </c>
      <c r="L19" s="556">
        <f t="shared" si="26"/>
        <v>233147757.54253024</v>
      </c>
      <c r="M19" s="556">
        <f t="shared" si="26"/>
        <v>242473667.84423149</v>
      </c>
      <c r="N19" s="556">
        <f t="shared" si="26"/>
        <v>252863498.43350208</v>
      </c>
      <c r="O19" s="556">
        <f t="shared" si="26"/>
        <v>262259519.14032075</v>
      </c>
      <c r="P19" s="556">
        <f t="shared" si="26"/>
        <v>272749899.90593362</v>
      </c>
      <c r="Q19" s="556">
        <f t="shared" si="26"/>
        <v>283659895.9021709</v>
      </c>
      <c r="R19" s="556">
        <f t="shared" si="26"/>
        <v>295814528.15397906</v>
      </c>
      <c r="S19" s="556">
        <f t="shared" si="26"/>
        <v>306806543.40778816</v>
      </c>
      <c r="T19" s="556">
        <f t="shared" si="26"/>
        <v>319078805.14409971</v>
      </c>
      <c r="V19" s="559">
        <f t="shared" ref="V19:AL19" si="27">D19/D14</f>
        <v>0.66680294596899159</v>
      </c>
      <c r="W19" s="559">
        <f t="shared" si="27"/>
        <v>0.70768029792623977</v>
      </c>
      <c r="X19" s="559">
        <f t="shared" si="27"/>
        <v>0.73214103777089778</v>
      </c>
      <c r="Y19" s="559">
        <f t="shared" si="27"/>
        <v>0.74560631578947367</v>
      </c>
      <c r="Z19" s="559">
        <f t="shared" si="27"/>
        <v>0.75974200206398357</v>
      </c>
      <c r="AA19" s="559">
        <f t="shared" si="27"/>
        <v>0.75974200206398346</v>
      </c>
      <c r="AB19" s="559">
        <f t="shared" si="27"/>
        <v>0.75974200206398346</v>
      </c>
      <c r="AC19" s="559">
        <f t="shared" si="27"/>
        <v>0.75974200206398346</v>
      </c>
      <c r="AD19" s="559">
        <f t="shared" si="27"/>
        <v>0.75974200206398346</v>
      </c>
      <c r="AE19" s="559">
        <f t="shared" si="27"/>
        <v>0.75974200206398357</v>
      </c>
      <c r="AF19" s="559">
        <f t="shared" si="27"/>
        <v>0.75974200206398346</v>
      </c>
      <c r="AG19" s="559">
        <f t="shared" si="27"/>
        <v>0.75974200206398346</v>
      </c>
      <c r="AH19" s="559">
        <f t="shared" si="27"/>
        <v>0.75974200206398357</v>
      </c>
      <c r="AI19" s="559">
        <f t="shared" si="27"/>
        <v>0.75974200206398346</v>
      </c>
      <c r="AJ19" s="559">
        <f t="shared" si="27"/>
        <v>0.75974200206398346</v>
      </c>
      <c r="AK19" s="559">
        <f t="shared" si="27"/>
        <v>0.75974200206398357</v>
      </c>
      <c r="AL19" s="559">
        <f t="shared" si="27"/>
        <v>0.75974200206398357</v>
      </c>
      <c r="AO19" s="556"/>
      <c r="AP19" s="561"/>
      <c r="AQ19" s="561"/>
      <c r="AR19" s="561"/>
      <c r="AS19" s="561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</row>
    <row r="20" spans="1:57" hidden="1" outlineLevel="1" collapsed="1">
      <c r="A20" s="560"/>
      <c r="B20" s="560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V20" s="563"/>
      <c r="W20" s="563"/>
      <c r="X20" s="563"/>
      <c r="Y20" s="563"/>
      <c r="Z20" s="563"/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O20" s="562"/>
      <c r="AP20" s="564"/>
      <c r="AQ20" s="564"/>
      <c r="AR20" s="564"/>
      <c r="AS20" s="564"/>
      <c r="AT20" s="562"/>
      <c r="AU20" s="562"/>
      <c r="AV20" s="562"/>
      <c r="AW20" s="562"/>
      <c r="AX20" s="550"/>
      <c r="AY20" s="550"/>
      <c r="AZ20" s="550"/>
      <c r="BA20" s="550"/>
      <c r="BB20" s="550"/>
      <c r="BC20" s="550"/>
      <c r="BD20" s="550"/>
      <c r="BE20" s="550"/>
    </row>
    <row r="21" spans="1:57" hidden="1" outlineLevel="1">
      <c r="A21" s="560"/>
      <c r="B21" s="560"/>
      <c r="C21" s="521" t="s">
        <v>17</v>
      </c>
      <c r="D21" s="556">
        <f>D22+D23</f>
        <v>0</v>
      </c>
      <c r="E21" s="556">
        <f t="shared" ref="E21:T21" si="28">E22+E23</f>
        <v>0</v>
      </c>
      <c r="F21" s="556">
        <f t="shared" si="28"/>
        <v>0</v>
      </c>
      <c r="G21" s="556">
        <f t="shared" si="28"/>
        <v>0</v>
      </c>
      <c r="H21" s="556">
        <f t="shared" si="28"/>
        <v>0</v>
      </c>
      <c r="I21" s="556">
        <f t="shared" si="28"/>
        <v>0</v>
      </c>
      <c r="J21" s="556">
        <f t="shared" si="28"/>
        <v>0</v>
      </c>
      <c r="K21" s="556">
        <f t="shared" si="28"/>
        <v>0</v>
      </c>
      <c r="L21" s="556">
        <f t="shared" si="28"/>
        <v>0</v>
      </c>
      <c r="M21" s="556">
        <f t="shared" si="28"/>
        <v>0</v>
      </c>
      <c r="N21" s="556">
        <f t="shared" si="28"/>
        <v>0</v>
      </c>
      <c r="O21" s="556">
        <f t="shared" si="28"/>
        <v>0</v>
      </c>
      <c r="P21" s="556">
        <f t="shared" si="28"/>
        <v>0</v>
      </c>
      <c r="Q21" s="556">
        <f t="shared" si="28"/>
        <v>0</v>
      </c>
      <c r="R21" s="556">
        <f t="shared" si="28"/>
        <v>0</v>
      </c>
      <c r="S21" s="556">
        <f t="shared" si="28"/>
        <v>0</v>
      </c>
      <c r="T21" s="556">
        <f t="shared" si="28"/>
        <v>0</v>
      </c>
      <c r="V21" s="555">
        <f t="shared" ref="V21:AL21" si="29">D21/D14</f>
        <v>0</v>
      </c>
      <c r="W21" s="555">
        <f t="shared" si="29"/>
        <v>0</v>
      </c>
      <c r="X21" s="555">
        <f t="shared" si="29"/>
        <v>0</v>
      </c>
      <c r="Y21" s="555">
        <f t="shared" si="29"/>
        <v>0</v>
      </c>
      <c r="Z21" s="555">
        <f t="shared" si="29"/>
        <v>0</v>
      </c>
      <c r="AA21" s="555">
        <f t="shared" si="29"/>
        <v>0</v>
      </c>
      <c r="AB21" s="555">
        <f t="shared" si="29"/>
        <v>0</v>
      </c>
      <c r="AC21" s="555">
        <f t="shared" si="29"/>
        <v>0</v>
      </c>
      <c r="AD21" s="555">
        <f t="shared" si="29"/>
        <v>0</v>
      </c>
      <c r="AE21" s="555">
        <f t="shared" si="29"/>
        <v>0</v>
      </c>
      <c r="AF21" s="555">
        <f t="shared" si="29"/>
        <v>0</v>
      </c>
      <c r="AG21" s="555">
        <f t="shared" si="29"/>
        <v>0</v>
      </c>
      <c r="AH21" s="555">
        <f t="shared" si="29"/>
        <v>0</v>
      </c>
      <c r="AI21" s="555">
        <f t="shared" si="29"/>
        <v>0</v>
      </c>
      <c r="AJ21" s="555">
        <f t="shared" si="29"/>
        <v>0</v>
      </c>
      <c r="AK21" s="555">
        <f t="shared" si="29"/>
        <v>0</v>
      </c>
      <c r="AL21" s="555">
        <f t="shared" si="29"/>
        <v>0</v>
      </c>
      <c r="AO21" s="565" t="s">
        <v>550</v>
      </c>
      <c r="AP21" s="566"/>
      <c r="AQ21" s="566"/>
      <c r="AR21" s="566"/>
      <c r="AS21" s="566"/>
      <c r="AT21" s="556"/>
      <c r="AU21" s="556"/>
      <c r="AV21" s="556"/>
      <c r="AW21" s="556"/>
      <c r="AX21" s="556"/>
      <c r="AY21" s="556"/>
      <c r="AZ21" s="556"/>
      <c r="BA21" s="556"/>
      <c r="BB21" s="556"/>
      <c r="BC21" s="556"/>
      <c r="BD21" s="556"/>
      <c r="BE21" s="556"/>
    </row>
    <row r="22" spans="1:57" hidden="1" outlineLevel="1">
      <c r="A22" s="560"/>
      <c r="B22" s="560"/>
      <c r="C22" s="517" t="s">
        <v>45</v>
      </c>
      <c r="D22" s="811">
        <f>D14*V22</f>
        <v>0</v>
      </c>
      <c r="E22" s="811">
        <f t="shared" ref="E22:T22" si="30">E14*W22</f>
        <v>0</v>
      </c>
      <c r="F22" s="811">
        <f t="shared" si="30"/>
        <v>0</v>
      </c>
      <c r="G22" s="811">
        <f t="shared" si="30"/>
        <v>0</v>
      </c>
      <c r="H22" s="811">
        <f t="shared" si="30"/>
        <v>0</v>
      </c>
      <c r="I22" s="811">
        <f t="shared" si="30"/>
        <v>0</v>
      </c>
      <c r="J22" s="811">
        <f t="shared" si="30"/>
        <v>0</v>
      </c>
      <c r="K22" s="811">
        <f t="shared" si="30"/>
        <v>0</v>
      </c>
      <c r="L22" s="811">
        <f t="shared" si="30"/>
        <v>0</v>
      </c>
      <c r="M22" s="811">
        <f t="shared" si="30"/>
        <v>0</v>
      </c>
      <c r="N22" s="811">
        <f t="shared" si="30"/>
        <v>0</v>
      </c>
      <c r="O22" s="811">
        <f t="shared" si="30"/>
        <v>0</v>
      </c>
      <c r="P22" s="811">
        <f t="shared" si="30"/>
        <v>0</v>
      </c>
      <c r="Q22" s="811">
        <f t="shared" si="30"/>
        <v>0</v>
      </c>
      <c r="R22" s="811">
        <f t="shared" si="30"/>
        <v>0</v>
      </c>
      <c r="S22" s="811">
        <f t="shared" si="30"/>
        <v>0</v>
      </c>
      <c r="T22" s="811">
        <f t="shared" si="30"/>
        <v>0</v>
      </c>
      <c r="V22" s="816"/>
      <c r="W22" s="816"/>
      <c r="X22" s="816"/>
      <c r="Y22" s="816"/>
      <c r="Z22" s="816"/>
      <c r="AA22" s="812">
        <f t="shared" ref="AA22:AL29" si="31">Z22</f>
        <v>0</v>
      </c>
      <c r="AB22" s="812">
        <f t="shared" si="31"/>
        <v>0</v>
      </c>
      <c r="AC22" s="812">
        <f t="shared" si="31"/>
        <v>0</v>
      </c>
      <c r="AD22" s="812">
        <f t="shared" si="31"/>
        <v>0</v>
      </c>
      <c r="AE22" s="812">
        <f t="shared" si="31"/>
        <v>0</v>
      </c>
      <c r="AF22" s="812">
        <f t="shared" si="31"/>
        <v>0</v>
      </c>
      <c r="AG22" s="812">
        <f t="shared" si="31"/>
        <v>0</v>
      </c>
      <c r="AH22" s="812">
        <f t="shared" si="31"/>
        <v>0</v>
      </c>
      <c r="AI22" s="812">
        <f t="shared" si="31"/>
        <v>0</v>
      </c>
      <c r="AJ22" s="812">
        <f t="shared" si="31"/>
        <v>0</v>
      </c>
      <c r="AK22" s="812">
        <f t="shared" si="31"/>
        <v>0</v>
      </c>
      <c r="AL22" s="812">
        <f t="shared" si="31"/>
        <v>0</v>
      </c>
      <c r="AO22" s="556">
        <f t="shared" ref="AO22:BE22" si="32">D22/D9/$AO$5</f>
        <v>0</v>
      </c>
      <c r="AP22" s="556">
        <f t="shared" si="32"/>
        <v>0</v>
      </c>
      <c r="AQ22" s="556">
        <f t="shared" si="32"/>
        <v>0</v>
      </c>
      <c r="AR22" s="556">
        <f t="shared" si="32"/>
        <v>0</v>
      </c>
      <c r="AS22" s="556">
        <f t="shared" si="32"/>
        <v>0</v>
      </c>
      <c r="AT22" s="556">
        <f t="shared" si="32"/>
        <v>0</v>
      </c>
      <c r="AU22" s="556">
        <f t="shared" si="32"/>
        <v>0</v>
      </c>
      <c r="AV22" s="556">
        <f t="shared" si="32"/>
        <v>0</v>
      </c>
      <c r="AW22" s="556">
        <f t="shared" si="32"/>
        <v>0</v>
      </c>
      <c r="AX22" s="556">
        <f t="shared" si="32"/>
        <v>0</v>
      </c>
      <c r="AY22" s="556">
        <f t="shared" si="32"/>
        <v>0</v>
      </c>
      <c r="AZ22" s="556">
        <f t="shared" si="32"/>
        <v>0</v>
      </c>
      <c r="BA22" s="556">
        <f t="shared" si="32"/>
        <v>0</v>
      </c>
      <c r="BB22" s="556">
        <f t="shared" si="32"/>
        <v>0</v>
      </c>
      <c r="BC22" s="556">
        <f t="shared" si="32"/>
        <v>0</v>
      </c>
      <c r="BD22" s="556">
        <f t="shared" si="32"/>
        <v>0</v>
      </c>
      <c r="BE22" s="556">
        <f t="shared" si="32"/>
        <v>0</v>
      </c>
    </row>
    <row r="23" spans="1:57" hidden="1" outlineLevel="1">
      <c r="A23" s="560"/>
      <c r="B23" s="560"/>
      <c r="C23" s="517" t="s">
        <v>509</v>
      </c>
      <c r="D23" s="811">
        <f>D14*V23</f>
        <v>0</v>
      </c>
      <c r="E23" s="811">
        <f t="shared" ref="E23:T23" si="33">E14*W23</f>
        <v>0</v>
      </c>
      <c r="F23" s="811">
        <f t="shared" si="33"/>
        <v>0</v>
      </c>
      <c r="G23" s="811">
        <f t="shared" si="33"/>
        <v>0</v>
      </c>
      <c r="H23" s="811">
        <f t="shared" si="33"/>
        <v>0</v>
      </c>
      <c r="I23" s="811">
        <f t="shared" si="33"/>
        <v>0</v>
      </c>
      <c r="J23" s="811">
        <f t="shared" si="33"/>
        <v>0</v>
      </c>
      <c r="K23" s="811">
        <f t="shared" si="33"/>
        <v>0</v>
      </c>
      <c r="L23" s="811">
        <f t="shared" si="33"/>
        <v>0</v>
      </c>
      <c r="M23" s="811">
        <f t="shared" si="33"/>
        <v>0</v>
      </c>
      <c r="N23" s="811">
        <f t="shared" si="33"/>
        <v>0</v>
      </c>
      <c r="O23" s="811">
        <f t="shared" si="33"/>
        <v>0</v>
      </c>
      <c r="P23" s="811">
        <f t="shared" si="33"/>
        <v>0</v>
      </c>
      <c r="Q23" s="811">
        <f t="shared" si="33"/>
        <v>0</v>
      </c>
      <c r="R23" s="811">
        <f t="shared" si="33"/>
        <v>0</v>
      </c>
      <c r="S23" s="811">
        <f t="shared" si="33"/>
        <v>0</v>
      </c>
      <c r="T23" s="811">
        <f t="shared" si="33"/>
        <v>0</v>
      </c>
      <c r="V23" s="816"/>
      <c r="W23" s="816"/>
      <c r="X23" s="816"/>
      <c r="Y23" s="816"/>
      <c r="Z23" s="816"/>
      <c r="AA23" s="812">
        <f t="shared" si="31"/>
        <v>0</v>
      </c>
      <c r="AB23" s="812">
        <f t="shared" si="31"/>
        <v>0</v>
      </c>
      <c r="AC23" s="812">
        <f t="shared" si="31"/>
        <v>0</v>
      </c>
      <c r="AD23" s="812">
        <f t="shared" si="31"/>
        <v>0</v>
      </c>
      <c r="AE23" s="812">
        <f t="shared" si="31"/>
        <v>0</v>
      </c>
      <c r="AF23" s="812">
        <f t="shared" si="31"/>
        <v>0</v>
      </c>
      <c r="AG23" s="812">
        <f t="shared" si="31"/>
        <v>0</v>
      </c>
      <c r="AH23" s="812">
        <f t="shared" si="31"/>
        <v>0</v>
      </c>
      <c r="AI23" s="812">
        <f t="shared" si="31"/>
        <v>0</v>
      </c>
      <c r="AJ23" s="812">
        <f t="shared" si="31"/>
        <v>0</v>
      </c>
      <c r="AK23" s="812">
        <f t="shared" si="31"/>
        <v>0</v>
      </c>
      <c r="AL23" s="812">
        <f t="shared" si="31"/>
        <v>0</v>
      </c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/>
    </row>
    <row r="24" spans="1:57" hidden="1" outlineLevel="1">
      <c r="A24" s="560"/>
      <c r="B24" s="560"/>
      <c r="C24" s="519" t="s">
        <v>516</v>
      </c>
      <c r="D24" s="201">
        <f t="shared" ref="D24:T25" si="34">V24*D22</f>
        <v>0</v>
      </c>
      <c r="E24" s="201">
        <f t="shared" si="34"/>
        <v>0</v>
      </c>
      <c r="F24" s="201">
        <f t="shared" si="34"/>
        <v>0</v>
      </c>
      <c r="G24" s="201">
        <f t="shared" si="34"/>
        <v>0</v>
      </c>
      <c r="H24" s="201">
        <f t="shared" si="34"/>
        <v>0</v>
      </c>
      <c r="I24" s="201">
        <f t="shared" si="34"/>
        <v>0</v>
      </c>
      <c r="J24" s="201">
        <f t="shared" si="34"/>
        <v>0</v>
      </c>
      <c r="K24" s="201">
        <f t="shared" si="34"/>
        <v>0</v>
      </c>
      <c r="L24" s="201">
        <f t="shared" si="34"/>
        <v>0</v>
      </c>
      <c r="M24" s="201">
        <f t="shared" si="34"/>
        <v>0</v>
      </c>
      <c r="N24" s="201">
        <f t="shared" si="34"/>
        <v>0</v>
      </c>
      <c r="O24" s="201">
        <f t="shared" si="34"/>
        <v>0</v>
      </c>
      <c r="P24" s="201">
        <f t="shared" si="34"/>
        <v>0</v>
      </c>
      <c r="Q24" s="201">
        <f t="shared" si="34"/>
        <v>0</v>
      </c>
      <c r="R24" s="201">
        <f t="shared" si="34"/>
        <v>0</v>
      </c>
      <c r="S24" s="201">
        <f t="shared" si="34"/>
        <v>0</v>
      </c>
      <c r="T24" s="201">
        <f t="shared" si="34"/>
        <v>0</v>
      </c>
      <c r="V24" s="522"/>
      <c r="W24" s="522"/>
      <c r="X24" s="522"/>
      <c r="Y24" s="522"/>
      <c r="Z24" s="522"/>
      <c r="AA24" s="567">
        <f t="shared" si="31"/>
        <v>0</v>
      </c>
      <c r="AB24" s="567">
        <f t="shared" si="31"/>
        <v>0</v>
      </c>
      <c r="AC24" s="567">
        <f t="shared" si="31"/>
        <v>0</v>
      </c>
      <c r="AD24" s="567">
        <f t="shared" si="31"/>
        <v>0</v>
      </c>
      <c r="AE24" s="567">
        <f t="shared" si="31"/>
        <v>0</v>
      </c>
      <c r="AF24" s="567">
        <f t="shared" si="31"/>
        <v>0</v>
      </c>
      <c r="AG24" s="567">
        <f t="shared" si="31"/>
        <v>0</v>
      </c>
      <c r="AH24" s="567">
        <f t="shared" si="31"/>
        <v>0</v>
      </c>
      <c r="AI24" s="567">
        <f t="shared" si="31"/>
        <v>0</v>
      </c>
      <c r="AJ24" s="567">
        <f t="shared" si="31"/>
        <v>0</v>
      </c>
      <c r="AK24" s="567">
        <f t="shared" si="31"/>
        <v>0</v>
      </c>
      <c r="AL24" s="567">
        <f t="shared" si="31"/>
        <v>0</v>
      </c>
      <c r="AO24" s="201">
        <f t="shared" ref="AO24:BE24" si="35">D24/D$9</f>
        <v>0</v>
      </c>
      <c r="AP24" s="201">
        <f t="shared" si="35"/>
        <v>0</v>
      </c>
      <c r="AQ24" s="201">
        <f t="shared" si="35"/>
        <v>0</v>
      </c>
      <c r="AR24" s="201">
        <f t="shared" si="35"/>
        <v>0</v>
      </c>
      <c r="AS24" s="201">
        <f t="shared" si="35"/>
        <v>0</v>
      </c>
      <c r="AT24" s="201">
        <f t="shared" si="35"/>
        <v>0</v>
      </c>
      <c r="AU24" s="201">
        <f t="shared" si="35"/>
        <v>0</v>
      </c>
      <c r="AV24" s="201">
        <f t="shared" si="35"/>
        <v>0</v>
      </c>
      <c r="AW24" s="201">
        <f t="shared" si="35"/>
        <v>0</v>
      </c>
      <c r="AX24" s="201">
        <f t="shared" si="35"/>
        <v>0</v>
      </c>
      <c r="AY24" s="201">
        <f t="shared" si="35"/>
        <v>0</v>
      </c>
      <c r="AZ24" s="201">
        <f t="shared" si="35"/>
        <v>0</v>
      </c>
      <c r="BA24" s="201">
        <f t="shared" si="35"/>
        <v>0</v>
      </c>
      <c r="BB24" s="201">
        <f t="shared" si="35"/>
        <v>0</v>
      </c>
      <c r="BC24" s="201">
        <f t="shared" si="35"/>
        <v>0</v>
      </c>
      <c r="BD24" s="201">
        <f t="shared" si="35"/>
        <v>0</v>
      </c>
      <c r="BE24" s="201">
        <f t="shared" si="35"/>
        <v>0</v>
      </c>
    </row>
    <row r="25" spans="1:57" hidden="1" outlineLevel="1">
      <c r="A25" s="560"/>
      <c r="B25" s="560"/>
      <c r="C25" s="519" t="s">
        <v>517</v>
      </c>
      <c r="D25" s="201">
        <f t="shared" si="34"/>
        <v>0</v>
      </c>
      <c r="E25" s="201">
        <f t="shared" si="34"/>
        <v>0</v>
      </c>
      <c r="F25" s="201">
        <f t="shared" si="34"/>
        <v>0</v>
      </c>
      <c r="G25" s="201">
        <f t="shared" si="34"/>
        <v>0</v>
      </c>
      <c r="H25" s="201">
        <f t="shared" si="34"/>
        <v>0</v>
      </c>
      <c r="I25" s="201">
        <f t="shared" si="34"/>
        <v>0</v>
      </c>
      <c r="J25" s="201">
        <f t="shared" si="34"/>
        <v>0</v>
      </c>
      <c r="K25" s="201">
        <f t="shared" si="34"/>
        <v>0</v>
      </c>
      <c r="L25" s="201">
        <f t="shared" si="34"/>
        <v>0</v>
      </c>
      <c r="M25" s="201">
        <f t="shared" si="34"/>
        <v>0</v>
      </c>
      <c r="N25" s="201">
        <f t="shared" si="34"/>
        <v>0</v>
      </c>
      <c r="O25" s="201">
        <f t="shared" si="34"/>
        <v>0</v>
      </c>
      <c r="P25" s="201">
        <f t="shared" si="34"/>
        <v>0</v>
      </c>
      <c r="Q25" s="201">
        <f t="shared" si="34"/>
        <v>0</v>
      </c>
      <c r="R25" s="201">
        <f t="shared" si="34"/>
        <v>0</v>
      </c>
      <c r="S25" s="201">
        <f t="shared" si="34"/>
        <v>0</v>
      </c>
      <c r="T25" s="201">
        <f t="shared" si="34"/>
        <v>0</v>
      </c>
      <c r="V25" s="522"/>
      <c r="W25" s="522"/>
      <c r="X25" s="522"/>
      <c r="Y25" s="522"/>
      <c r="Z25" s="522"/>
      <c r="AA25" s="567">
        <f t="shared" si="31"/>
        <v>0</v>
      </c>
      <c r="AB25" s="567">
        <f t="shared" si="31"/>
        <v>0</v>
      </c>
      <c r="AC25" s="567">
        <f t="shared" si="31"/>
        <v>0</v>
      </c>
      <c r="AD25" s="567">
        <f t="shared" si="31"/>
        <v>0</v>
      </c>
      <c r="AE25" s="567">
        <f t="shared" si="31"/>
        <v>0</v>
      </c>
      <c r="AF25" s="567">
        <f t="shared" si="31"/>
        <v>0</v>
      </c>
      <c r="AG25" s="567">
        <f t="shared" si="31"/>
        <v>0</v>
      </c>
      <c r="AH25" s="567">
        <f t="shared" si="31"/>
        <v>0</v>
      </c>
      <c r="AI25" s="567">
        <f t="shared" si="31"/>
        <v>0</v>
      </c>
      <c r="AJ25" s="567">
        <f t="shared" si="31"/>
        <v>0</v>
      </c>
      <c r="AK25" s="567">
        <f t="shared" si="31"/>
        <v>0</v>
      </c>
      <c r="AL25" s="567">
        <f t="shared" si="31"/>
        <v>0</v>
      </c>
      <c r="AO25" s="201"/>
      <c r="AP25" s="201"/>
      <c r="AQ25" s="201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</row>
    <row r="26" spans="1:57" hidden="1" outlineLevel="1">
      <c r="A26" s="560"/>
      <c r="B26" s="560"/>
      <c r="C26" s="519" t="s">
        <v>518</v>
      </c>
      <c r="D26" s="201">
        <f t="shared" ref="D26:T27" si="36">V26*D22</f>
        <v>0</v>
      </c>
      <c r="E26" s="201">
        <f t="shared" si="36"/>
        <v>0</v>
      </c>
      <c r="F26" s="201">
        <f t="shared" si="36"/>
        <v>0</v>
      </c>
      <c r="G26" s="201">
        <f t="shared" si="36"/>
        <v>0</v>
      </c>
      <c r="H26" s="201">
        <f t="shared" si="36"/>
        <v>0</v>
      </c>
      <c r="I26" s="201">
        <f t="shared" si="36"/>
        <v>0</v>
      </c>
      <c r="J26" s="201">
        <f t="shared" si="36"/>
        <v>0</v>
      </c>
      <c r="K26" s="201">
        <f t="shared" si="36"/>
        <v>0</v>
      </c>
      <c r="L26" s="201">
        <f t="shared" si="36"/>
        <v>0</v>
      </c>
      <c r="M26" s="201">
        <f t="shared" si="36"/>
        <v>0</v>
      </c>
      <c r="N26" s="201">
        <f t="shared" si="36"/>
        <v>0</v>
      </c>
      <c r="O26" s="201">
        <f t="shared" si="36"/>
        <v>0</v>
      </c>
      <c r="P26" s="201">
        <f t="shared" si="36"/>
        <v>0</v>
      </c>
      <c r="Q26" s="201">
        <f t="shared" si="36"/>
        <v>0</v>
      </c>
      <c r="R26" s="201">
        <f t="shared" si="36"/>
        <v>0</v>
      </c>
      <c r="S26" s="201">
        <f t="shared" si="36"/>
        <v>0</v>
      </c>
      <c r="T26" s="201">
        <f t="shared" si="36"/>
        <v>0</v>
      </c>
      <c r="V26" s="522"/>
      <c r="W26" s="522"/>
      <c r="X26" s="522"/>
      <c r="Y26" s="522"/>
      <c r="Z26" s="522"/>
      <c r="AA26" s="567">
        <f t="shared" si="31"/>
        <v>0</v>
      </c>
      <c r="AB26" s="567">
        <f t="shared" si="31"/>
        <v>0</v>
      </c>
      <c r="AC26" s="567">
        <f t="shared" si="31"/>
        <v>0</v>
      </c>
      <c r="AD26" s="567">
        <f t="shared" si="31"/>
        <v>0</v>
      </c>
      <c r="AE26" s="567">
        <f t="shared" si="31"/>
        <v>0</v>
      </c>
      <c r="AF26" s="567">
        <f t="shared" si="31"/>
        <v>0</v>
      </c>
      <c r="AG26" s="567">
        <f t="shared" si="31"/>
        <v>0</v>
      </c>
      <c r="AH26" s="567">
        <f t="shared" si="31"/>
        <v>0</v>
      </c>
      <c r="AI26" s="567">
        <f t="shared" si="31"/>
        <v>0</v>
      </c>
      <c r="AJ26" s="567">
        <f t="shared" si="31"/>
        <v>0</v>
      </c>
      <c r="AK26" s="567">
        <f t="shared" si="31"/>
        <v>0</v>
      </c>
      <c r="AL26" s="567">
        <f t="shared" si="31"/>
        <v>0</v>
      </c>
      <c r="AO26" s="201">
        <f t="shared" ref="AO26:BE26" si="37">D26/D$9</f>
        <v>0</v>
      </c>
      <c r="AP26" s="201">
        <f t="shared" si="37"/>
        <v>0</v>
      </c>
      <c r="AQ26" s="201">
        <f t="shared" si="37"/>
        <v>0</v>
      </c>
      <c r="AR26" s="201">
        <f t="shared" si="37"/>
        <v>0</v>
      </c>
      <c r="AS26" s="201">
        <f t="shared" si="37"/>
        <v>0</v>
      </c>
      <c r="AT26" s="201">
        <f t="shared" si="37"/>
        <v>0</v>
      </c>
      <c r="AU26" s="201">
        <f t="shared" si="37"/>
        <v>0</v>
      </c>
      <c r="AV26" s="201">
        <f t="shared" si="37"/>
        <v>0</v>
      </c>
      <c r="AW26" s="201">
        <f t="shared" si="37"/>
        <v>0</v>
      </c>
      <c r="AX26" s="201">
        <f t="shared" si="37"/>
        <v>0</v>
      </c>
      <c r="AY26" s="201">
        <f t="shared" si="37"/>
        <v>0</v>
      </c>
      <c r="AZ26" s="201">
        <f t="shared" si="37"/>
        <v>0</v>
      </c>
      <c r="BA26" s="201">
        <f t="shared" si="37"/>
        <v>0</v>
      </c>
      <c r="BB26" s="201">
        <f t="shared" si="37"/>
        <v>0</v>
      </c>
      <c r="BC26" s="201">
        <f t="shared" si="37"/>
        <v>0</v>
      </c>
      <c r="BD26" s="201">
        <f t="shared" si="37"/>
        <v>0</v>
      </c>
      <c r="BE26" s="201">
        <f t="shared" si="37"/>
        <v>0</v>
      </c>
    </row>
    <row r="27" spans="1:57" hidden="1" outlineLevel="1">
      <c r="A27" s="560"/>
      <c r="B27" s="560"/>
      <c r="C27" s="519" t="s">
        <v>519</v>
      </c>
      <c r="D27" s="201">
        <f t="shared" si="36"/>
        <v>0</v>
      </c>
      <c r="E27" s="201">
        <f t="shared" si="36"/>
        <v>0</v>
      </c>
      <c r="F27" s="201">
        <f t="shared" si="36"/>
        <v>0</v>
      </c>
      <c r="G27" s="201">
        <f t="shared" si="36"/>
        <v>0</v>
      </c>
      <c r="H27" s="201">
        <f t="shared" si="36"/>
        <v>0</v>
      </c>
      <c r="I27" s="201">
        <f t="shared" si="36"/>
        <v>0</v>
      </c>
      <c r="J27" s="201">
        <f t="shared" si="36"/>
        <v>0</v>
      </c>
      <c r="K27" s="201">
        <f t="shared" si="36"/>
        <v>0</v>
      </c>
      <c r="L27" s="201">
        <f t="shared" si="36"/>
        <v>0</v>
      </c>
      <c r="M27" s="201">
        <f t="shared" si="36"/>
        <v>0</v>
      </c>
      <c r="N27" s="201">
        <f t="shared" si="36"/>
        <v>0</v>
      </c>
      <c r="O27" s="201">
        <f t="shared" si="36"/>
        <v>0</v>
      </c>
      <c r="P27" s="201">
        <f t="shared" si="36"/>
        <v>0</v>
      </c>
      <c r="Q27" s="201">
        <f t="shared" si="36"/>
        <v>0</v>
      </c>
      <c r="R27" s="201">
        <f t="shared" si="36"/>
        <v>0</v>
      </c>
      <c r="S27" s="201">
        <f t="shared" si="36"/>
        <v>0</v>
      </c>
      <c r="T27" s="201">
        <f t="shared" si="36"/>
        <v>0</v>
      </c>
      <c r="V27" s="522"/>
      <c r="W27" s="522"/>
      <c r="X27" s="522"/>
      <c r="Y27" s="522"/>
      <c r="Z27" s="522"/>
      <c r="AA27" s="567">
        <f t="shared" si="31"/>
        <v>0</v>
      </c>
      <c r="AB27" s="567">
        <f t="shared" si="31"/>
        <v>0</v>
      </c>
      <c r="AC27" s="567">
        <f t="shared" si="31"/>
        <v>0</v>
      </c>
      <c r="AD27" s="567">
        <f t="shared" si="31"/>
        <v>0</v>
      </c>
      <c r="AE27" s="567">
        <f t="shared" si="31"/>
        <v>0</v>
      </c>
      <c r="AF27" s="567">
        <f t="shared" si="31"/>
        <v>0</v>
      </c>
      <c r="AG27" s="567">
        <f t="shared" si="31"/>
        <v>0</v>
      </c>
      <c r="AH27" s="567">
        <f t="shared" si="31"/>
        <v>0</v>
      </c>
      <c r="AI27" s="567">
        <f t="shared" si="31"/>
        <v>0</v>
      </c>
      <c r="AJ27" s="567">
        <f t="shared" si="31"/>
        <v>0</v>
      </c>
      <c r="AK27" s="567">
        <f t="shared" si="31"/>
        <v>0</v>
      </c>
      <c r="AL27" s="567">
        <f t="shared" si="31"/>
        <v>0</v>
      </c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</row>
    <row r="28" spans="1:57" hidden="1" outlineLevel="1">
      <c r="A28" s="560"/>
      <c r="B28" s="560"/>
      <c r="C28" s="519" t="s">
        <v>520</v>
      </c>
      <c r="D28" s="201">
        <f t="shared" ref="D28:T29" si="38">V28*D22</f>
        <v>0</v>
      </c>
      <c r="E28" s="201">
        <f t="shared" si="38"/>
        <v>0</v>
      </c>
      <c r="F28" s="201">
        <f t="shared" si="38"/>
        <v>0</v>
      </c>
      <c r="G28" s="201">
        <f t="shared" si="38"/>
        <v>0</v>
      </c>
      <c r="H28" s="201">
        <f t="shared" si="38"/>
        <v>0</v>
      </c>
      <c r="I28" s="201">
        <f t="shared" si="38"/>
        <v>0</v>
      </c>
      <c r="J28" s="201">
        <f t="shared" si="38"/>
        <v>0</v>
      </c>
      <c r="K28" s="201">
        <f t="shared" si="38"/>
        <v>0</v>
      </c>
      <c r="L28" s="201">
        <f t="shared" si="38"/>
        <v>0</v>
      </c>
      <c r="M28" s="201">
        <f t="shared" si="38"/>
        <v>0</v>
      </c>
      <c r="N28" s="201">
        <f t="shared" si="38"/>
        <v>0</v>
      </c>
      <c r="O28" s="201">
        <f t="shared" si="38"/>
        <v>0</v>
      </c>
      <c r="P28" s="201">
        <f t="shared" si="38"/>
        <v>0</v>
      </c>
      <c r="Q28" s="201">
        <f t="shared" si="38"/>
        <v>0</v>
      </c>
      <c r="R28" s="201">
        <f t="shared" si="38"/>
        <v>0</v>
      </c>
      <c r="S28" s="201">
        <f t="shared" si="38"/>
        <v>0</v>
      </c>
      <c r="T28" s="201">
        <f t="shared" si="38"/>
        <v>0</v>
      </c>
      <c r="V28" s="522"/>
      <c r="W28" s="522"/>
      <c r="X28" s="522"/>
      <c r="Y28" s="522"/>
      <c r="Z28" s="522"/>
      <c r="AA28" s="567">
        <f t="shared" si="31"/>
        <v>0</v>
      </c>
      <c r="AB28" s="567">
        <f t="shared" si="31"/>
        <v>0</v>
      </c>
      <c r="AC28" s="567">
        <f t="shared" si="31"/>
        <v>0</v>
      </c>
      <c r="AD28" s="567">
        <f t="shared" si="31"/>
        <v>0</v>
      </c>
      <c r="AE28" s="567">
        <f t="shared" si="31"/>
        <v>0</v>
      </c>
      <c r="AF28" s="567">
        <f t="shared" si="31"/>
        <v>0</v>
      </c>
      <c r="AG28" s="567">
        <f t="shared" si="31"/>
        <v>0</v>
      </c>
      <c r="AH28" s="567">
        <f t="shared" si="31"/>
        <v>0</v>
      </c>
      <c r="AI28" s="567">
        <f t="shared" si="31"/>
        <v>0</v>
      </c>
      <c r="AJ28" s="567">
        <f t="shared" si="31"/>
        <v>0</v>
      </c>
      <c r="AK28" s="567">
        <f t="shared" si="31"/>
        <v>0</v>
      </c>
      <c r="AL28" s="567">
        <f t="shared" si="31"/>
        <v>0</v>
      </c>
      <c r="AO28" s="201">
        <f t="shared" ref="AO28:BE28" si="39">D28/D$9</f>
        <v>0</v>
      </c>
      <c r="AP28" s="201">
        <f t="shared" si="39"/>
        <v>0</v>
      </c>
      <c r="AQ28" s="201">
        <f t="shared" si="39"/>
        <v>0</v>
      </c>
      <c r="AR28" s="201">
        <f t="shared" si="39"/>
        <v>0</v>
      </c>
      <c r="AS28" s="201">
        <f t="shared" si="39"/>
        <v>0</v>
      </c>
      <c r="AT28" s="201">
        <f t="shared" si="39"/>
        <v>0</v>
      </c>
      <c r="AU28" s="201">
        <f t="shared" si="39"/>
        <v>0</v>
      </c>
      <c r="AV28" s="201">
        <f t="shared" si="39"/>
        <v>0</v>
      </c>
      <c r="AW28" s="201">
        <f t="shared" si="39"/>
        <v>0</v>
      </c>
      <c r="AX28" s="201">
        <f t="shared" si="39"/>
        <v>0</v>
      </c>
      <c r="AY28" s="201">
        <f t="shared" si="39"/>
        <v>0</v>
      </c>
      <c r="AZ28" s="201">
        <f t="shared" si="39"/>
        <v>0</v>
      </c>
      <c r="BA28" s="201">
        <f t="shared" si="39"/>
        <v>0</v>
      </c>
      <c r="BB28" s="201">
        <f t="shared" si="39"/>
        <v>0</v>
      </c>
      <c r="BC28" s="201">
        <f t="shared" si="39"/>
        <v>0</v>
      </c>
      <c r="BD28" s="201">
        <f t="shared" si="39"/>
        <v>0</v>
      </c>
      <c r="BE28" s="201">
        <f t="shared" si="39"/>
        <v>0</v>
      </c>
    </row>
    <row r="29" spans="1:57" hidden="1" outlineLevel="1">
      <c r="A29" s="560"/>
      <c r="B29" s="560"/>
      <c r="C29" s="519" t="s">
        <v>521</v>
      </c>
      <c r="D29" s="201">
        <f t="shared" si="38"/>
        <v>0</v>
      </c>
      <c r="E29" s="201">
        <f t="shared" si="38"/>
        <v>0</v>
      </c>
      <c r="F29" s="201">
        <f t="shared" si="38"/>
        <v>0</v>
      </c>
      <c r="G29" s="201">
        <f t="shared" si="38"/>
        <v>0</v>
      </c>
      <c r="H29" s="201">
        <f t="shared" si="38"/>
        <v>0</v>
      </c>
      <c r="I29" s="201">
        <f t="shared" si="38"/>
        <v>0</v>
      </c>
      <c r="J29" s="201">
        <f t="shared" si="38"/>
        <v>0</v>
      </c>
      <c r="K29" s="201">
        <f t="shared" si="38"/>
        <v>0</v>
      </c>
      <c r="L29" s="201">
        <f t="shared" si="38"/>
        <v>0</v>
      </c>
      <c r="M29" s="201">
        <f t="shared" si="38"/>
        <v>0</v>
      </c>
      <c r="N29" s="201">
        <f t="shared" si="38"/>
        <v>0</v>
      </c>
      <c r="O29" s="201">
        <f t="shared" si="38"/>
        <v>0</v>
      </c>
      <c r="P29" s="201">
        <f t="shared" si="38"/>
        <v>0</v>
      </c>
      <c r="Q29" s="201">
        <f t="shared" si="38"/>
        <v>0</v>
      </c>
      <c r="R29" s="201">
        <f t="shared" si="38"/>
        <v>0</v>
      </c>
      <c r="S29" s="201">
        <f t="shared" si="38"/>
        <v>0</v>
      </c>
      <c r="T29" s="201">
        <f t="shared" si="38"/>
        <v>0</v>
      </c>
      <c r="V29" s="522"/>
      <c r="W29" s="522"/>
      <c r="X29" s="522"/>
      <c r="Y29" s="522"/>
      <c r="Z29" s="522"/>
      <c r="AA29" s="567">
        <f t="shared" si="31"/>
        <v>0</v>
      </c>
      <c r="AB29" s="567">
        <f t="shared" si="31"/>
        <v>0</v>
      </c>
      <c r="AC29" s="567">
        <f t="shared" si="31"/>
        <v>0</v>
      </c>
      <c r="AD29" s="567">
        <f t="shared" si="31"/>
        <v>0</v>
      </c>
      <c r="AE29" s="567">
        <f t="shared" si="31"/>
        <v>0</v>
      </c>
      <c r="AF29" s="567">
        <f t="shared" si="31"/>
        <v>0</v>
      </c>
      <c r="AG29" s="567">
        <f t="shared" si="31"/>
        <v>0</v>
      </c>
      <c r="AH29" s="567">
        <f t="shared" si="31"/>
        <v>0</v>
      </c>
      <c r="AI29" s="567">
        <f t="shared" si="31"/>
        <v>0</v>
      </c>
      <c r="AJ29" s="567">
        <f t="shared" si="31"/>
        <v>0</v>
      </c>
      <c r="AK29" s="567">
        <f t="shared" si="31"/>
        <v>0</v>
      </c>
      <c r="AL29" s="567">
        <f t="shared" si="31"/>
        <v>0</v>
      </c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</row>
    <row r="30" spans="1:57" hidden="1" outlineLevel="1">
      <c r="A30" s="560"/>
      <c r="B30" s="560"/>
      <c r="C30" s="521" t="s">
        <v>28</v>
      </c>
      <c r="D30" s="556">
        <f>SUM(D24:D28)</f>
        <v>0</v>
      </c>
      <c r="E30" s="556">
        <f t="shared" ref="E30:T30" si="40">SUM(E24:E28)</f>
        <v>0</v>
      </c>
      <c r="F30" s="556">
        <f t="shared" si="40"/>
        <v>0</v>
      </c>
      <c r="G30" s="556">
        <f t="shared" si="40"/>
        <v>0</v>
      </c>
      <c r="H30" s="556">
        <f t="shared" si="40"/>
        <v>0</v>
      </c>
      <c r="I30" s="556">
        <f t="shared" si="40"/>
        <v>0</v>
      </c>
      <c r="J30" s="556">
        <f t="shared" si="40"/>
        <v>0</v>
      </c>
      <c r="K30" s="556">
        <f t="shared" si="40"/>
        <v>0</v>
      </c>
      <c r="L30" s="556">
        <f t="shared" si="40"/>
        <v>0</v>
      </c>
      <c r="M30" s="556">
        <f t="shared" si="40"/>
        <v>0</v>
      </c>
      <c r="N30" s="556">
        <f t="shared" si="40"/>
        <v>0</v>
      </c>
      <c r="O30" s="556">
        <f t="shared" si="40"/>
        <v>0</v>
      </c>
      <c r="P30" s="556">
        <f t="shared" si="40"/>
        <v>0</v>
      </c>
      <c r="Q30" s="556">
        <f t="shared" si="40"/>
        <v>0</v>
      </c>
      <c r="R30" s="556">
        <f t="shared" si="40"/>
        <v>0</v>
      </c>
      <c r="S30" s="556">
        <f t="shared" si="40"/>
        <v>0</v>
      </c>
      <c r="T30" s="556">
        <f t="shared" si="40"/>
        <v>0</v>
      </c>
      <c r="V30" s="568" t="e">
        <f t="shared" ref="V30:AL30" si="41">D30/D21</f>
        <v>#DIV/0!</v>
      </c>
      <c r="W30" s="555" t="e">
        <f t="shared" si="41"/>
        <v>#DIV/0!</v>
      </c>
      <c r="X30" s="555" t="e">
        <f t="shared" si="41"/>
        <v>#DIV/0!</v>
      </c>
      <c r="Y30" s="555" t="e">
        <f t="shared" si="41"/>
        <v>#DIV/0!</v>
      </c>
      <c r="Z30" s="568" t="e">
        <f t="shared" si="41"/>
        <v>#DIV/0!</v>
      </c>
      <c r="AA30" s="555" t="e">
        <f t="shared" si="41"/>
        <v>#DIV/0!</v>
      </c>
      <c r="AB30" s="555" t="e">
        <f t="shared" si="41"/>
        <v>#DIV/0!</v>
      </c>
      <c r="AC30" s="555" t="e">
        <f t="shared" si="41"/>
        <v>#DIV/0!</v>
      </c>
      <c r="AD30" s="555" t="e">
        <f t="shared" si="41"/>
        <v>#DIV/0!</v>
      </c>
      <c r="AE30" s="555" t="e">
        <f t="shared" si="41"/>
        <v>#DIV/0!</v>
      </c>
      <c r="AF30" s="555" t="e">
        <f t="shared" si="41"/>
        <v>#DIV/0!</v>
      </c>
      <c r="AG30" s="555" t="e">
        <f t="shared" si="41"/>
        <v>#DIV/0!</v>
      </c>
      <c r="AH30" s="555" t="e">
        <f t="shared" si="41"/>
        <v>#DIV/0!</v>
      </c>
      <c r="AI30" s="555" t="e">
        <f t="shared" si="41"/>
        <v>#DIV/0!</v>
      </c>
      <c r="AJ30" s="555" t="e">
        <f t="shared" si="41"/>
        <v>#DIV/0!</v>
      </c>
      <c r="AK30" s="555" t="e">
        <f t="shared" si="41"/>
        <v>#DIV/0!</v>
      </c>
      <c r="AL30" s="555" t="e">
        <f t="shared" si="41"/>
        <v>#DIV/0!</v>
      </c>
      <c r="AO30" s="556">
        <f t="shared" ref="AO30:BE30" si="42">D30/D$9</f>
        <v>0</v>
      </c>
      <c r="AP30" s="556">
        <f t="shared" si="42"/>
        <v>0</v>
      </c>
      <c r="AQ30" s="556">
        <f t="shared" si="42"/>
        <v>0</v>
      </c>
      <c r="AR30" s="556">
        <f t="shared" si="42"/>
        <v>0</v>
      </c>
      <c r="AS30" s="554">
        <f t="shared" si="42"/>
        <v>0</v>
      </c>
      <c r="AT30" s="556">
        <f t="shared" si="42"/>
        <v>0</v>
      </c>
      <c r="AU30" s="556">
        <f t="shared" si="42"/>
        <v>0</v>
      </c>
      <c r="AV30" s="556">
        <f t="shared" si="42"/>
        <v>0</v>
      </c>
      <c r="AW30" s="556">
        <f t="shared" si="42"/>
        <v>0</v>
      </c>
      <c r="AX30" s="556">
        <f t="shared" si="42"/>
        <v>0</v>
      </c>
      <c r="AY30" s="556">
        <f t="shared" si="42"/>
        <v>0</v>
      </c>
      <c r="AZ30" s="556">
        <f t="shared" si="42"/>
        <v>0</v>
      </c>
      <c r="BA30" s="556">
        <f t="shared" si="42"/>
        <v>0</v>
      </c>
      <c r="BB30" s="556">
        <f t="shared" si="42"/>
        <v>0</v>
      </c>
      <c r="BC30" s="556">
        <f t="shared" si="42"/>
        <v>0</v>
      </c>
      <c r="BD30" s="556">
        <f t="shared" si="42"/>
        <v>0</v>
      </c>
      <c r="BE30" s="556">
        <f t="shared" si="42"/>
        <v>0</v>
      </c>
    </row>
    <row r="31" spans="1:57" hidden="1" outlineLevel="1">
      <c r="A31" s="511"/>
      <c r="B31" s="511"/>
      <c r="C31" s="521" t="s">
        <v>18</v>
      </c>
      <c r="D31" s="554">
        <f t="shared" ref="D31:T31" si="43">D21-D30</f>
        <v>0</v>
      </c>
      <c r="E31" s="556">
        <f t="shared" si="43"/>
        <v>0</v>
      </c>
      <c r="F31" s="556">
        <f t="shared" si="43"/>
        <v>0</v>
      </c>
      <c r="G31" s="556">
        <f t="shared" si="43"/>
        <v>0</v>
      </c>
      <c r="H31" s="556">
        <f t="shared" si="43"/>
        <v>0</v>
      </c>
      <c r="I31" s="556">
        <f t="shared" si="43"/>
        <v>0</v>
      </c>
      <c r="J31" s="556">
        <f t="shared" si="43"/>
        <v>0</v>
      </c>
      <c r="K31" s="556">
        <f t="shared" si="43"/>
        <v>0</v>
      </c>
      <c r="L31" s="556">
        <f t="shared" si="43"/>
        <v>0</v>
      </c>
      <c r="M31" s="556">
        <f t="shared" si="43"/>
        <v>0</v>
      </c>
      <c r="N31" s="556">
        <f t="shared" si="43"/>
        <v>0</v>
      </c>
      <c r="O31" s="556">
        <f t="shared" si="43"/>
        <v>0</v>
      </c>
      <c r="P31" s="556">
        <f t="shared" si="43"/>
        <v>0</v>
      </c>
      <c r="Q31" s="556">
        <f t="shared" si="43"/>
        <v>0</v>
      </c>
      <c r="R31" s="556">
        <f t="shared" si="43"/>
        <v>0</v>
      </c>
      <c r="S31" s="556">
        <f t="shared" si="43"/>
        <v>0</v>
      </c>
      <c r="T31" s="556">
        <f t="shared" si="43"/>
        <v>0</v>
      </c>
      <c r="V31" s="555" t="e">
        <f t="shared" ref="V31:AL31" si="44">D31/D21</f>
        <v>#DIV/0!</v>
      </c>
      <c r="W31" s="555" t="e">
        <f t="shared" si="44"/>
        <v>#DIV/0!</v>
      </c>
      <c r="X31" s="555" t="e">
        <f t="shared" si="44"/>
        <v>#DIV/0!</v>
      </c>
      <c r="Y31" s="555" t="e">
        <f t="shared" si="44"/>
        <v>#DIV/0!</v>
      </c>
      <c r="Z31" s="555" t="e">
        <f t="shared" si="44"/>
        <v>#DIV/0!</v>
      </c>
      <c r="AA31" s="555" t="e">
        <f t="shared" si="44"/>
        <v>#DIV/0!</v>
      </c>
      <c r="AB31" s="555" t="e">
        <f t="shared" si="44"/>
        <v>#DIV/0!</v>
      </c>
      <c r="AC31" s="555" t="e">
        <f t="shared" si="44"/>
        <v>#DIV/0!</v>
      </c>
      <c r="AD31" s="555" t="e">
        <f t="shared" si="44"/>
        <v>#DIV/0!</v>
      </c>
      <c r="AE31" s="555" t="e">
        <f t="shared" si="44"/>
        <v>#DIV/0!</v>
      </c>
      <c r="AF31" s="555" t="e">
        <f t="shared" si="44"/>
        <v>#DIV/0!</v>
      </c>
      <c r="AG31" s="555" t="e">
        <f t="shared" si="44"/>
        <v>#DIV/0!</v>
      </c>
      <c r="AH31" s="555" t="e">
        <f t="shared" si="44"/>
        <v>#DIV/0!</v>
      </c>
      <c r="AI31" s="555" t="e">
        <f t="shared" si="44"/>
        <v>#DIV/0!</v>
      </c>
      <c r="AJ31" s="555" t="e">
        <f t="shared" si="44"/>
        <v>#DIV/0!</v>
      </c>
      <c r="AK31" s="555" t="e">
        <f t="shared" si="44"/>
        <v>#DIV/0!</v>
      </c>
      <c r="AL31" s="555" t="e">
        <f t="shared" si="44"/>
        <v>#DIV/0!</v>
      </c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</row>
    <row r="32" spans="1:57" hidden="1" outlineLevel="1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V32" s="569">
        <f>D33/D$12</f>
        <v>0</v>
      </c>
      <c r="W32" s="570">
        <f t="shared" ref="W32:AL32" si="45">E33/E$12</f>
        <v>0</v>
      </c>
      <c r="X32" s="570">
        <f t="shared" si="45"/>
        <v>0</v>
      </c>
      <c r="Y32" s="570">
        <f t="shared" si="45"/>
        <v>0</v>
      </c>
      <c r="Z32" s="570">
        <f t="shared" si="45"/>
        <v>0</v>
      </c>
      <c r="AA32" s="570">
        <f t="shared" si="45"/>
        <v>0</v>
      </c>
      <c r="AB32" s="570">
        <f t="shared" si="45"/>
        <v>0</v>
      </c>
      <c r="AC32" s="570">
        <f t="shared" si="45"/>
        <v>0</v>
      </c>
      <c r="AD32" s="570">
        <f t="shared" si="45"/>
        <v>0</v>
      </c>
      <c r="AE32" s="570">
        <f t="shared" si="45"/>
        <v>0</v>
      </c>
      <c r="AF32" s="570">
        <f t="shared" si="45"/>
        <v>0</v>
      </c>
      <c r="AG32" s="570">
        <f t="shared" si="45"/>
        <v>0</v>
      </c>
      <c r="AH32" s="570">
        <f t="shared" si="45"/>
        <v>0</v>
      </c>
      <c r="AI32" s="570">
        <f t="shared" si="45"/>
        <v>0</v>
      </c>
      <c r="AJ32" s="570">
        <f t="shared" si="45"/>
        <v>0</v>
      </c>
      <c r="AK32" s="570">
        <f t="shared" si="45"/>
        <v>0</v>
      </c>
      <c r="AL32" s="570">
        <f t="shared" si="45"/>
        <v>0</v>
      </c>
      <c r="AO32" s="550"/>
      <c r="AP32" s="550"/>
      <c r="AQ32" s="550"/>
      <c r="AR32" s="550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</row>
    <row r="33" spans="1:57" hidden="1" outlineLevel="1">
      <c r="A33" s="553"/>
      <c r="B33" s="553"/>
      <c r="C33" s="521" t="s">
        <v>17</v>
      </c>
      <c r="D33" s="556">
        <f t="shared" ref="D33:T33" si="46">V33*D14</f>
        <v>0</v>
      </c>
      <c r="E33" s="556">
        <f t="shared" si="46"/>
        <v>0</v>
      </c>
      <c r="F33" s="556">
        <f t="shared" si="46"/>
        <v>0</v>
      </c>
      <c r="G33" s="556">
        <f t="shared" si="46"/>
        <v>0</v>
      </c>
      <c r="H33" s="556">
        <f t="shared" si="46"/>
        <v>0</v>
      </c>
      <c r="I33" s="556">
        <f t="shared" si="46"/>
        <v>0</v>
      </c>
      <c r="J33" s="556">
        <f t="shared" si="46"/>
        <v>0</v>
      </c>
      <c r="K33" s="556">
        <f t="shared" si="46"/>
        <v>0</v>
      </c>
      <c r="L33" s="556">
        <f t="shared" si="46"/>
        <v>0</v>
      </c>
      <c r="M33" s="556">
        <f t="shared" si="46"/>
        <v>0</v>
      </c>
      <c r="N33" s="556">
        <f t="shared" si="46"/>
        <v>0</v>
      </c>
      <c r="O33" s="556">
        <f t="shared" si="46"/>
        <v>0</v>
      </c>
      <c r="P33" s="556">
        <f t="shared" si="46"/>
        <v>0</v>
      </c>
      <c r="Q33" s="556">
        <f t="shared" si="46"/>
        <v>0</v>
      </c>
      <c r="R33" s="556">
        <f t="shared" si="46"/>
        <v>0</v>
      </c>
      <c r="S33" s="556">
        <f t="shared" si="46"/>
        <v>0</v>
      </c>
      <c r="T33" s="556">
        <f t="shared" si="46"/>
        <v>0</v>
      </c>
      <c r="V33" s="558"/>
      <c r="W33" s="558"/>
      <c r="X33" s="558"/>
      <c r="Y33" s="558"/>
      <c r="Z33" s="558"/>
      <c r="AA33" s="559">
        <f>Z33</f>
        <v>0</v>
      </c>
      <c r="AB33" s="559">
        <f t="shared" ref="AB33:AL35" si="47">AA33</f>
        <v>0</v>
      </c>
      <c r="AC33" s="559">
        <f t="shared" si="47"/>
        <v>0</v>
      </c>
      <c r="AD33" s="559">
        <f t="shared" si="47"/>
        <v>0</v>
      </c>
      <c r="AE33" s="559">
        <f t="shared" si="47"/>
        <v>0</v>
      </c>
      <c r="AF33" s="559">
        <f t="shared" si="47"/>
        <v>0</v>
      </c>
      <c r="AG33" s="559">
        <f t="shared" si="47"/>
        <v>0</v>
      </c>
      <c r="AH33" s="559">
        <f t="shared" si="47"/>
        <v>0</v>
      </c>
      <c r="AI33" s="559">
        <f t="shared" si="47"/>
        <v>0</v>
      </c>
      <c r="AJ33" s="559">
        <f t="shared" si="47"/>
        <v>0</v>
      </c>
      <c r="AK33" s="559">
        <f t="shared" si="47"/>
        <v>0</v>
      </c>
      <c r="AL33" s="559">
        <f t="shared" si="47"/>
        <v>0</v>
      </c>
      <c r="AO33" s="556">
        <f t="shared" ref="AO33:BD36" si="48">D33/D$9</f>
        <v>0</v>
      </c>
      <c r="AP33" s="556">
        <f t="shared" si="48"/>
        <v>0</v>
      </c>
      <c r="AQ33" s="556">
        <f t="shared" si="48"/>
        <v>0</v>
      </c>
      <c r="AR33" s="556">
        <f t="shared" si="48"/>
        <v>0</v>
      </c>
      <c r="AS33" s="556">
        <f t="shared" si="48"/>
        <v>0</v>
      </c>
      <c r="AT33" s="556">
        <f t="shared" si="48"/>
        <v>0</v>
      </c>
      <c r="AU33" s="556">
        <f t="shared" si="48"/>
        <v>0</v>
      </c>
      <c r="AV33" s="556">
        <f t="shared" si="48"/>
        <v>0</v>
      </c>
      <c r="AW33" s="556">
        <f t="shared" si="48"/>
        <v>0</v>
      </c>
      <c r="AX33" s="556">
        <f t="shared" si="48"/>
        <v>0</v>
      </c>
      <c r="AY33" s="556">
        <f t="shared" si="48"/>
        <v>0</v>
      </c>
      <c r="AZ33" s="556">
        <f t="shared" si="48"/>
        <v>0</v>
      </c>
      <c r="BA33" s="556">
        <f t="shared" si="48"/>
        <v>0</v>
      </c>
      <c r="BB33" s="556">
        <f t="shared" si="48"/>
        <v>0</v>
      </c>
      <c r="BC33" s="556">
        <f t="shared" si="48"/>
        <v>0</v>
      </c>
      <c r="BD33" s="556">
        <f t="shared" si="48"/>
        <v>0</v>
      </c>
      <c r="BE33" s="556">
        <f t="shared" ref="AY33:BE36" si="49">T33/T$9</f>
        <v>0</v>
      </c>
    </row>
    <row r="34" spans="1:57" hidden="1" outlineLevel="1">
      <c r="A34" s="511"/>
      <c r="B34" s="511"/>
      <c r="C34" s="519" t="s">
        <v>25</v>
      </c>
      <c r="D34" s="201">
        <f t="shared" ref="D34:T34" si="50">V34*D33</f>
        <v>0</v>
      </c>
      <c r="E34" s="201">
        <f t="shared" si="50"/>
        <v>0</v>
      </c>
      <c r="F34" s="201">
        <f t="shared" si="50"/>
        <v>0</v>
      </c>
      <c r="G34" s="201">
        <f t="shared" si="50"/>
        <v>0</v>
      </c>
      <c r="H34" s="201">
        <f t="shared" si="50"/>
        <v>0</v>
      </c>
      <c r="I34" s="201">
        <f t="shared" si="50"/>
        <v>0</v>
      </c>
      <c r="J34" s="201">
        <f t="shared" si="50"/>
        <v>0</v>
      </c>
      <c r="K34" s="201">
        <f t="shared" si="50"/>
        <v>0</v>
      </c>
      <c r="L34" s="201">
        <f t="shared" si="50"/>
        <v>0</v>
      </c>
      <c r="M34" s="201">
        <f t="shared" si="50"/>
        <v>0</v>
      </c>
      <c r="N34" s="201">
        <f t="shared" si="50"/>
        <v>0</v>
      </c>
      <c r="O34" s="201">
        <f t="shared" si="50"/>
        <v>0</v>
      </c>
      <c r="P34" s="201">
        <f t="shared" si="50"/>
        <v>0</v>
      </c>
      <c r="Q34" s="201">
        <f t="shared" si="50"/>
        <v>0</v>
      </c>
      <c r="R34" s="201">
        <f t="shared" si="50"/>
        <v>0</v>
      </c>
      <c r="S34" s="201">
        <f t="shared" si="50"/>
        <v>0</v>
      </c>
      <c r="T34" s="201">
        <f t="shared" si="50"/>
        <v>0</v>
      </c>
      <c r="V34" s="522"/>
      <c r="W34" s="522"/>
      <c r="X34" s="522"/>
      <c r="Y34" s="522"/>
      <c r="Z34" s="522"/>
      <c r="AA34" s="522">
        <f>Z34</f>
        <v>0</v>
      </c>
      <c r="AB34" s="522">
        <f t="shared" si="47"/>
        <v>0</v>
      </c>
      <c r="AC34" s="522">
        <f t="shared" si="47"/>
        <v>0</v>
      </c>
      <c r="AD34" s="522">
        <f t="shared" si="47"/>
        <v>0</v>
      </c>
      <c r="AE34" s="522">
        <f t="shared" si="47"/>
        <v>0</v>
      </c>
      <c r="AF34" s="522">
        <f t="shared" si="47"/>
        <v>0</v>
      </c>
      <c r="AG34" s="522">
        <f t="shared" si="47"/>
        <v>0</v>
      </c>
      <c r="AH34" s="522">
        <f t="shared" si="47"/>
        <v>0</v>
      </c>
      <c r="AI34" s="522">
        <f t="shared" si="47"/>
        <v>0</v>
      </c>
      <c r="AJ34" s="522">
        <f t="shared" si="47"/>
        <v>0</v>
      </c>
      <c r="AK34" s="522">
        <f t="shared" si="47"/>
        <v>0</v>
      </c>
      <c r="AL34" s="522">
        <f t="shared" si="47"/>
        <v>0</v>
      </c>
      <c r="AO34" s="201">
        <f t="shared" si="48"/>
        <v>0</v>
      </c>
      <c r="AP34" s="201">
        <f t="shared" si="48"/>
        <v>0</v>
      </c>
      <c r="AQ34" s="201">
        <f t="shared" si="48"/>
        <v>0</v>
      </c>
      <c r="AR34" s="201">
        <f t="shared" si="48"/>
        <v>0</v>
      </c>
      <c r="AS34" s="201">
        <f t="shared" si="48"/>
        <v>0</v>
      </c>
      <c r="AT34" s="201">
        <f t="shared" si="48"/>
        <v>0</v>
      </c>
      <c r="AU34" s="201">
        <f t="shared" si="48"/>
        <v>0</v>
      </c>
      <c r="AV34" s="201">
        <f t="shared" si="48"/>
        <v>0</v>
      </c>
      <c r="AW34" s="201">
        <f t="shared" si="48"/>
        <v>0</v>
      </c>
      <c r="AX34" s="201">
        <f t="shared" si="48"/>
        <v>0</v>
      </c>
      <c r="AY34" s="201">
        <f t="shared" si="49"/>
        <v>0</v>
      </c>
      <c r="AZ34" s="201">
        <f t="shared" si="49"/>
        <v>0</v>
      </c>
      <c r="BA34" s="201">
        <f t="shared" si="49"/>
        <v>0</v>
      </c>
      <c r="BB34" s="201">
        <f t="shared" si="49"/>
        <v>0</v>
      </c>
      <c r="BC34" s="201">
        <f t="shared" si="49"/>
        <v>0</v>
      </c>
      <c r="BD34" s="201">
        <f t="shared" si="49"/>
        <v>0</v>
      </c>
      <c r="BE34" s="201">
        <f t="shared" si="49"/>
        <v>0</v>
      </c>
    </row>
    <row r="35" spans="1:57" hidden="1" outlineLevel="1">
      <c r="A35" s="511"/>
      <c r="B35" s="511"/>
      <c r="C35" s="519" t="s">
        <v>26</v>
      </c>
      <c r="D35" s="201">
        <f t="shared" ref="D35:T35" si="51">V35*D33</f>
        <v>0</v>
      </c>
      <c r="E35" s="201">
        <f t="shared" si="51"/>
        <v>0</v>
      </c>
      <c r="F35" s="201">
        <f t="shared" si="51"/>
        <v>0</v>
      </c>
      <c r="G35" s="201">
        <f t="shared" si="51"/>
        <v>0</v>
      </c>
      <c r="H35" s="201">
        <f t="shared" si="51"/>
        <v>0</v>
      </c>
      <c r="I35" s="201">
        <f t="shared" si="51"/>
        <v>0</v>
      </c>
      <c r="J35" s="201">
        <f t="shared" si="51"/>
        <v>0</v>
      </c>
      <c r="K35" s="201">
        <f t="shared" si="51"/>
        <v>0</v>
      </c>
      <c r="L35" s="201">
        <f t="shared" si="51"/>
        <v>0</v>
      </c>
      <c r="M35" s="201">
        <f t="shared" si="51"/>
        <v>0</v>
      </c>
      <c r="N35" s="201">
        <f t="shared" si="51"/>
        <v>0</v>
      </c>
      <c r="O35" s="201">
        <f t="shared" si="51"/>
        <v>0</v>
      </c>
      <c r="P35" s="201">
        <f t="shared" si="51"/>
        <v>0</v>
      </c>
      <c r="Q35" s="201">
        <f t="shared" si="51"/>
        <v>0</v>
      </c>
      <c r="R35" s="201">
        <f t="shared" si="51"/>
        <v>0</v>
      </c>
      <c r="S35" s="201">
        <f t="shared" si="51"/>
        <v>0</v>
      </c>
      <c r="T35" s="201">
        <f t="shared" si="51"/>
        <v>0</v>
      </c>
      <c r="V35" s="522"/>
      <c r="W35" s="522"/>
      <c r="X35" s="522"/>
      <c r="Y35" s="522"/>
      <c r="Z35" s="522"/>
      <c r="AA35" s="522">
        <f>Z35</f>
        <v>0</v>
      </c>
      <c r="AB35" s="522">
        <f t="shared" si="47"/>
        <v>0</v>
      </c>
      <c r="AC35" s="522">
        <f t="shared" si="47"/>
        <v>0</v>
      </c>
      <c r="AD35" s="522">
        <f t="shared" si="47"/>
        <v>0</v>
      </c>
      <c r="AE35" s="522">
        <f t="shared" si="47"/>
        <v>0</v>
      </c>
      <c r="AF35" s="522">
        <f t="shared" si="47"/>
        <v>0</v>
      </c>
      <c r="AG35" s="522">
        <f t="shared" si="47"/>
        <v>0</v>
      </c>
      <c r="AH35" s="522">
        <f t="shared" si="47"/>
        <v>0</v>
      </c>
      <c r="AI35" s="522">
        <f t="shared" si="47"/>
        <v>0</v>
      </c>
      <c r="AJ35" s="522">
        <f t="shared" si="47"/>
        <v>0</v>
      </c>
      <c r="AK35" s="522">
        <f t="shared" si="47"/>
        <v>0</v>
      </c>
      <c r="AL35" s="522">
        <f t="shared" si="47"/>
        <v>0</v>
      </c>
      <c r="AO35" s="201">
        <f t="shared" si="48"/>
        <v>0</v>
      </c>
      <c r="AP35" s="201">
        <f t="shared" si="48"/>
        <v>0</v>
      </c>
      <c r="AQ35" s="201">
        <f t="shared" si="48"/>
        <v>0</v>
      </c>
      <c r="AR35" s="201">
        <f t="shared" si="48"/>
        <v>0</v>
      </c>
      <c r="AS35" s="201">
        <f t="shared" si="48"/>
        <v>0</v>
      </c>
      <c r="AT35" s="201">
        <f t="shared" si="48"/>
        <v>0</v>
      </c>
      <c r="AU35" s="201">
        <f t="shared" si="48"/>
        <v>0</v>
      </c>
      <c r="AV35" s="201">
        <f t="shared" si="48"/>
        <v>0</v>
      </c>
      <c r="AW35" s="201">
        <f t="shared" si="48"/>
        <v>0</v>
      </c>
      <c r="AX35" s="201">
        <f t="shared" si="48"/>
        <v>0</v>
      </c>
      <c r="AY35" s="201">
        <f t="shared" si="49"/>
        <v>0</v>
      </c>
      <c r="AZ35" s="201">
        <f t="shared" si="49"/>
        <v>0</v>
      </c>
      <c r="BA35" s="201">
        <f t="shared" si="49"/>
        <v>0</v>
      </c>
      <c r="BB35" s="201">
        <f t="shared" si="49"/>
        <v>0</v>
      </c>
      <c r="BC35" s="201">
        <f t="shared" si="49"/>
        <v>0</v>
      </c>
      <c r="BD35" s="201">
        <f t="shared" si="49"/>
        <v>0</v>
      </c>
      <c r="BE35" s="201">
        <f t="shared" si="49"/>
        <v>0</v>
      </c>
    </row>
    <row r="36" spans="1:57" hidden="1" outlineLevel="1">
      <c r="A36" s="511"/>
      <c r="B36" s="511"/>
      <c r="C36" s="521" t="s">
        <v>28</v>
      </c>
      <c r="D36" s="556">
        <f>D34+D35</f>
        <v>0</v>
      </c>
      <c r="E36" s="556">
        <f t="shared" ref="E36:T36" si="52">E34+E35</f>
        <v>0</v>
      </c>
      <c r="F36" s="556">
        <f t="shared" si="52"/>
        <v>0</v>
      </c>
      <c r="G36" s="556">
        <f t="shared" si="52"/>
        <v>0</v>
      </c>
      <c r="H36" s="556">
        <f t="shared" si="52"/>
        <v>0</v>
      </c>
      <c r="I36" s="556">
        <f t="shared" si="52"/>
        <v>0</v>
      </c>
      <c r="J36" s="556">
        <f t="shared" si="52"/>
        <v>0</v>
      </c>
      <c r="K36" s="556">
        <f t="shared" si="52"/>
        <v>0</v>
      </c>
      <c r="L36" s="556">
        <f t="shared" si="52"/>
        <v>0</v>
      </c>
      <c r="M36" s="556">
        <f t="shared" si="52"/>
        <v>0</v>
      </c>
      <c r="N36" s="556">
        <f t="shared" si="52"/>
        <v>0</v>
      </c>
      <c r="O36" s="556">
        <f t="shared" si="52"/>
        <v>0</v>
      </c>
      <c r="P36" s="556">
        <f t="shared" si="52"/>
        <v>0</v>
      </c>
      <c r="Q36" s="556">
        <f t="shared" si="52"/>
        <v>0</v>
      </c>
      <c r="R36" s="556">
        <f t="shared" si="52"/>
        <v>0</v>
      </c>
      <c r="S36" s="556">
        <f t="shared" si="52"/>
        <v>0</v>
      </c>
      <c r="T36" s="556">
        <f t="shared" si="52"/>
        <v>0</v>
      </c>
      <c r="V36" s="559" t="e">
        <f t="shared" ref="V36:AL36" si="53">D36/D33</f>
        <v>#DIV/0!</v>
      </c>
      <c r="W36" s="559" t="e">
        <f t="shared" si="53"/>
        <v>#DIV/0!</v>
      </c>
      <c r="X36" s="559" t="e">
        <f t="shared" si="53"/>
        <v>#DIV/0!</v>
      </c>
      <c r="Y36" s="559" t="e">
        <f t="shared" si="53"/>
        <v>#DIV/0!</v>
      </c>
      <c r="Z36" s="559" t="e">
        <f t="shared" si="53"/>
        <v>#DIV/0!</v>
      </c>
      <c r="AA36" s="559" t="e">
        <f t="shared" si="53"/>
        <v>#DIV/0!</v>
      </c>
      <c r="AB36" s="559" t="e">
        <f t="shared" si="53"/>
        <v>#DIV/0!</v>
      </c>
      <c r="AC36" s="559" t="e">
        <f t="shared" si="53"/>
        <v>#DIV/0!</v>
      </c>
      <c r="AD36" s="559" t="e">
        <f t="shared" si="53"/>
        <v>#DIV/0!</v>
      </c>
      <c r="AE36" s="559" t="e">
        <f t="shared" si="53"/>
        <v>#DIV/0!</v>
      </c>
      <c r="AF36" s="559" t="e">
        <f t="shared" si="53"/>
        <v>#DIV/0!</v>
      </c>
      <c r="AG36" s="559" t="e">
        <f t="shared" si="53"/>
        <v>#DIV/0!</v>
      </c>
      <c r="AH36" s="559" t="e">
        <f t="shared" si="53"/>
        <v>#DIV/0!</v>
      </c>
      <c r="AI36" s="559" t="e">
        <f t="shared" si="53"/>
        <v>#DIV/0!</v>
      </c>
      <c r="AJ36" s="559" t="e">
        <f t="shared" si="53"/>
        <v>#DIV/0!</v>
      </c>
      <c r="AK36" s="559" t="e">
        <f t="shared" si="53"/>
        <v>#DIV/0!</v>
      </c>
      <c r="AL36" s="559" t="e">
        <f t="shared" si="53"/>
        <v>#DIV/0!</v>
      </c>
      <c r="AO36" s="556">
        <f t="shared" si="48"/>
        <v>0</v>
      </c>
      <c r="AP36" s="556">
        <f t="shared" si="48"/>
        <v>0</v>
      </c>
      <c r="AQ36" s="556">
        <f t="shared" si="48"/>
        <v>0</v>
      </c>
      <c r="AR36" s="556">
        <f t="shared" si="48"/>
        <v>0</v>
      </c>
      <c r="AS36" s="556">
        <f t="shared" si="48"/>
        <v>0</v>
      </c>
      <c r="AT36" s="556">
        <f t="shared" si="48"/>
        <v>0</v>
      </c>
      <c r="AU36" s="556">
        <f t="shared" si="48"/>
        <v>0</v>
      </c>
      <c r="AV36" s="556">
        <f t="shared" si="48"/>
        <v>0</v>
      </c>
      <c r="AW36" s="556">
        <f t="shared" si="48"/>
        <v>0</v>
      </c>
      <c r="AX36" s="556">
        <f t="shared" si="48"/>
        <v>0</v>
      </c>
      <c r="AY36" s="556">
        <f t="shared" si="49"/>
        <v>0</v>
      </c>
      <c r="AZ36" s="556">
        <f t="shared" si="49"/>
        <v>0</v>
      </c>
      <c r="BA36" s="556">
        <f t="shared" si="49"/>
        <v>0</v>
      </c>
      <c r="BB36" s="556">
        <f t="shared" si="49"/>
        <v>0</v>
      </c>
      <c r="BC36" s="556">
        <f t="shared" si="49"/>
        <v>0</v>
      </c>
      <c r="BD36" s="556">
        <f t="shared" si="49"/>
        <v>0</v>
      </c>
      <c r="BE36" s="556">
        <f t="shared" si="49"/>
        <v>0</v>
      </c>
    </row>
    <row r="37" spans="1:57" hidden="1" outlineLevel="1">
      <c r="A37" s="511"/>
      <c r="B37" s="511"/>
      <c r="C37" s="521" t="s">
        <v>18</v>
      </c>
      <c r="D37" s="556">
        <f>D33-D36</f>
        <v>0</v>
      </c>
      <c r="E37" s="556">
        <f t="shared" ref="E37:T37" si="54">E33-E36</f>
        <v>0</v>
      </c>
      <c r="F37" s="556">
        <f t="shared" si="54"/>
        <v>0</v>
      </c>
      <c r="G37" s="556">
        <f t="shared" si="54"/>
        <v>0</v>
      </c>
      <c r="H37" s="556">
        <f t="shared" si="54"/>
        <v>0</v>
      </c>
      <c r="I37" s="556">
        <f t="shared" si="54"/>
        <v>0</v>
      </c>
      <c r="J37" s="556">
        <f t="shared" si="54"/>
        <v>0</v>
      </c>
      <c r="K37" s="556">
        <f t="shared" si="54"/>
        <v>0</v>
      </c>
      <c r="L37" s="556">
        <f t="shared" si="54"/>
        <v>0</v>
      </c>
      <c r="M37" s="556">
        <f t="shared" si="54"/>
        <v>0</v>
      </c>
      <c r="N37" s="556">
        <f t="shared" si="54"/>
        <v>0</v>
      </c>
      <c r="O37" s="556">
        <f t="shared" si="54"/>
        <v>0</v>
      </c>
      <c r="P37" s="556">
        <f t="shared" si="54"/>
        <v>0</v>
      </c>
      <c r="Q37" s="556">
        <f t="shared" si="54"/>
        <v>0</v>
      </c>
      <c r="R37" s="556">
        <f t="shared" si="54"/>
        <v>0</v>
      </c>
      <c r="S37" s="556">
        <f t="shared" si="54"/>
        <v>0</v>
      </c>
      <c r="T37" s="556">
        <f t="shared" si="54"/>
        <v>0</v>
      </c>
      <c r="V37" s="559" t="e">
        <f t="shared" ref="V37:AL37" si="55">D37/D33</f>
        <v>#DIV/0!</v>
      </c>
      <c r="W37" s="559" t="e">
        <f t="shared" si="55"/>
        <v>#DIV/0!</v>
      </c>
      <c r="X37" s="559" t="e">
        <f t="shared" si="55"/>
        <v>#DIV/0!</v>
      </c>
      <c r="Y37" s="559" t="e">
        <f t="shared" si="55"/>
        <v>#DIV/0!</v>
      </c>
      <c r="Z37" s="559" t="e">
        <f t="shared" si="55"/>
        <v>#DIV/0!</v>
      </c>
      <c r="AA37" s="559" t="e">
        <f t="shared" si="55"/>
        <v>#DIV/0!</v>
      </c>
      <c r="AB37" s="559" t="e">
        <f t="shared" si="55"/>
        <v>#DIV/0!</v>
      </c>
      <c r="AC37" s="559" t="e">
        <f t="shared" si="55"/>
        <v>#DIV/0!</v>
      </c>
      <c r="AD37" s="559" t="e">
        <f t="shared" si="55"/>
        <v>#DIV/0!</v>
      </c>
      <c r="AE37" s="559" t="e">
        <f t="shared" si="55"/>
        <v>#DIV/0!</v>
      </c>
      <c r="AF37" s="559" t="e">
        <f t="shared" si="55"/>
        <v>#DIV/0!</v>
      </c>
      <c r="AG37" s="559" t="e">
        <f t="shared" si="55"/>
        <v>#DIV/0!</v>
      </c>
      <c r="AH37" s="559" t="e">
        <f t="shared" si="55"/>
        <v>#DIV/0!</v>
      </c>
      <c r="AI37" s="559" t="e">
        <f t="shared" si="55"/>
        <v>#DIV/0!</v>
      </c>
      <c r="AJ37" s="559" t="e">
        <f t="shared" si="55"/>
        <v>#DIV/0!</v>
      </c>
      <c r="AK37" s="559" t="e">
        <f t="shared" si="55"/>
        <v>#DIV/0!</v>
      </c>
      <c r="AL37" s="559" t="e">
        <f t="shared" si="55"/>
        <v>#DIV/0!</v>
      </c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</row>
    <row r="38" spans="1:57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V38" s="570">
        <f>D39/D$12</f>
        <v>8.5972850678733032E-2</v>
      </c>
      <c r="W38" s="570">
        <f t="shared" ref="W38:AL38" si="56">E39/E$12</f>
        <v>8.1818181818181804E-2</v>
      </c>
      <c r="X38" s="570">
        <f t="shared" si="56"/>
        <v>7.7625570776255717E-2</v>
      </c>
      <c r="Y38" s="570">
        <f t="shared" si="56"/>
        <v>7.5091575091575102E-2</v>
      </c>
      <c r="Z38" s="570">
        <f t="shared" si="56"/>
        <v>7.3394495412844027E-2</v>
      </c>
      <c r="AA38" s="570">
        <f t="shared" si="56"/>
        <v>7.3394495412844041E-2</v>
      </c>
      <c r="AB38" s="570">
        <f t="shared" si="56"/>
        <v>7.3394495412844027E-2</v>
      </c>
      <c r="AC38" s="570">
        <f t="shared" si="56"/>
        <v>7.3394495412844055E-2</v>
      </c>
      <c r="AD38" s="570">
        <f t="shared" si="56"/>
        <v>7.3394495412844027E-2</v>
      </c>
      <c r="AE38" s="570">
        <f t="shared" si="56"/>
        <v>7.3394495412844027E-2</v>
      </c>
      <c r="AF38" s="570">
        <f t="shared" si="56"/>
        <v>7.3394495412844041E-2</v>
      </c>
      <c r="AG38" s="570">
        <f t="shared" si="56"/>
        <v>7.3394495412844055E-2</v>
      </c>
      <c r="AH38" s="570">
        <f t="shared" si="56"/>
        <v>7.3394495412844041E-2</v>
      </c>
      <c r="AI38" s="570">
        <f t="shared" si="56"/>
        <v>7.3394495412844041E-2</v>
      </c>
      <c r="AJ38" s="570">
        <f t="shared" si="56"/>
        <v>7.3394495412844027E-2</v>
      </c>
      <c r="AK38" s="570">
        <f t="shared" si="56"/>
        <v>7.3394495412844041E-2</v>
      </c>
      <c r="AL38" s="570">
        <f t="shared" si="56"/>
        <v>7.3394495412844027E-2</v>
      </c>
      <c r="AO38" s="550"/>
      <c r="AP38" s="550"/>
      <c r="AQ38" s="550"/>
      <c r="AR38" s="550"/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</row>
    <row r="39" spans="1:57">
      <c r="A39" s="511"/>
      <c r="B39" s="511"/>
      <c r="C39" s="521" t="s">
        <v>17</v>
      </c>
      <c r="D39" s="556">
        <f t="shared" ref="D39:T39" si="57">V39*D14</f>
        <v>3599209.9989623572</v>
      </c>
      <c r="E39" s="556">
        <f t="shared" si="57"/>
        <v>16947934.276597425</v>
      </c>
      <c r="F39" s="556">
        <f t="shared" si="57"/>
        <v>18604359.633868914</v>
      </c>
      <c r="G39" s="556">
        <f t="shared" si="57"/>
        <v>19648792.529575918</v>
      </c>
      <c r="H39" s="556">
        <f t="shared" si="57"/>
        <v>20985616.66830188</v>
      </c>
      <c r="I39" s="556">
        <f t="shared" si="57"/>
        <v>21825041.335033957</v>
      </c>
      <c r="J39" s="556">
        <f t="shared" si="57"/>
        <v>22760229.407581717</v>
      </c>
      <c r="K39" s="556">
        <f t="shared" si="57"/>
        <v>23605964.707972731</v>
      </c>
      <c r="L39" s="556">
        <f t="shared" si="57"/>
        <v>24550203.296291642</v>
      </c>
      <c r="M39" s="556">
        <f t="shared" si="57"/>
        <v>25532211.428143311</v>
      </c>
      <c r="N39" s="556">
        <f t="shared" si="57"/>
        <v>26626249.200023204</v>
      </c>
      <c r="O39" s="556">
        <f t="shared" si="57"/>
        <v>27615639.880679805</v>
      </c>
      <c r="P39" s="556">
        <f t="shared" si="57"/>
        <v>28720265.475906998</v>
      </c>
      <c r="Q39" s="556">
        <f t="shared" si="57"/>
        <v>29869076.094943278</v>
      </c>
      <c r="R39" s="556">
        <f t="shared" si="57"/>
        <v>31148945.547340304</v>
      </c>
      <c r="S39" s="556">
        <f t="shared" si="57"/>
        <v>32306392.704290655</v>
      </c>
      <c r="T39" s="556">
        <f t="shared" si="57"/>
        <v>33598648.412462279</v>
      </c>
      <c r="V39" s="558">
        <f>'Прогноз прочих'!F34</f>
        <v>9.5000000000000001E-2</v>
      </c>
      <c r="W39" s="558">
        <f>'Прогноз прочих'!G34</f>
        <v>0.09</v>
      </c>
      <c r="X39" s="558">
        <f>'Прогноз прочих'!H34</f>
        <v>8.5000000000000006E-2</v>
      </c>
      <c r="Y39" s="558">
        <f>'Прогноз прочих'!I34</f>
        <v>8.2000000000000003E-2</v>
      </c>
      <c r="Z39" s="558">
        <f>'Прогноз прочих'!J34</f>
        <v>0.08</v>
      </c>
      <c r="AA39" s="559">
        <f>Z39</f>
        <v>0.08</v>
      </c>
      <c r="AB39" s="559">
        <f t="shared" ref="AB39:AL41" si="58">AA39</f>
        <v>0.08</v>
      </c>
      <c r="AC39" s="559">
        <f t="shared" si="58"/>
        <v>0.08</v>
      </c>
      <c r="AD39" s="559">
        <f t="shared" si="58"/>
        <v>0.08</v>
      </c>
      <c r="AE39" s="559">
        <f t="shared" si="58"/>
        <v>0.08</v>
      </c>
      <c r="AF39" s="559">
        <f t="shared" si="58"/>
        <v>0.08</v>
      </c>
      <c r="AG39" s="559">
        <f t="shared" si="58"/>
        <v>0.08</v>
      </c>
      <c r="AH39" s="559">
        <f t="shared" si="58"/>
        <v>0.08</v>
      </c>
      <c r="AI39" s="559">
        <f t="shared" si="58"/>
        <v>0.08</v>
      </c>
      <c r="AJ39" s="559">
        <f t="shared" si="58"/>
        <v>0.08</v>
      </c>
      <c r="AK39" s="559">
        <f t="shared" si="58"/>
        <v>0.08</v>
      </c>
      <c r="AL39" s="559">
        <f t="shared" si="58"/>
        <v>0.08</v>
      </c>
      <c r="AO39" s="556">
        <f t="shared" ref="AO39:BE39" si="59">D39/D9</f>
        <v>9153.7630279680016</v>
      </c>
      <c r="AP39" s="556">
        <f t="shared" si="59"/>
        <v>10079.908463738882</v>
      </c>
      <c r="AQ39" s="556">
        <f t="shared" si="59"/>
        <v>10421.800095842309</v>
      </c>
      <c r="AR39" s="556">
        <f t="shared" si="59"/>
        <v>10456.13073145214</v>
      </c>
      <c r="AS39" s="556">
        <f t="shared" si="59"/>
        <v>10609.147278741684</v>
      </c>
      <c r="AT39" s="556">
        <f t="shared" si="59"/>
        <v>11033.513169891352</v>
      </c>
      <c r="AU39" s="556">
        <f t="shared" si="59"/>
        <v>11474.853696687009</v>
      </c>
      <c r="AV39" s="556">
        <f t="shared" si="59"/>
        <v>11933.847844554488</v>
      </c>
      <c r="AW39" s="556">
        <f t="shared" si="59"/>
        <v>12411.201758336669</v>
      </c>
      <c r="AX39" s="556">
        <f t="shared" si="59"/>
        <v>12907.649828670137</v>
      </c>
      <c r="AY39" s="556">
        <f t="shared" si="59"/>
        <v>13423.955821816942</v>
      </c>
      <c r="AZ39" s="556">
        <f t="shared" si="59"/>
        <v>13960.91405468962</v>
      </c>
      <c r="BA39" s="556">
        <f t="shared" si="59"/>
        <v>14519.350616877206</v>
      </c>
      <c r="BB39" s="556">
        <f t="shared" si="59"/>
        <v>15100.124641552293</v>
      </c>
      <c r="BC39" s="556">
        <f t="shared" si="59"/>
        <v>15704.129627214388</v>
      </c>
      <c r="BD39" s="556">
        <f t="shared" si="59"/>
        <v>16332.294812302962</v>
      </c>
      <c r="BE39" s="556">
        <f t="shared" si="59"/>
        <v>16985.58660479508</v>
      </c>
    </row>
    <row r="40" spans="1:57">
      <c r="A40" s="511"/>
      <c r="B40" s="511"/>
      <c r="C40" s="519" t="s">
        <v>25</v>
      </c>
      <c r="D40" s="201">
        <f t="shared" ref="D40:T40" si="60">V40*D39</f>
        <v>323928.89990661212</v>
      </c>
      <c r="E40" s="201">
        <f t="shared" si="60"/>
        <v>1186355.39936182</v>
      </c>
      <c r="F40" s="201">
        <f t="shared" si="60"/>
        <v>1116261.5780321348</v>
      </c>
      <c r="G40" s="201">
        <f t="shared" si="60"/>
        <v>1178927.5517745551</v>
      </c>
      <c r="H40" s="201">
        <f t="shared" si="60"/>
        <v>1259137.0000981127</v>
      </c>
      <c r="I40" s="201">
        <f t="shared" si="60"/>
        <v>1309502.4801020373</v>
      </c>
      <c r="J40" s="201">
        <f t="shared" si="60"/>
        <v>1365613.7644549028</v>
      </c>
      <c r="K40" s="201">
        <f t="shared" si="60"/>
        <v>1416357.8824783638</v>
      </c>
      <c r="L40" s="201">
        <f t="shared" si="60"/>
        <v>1473012.1977774985</v>
      </c>
      <c r="M40" s="201">
        <f t="shared" si="60"/>
        <v>1531932.6856885985</v>
      </c>
      <c r="N40" s="201">
        <f t="shared" si="60"/>
        <v>1597574.9520013921</v>
      </c>
      <c r="O40" s="201">
        <f t="shared" si="60"/>
        <v>1656938.3928407882</v>
      </c>
      <c r="P40" s="201">
        <f t="shared" si="60"/>
        <v>1723215.9285544199</v>
      </c>
      <c r="Q40" s="201">
        <f t="shared" si="60"/>
        <v>1792144.5656965966</v>
      </c>
      <c r="R40" s="201">
        <f t="shared" si="60"/>
        <v>1868936.7328404181</v>
      </c>
      <c r="S40" s="201">
        <f t="shared" si="60"/>
        <v>1938383.5622574391</v>
      </c>
      <c r="T40" s="201">
        <f t="shared" si="60"/>
        <v>2015918.9047477366</v>
      </c>
      <c r="V40" s="522">
        <f>'Прогноз прочих'!F42</f>
        <v>0.09</v>
      </c>
      <c r="W40" s="522">
        <f>'Прогноз прочих'!G42</f>
        <v>7.0000000000000007E-2</v>
      </c>
      <c r="X40" s="522">
        <f>'Прогноз прочих'!H42</f>
        <v>0.06</v>
      </c>
      <c r="Y40" s="522">
        <f>'Прогноз прочих'!I42</f>
        <v>0.06</v>
      </c>
      <c r="Z40" s="522">
        <f>'Прогноз прочих'!J42</f>
        <v>0.06</v>
      </c>
      <c r="AA40" s="522">
        <f>Z40</f>
        <v>0.06</v>
      </c>
      <c r="AB40" s="522">
        <f t="shared" si="58"/>
        <v>0.06</v>
      </c>
      <c r="AC40" s="522">
        <f t="shared" si="58"/>
        <v>0.06</v>
      </c>
      <c r="AD40" s="522">
        <f t="shared" si="58"/>
        <v>0.06</v>
      </c>
      <c r="AE40" s="522">
        <f t="shared" si="58"/>
        <v>0.06</v>
      </c>
      <c r="AF40" s="522">
        <f t="shared" si="58"/>
        <v>0.06</v>
      </c>
      <c r="AG40" s="522">
        <f t="shared" si="58"/>
        <v>0.06</v>
      </c>
      <c r="AH40" s="522">
        <f t="shared" si="58"/>
        <v>0.06</v>
      </c>
      <c r="AI40" s="522">
        <f t="shared" si="58"/>
        <v>0.06</v>
      </c>
      <c r="AJ40" s="522">
        <f t="shared" si="58"/>
        <v>0.06</v>
      </c>
      <c r="AK40" s="522">
        <f t="shared" si="58"/>
        <v>0.06</v>
      </c>
      <c r="AL40" s="522">
        <f t="shared" si="58"/>
        <v>0.06</v>
      </c>
      <c r="AO40" s="201">
        <f t="shared" ref="AO40:BD41" si="61">D40/D$9</f>
        <v>823.83867251712002</v>
      </c>
      <c r="AP40" s="201">
        <f t="shared" si="61"/>
        <v>705.59359246172187</v>
      </c>
      <c r="AQ40" s="201">
        <f t="shared" si="61"/>
        <v>625.30800575053843</v>
      </c>
      <c r="AR40" s="201">
        <f t="shared" si="61"/>
        <v>627.3678438871284</v>
      </c>
      <c r="AS40" s="201">
        <f t="shared" si="61"/>
        <v>636.54883672450103</v>
      </c>
      <c r="AT40" s="201">
        <f t="shared" si="61"/>
        <v>662.01079019348106</v>
      </c>
      <c r="AU40" s="201">
        <f t="shared" si="61"/>
        <v>688.49122180122038</v>
      </c>
      <c r="AV40" s="201">
        <f t="shared" si="61"/>
        <v>716.03087067326919</v>
      </c>
      <c r="AW40" s="201">
        <f t="shared" si="61"/>
        <v>744.67210550020013</v>
      </c>
      <c r="AX40" s="201">
        <f t="shared" si="61"/>
        <v>774.45898972020814</v>
      </c>
      <c r="AY40" s="201">
        <f t="shared" si="61"/>
        <v>805.43734930901644</v>
      </c>
      <c r="AZ40" s="201">
        <f t="shared" si="61"/>
        <v>837.65484328137711</v>
      </c>
      <c r="BA40" s="201">
        <f t="shared" si="61"/>
        <v>871.16103701263228</v>
      </c>
      <c r="BB40" s="201">
        <f t="shared" si="61"/>
        <v>906.00747849313757</v>
      </c>
      <c r="BC40" s="201">
        <f t="shared" si="61"/>
        <v>942.24777763286318</v>
      </c>
      <c r="BD40" s="201">
        <f t="shared" si="61"/>
        <v>979.93768873817771</v>
      </c>
      <c r="BE40" s="201">
        <f t="shared" ref="AY40:BE41" si="62">T40/T$9</f>
        <v>1019.1351962877047</v>
      </c>
    </row>
    <row r="41" spans="1:57">
      <c r="A41" s="511"/>
      <c r="B41" s="511"/>
      <c r="C41" s="519" t="s">
        <v>26</v>
      </c>
      <c r="D41" s="201">
        <f t="shared" ref="D41:T41" si="63">V41*D39</f>
        <v>287936.79991698859</v>
      </c>
      <c r="E41" s="201">
        <f t="shared" si="63"/>
        <v>1186355.39936182</v>
      </c>
      <c r="F41" s="201">
        <f t="shared" si="63"/>
        <v>1116261.5780321348</v>
      </c>
      <c r="G41" s="201">
        <f t="shared" si="63"/>
        <v>1178927.5517745551</v>
      </c>
      <c r="H41" s="201">
        <f t="shared" si="63"/>
        <v>1259137.0000981127</v>
      </c>
      <c r="I41" s="201">
        <f t="shared" si="63"/>
        <v>1309502.4801020373</v>
      </c>
      <c r="J41" s="201">
        <f t="shared" si="63"/>
        <v>1365613.7644549028</v>
      </c>
      <c r="K41" s="201">
        <f t="shared" si="63"/>
        <v>1416357.8824783638</v>
      </c>
      <c r="L41" s="201">
        <f t="shared" si="63"/>
        <v>1473012.1977774985</v>
      </c>
      <c r="M41" s="201">
        <f t="shared" si="63"/>
        <v>1531932.6856885985</v>
      </c>
      <c r="N41" s="201">
        <f t="shared" si="63"/>
        <v>1597574.9520013921</v>
      </c>
      <c r="O41" s="201">
        <f t="shared" si="63"/>
        <v>1656938.3928407882</v>
      </c>
      <c r="P41" s="201">
        <f t="shared" si="63"/>
        <v>1723215.9285544199</v>
      </c>
      <c r="Q41" s="201">
        <f t="shared" si="63"/>
        <v>1792144.5656965966</v>
      </c>
      <c r="R41" s="201">
        <f t="shared" si="63"/>
        <v>1868936.7328404181</v>
      </c>
      <c r="S41" s="201">
        <f t="shared" si="63"/>
        <v>1938383.5622574391</v>
      </c>
      <c r="T41" s="201">
        <f t="shared" si="63"/>
        <v>2015918.9047477366</v>
      </c>
      <c r="V41" s="522">
        <f>'Прогноз прочих'!F50</f>
        <v>0.08</v>
      </c>
      <c r="W41" s="522">
        <f>'Прогноз прочих'!G50</f>
        <v>7.0000000000000007E-2</v>
      </c>
      <c r="X41" s="522">
        <f>'Прогноз прочих'!H50</f>
        <v>0.06</v>
      </c>
      <c r="Y41" s="522">
        <f>'Прогноз прочих'!I50</f>
        <v>0.06</v>
      </c>
      <c r="Z41" s="522">
        <f>'Прогноз прочих'!J50</f>
        <v>0.06</v>
      </c>
      <c r="AA41" s="522">
        <f>Z41</f>
        <v>0.06</v>
      </c>
      <c r="AB41" s="522">
        <f t="shared" si="58"/>
        <v>0.06</v>
      </c>
      <c r="AC41" s="522">
        <f t="shared" si="58"/>
        <v>0.06</v>
      </c>
      <c r="AD41" s="522">
        <f t="shared" si="58"/>
        <v>0.06</v>
      </c>
      <c r="AE41" s="522">
        <f t="shared" si="58"/>
        <v>0.06</v>
      </c>
      <c r="AF41" s="522">
        <f t="shared" si="58"/>
        <v>0.06</v>
      </c>
      <c r="AG41" s="522">
        <f t="shared" si="58"/>
        <v>0.06</v>
      </c>
      <c r="AH41" s="522">
        <f t="shared" si="58"/>
        <v>0.06</v>
      </c>
      <c r="AI41" s="522">
        <f t="shared" si="58"/>
        <v>0.06</v>
      </c>
      <c r="AJ41" s="522">
        <f t="shared" si="58"/>
        <v>0.06</v>
      </c>
      <c r="AK41" s="522">
        <f t="shared" si="58"/>
        <v>0.06</v>
      </c>
      <c r="AL41" s="522">
        <f t="shared" si="58"/>
        <v>0.06</v>
      </c>
      <c r="AO41" s="201">
        <f t="shared" si="61"/>
        <v>732.30104223744013</v>
      </c>
      <c r="AP41" s="201">
        <f t="shared" si="61"/>
        <v>705.59359246172187</v>
      </c>
      <c r="AQ41" s="201">
        <f t="shared" si="61"/>
        <v>625.30800575053843</v>
      </c>
      <c r="AR41" s="201">
        <f t="shared" si="61"/>
        <v>627.3678438871284</v>
      </c>
      <c r="AS41" s="201">
        <f t="shared" si="61"/>
        <v>636.54883672450103</v>
      </c>
      <c r="AT41" s="201">
        <f t="shared" si="61"/>
        <v>662.01079019348106</v>
      </c>
      <c r="AU41" s="201">
        <f t="shared" si="61"/>
        <v>688.49122180122038</v>
      </c>
      <c r="AV41" s="201">
        <f t="shared" si="61"/>
        <v>716.03087067326919</v>
      </c>
      <c r="AW41" s="201">
        <f t="shared" si="61"/>
        <v>744.67210550020013</v>
      </c>
      <c r="AX41" s="201">
        <f t="shared" si="61"/>
        <v>774.45898972020814</v>
      </c>
      <c r="AY41" s="201">
        <f t="shared" si="62"/>
        <v>805.43734930901644</v>
      </c>
      <c r="AZ41" s="201">
        <f t="shared" si="62"/>
        <v>837.65484328137711</v>
      </c>
      <c r="BA41" s="201">
        <f t="shared" si="62"/>
        <v>871.16103701263228</v>
      </c>
      <c r="BB41" s="201">
        <f t="shared" si="62"/>
        <v>906.00747849313757</v>
      </c>
      <c r="BC41" s="201">
        <f t="shared" si="62"/>
        <v>942.24777763286318</v>
      </c>
      <c r="BD41" s="201">
        <f t="shared" si="62"/>
        <v>979.93768873817771</v>
      </c>
      <c r="BE41" s="201">
        <f t="shared" si="62"/>
        <v>1019.1351962877047</v>
      </c>
    </row>
    <row r="42" spans="1:57">
      <c r="A42" s="511"/>
      <c r="B42" s="511"/>
      <c r="C42" s="521" t="s">
        <v>28</v>
      </c>
      <c r="D42" s="556">
        <f>D40+D41</f>
        <v>611865.69982360071</v>
      </c>
      <c r="E42" s="556">
        <f t="shared" ref="E42:T42" si="64">E40+E41</f>
        <v>2372710.7987236399</v>
      </c>
      <c r="F42" s="556">
        <f t="shared" si="64"/>
        <v>2232523.1560642696</v>
      </c>
      <c r="G42" s="556">
        <f t="shared" si="64"/>
        <v>2357855.1035491102</v>
      </c>
      <c r="H42" s="556">
        <f t="shared" si="64"/>
        <v>2518274.0001962255</v>
      </c>
      <c r="I42" s="556">
        <f t="shared" si="64"/>
        <v>2619004.9602040746</v>
      </c>
      <c r="J42" s="556">
        <f t="shared" si="64"/>
        <v>2731227.5289098057</v>
      </c>
      <c r="K42" s="556">
        <f t="shared" si="64"/>
        <v>2832715.7649567276</v>
      </c>
      <c r="L42" s="556">
        <f t="shared" si="64"/>
        <v>2946024.395554997</v>
      </c>
      <c r="M42" s="556">
        <f t="shared" si="64"/>
        <v>3063865.3713771971</v>
      </c>
      <c r="N42" s="556">
        <f t="shared" si="64"/>
        <v>3195149.9040027843</v>
      </c>
      <c r="O42" s="556">
        <f t="shared" si="64"/>
        <v>3313876.7856815765</v>
      </c>
      <c r="P42" s="556">
        <f t="shared" si="64"/>
        <v>3446431.8571088398</v>
      </c>
      <c r="Q42" s="556">
        <f t="shared" si="64"/>
        <v>3584289.1313931933</v>
      </c>
      <c r="R42" s="556">
        <f t="shared" si="64"/>
        <v>3737873.4656808362</v>
      </c>
      <c r="S42" s="556">
        <f t="shared" si="64"/>
        <v>3876767.1245148783</v>
      </c>
      <c r="T42" s="556">
        <f t="shared" si="64"/>
        <v>4031837.8094954733</v>
      </c>
      <c r="V42" s="559">
        <f t="shared" ref="V42:AL42" si="65">D42/D39</f>
        <v>0.16999999999999998</v>
      </c>
      <c r="W42" s="559">
        <f t="shared" si="65"/>
        <v>0.14000000000000001</v>
      </c>
      <c r="X42" s="559">
        <f t="shared" si="65"/>
        <v>0.12</v>
      </c>
      <c r="Y42" s="559">
        <f t="shared" si="65"/>
        <v>0.12000000000000001</v>
      </c>
      <c r="Z42" s="559">
        <f t="shared" si="65"/>
        <v>0.12</v>
      </c>
      <c r="AA42" s="559">
        <f t="shared" si="65"/>
        <v>0.12</v>
      </c>
      <c r="AB42" s="559">
        <f t="shared" si="65"/>
        <v>0.11999999999999998</v>
      </c>
      <c r="AC42" s="559">
        <f t="shared" si="65"/>
        <v>0.12</v>
      </c>
      <c r="AD42" s="559">
        <f t="shared" si="65"/>
        <v>0.12</v>
      </c>
      <c r="AE42" s="559">
        <f t="shared" si="65"/>
        <v>0.12</v>
      </c>
      <c r="AF42" s="559">
        <f t="shared" si="65"/>
        <v>0.12</v>
      </c>
      <c r="AG42" s="559">
        <f t="shared" si="65"/>
        <v>0.12</v>
      </c>
      <c r="AH42" s="559">
        <f t="shared" si="65"/>
        <v>0.12</v>
      </c>
      <c r="AI42" s="559">
        <f t="shared" si="65"/>
        <v>0.12</v>
      </c>
      <c r="AJ42" s="559">
        <f t="shared" si="65"/>
        <v>0.12</v>
      </c>
      <c r="AK42" s="559">
        <f t="shared" si="65"/>
        <v>0.12</v>
      </c>
      <c r="AL42" s="559">
        <f t="shared" si="65"/>
        <v>0.12</v>
      </c>
      <c r="AO42" s="556">
        <f>AO41+AO40</f>
        <v>1556.1397147545601</v>
      </c>
      <c r="AP42" s="556">
        <f t="shared" ref="AP42:BE42" si="66">AP41+AP40</f>
        <v>1411.1871849234437</v>
      </c>
      <c r="AQ42" s="556">
        <f t="shared" si="66"/>
        <v>1250.6160115010769</v>
      </c>
      <c r="AR42" s="556">
        <f t="shared" si="66"/>
        <v>1254.7356877742568</v>
      </c>
      <c r="AS42" s="556">
        <f t="shared" si="66"/>
        <v>1273.0976734490021</v>
      </c>
      <c r="AT42" s="556">
        <f t="shared" si="66"/>
        <v>1324.0215803869621</v>
      </c>
      <c r="AU42" s="556">
        <f t="shared" si="66"/>
        <v>1376.9824436024408</v>
      </c>
      <c r="AV42" s="556">
        <f t="shared" si="66"/>
        <v>1432.0617413465384</v>
      </c>
      <c r="AW42" s="556">
        <f t="shared" si="66"/>
        <v>1489.3442110004003</v>
      </c>
      <c r="AX42" s="556">
        <f t="shared" si="66"/>
        <v>1548.9179794404163</v>
      </c>
      <c r="AY42" s="556">
        <f t="shared" si="66"/>
        <v>1610.8746986180329</v>
      </c>
      <c r="AZ42" s="556">
        <f t="shared" si="66"/>
        <v>1675.3096865627542</v>
      </c>
      <c r="BA42" s="556">
        <f t="shared" si="66"/>
        <v>1742.3220740252646</v>
      </c>
      <c r="BB42" s="556">
        <f t="shared" si="66"/>
        <v>1812.0149569862751</v>
      </c>
      <c r="BC42" s="556">
        <f t="shared" si="66"/>
        <v>1884.4955552657264</v>
      </c>
      <c r="BD42" s="556">
        <f t="shared" si="66"/>
        <v>1959.8753774763554</v>
      </c>
      <c r="BE42" s="556">
        <f t="shared" si="66"/>
        <v>2038.2703925754095</v>
      </c>
    </row>
    <row r="43" spans="1:57">
      <c r="A43" s="511"/>
      <c r="B43" s="511"/>
      <c r="C43" s="521" t="s">
        <v>18</v>
      </c>
      <c r="D43" s="556">
        <f>D39-D42</f>
        <v>2987344.2991387565</v>
      </c>
      <c r="E43" s="556">
        <f t="shared" ref="E43:T43" si="67">E39-E42</f>
        <v>14575223.477873785</v>
      </c>
      <c r="F43" s="556">
        <f t="shared" si="67"/>
        <v>16371836.477804644</v>
      </c>
      <c r="G43" s="556">
        <f t="shared" si="67"/>
        <v>17290937.426026806</v>
      </c>
      <c r="H43" s="556">
        <f t="shared" si="67"/>
        <v>18467342.668105654</v>
      </c>
      <c r="I43" s="556">
        <f t="shared" si="67"/>
        <v>19206036.374829881</v>
      </c>
      <c r="J43" s="556">
        <f t="shared" si="67"/>
        <v>20029001.878671911</v>
      </c>
      <c r="K43" s="556">
        <f t="shared" si="67"/>
        <v>20773248.943016004</v>
      </c>
      <c r="L43" s="556">
        <f t="shared" si="67"/>
        <v>21604178.900736645</v>
      </c>
      <c r="M43" s="556">
        <f t="shared" si="67"/>
        <v>22468346.056766115</v>
      </c>
      <c r="N43" s="556">
        <f t="shared" si="67"/>
        <v>23431099.296020418</v>
      </c>
      <c r="O43" s="556">
        <f t="shared" si="67"/>
        <v>24301763.094998229</v>
      </c>
      <c r="P43" s="556">
        <f t="shared" si="67"/>
        <v>25273833.618798159</v>
      </c>
      <c r="Q43" s="556">
        <f t="shared" si="67"/>
        <v>26284786.963550083</v>
      </c>
      <c r="R43" s="556">
        <f t="shared" si="67"/>
        <v>27411072.081659466</v>
      </c>
      <c r="S43" s="556">
        <f t="shared" si="67"/>
        <v>28429625.579775777</v>
      </c>
      <c r="T43" s="556">
        <f t="shared" si="67"/>
        <v>29566810.602966808</v>
      </c>
      <c r="V43" s="559">
        <f t="shared" ref="V43:AL43" si="68">D43/D39</f>
        <v>0.83</v>
      </c>
      <c r="W43" s="559">
        <f t="shared" si="68"/>
        <v>0.86</v>
      </c>
      <c r="X43" s="559">
        <f t="shared" si="68"/>
        <v>0.88</v>
      </c>
      <c r="Y43" s="559">
        <f t="shared" si="68"/>
        <v>0.87999999999999989</v>
      </c>
      <c r="Z43" s="559">
        <f t="shared" si="68"/>
        <v>0.88</v>
      </c>
      <c r="AA43" s="559">
        <f t="shared" si="68"/>
        <v>0.87999999999999989</v>
      </c>
      <c r="AB43" s="559">
        <f t="shared" si="68"/>
        <v>0.88</v>
      </c>
      <c r="AC43" s="559">
        <f t="shared" si="68"/>
        <v>0.88</v>
      </c>
      <c r="AD43" s="559">
        <f t="shared" si="68"/>
        <v>0.88</v>
      </c>
      <c r="AE43" s="559">
        <f t="shared" si="68"/>
        <v>0.88</v>
      </c>
      <c r="AF43" s="559">
        <f t="shared" si="68"/>
        <v>0.88</v>
      </c>
      <c r="AG43" s="559">
        <f t="shared" si="68"/>
        <v>0.88</v>
      </c>
      <c r="AH43" s="559">
        <f t="shared" si="68"/>
        <v>0.88</v>
      </c>
      <c r="AI43" s="559">
        <f t="shared" si="68"/>
        <v>0.88</v>
      </c>
      <c r="AJ43" s="559">
        <f t="shared" si="68"/>
        <v>0.88</v>
      </c>
      <c r="AK43" s="559">
        <f t="shared" si="68"/>
        <v>0.88</v>
      </c>
      <c r="AL43" s="559">
        <f t="shared" si="68"/>
        <v>0.88000000000000012</v>
      </c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</row>
    <row r="44" spans="1:57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</row>
    <row r="45" spans="1:57">
      <c r="A45" s="511"/>
      <c r="B45" s="511"/>
      <c r="C45" s="521" t="str">
        <f>C44</f>
        <v>Прочие доходы и доходы от аренды</v>
      </c>
      <c r="D45" s="554">
        <f t="shared" ref="D45:T45" si="69">V45*D14</f>
        <v>378864.21041709022</v>
      </c>
      <c r="E45" s="556">
        <f t="shared" si="69"/>
        <v>1883103.808510825</v>
      </c>
      <c r="F45" s="556">
        <f t="shared" si="69"/>
        <v>2188748.192219872</v>
      </c>
      <c r="G45" s="556">
        <f t="shared" si="69"/>
        <v>2396194.2109238924</v>
      </c>
      <c r="H45" s="556">
        <f t="shared" si="69"/>
        <v>2623202.083537735</v>
      </c>
      <c r="I45" s="556">
        <f t="shared" si="69"/>
        <v>2728130.1668792446</v>
      </c>
      <c r="J45" s="556">
        <f t="shared" si="69"/>
        <v>2845028.6759477146</v>
      </c>
      <c r="K45" s="556">
        <f t="shared" si="69"/>
        <v>2950745.5884965914</v>
      </c>
      <c r="L45" s="556">
        <f t="shared" si="69"/>
        <v>3068775.4120364552</v>
      </c>
      <c r="M45" s="556">
        <f t="shared" si="69"/>
        <v>3191526.4285179139</v>
      </c>
      <c r="N45" s="556">
        <f t="shared" si="69"/>
        <v>3328281.1500029005</v>
      </c>
      <c r="O45" s="556">
        <f t="shared" si="69"/>
        <v>3451954.9850849756</v>
      </c>
      <c r="P45" s="556">
        <f t="shared" si="69"/>
        <v>3590033.1844883747</v>
      </c>
      <c r="Q45" s="556">
        <f t="shared" si="69"/>
        <v>3733634.5118679097</v>
      </c>
      <c r="R45" s="556">
        <f t="shared" si="69"/>
        <v>3893618.193417538</v>
      </c>
      <c r="S45" s="556">
        <f t="shared" si="69"/>
        <v>4038299.0880363318</v>
      </c>
      <c r="T45" s="556">
        <f t="shared" si="69"/>
        <v>4199831.0515577849</v>
      </c>
      <c r="V45" s="558">
        <f>'Прогноз прочих'!F78</f>
        <v>0.01</v>
      </c>
      <c r="W45" s="558">
        <f>'Прогноз прочих'!G78</f>
        <v>0.01</v>
      </c>
      <c r="X45" s="558">
        <f>'Прогноз прочих'!H78</f>
        <v>0.01</v>
      </c>
      <c r="Y45" s="558">
        <f>'Прогноз прочих'!I78</f>
        <v>0.01</v>
      </c>
      <c r="Z45" s="558">
        <f>'Прогноз прочих'!J78</f>
        <v>0.01</v>
      </c>
      <c r="AA45" s="559">
        <f>Z45</f>
        <v>0.01</v>
      </c>
      <c r="AB45" s="559">
        <f t="shared" ref="AB45:AL45" si="70">AA45</f>
        <v>0.01</v>
      </c>
      <c r="AC45" s="559">
        <f t="shared" si="70"/>
        <v>0.01</v>
      </c>
      <c r="AD45" s="559">
        <f t="shared" si="70"/>
        <v>0.01</v>
      </c>
      <c r="AE45" s="559">
        <f t="shared" si="70"/>
        <v>0.01</v>
      </c>
      <c r="AF45" s="559">
        <f t="shared" si="70"/>
        <v>0.01</v>
      </c>
      <c r="AG45" s="559">
        <f t="shared" si="70"/>
        <v>0.01</v>
      </c>
      <c r="AH45" s="559">
        <f t="shared" si="70"/>
        <v>0.01</v>
      </c>
      <c r="AI45" s="559">
        <f t="shared" si="70"/>
        <v>0.01</v>
      </c>
      <c r="AJ45" s="559">
        <f t="shared" si="70"/>
        <v>0.01</v>
      </c>
      <c r="AK45" s="559">
        <f t="shared" si="70"/>
        <v>0.01</v>
      </c>
      <c r="AL45" s="559">
        <f t="shared" si="70"/>
        <v>0.01</v>
      </c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</row>
    <row r="46" spans="1:57">
      <c r="A46" s="509"/>
      <c r="B46" s="509"/>
      <c r="C46" s="547" t="s">
        <v>35</v>
      </c>
      <c r="D46" s="548">
        <f>D42+D30+D18+D36</f>
        <v>13235509.578699457</v>
      </c>
      <c r="E46" s="548">
        <f t="shared" ref="E46:T46" si="71">E42+E30+E18+E36</f>
        <v>57419545.226508416</v>
      </c>
      <c r="F46" s="1035">
        <f t="shared" si="71"/>
        <v>60860105.090948112</v>
      </c>
      <c r="G46" s="548">
        <f t="shared" si="71"/>
        <v>63315522.443635508</v>
      </c>
      <c r="H46" s="548">
        <f t="shared" si="71"/>
        <v>65542802.077432565</v>
      </c>
      <c r="I46" s="548">
        <f t="shared" si="71"/>
        <v>68164514.160529867</v>
      </c>
      <c r="J46" s="548">
        <f t="shared" si="71"/>
        <v>71085316.904285178</v>
      </c>
      <c r="K46" s="548">
        <f t="shared" si="71"/>
        <v>73726738.516029119</v>
      </c>
      <c r="L46" s="548">
        <f t="shared" si="71"/>
        <v>76675808.056670278</v>
      </c>
      <c r="M46" s="548">
        <f t="shared" si="71"/>
        <v>79742840.378937095</v>
      </c>
      <c r="N46" s="548">
        <f t="shared" si="71"/>
        <v>83159766.470790729</v>
      </c>
      <c r="O46" s="548">
        <f t="shared" si="71"/>
        <v>86249856.153858364</v>
      </c>
      <c r="P46" s="548">
        <f t="shared" si="71"/>
        <v>89699850.400012717</v>
      </c>
      <c r="Q46" s="548">
        <f t="shared" si="71"/>
        <v>93287844.416013211</v>
      </c>
      <c r="R46" s="548">
        <f t="shared" si="71"/>
        <v>97285164.653455555</v>
      </c>
      <c r="S46" s="548">
        <f t="shared" si="71"/>
        <v>100900132.5203599</v>
      </c>
      <c r="T46" s="548">
        <f t="shared" si="71"/>
        <v>104936137.82117432</v>
      </c>
      <c r="V46" s="573">
        <f t="shared" ref="V46:AL46" si="72">D46/D12</f>
        <v>0.31615118011855964</v>
      </c>
      <c r="W46" s="573">
        <f t="shared" si="72"/>
        <v>0.27719972915796387</v>
      </c>
      <c r="X46" s="573">
        <f t="shared" si="72"/>
        <v>0.25393512532338103</v>
      </c>
      <c r="Y46" s="573">
        <f t="shared" si="72"/>
        <v>0.2419722382880278</v>
      </c>
      <c r="Z46" s="573">
        <f t="shared" si="72"/>
        <v>0.22922752104221694</v>
      </c>
      <c r="AA46" s="573">
        <f t="shared" si="72"/>
        <v>0.229227521042217</v>
      </c>
      <c r="AB46" s="573">
        <f t="shared" si="72"/>
        <v>0.22922752104221694</v>
      </c>
      <c r="AC46" s="573">
        <f t="shared" si="72"/>
        <v>0.22922752104221703</v>
      </c>
      <c r="AD46" s="573">
        <f t="shared" si="72"/>
        <v>0.22922752104221694</v>
      </c>
      <c r="AE46" s="573">
        <f t="shared" si="72"/>
        <v>0.22922752104221694</v>
      </c>
      <c r="AF46" s="573">
        <f t="shared" si="72"/>
        <v>0.229227521042217</v>
      </c>
      <c r="AG46" s="573">
        <f t="shared" si="72"/>
        <v>0.229227521042217</v>
      </c>
      <c r="AH46" s="573">
        <f t="shared" si="72"/>
        <v>0.229227521042217</v>
      </c>
      <c r="AI46" s="573">
        <f t="shared" si="72"/>
        <v>0.229227521042217</v>
      </c>
      <c r="AJ46" s="573">
        <f t="shared" si="72"/>
        <v>0.22922752104221697</v>
      </c>
      <c r="AK46" s="573">
        <f t="shared" si="72"/>
        <v>0.22922752104221697</v>
      </c>
      <c r="AL46" s="573">
        <f t="shared" si="72"/>
        <v>0.229227521042217</v>
      </c>
      <c r="AO46" s="548"/>
      <c r="AP46" s="548"/>
      <c r="AQ46" s="548"/>
      <c r="AR46" s="548"/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</row>
    <row r="47" spans="1:57">
      <c r="A47" s="509"/>
      <c r="B47" s="509"/>
      <c r="C47" s="547" t="s">
        <v>20</v>
      </c>
      <c r="D47" s="1035">
        <f t="shared" ref="D47:T47" si="73">D12-D46</f>
        <v>28628985.672389016</v>
      </c>
      <c r="E47" s="1035">
        <f t="shared" si="73"/>
        <v>149721873.70968238</v>
      </c>
      <c r="F47" s="1035">
        <f t="shared" si="73"/>
        <v>178807821.95712787</v>
      </c>
      <c r="G47" s="1035">
        <f t="shared" si="73"/>
        <v>198348885.3892535</v>
      </c>
      <c r="H47" s="1035">
        <f t="shared" si="73"/>
        <v>220386225.0281806</v>
      </c>
      <c r="I47" s="1035">
        <f t="shared" si="73"/>
        <v>229201674.02930778</v>
      </c>
      <c r="J47" s="1035">
        <f t="shared" si="73"/>
        <v>239022808.77401572</v>
      </c>
      <c r="K47" s="1035">
        <f t="shared" si="73"/>
        <v>247904530.6300993</v>
      </c>
      <c r="L47" s="1035">
        <f t="shared" si="73"/>
        <v>257820711.85530338</v>
      </c>
      <c r="M47" s="1035">
        <f t="shared" si="73"/>
        <v>268133540.32951555</v>
      </c>
      <c r="N47" s="548">
        <f t="shared" si="73"/>
        <v>279622878.87952536</v>
      </c>
      <c r="O47" s="548">
        <f t="shared" si="73"/>
        <v>290013237.22040391</v>
      </c>
      <c r="P47" s="548">
        <f t="shared" si="73"/>
        <v>301613766.70922011</v>
      </c>
      <c r="Q47" s="548">
        <f t="shared" si="73"/>
        <v>313678317.37758887</v>
      </c>
      <c r="R47" s="548">
        <f t="shared" si="73"/>
        <v>327119218.42905611</v>
      </c>
      <c r="S47" s="548">
        <f t="shared" si="73"/>
        <v>339274468.07560027</v>
      </c>
      <c r="T47" s="548">
        <f t="shared" si="73"/>
        <v>352845446.79862428</v>
      </c>
      <c r="V47" s="573">
        <f t="shared" ref="V47:AL47" si="74">D47/D12</f>
        <v>0.68384881988144042</v>
      </c>
      <c r="W47" s="573">
        <f t="shared" si="74"/>
        <v>0.72280027084203613</v>
      </c>
      <c r="X47" s="573">
        <f t="shared" si="74"/>
        <v>0.74606487467661897</v>
      </c>
      <c r="Y47" s="573">
        <f t="shared" si="74"/>
        <v>0.75802776171197217</v>
      </c>
      <c r="Z47" s="573">
        <f t="shared" si="74"/>
        <v>0.770772478957783</v>
      </c>
      <c r="AA47" s="573">
        <f t="shared" si="74"/>
        <v>0.770772478957783</v>
      </c>
      <c r="AB47" s="573">
        <f t="shared" si="74"/>
        <v>0.770772478957783</v>
      </c>
      <c r="AC47" s="573">
        <f t="shared" si="74"/>
        <v>0.770772478957783</v>
      </c>
      <c r="AD47" s="573">
        <f t="shared" si="74"/>
        <v>0.77077247895778311</v>
      </c>
      <c r="AE47" s="573">
        <f t="shared" si="74"/>
        <v>0.77077247895778311</v>
      </c>
      <c r="AF47" s="573">
        <f t="shared" si="74"/>
        <v>0.770772478957783</v>
      </c>
      <c r="AG47" s="573">
        <f t="shared" si="74"/>
        <v>0.770772478957783</v>
      </c>
      <c r="AH47" s="573">
        <f t="shared" si="74"/>
        <v>0.770772478957783</v>
      </c>
      <c r="AI47" s="573">
        <f t="shared" si="74"/>
        <v>0.77077247895778289</v>
      </c>
      <c r="AJ47" s="573">
        <f t="shared" si="74"/>
        <v>0.770772478957783</v>
      </c>
      <c r="AK47" s="573">
        <f t="shared" si="74"/>
        <v>0.77077247895778311</v>
      </c>
      <c r="AL47" s="573">
        <f t="shared" si="74"/>
        <v>0.770772478957783</v>
      </c>
      <c r="AO47" s="548"/>
      <c r="AP47" s="548"/>
      <c r="AQ47" s="548"/>
      <c r="AR47" s="548"/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</row>
    <row r="48" spans="1:57" ht="15" customHeight="1">
      <c r="C48" s="1628" t="s">
        <v>1285</v>
      </c>
      <c r="D48" s="1629">
        <f>D47/D7</f>
        <v>2202229.6671068473</v>
      </c>
      <c r="E48" s="1629">
        <f t="shared" ref="E48:T48" si="75">E47/E7</f>
        <v>11517067.208437106</v>
      </c>
      <c r="F48" s="1629">
        <f t="shared" si="75"/>
        <v>13754447.84285599</v>
      </c>
      <c r="G48" s="1629">
        <f t="shared" si="75"/>
        <v>15257606.568404116</v>
      </c>
      <c r="H48" s="1629">
        <f>H47/H7</f>
        <v>16952786.540629275</v>
      </c>
      <c r="I48" s="1629">
        <f t="shared" si="75"/>
        <v>17630898.002254445</v>
      </c>
      <c r="J48" s="1629">
        <f t="shared" si="75"/>
        <v>18386369.905693516</v>
      </c>
      <c r="K48" s="1629">
        <f t="shared" si="75"/>
        <v>19069579.279238407</v>
      </c>
      <c r="L48" s="1629">
        <f t="shared" si="75"/>
        <v>19832362.450407952</v>
      </c>
      <c r="M48" s="1629">
        <f t="shared" si="75"/>
        <v>20625656.948424272</v>
      </c>
      <c r="N48" s="1629">
        <f t="shared" si="75"/>
        <v>21509452.22150195</v>
      </c>
      <c r="O48" s="1629">
        <f t="shared" si="75"/>
        <v>22308710.555415686</v>
      </c>
      <c r="P48" s="1629">
        <f t="shared" si="75"/>
        <v>23201058.977632318</v>
      </c>
      <c r="Q48" s="1629">
        <f t="shared" si="75"/>
        <v>24129101.336737607</v>
      </c>
      <c r="R48" s="1629">
        <f t="shared" si="75"/>
        <v>25163016.802235086</v>
      </c>
      <c r="S48" s="1629">
        <f t="shared" si="75"/>
        <v>26098036.005815405</v>
      </c>
      <c r="T48" s="1629">
        <f t="shared" si="75"/>
        <v>27141957.446048021</v>
      </c>
    </row>
    <row r="50" spans="3:20" ht="15" customHeight="1">
      <c r="C50" s="1533" t="s">
        <v>1081</v>
      </c>
      <c r="D50" s="1534">
        <f>D15+D24+D25+D34+D40</f>
        <v>5813982.4740736494</v>
      </c>
      <c r="E50" s="1534">
        <f t="shared" ref="E50:T50" si="76">E15+E24+E25+E34+E40</f>
        <v>24016497.322193395</v>
      </c>
      <c r="F50" s="1534">
        <f t="shared" si="76"/>
        <v>24898235.030226655</v>
      </c>
      <c r="G50" s="1534">
        <f t="shared" si="76"/>
        <v>25732099.053687759</v>
      </c>
      <c r="H50" s="1534">
        <f t="shared" si="76"/>
        <v>26597807.280710295</v>
      </c>
      <c r="I50" s="1534">
        <f t="shared" si="76"/>
        <v>27661719.571938705</v>
      </c>
      <c r="J50" s="1534">
        <f t="shared" si="76"/>
        <v>28847005.309213009</v>
      </c>
      <c r="K50" s="1534">
        <f t="shared" si="76"/>
        <v>29918915.889008906</v>
      </c>
      <c r="L50" s="1534">
        <f t="shared" si="76"/>
        <v>31115672.524569266</v>
      </c>
      <c r="M50" s="1534">
        <f t="shared" si="76"/>
        <v>32360299.425552037</v>
      </c>
      <c r="N50" s="1534">
        <f t="shared" si="76"/>
        <v>33746916.09134829</v>
      </c>
      <c r="O50" s="1534">
        <f t="shared" si="76"/>
        <v>35000899.858677082</v>
      </c>
      <c r="P50" s="1534">
        <f t="shared" si="76"/>
        <v>36400935.853024177</v>
      </c>
      <c r="Q50" s="1534">
        <f t="shared" si="76"/>
        <v>37856973.287145138</v>
      </c>
      <c r="R50" s="1534">
        <f t="shared" si="76"/>
        <v>39479118.663065553</v>
      </c>
      <c r="S50" s="1534">
        <f t="shared" si="76"/>
        <v>40946102.307376184</v>
      </c>
      <c r="T50" s="1534">
        <f t="shared" si="76"/>
        <v>42583946.399671234</v>
      </c>
    </row>
  </sheetData>
  <conditionalFormatting sqref="V40:Z41">
    <cfRule type="expression" dxfId="289" priority="8">
      <formula>$A$1=1</formula>
    </cfRule>
  </conditionalFormatting>
  <conditionalFormatting sqref="V33:Z35">
    <cfRule type="expression" dxfId="288" priority="7">
      <formula>$A$1=1</formula>
    </cfRule>
  </conditionalFormatting>
  <conditionalFormatting sqref="V24:Z29">
    <cfRule type="expression" dxfId="287" priority="6">
      <formula>$A$1=1</formula>
    </cfRule>
  </conditionalFormatting>
  <conditionalFormatting sqref="V23:Z23">
    <cfRule type="expression" dxfId="286" priority="5">
      <formula>$A$1=1</formula>
    </cfRule>
  </conditionalFormatting>
  <conditionalFormatting sqref="V22:Z22">
    <cfRule type="expression" dxfId="285" priority="4">
      <formula>$A$1=1</formula>
    </cfRule>
  </conditionalFormatting>
  <conditionalFormatting sqref="V39:Z39">
    <cfRule type="expression" dxfId="284" priority="3">
      <formula>$A$1=1</formula>
    </cfRule>
  </conditionalFormatting>
  <conditionalFormatting sqref="V45:Z45">
    <cfRule type="expression" dxfId="283" priority="2">
      <formula>$A$1=1</formula>
    </cfRule>
  </conditionalFormatting>
  <conditionalFormatting sqref="V16:Z16">
    <cfRule type="expression" dxfId="282" priority="1">
      <formula>$A$1=1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8B8E6"/>
  </sheetPr>
  <dimension ref="A1:BO98"/>
  <sheetViews>
    <sheetView showGridLines="0" zoomScale="70" zoomScaleNormal="7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1" sqref="D11"/>
    </sheetView>
  </sheetViews>
  <sheetFormatPr defaultColWidth="9.140625" defaultRowHeight="15" customHeight="1" outlineLevelRow="1" outlineLevelCol="1"/>
  <cols>
    <col min="1" max="1" width="6.140625" style="197" customWidth="1"/>
    <col min="2" max="2" width="2.85546875" style="197" customWidth="1"/>
    <col min="3" max="3" width="42.7109375" style="197" customWidth="1"/>
    <col min="4" max="4" width="14.28515625" style="199" customWidth="1"/>
    <col min="5" max="7" width="14.28515625" style="197" customWidth="1"/>
    <col min="8" max="8" width="15.28515625" style="197" customWidth="1"/>
    <col min="9" max="9" width="14.28515625" style="197" customWidth="1" outlineLevel="1"/>
    <col min="10" max="21" width="14.5703125" style="197" customWidth="1" outlineLevel="1"/>
    <col min="22" max="22" width="14.5703125" style="197" customWidth="1"/>
    <col min="23" max="23" width="2" style="197" customWidth="1"/>
    <col min="24" max="24" width="7.28515625" style="534" customWidth="1"/>
    <col min="25" max="25" width="7.5703125" style="534" bestFit="1" customWidth="1"/>
    <col min="26" max="29" width="6.85546875" style="534" customWidth="1"/>
    <col min="30" max="41" width="6.85546875" style="534" hidden="1" customWidth="1" outlineLevel="1"/>
    <col min="42" max="42" width="6.85546875" style="534" customWidth="1" collapsed="1"/>
    <col min="43" max="43" width="1.5703125" style="197" customWidth="1"/>
    <col min="44" max="44" width="4.85546875" style="197" customWidth="1"/>
    <col min="45" max="45" width="9.28515625" style="197" customWidth="1"/>
    <col min="46" max="48" width="8.42578125" style="197" customWidth="1"/>
    <col min="49" max="49" width="8.7109375" style="197" bestFit="1" customWidth="1"/>
    <col min="50" max="55" width="8.7109375" style="197" hidden="1" customWidth="1" outlineLevel="1"/>
    <col min="56" max="62" width="10.42578125" style="197" hidden="1" customWidth="1" outlineLevel="1"/>
    <col min="63" max="63" width="10.42578125" style="197" customWidth="1" collapsed="1"/>
    <col min="64" max="16384" width="9.140625" style="197"/>
  </cols>
  <sheetData>
    <row r="1" spans="1:63" ht="15" customHeight="1" thickBot="1">
      <c r="A1" s="415">
        <v>1</v>
      </c>
      <c r="C1" s="1110"/>
      <c r="D1" s="1110"/>
      <c r="E1" s="1110"/>
    </row>
    <row r="2" spans="1:63" ht="15" customHeight="1">
      <c r="C2" s="1110"/>
      <c r="D2" s="1110"/>
      <c r="E2" s="1110"/>
    </row>
    <row r="3" spans="1:63">
      <c r="A3" s="511"/>
      <c r="B3" s="511"/>
      <c r="C3" s="1069" t="str">
        <f>Объекты!C50</f>
        <v>Туристские резиденции</v>
      </c>
      <c r="D3" s="1045">
        <f>YEAR(D4)</f>
        <v>2025</v>
      </c>
      <c r="E3" s="1045">
        <f>D3+1</f>
        <v>2026</v>
      </c>
      <c r="F3" s="1045">
        <f t="shared" ref="F3:V3" si="0">E3+1</f>
        <v>2027</v>
      </c>
      <c r="G3" s="1045">
        <f t="shared" si="0"/>
        <v>2028</v>
      </c>
      <c r="H3" s="1045">
        <f t="shared" si="0"/>
        <v>2029</v>
      </c>
      <c r="I3" s="1045">
        <f t="shared" si="0"/>
        <v>2030</v>
      </c>
      <c r="J3" s="1045">
        <f t="shared" si="0"/>
        <v>2031</v>
      </c>
      <c r="K3" s="1045">
        <f t="shared" si="0"/>
        <v>2032</v>
      </c>
      <c r="L3" s="1045">
        <f t="shared" si="0"/>
        <v>2033</v>
      </c>
      <c r="M3" s="1045">
        <f>L3+1</f>
        <v>2034</v>
      </c>
      <c r="N3" s="1045">
        <f t="shared" si="0"/>
        <v>2035</v>
      </c>
      <c r="O3" s="1045">
        <f t="shared" si="0"/>
        <v>2036</v>
      </c>
      <c r="P3" s="1045">
        <f t="shared" si="0"/>
        <v>2037</v>
      </c>
      <c r="Q3" s="1045">
        <f t="shared" si="0"/>
        <v>2038</v>
      </c>
      <c r="R3" s="1045">
        <f t="shared" si="0"/>
        <v>2039</v>
      </c>
      <c r="S3" s="1045">
        <f t="shared" si="0"/>
        <v>2040</v>
      </c>
      <c r="T3" s="1045">
        <f t="shared" si="0"/>
        <v>2041</v>
      </c>
      <c r="U3" s="1045">
        <f t="shared" si="0"/>
        <v>2042</v>
      </c>
      <c r="V3" s="1045">
        <f t="shared" si="0"/>
        <v>2043</v>
      </c>
      <c r="X3" s="1045">
        <f t="shared" ref="X3:AP3" si="1">D3</f>
        <v>2025</v>
      </c>
      <c r="Y3" s="1045">
        <f t="shared" si="1"/>
        <v>2026</v>
      </c>
      <c r="Z3" s="1045">
        <f t="shared" si="1"/>
        <v>2027</v>
      </c>
      <c r="AA3" s="1045">
        <f t="shared" si="1"/>
        <v>2028</v>
      </c>
      <c r="AB3" s="1045">
        <f t="shared" si="1"/>
        <v>2029</v>
      </c>
      <c r="AC3" s="1045">
        <f t="shared" si="1"/>
        <v>2030</v>
      </c>
      <c r="AD3" s="1045">
        <f t="shared" si="1"/>
        <v>2031</v>
      </c>
      <c r="AE3" s="1045">
        <f t="shared" si="1"/>
        <v>2032</v>
      </c>
      <c r="AF3" s="1045">
        <f t="shared" si="1"/>
        <v>2033</v>
      </c>
      <c r="AG3" s="1045">
        <f t="shared" si="1"/>
        <v>2034</v>
      </c>
      <c r="AH3" s="1045">
        <f t="shared" si="1"/>
        <v>2035</v>
      </c>
      <c r="AI3" s="1045">
        <f t="shared" si="1"/>
        <v>2036</v>
      </c>
      <c r="AJ3" s="1045">
        <f t="shared" si="1"/>
        <v>2037</v>
      </c>
      <c r="AK3" s="1045">
        <f t="shared" si="1"/>
        <v>2038</v>
      </c>
      <c r="AL3" s="1045">
        <f t="shared" si="1"/>
        <v>2039</v>
      </c>
      <c r="AM3" s="1045">
        <f t="shared" si="1"/>
        <v>2040</v>
      </c>
      <c r="AN3" s="1045">
        <f t="shared" si="1"/>
        <v>2041</v>
      </c>
      <c r="AO3" s="1045">
        <f t="shared" si="1"/>
        <v>2042</v>
      </c>
      <c r="AP3" s="1045">
        <f t="shared" si="1"/>
        <v>2043</v>
      </c>
      <c r="AS3" s="1045">
        <f t="shared" ref="AS3:BK3" si="2">X3</f>
        <v>2025</v>
      </c>
      <c r="AT3" s="1045">
        <f t="shared" si="2"/>
        <v>2026</v>
      </c>
      <c r="AU3" s="1045">
        <f t="shared" si="2"/>
        <v>2027</v>
      </c>
      <c r="AV3" s="1045">
        <f t="shared" si="2"/>
        <v>2028</v>
      </c>
      <c r="AW3" s="1045">
        <f t="shared" si="2"/>
        <v>2029</v>
      </c>
      <c r="AX3" s="1045">
        <f t="shared" si="2"/>
        <v>2030</v>
      </c>
      <c r="AY3" s="1045">
        <f t="shared" si="2"/>
        <v>2031</v>
      </c>
      <c r="AZ3" s="1045">
        <f t="shared" si="2"/>
        <v>2032</v>
      </c>
      <c r="BA3" s="1045">
        <f t="shared" si="2"/>
        <v>2033</v>
      </c>
      <c r="BB3" s="1045">
        <f t="shared" si="2"/>
        <v>2034</v>
      </c>
      <c r="BC3" s="1045">
        <f t="shared" si="2"/>
        <v>2035</v>
      </c>
      <c r="BD3" s="1045">
        <f t="shared" si="2"/>
        <v>2036</v>
      </c>
      <c r="BE3" s="1045">
        <f t="shared" si="2"/>
        <v>2037</v>
      </c>
      <c r="BF3" s="1045">
        <f t="shared" si="2"/>
        <v>2038</v>
      </c>
      <c r="BG3" s="1045">
        <f t="shared" si="2"/>
        <v>2039</v>
      </c>
      <c r="BH3" s="1045">
        <f t="shared" si="2"/>
        <v>2040</v>
      </c>
      <c r="BI3" s="1045">
        <f t="shared" si="2"/>
        <v>2041</v>
      </c>
      <c r="BJ3" s="1045">
        <f t="shared" si="2"/>
        <v>2042</v>
      </c>
      <c r="BK3" s="1045">
        <f t="shared" si="2"/>
        <v>2043</v>
      </c>
    </row>
    <row r="4" spans="1:63">
      <c r="A4" s="511"/>
      <c r="B4" s="511"/>
      <c r="C4" s="512" t="s">
        <v>1</v>
      </c>
      <c r="D4" s="782">
        <f>Объекты!K13</f>
        <v>45839</v>
      </c>
      <c r="E4" s="514">
        <f>D5+1</f>
        <v>46023</v>
      </c>
      <c r="F4" s="514">
        <f t="shared" ref="F4:V4" si="3">E5+1</f>
        <v>46388</v>
      </c>
      <c r="G4" s="514">
        <f t="shared" si="3"/>
        <v>46753</v>
      </c>
      <c r="H4" s="514">
        <f t="shared" si="3"/>
        <v>47119</v>
      </c>
      <c r="I4" s="514">
        <f t="shared" si="3"/>
        <v>47484</v>
      </c>
      <c r="J4" s="514">
        <f t="shared" si="3"/>
        <v>47849</v>
      </c>
      <c r="K4" s="514">
        <f t="shared" si="3"/>
        <v>48214</v>
      </c>
      <c r="L4" s="514">
        <f>K5+1</f>
        <v>48580</v>
      </c>
      <c r="M4" s="514">
        <f t="shared" si="3"/>
        <v>48945</v>
      </c>
      <c r="N4" s="514">
        <f t="shared" si="3"/>
        <v>49310</v>
      </c>
      <c r="O4" s="514">
        <f t="shared" si="3"/>
        <v>49675</v>
      </c>
      <c r="P4" s="514">
        <f t="shared" si="3"/>
        <v>50041</v>
      </c>
      <c r="Q4" s="514">
        <f t="shared" si="3"/>
        <v>50406</v>
      </c>
      <c r="R4" s="514">
        <f t="shared" si="3"/>
        <v>50771</v>
      </c>
      <c r="S4" s="514">
        <f t="shared" si="3"/>
        <v>51136</v>
      </c>
      <c r="T4" s="514">
        <f t="shared" si="3"/>
        <v>51502</v>
      </c>
      <c r="U4" s="514">
        <f t="shared" si="3"/>
        <v>51867</v>
      </c>
      <c r="V4" s="514">
        <f t="shared" si="3"/>
        <v>52232</v>
      </c>
      <c r="AS4" s="537" t="s">
        <v>548</v>
      </c>
    </row>
    <row r="5" spans="1:63">
      <c r="A5" s="511"/>
      <c r="B5" s="511"/>
      <c r="C5" s="512" t="s">
        <v>2</v>
      </c>
      <c r="D5" s="513">
        <f>DATE(D3,12,31)</f>
        <v>46022</v>
      </c>
      <c r="E5" s="514">
        <f>DATE(E3,12,31)</f>
        <v>46387</v>
      </c>
      <c r="F5" s="514">
        <f t="shared" ref="F5:K5" si="4">DATE(F3,12,31)</f>
        <v>46752</v>
      </c>
      <c r="G5" s="514">
        <f t="shared" si="4"/>
        <v>47118</v>
      </c>
      <c r="H5" s="514">
        <f t="shared" si="4"/>
        <v>47483</v>
      </c>
      <c r="I5" s="514">
        <f t="shared" si="4"/>
        <v>47848</v>
      </c>
      <c r="J5" s="514">
        <f t="shared" si="4"/>
        <v>48213</v>
      </c>
      <c r="K5" s="514">
        <f t="shared" si="4"/>
        <v>48579</v>
      </c>
      <c r="L5" s="514">
        <f>DATE(L3,12,31)</f>
        <v>48944</v>
      </c>
      <c r="M5" s="514">
        <f t="shared" ref="M5:V5" si="5">DATE(M3,12,31)</f>
        <v>49309</v>
      </c>
      <c r="N5" s="514">
        <f t="shared" si="5"/>
        <v>49674</v>
      </c>
      <c r="O5" s="514">
        <f t="shared" si="5"/>
        <v>50040</v>
      </c>
      <c r="P5" s="514">
        <f t="shared" si="5"/>
        <v>50405</v>
      </c>
      <c r="Q5" s="514">
        <f t="shared" si="5"/>
        <v>50770</v>
      </c>
      <c r="R5" s="514">
        <f t="shared" si="5"/>
        <v>51135</v>
      </c>
      <c r="S5" s="514">
        <f t="shared" si="5"/>
        <v>51501</v>
      </c>
      <c r="T5" s="514">
        <f t="shared" si="5"/>
        <v>51866</v>
      </c>
      <c r="U5" s="514">
        <f t="shared" si="5"/>
        <v>52231</v>
      </c>
      <c r="V5" s="514">
        <f t="shared" si="5"/>
        <v>52596</v>
      </c>
      <c r="AS5" s="1111">
        <f>'К дв.загр'!G13</f>
        <v>2.4619999999999997</v>
      </c>
    </row>
    <row r="6" spans="1:63" outlineLevel="1">
      <c r="A6" s="511"/>
      <c r="B6" s="511"/>
      <c r="C6" s="512" t="s">
        <v>9</v>
      </c>
      <c r="D6" s="515">
        <f t="shared" ref="D6:V6" si="6">D5-D4+1</f>
        <v>184</v>
      </c>
      <c r="E6" s="515">
        <f t="shared" si="6"/>
        <v>365</v>
      </c>
      <c r="F6" s="515">
        <f t="shared" si="6"/>
        <v>365</v>
      </c>
      <c r="G6" s="515">
        <f t="shared" si="6"/>
        <v>366</v>
      </c>
      <c r="H6" s="515">
        <f t="shared" si="6"/>
        <v>365</v>
      </c>
      <c r="I6" s="515">
        <f t="shared" si="6"/>
        <v>365</v>
      </c>
      <c r="J6" s="515">
        <f t="shared" si="6"/>
        <v>365</v>
      </c>
      <c r="K6" s="515">
        <f t="shared" si="6"/>
        <v>366</v>
      </c>
      <c r="L6" s="515">
        <f t="shared" si="6"/>
        <v>365</v>
      </c>
      <c r="M6" s="515">
        <f t="shared" si="6"/>
        <v>365</v>
      </c>
      <c r="N6" s="515">
        <f t="shared" si="6"/>
        <v>365</v>
      </c>
      <c r="O6" s="515">
        <f t="shared" si="6"/>
        <v>366</v>
      </c>
      <c r="P6" s="515">
        <f t="shared" si="6"/>
        <v>365</v>
      </c>
      <c r="Q6" s="515">
        <f t="shared" si="6"/>
        <v>365</v>
      </c>
      <c r="R6" s="515">
        <f t="shared" si="6"/>
        <v>365</v>
      </c>
      <c r="S6" s="515">
        <f t="shared" si="6"/>
        <v>366</v>
      </c>
      <c r="T6" s="515">
        <f t="shared" si="6"/>
        <v>365</v>
      </c>
      <c r="U6" s="515">
        <f t="shared" si="6"/>
        <v>365</v>
      </c>
      <c r="V6" s="515">
        <f t="shared" si="6"/>
        <v>365</v>
      </c>
    </row>
    <row r="7" spans="1:63" outlineLevel="1">
      <c r="A7" s="509"/>
      <c r="B7" s="509"/>
      <c r="C7" s="512" t="s">
        <v>13</v>
      </c>
      <c r="D7" s="1124">
        <f>Объекты!F13</f>
        <v>385</v>
      </c>
      <c r="E7" s="538">
        <f>D7</f>
        <v>385</v>
      </c>
      <c r="F7" s="538">
        <f t="shared" ref="F7:V7" si="7">E7</f>
        <v>385</v>
      </c>
      <c r="G7" s="538">
        <f t="shared" si="7"/>
        <v>385</v>
      </c>
      <c r="H7" s="538">
        <f t="shared" si="7"/>
        <v>385</v>
      </c>
      <c r="I7" s="538">
        <f t="shared" si="7"/>
        <v>385</v>
      </c>
      <c r="J7" s="538">
        <f t="shared" si="7"/>
        <v>385</v>
      </c>
      <c r="K7" s="538">
        <f t="shared" si="7"/>
        <v>385</v>
      </c>
      <c r="L7" s="538">
        <f t="shared" si="7"/>
        <v>385</v>
      </c>
      <c r="M7" s="538">
        <f t="shared" si="7"/>
        <v>385</v>
      </c>
      <c r="N7" s="538">
        <f t="shared" si="7"/>
        <v>385</v>
      </c>
      <c r="O7" s="538">
        <f t="shared" si="7"/>
        <v>385</v>
      </c>
      <c r="P7" s="538">
        <f t="shared" si="7"/>
        <v>385</v>
      </c>
      <c r="Q7" s="538">
        <f t="shared" si="7"/>
        <v>385</v>
      </c>
      <c r="R7" s="538">
        <f t="shared" si="7"/>
        <v>385</v>
      </c>
      <c r="S7" s="538">
        <f t="shared" si="7"/>
        <v>385</v>
      </c>
      <c r="T7" s="538">
        <f t="shared" si="7"/>
        <v>385</v>
      </c>
      <c r="U7" s="538">
        <f t="shared" si="7"/>
        <v>385</v>
      </c>
      <c r="V7" s="538">
        <f t="shared" si="7"/>
        <v>385</v>
      </c>
      <c r="X7" s="539"/>
      <c r="Y7" s="540"/>
      <c r="Z7" s="540"/>
      <c r="AA7" s="540"/>
      <c r="AB7" s="540"/>
    </row>
    <row r="8" spans="1:63">
      <c r="A8" s="509"/>
      <c r="B8" s="509"/>
      <c r="C8" s="512" t="s">
        <v>546</v>
      </c>
      <c r="D8" s="208">
        <f>D7*D6</f>
        <v>70840</v>
      </c>
      <c r="E8" s="201">
        <f t="shared" ref="E8:V8" si="8">E7*E6</f>
        <v>140525</v>
      </c>
      <c r="F8" s="201">
        <f t="shared" si="8"/>
        <v>140525</v>
      </c>
      <c r="G8" s="201">
        <f>G7*G6</f>
        <v>140910</v>
      </c>
      <c r="H8" s="201">
        <f t="shared" si="8"/>
        <v>140525</v>
      </c>
      <c r="I8" s="201">
        <f t="shared" si="8"/>
        <v>140525</v>
      </c>
      <c r="J8" s="201">
        <f t="shared" si="8"/>
        <v>140525</v>
      </c>
      <c r="K8" s="201">
        <f t="shared" si="8"/>
        <v>140910</v>
      </c>
      <c r="L8" s="201">
        <f t="shared" si="8"/>
        <v>140525</v>
      </c>
      <c r="M8" s="201">
        <f t="shared" si="8"/>
        <v>140525</v>
      </c>
      <c r="N8" s="201">
        <f t="shared" si="8"/>
        <v>140525</v>
      </c>
      <c r="O8" s="201">
        <f t="shared" si="8"/>
        <v>140910</v>
      </c>
      <c r="P8" s="201">
        <f t="shared" si="8"/>
        <v>140525</v>
      </c>
      <c r="Q8" s="201">
        <f t="shared" si="8"/>
        <v>140525</v>
      </c>
      <c r="R8" s="201">
        <f t="shared" si="8"/>
        <v>140525</v>
      </c>
      <c r="S8" s="201">
        <f t="shared" si="8"/>
        <v>140910</v>
      </c>
      <c r="T8" s="201">
        <f t="shared" si="8"/>
        <v>140525</v>
      </c>
      <c r="U8" s="201">
        <f t="shared" si="8"/>
        <v>140525</v>
      </c>
      <c r="V8" s="201">
        <f t="shared" si="8"/>
        <v>140525</v>
      </c>
      <c r="AS8" s="537"/>
    </row>
    <row r="9" spans="1:63">
      <c r="A9" s="509"/>
      <c r="B9" s="509"/>
      <c r="C9" s="512" t="s">
        <v>547</v>
      </c>
      <c r="D9" s="208">
        <f>D10*D8</f>
        <v>31416.530026761862</v>
      </c>
      <c r="E9" s="201">
        <f t="shared" ref="E9:V9" si="9">E10*E8</f>
        <v>80199.726630434787</v>
      </c>
      <c r="F9" s="201">
        <f t="shared" si="9"/>
        <v>84917.35760869566</v>
      </c>
      <c r="G9" s="201">
        <f>G10*G8</f>
        <v>89880.563898153676</v>
      </c>
      <c r="H9" s="201">
        <f t="shared" si="9"/>
        <v>94352.619565217406</v>
      </c>
      <c r="I9" s="201">
        <f t="shared" si="9"/>
        <v>94352.619565217406</v>
      </c>
      <c r="J9" s="201">
        <f t="shared" si="9"/>
        <v>94352.619565217406</v>
      </c>
      <c r="K9" s="201">
        <f t="shared" si="9"/>
        <v>94611.119892793344</v>
      </c>
      <c r="L9" s="201">
        <f t="shared" si="9"/>
        <v>94352.619565217406</v>
      </c>
      <c r="M9" s="201">
        <f t="shared" si="9"/>
        <v>94352.619565217406</v>
      </c>
      <c r="N9" s="201">
        <f t="shared" si="9"/>
        <v>94352.619565217406</v>
      </c>
      <c r="O9" s="201">
        <f t="shared" si="9"/>
        <v>94611.119892793344</v>
      </c>
      <c r="P9" s="201">
        <f t="shared" si="9"/>
        <v>94352.619565217406</v>
      </c>
      <c r="Q9" s="201">
        <f t="shared" si="9"/>
        <v>94352.619565217406</v>
      </c>
      <c r="R9" s="201">
        <f t="shared" si="9"/>
        <v>94352.619565217406</v>
      </c>
      <c r="S9" s="201">
        <f t="shared" si="9"/>
        <v>94611.119892793344</v>
      </c>
      <c r="T9" s="201">
        <f t="shared" si="9"/>
        <v>94352.619565217406</v>
      </c>
      <c r="U9" s="201">
        <f t="shared" si="9"/>
        <v>94352.619565217406</v>
      </c>
      <c r="V9" s="201">
        <f t="shared" si="9"/>
        <v>94352.619565217406</v>
      </c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  <c r="BF9" s="541"/>
      <c r="BG9" s="541"/>
      <c r="BH9" s="541"/>
      <c r="BI9" s="541"/>
      <c r="BJ9" s="541"/>
      <c r="BK9" s="541"/>
    </row>
    <row r="10" spans="1:63">
      <c r="A10" s="509"/>
      <c r="B10" s="509"/>
      <c r="C10" s="512" t="s">
        <v>14</v>
      </c>
      <c r="D10" s="542">
        <f>SUMIF(ADR_OCC!$91:$91,D$3,ADR_OCC!98:98)</f>
        <v>0.44348574289613019</v>
      </c>
      <c r="E10" s="542">
        <f>SUMIF(ADR_OCC!$91:$91,E$3,ADR_OCC!98:98)</f>
        <v>0.57071500893388927</v>
      </c>
      <c r="F10" s="542">
        <f>SUMIF(ADR_OCC!$91:$91,F$3,ADR_OCC!98:98)</f>
        <v>0.60428648004764751</v>
      </c>
      <c r="G10" s="542">
        <f>SUMIF(ADR_OCC!$91:$91,G$3,ADR_OCC!98:98)</f>
        <v>0.63785795116140565</v>
      </c>
      <c r="H10" s="542">
        <f>SUMIF(ADR_OCC!$91:$91,H$3,ADR_OCC!98:98)</f>
        <v>0.67142942227516389</v>
      </c>
      <c r="I10" s="542">
        <f>SUMIF(ADR_OCC!$91:$91,I$3,ADR_OCC!98:98)</f>
        <v>0.67142942227516389</v>
      </c>
      <c r="J10" s="542">
        <f>SUMIF(ADR_OCC!$91:$91,J$3,ADR_OCC!98:98)</f>
        <v>0.67142942227516389</v>
      </c>
      <c r="K10" s="542">
        <f>SUMIF(ADR_OCC!$91:$91,K$3,ADR_OCC!98:98)</f>
        <v>0.67142942227516389</v>
      </c>
      <c r="L10" s="542">
        <f>SUMIF(ADR_OCC!$91:$91,L$3,ADR_OCC!98:98)</f>
        <v>0.67142942227516389</v>
      </c>
      <c r="M10" s="542">
        <f>SUMIF(ADR_OCC!$91:$91,M$3,ADR_OCC!98:98)</f>
        <v>0.67142942227516389</v>
      </c>
      <c r="N10" s="542">
        <f>SUMIF(ADR_OCC!$91:$91,N$3,ADR_OCC!98:98)</f>
        <v>0.67142942227516389</v>
      </c>
      <c r="O10" s="542">
        <f>SUMIF(ADR_OCC!$91:$91,O$3,ADR_OCC!98:98)</f>
        <v>0.67142942227516389</v>
      </c>
      <c r="P10" s="542">
        <f>SUMIF(ADR_OCC!$91:$91,P$3,ADR_OCC!98:98)</f>
        <v>0.67142942227516389</v>
      </c>
      <c r="Q10" s="542">
        <f>SUMIF(ADR_OCC!$91:$91,Q$3,ADR_OCC!98:98)</f>
        <v>0.67142942227516389</v>
      </c>
      <c r="R10" s="542">
        <f>SUMIF(ADR_OCC!$91:$91,R$3,ADR_OCC!98:98)</f>
        <v>0.67142942227516389</v>
      </c>
      <c r="S10" s="542">
        <f>SUMIF(ADR_OCC!$91:$91,S$3,ADR_OCC!98:98)</f>
        <v>0.67142942227516389</v>
      </c>
      <c r="T10" s="542">
        <f>SUMIF(ADR_OCC!$91:$91,T$3,ADR_OCC!98:98)</f>
        <v>0.67142942227516389</v>
      </c>
      <c r="U10" s="542">
        <f>SUMIF(ADR_OCC!$91:$91,U$3,ADR_OCC!98:98)</f>
        <v>0.67142942227516389</v>
      </c>
      <c r="V10" s="542">
        <f>SUMIF(ADR_OCC!$91:$91,V$3,ADR_OCC!98:98)</f>
        <v>0.67142942227516389</v>
      </c>
      <c r="X10" s="543"/>
      <c r="Y10" s="544" t="str">
        <f t="shared" ref="Y10:AP10" si="10">ROUND((E10-D10),2)*100 &amp; "пп."</f>
        <v>13пп.</v>
      </c>
      <c r="Z10" s="544" t="str">
        <f t="shared" si="10"/>
        <v>3пп.</v>
      </c>
      <c r="AA10" s="544" t="str">
        <f t="shared" si="10"/>
        <v>3пп.</v>
      </c>
      <c r="AB10" s="544" t="str">
        <f t="shared" si="10"/>
        <v>3пп.</v>
      </c>
      <c r="AC10" s="544" t="str">
        <f t="shared" si="10"/>
        <v>0пп.</v>
      </c>
      <c r="AD10" s="544" t="str">
        <f t="shared" si="10"/>
        <v>0пп.</v>
      </c>
      <c r="AE10" s="544" t="str">
        <f t="shared" si="10"/>
        <v>0пп.</v>
      </c>
      <c r="AF10" s="544" t="str">
        <f t="shared" si="10"/>
        <v>0пп.</v>
      </c>
      <c r="AG10" s="544" t="str">
        <f t="shared" si="10"/>
        <v>0пп.</v>
      </c>
      <c r="AH10" s="544" t="str">
        <f t="shared" si="10"/>
        <v>0пп.</v>
      </c>
      <c r="AI10" s="544" t="str">
        <f t="shared" si="10"/>
        <v>0пп.</v>
      </c>
      <c r="AJ10" s="544" t="str">
        <f t="shared" si="10"/>
        <v>0пп.</v>
      </c>
      <c r="AK10" s="544" t="str">
        <f t="shared" si="10"/>
        <v>0пп.</v>
      </c>
      <c r="AL10" s="544" t="str">
        <f t="shared" si="10"/>
        <v>0пп.</v>
      </c>
      <c r="AM10" s="544" t="str">
        <f t="shared" si="10"/>
        <v>0пп.</v>
      </c>
      <c r="AN10" s="544" t="str">
        <f t="shared" si="10"/>
        <v>0пп.</v>
      </c>
      <c r="AO10" s="544" t="str">
        <f t="shared" si="10"/>
        <v>0пп.</v>
      </c>
      <c r="AP10" s="544" t="str">
        <f t="shared" si="10"/>
        <v>0пп.</v>
      </c>
      <c r="AS10" s="537" t="s">
        <v>432</v>
      </c>
    </row>
    <row r="11" spans="1:63">
      <c r="A11" s="511"/>
      <c r="B11" s="511"/>
      <c r="C11" s="512" t="s">
        <v>33</v>
      </c>
      <c r="D11" s="208">
        <f>SUMIF(ADR_OCC!$65:$65,D$3,ADR_OCC!72:72)</f>
        <v>5129.3798400000005</v>
      </c>
      <c r="E11" s="208">
        <f>SUMIF(ADR_OCC!$65:$65,E$3,ADR_OCC!72:72)</f>
        <v>5667.9647231999998</v>
      </c>
      <c r="F11" s="208">
        <f>SUMIF(ADR_OCC!$65:$65,F$3,ADR_OCC!72:72)</f>
        <v>6241.4293893120002</v>
      </c>
      <c r="G11" s="208">
        <f>SUMIF(ADR_OCC!$65:$65,G$3,ADR_OCC!72:72)</f>
        <v>7212.3184054272006</v>
      </c>
      <c r="H11" s="208">
        <f>SUMIF(ADR_OCC!$65:$65,H$3,ADR_OCC!72:72)</f>
        <v>7500.8111416442889</v>
      </c>
      <c r="I11" s="208">
        <f>SUMIF(ADR_OCC!$65:$65,I$3,ADR_OCC!72:72)</f>
        <v>7800.8435873100607</v>
      </c>
      <c r="J11" s="208">
        <f>SUMIF(ADR_OCC!$65:$65,J$3,ADR_OCC!72:72)</f>
        <v>8112.8773308024638</v>
      </c>
      <c r="K11" s="208">
        <f>SUMIF(ADR_OCC!$65:$65,K$3,ADR_OCC!72:72)</f>
        <v>8437.3924240345623</v>
      </c>
      <c r="L11" s="208">
        <f>SUMIF(ADR_OCC!$65:$65,L$3,ADR_OCC!72:72)</f>
        <v>8774.8881209959454</v>
      </c>
      <c r="M11" s="208">
        <f>SUMIF(ADR_OCC!$65:$65,M$3,ADR_OCC!72:72)</f>
        <v>9125.8836458357837</v>
      </c>
      <c r="N11" s="208">
        <f>SUMIF(ADR_OCC!$65:$65,N$3,ADR_OCC!72:72)</f>
        <v>9490.9189916692158</v>
      </c>
      <c r="O11" s="208">
        <f>SUMIF(ADR_OCC!$65:$65,O$3,ADR_OCC!72:72)</f>
        <v>9870.5557513359854</v>
      </c>
      <c r="P11" s="208">
        <f>SUMIF(ADR_OCC!$65:$65,P$3,ADR_OCC!72:72)</f>
        <v>10265.377981389425</v>
      </c>
      <c r="Q11" s="208">
        <f>SUMIF(ADR_OCC!$65:$65,Q$3,ADR_OCC!72:72)</f>
        <v>10675.993100645002</v>
      </c>
      <c r="R11" s="208">
        <f>SUMIF(ADR_OCC!$65:$65,R$3,ADR_OCC!72:72)</f>
        <v>11103.032824670803</v>
      </c>
      <c r="S11" s="208">
        <f>SUMIF(ADR_OCC!$65:$65,S$3,ADR_OCC!72:72)</f>
        <v>11547.154137657635</v>
      </c>
      <c r="T11" s="208">
        <f>SUMIF(ADR_OCC!$65:$65,T$3,ADR_OCC!72:72)</f>
        <v>12009.040303163942</v>
      </c>
      <c r="U11" s="208">
        <f>SUMIF(ADR_OCC!$65:$65,U$3,ADR_OCC!72:72)</f>
        <v>12489.4019152905</v>
      </c>
      <c r="V11" s="208">
        <f>SUMIF(ADR_OCC!$65:$65,V$3,ADR_OCC!72:72)</f>
        <v>12988.97799190212</v>
      </c>
      <c r="X11" s="543"/>
      <c r="Y11" s="522">
        <f t="shared" ref="Y11:AP11" si="11">E11/D11-1</f>
        <v>0.10499999999999976</v>
      </c>
      <c r="Z11" s="522">
        <f t="shared" si="11"/>
        <v>0.10117647058823542</v>
      </c>
      <c r="AA11" s="522">
        <f t="shared" si="11"/>
        <v>0.15555555555555567</v>
      </c>
      <c r="AB11" s="522">
        <f t="shared" si="11"/>
        <v>4.0000000000000036E-2</v>
      </c>
      <c r="AC11" s="522">
        <f t="shared" si="11"/>
        <v>4.0000000000000036E-2</v>
      </c>
      <c r="AD11" s="522">
        <f t="shared" si="11"/>
        <v>4.0000000000000036E-2</v>
      </c>
      <c r="AE11" s="522">
        <f t="shared" si="11"/>
        <v>4.0000000000000036E-2</v>
      </c>
      <c r="AF11" s="522">
        <f t="shared" si="11"/>
        <v>4.0000000000000036E-2</v>
      </c>
      <c r="AG11" s="522">
        <f t="shared" si="11"/>
        <v>4.0000000000000036E-2</v>
      </c>
      <c r="AH11" s="522">
        <f t="shared" si="11"/>
        <v>4.0000000000000036E-2</v>
      </c>
      <c r="AI11" s="522">
        <f t="shared" si="11"/>
        <v>4.0000000000000036E-2</v>
      </c>
      <c r="AJ11" s="522">
        <f t="shared" si="11"/>
        <v>4.0000000000000036E-2</v>
      </c>
      <c r="AK11" s="522">
        <f t="shared" si="11"/>
        <v>4.0000000000000036E-2</v>
      </c>
      <c r="AL11" s="522">
        <f t="shared" si="11"/>
        <v>4.0000000000000036E-2</v>
      </c>
      <c r="AM11" s="522">
        <f t="shared" si="11"/>
        <v>4.0000000000000036E-2</v>
      </c>
      <c r="AN11" s="522">
        <f t="shared" si="11"/>
        <v>4.0000000000000036E-2</v>
      </c>
      <c r="AO11" s="522">
        <f t="shared" si="11"/>
        <v>4.0000000000000036E-2</v>
      </c>
      <c r="AP11" s="522">
        <f t="shared" si="11"/>
        <v>4.0000000000000036E-2</v>
      </c>
      <c r="AS11" s="546">
        <f>LOOKUP(AS3,CPI!3:3,CPI!4:4)</f>
        <v>0.04</v>
      </c>
      <c r="AT11" s="546">
        <f>LOOKUP(AT3,CPI!3:3,CPI!4:4)</f>
        <v>0.04</v>
      </c>
      <c r="AU11" s="546">
        <f>LOOKUP(AU3,CPI!3:3,CPI!4:4)</f>
        <v>0.04</v>
      </c>
      <c r="AV11" s="546">
        <f>LOOKUP(AV3,CPI!3:3,CPI!4:4)</f>
        <v>0.04</v>
      </c>
      <c r="AW11" s="546">
        <f>LOOKUP(AW3,CPI!3:3,CPI!4:4)</f>
        <v>0.04</v>
      </c>
      <c r="AX11" s="546">
        <f>LOOKUP(AX3,CPI!3:3,CPI!4:4)</f>
        <v>0.04</v>
      </c>
      <c r="AY11" s="546">
        <f>LOOKUP(AY3,CPI!3:3,CPI!4:4)</f>
        <v>0.04</v>
      </c>
      <c r="AZ11" s="546">
        <f>LOOKUP(AZ3,CPI!3:3,CPI!4:4)</f>
        <v>0.04</v>
      </c>
      <c r="BA11" s="546">
        <f>LOOKUP(BA3,CPI!3:3,CPI!4:4)</f>
        <v>0.04</v>
      </c>
      <c r="BB11" s="546">
        <f>LOOKUP(BB3,CPI!3:3,CPI!4:4)</f>
        <v>0.04</v>
      </c>
      <c r="BC11" s="546">
        <f>LOOKUP(BC3,CPI!3:3,CPI!4:4)</f>
        <v>0.04</v>
      </c>
      <c r="BD11" s="546">
        <f>LOOKUP(BD3,CPI!3:3,CPI!4:4)</f>
        <v>0.04</v>
      </c>
      <c r="BE11" s="546">
        <f>LOOKUP(BE3,CPI!3:3,CPI!4:4)</f>
        <v>0.04</v>
      </c>
      <c r="BF11" s="546">
        <f>LOOKUP(BF3,CPI!3:3,CPI!4:4)</f>
        <v>0.04</v>
      </c>
      <c r="BG11" s="546">
        <f>LOOKUP(BG3,CPI!3:3,CPI!4:4)</f>
        <v>0.04</v>
      </c>
      <c r="BH11" s="546">
        <f>LOOKUP(BH3,CPI!3:3,CPI!4:4)</f>
        <v>0.04</v>
      </c>
      <c r="BI11" s="546">
        <f>LOOKUP(BI3,CPI!3:3,CPI!4:4)</f>
        <v>0.04</v>
      </c>
      <c r="BJ11" s="546">
        <f>LOOKUP(BJ3,CPI!3:3,CPI!4:4)</f>
        <v>0.04</v>
      </c>
      <c r="BK11" s="546">
        <f>LOOKUP(BK3,CPI!3:3,CPI!4:4)</f>
        <v>0.04</v>
      </c>
    </row>
    <row r="12" spans="1:63">
      <c r="A12" s="509"/>
      <c r="B12" s="509"/>
      <c r="C12" s="547" t="s">
        <v>31</v>
      </c>
      <c r="D12" s="548">
        <f>D14+D21+D39+D45+D33</f>
        <v>224800505.48802763</v>
      </c>
      <c r="E12" s="548">
        <f t="shared" ref="E12:V12" si="12">E14+E21+E39+E45+E33</f>
        <v>629578371.57194936</v>
      </c>
      <c r="F12" s="548">
        <f t="shared" si="12"/>
        <v>723457768.81782508</v>
      </c>
      <c r="G12" s="548">
        <f t="shared" si="12"/>
        <v>875133781.14531958</v>
      </c>
      <c r="H12" s="548">
        <f t="shared" si="12"/>
        <v>948346381.30466425</v>
      </c>
      <c r="I12" s="548">
        <f t="shared" si="12"/>
        <v>986280236.55685091</v>
      </c>
      <c r="J12" s="548">
        <f t="shared" si="12"/>
        <v>1025731446.0191251</v>
      </c>
      <c r="K12" s="548">
        <f t="shared" si="12"/>
        <v>1069683335.9252596</v>
      </c>
      <c r="L12" s="548">
        <f t="shared" si="12"/>
        <v>1109431132.0142856</v>
      </c>
      <c r="M12" s="548">
        <f t="shared" si="12"/>
        <v>1153808377.2948573</v>
      </c>
      <c r="N12" s="548">
        <f t="shared" si="12"/>
        <v>1199960712.3866515</v>
      </c>
      <c r="O12" s="548">
        <f t="shared" si="12"/>
        <v>1251378207.0215209</v>
      </c>
      <c r="P12" s="548">
        <f t="shared" si="12"/>
        <v>1297877506.5174024</v>
      </c>
      <c r="Q12" s="548">
        <f t="shared" si="12"/>
        <v>1349792606.7780986</v>
      </c>
      <c r="R12" s="548">
        <f t="shared" si="12"/>
        <v>1403784311.0492225</v>
      </c>
      <c r="S12" s="548">
        <f t="shared" si="12"/>
        <v>1463935507.2815783</v>
      </c>
      <c r="T12" s="548">
        <f t="shared" si="12"/>
        <v>1518333110.8308392</v>
      </c>
      <c r="U12" s="548">
        <f t="shared" si="12"/>
        <v>1579066435.2640727</v>
      </c>
      <c r="V12" s="548">
        <f t="shared" si="12"/>
        <v>1642229092.6746356</v>
      </c>
      <c r="X12" s="549"/>
      <c r="Y12" s="549"/>
      <c r="Z12" s="549"/>
      <c r="AA12" s="549"/>
      <c r="AB12" s="549"/>
    </row>
    <row r="13" spans="1:63">
      <c r="A13" s="509"/>
      <c r="B13" s="509"/>
      <c r="C13" s="550" t="s">
        <v>16</v>
      </c>
      <c r="D13" s="550"/>
      <c r="E13" s="550"/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0"/>
      <c r="U13" s="550"/>
      <c r="V13" s="550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M13" s="551"/>
      <c r="AN13" s="551"/>
      <c r="AO13" s="551"/>
      <c r="AP13" s="551"/>
      <c r="AS13" s="552">
        <f t="shared" ref="AS13:BK13" si="13">D14/D9</f>
        <v>5129.3798400000005</v>
      </c>
      <c r="AT13" s="552">
        <f t="shared" si="13"/>
        <v>5667.9647231999998</v>
      </c>
      <c r="AU13" s="552">
        <f t="shared" si="13"/>
        <v>6241.4293893120002</v>
      </c>
      <c r="AV13" s="552">
        <f t="shared" si="13"/>
        <v>7212.3184054271997</v>
      </c>
      <c r="AW13" s="552">
        <f t="shared" si="13"/>
        <v>7500.811141644288</v>
      </c>
      <c r="AX13" s="552">
        <f t="shared" si="13"/>
        <v>7800.8435873100607</v>
      </c>
      <c r="AY13" s="552">
        <f t="shared" si="13"/>
        <v>8112.8773308024638</v>
      </c>
      <c r="AZ13" s="552">
        <f t="shared" si="13"/>
        <v>8437.3924240345623</v>
      </c>
      <c r="BA13" s="552">
        <f t="shared" si="13"/>
        <v>8774.8881209959454</v>
      </c>
      <c r="BB13" s="552">
        <f t="shared" si="13"/>
        <v>9125.8836458357837</v>
      </c>
      <c r="BC13" s="552">
        <f t="shared" si="13"/>
        <v>9490.9189916692158</v>
      </c>
      <c r="BD13" s="552">
        <f t="shared" si="13"/>
        <v>9870.5557513359854</v>
      </c>
      <c r="BE13" s="552">
        <f t="shared" si="13"/>
        <v>10265.377981389425</v>
      </c>
      <c r="BF13" s="552">
        <f t="shared" si="13"/>
        <v>10675.993100645002</v>
      </c>
      <c r="BG13" s="552">
        <f t="shared" si="13"/>
        <v>11103.032824670803</v>
      </c>
      <c r="BH13" s="552">
        <f t="shared" si="13"/>
        <v>11547.154137657635</v>
      </c>
      <c r="BI13" s="552">
        <f t="shared" si="13"/>
        <v>12009.040303163942</v>
      </c>
      <c r="BJ13" s="552">
        <f t="shared" si="13"/>
        <v>12489.401915290498</v>
      </c>
      <c r="BK13" s="552">
        <f t="shared" si="13"/>
        <v>12988.977991902118</v>
      </c>
    </row>
    <row r="14" spans="1:63">
      <c r="A14" s="553"/>
      <c r="B14" s="553"/>
      <c r="C14" s="521" t="s">
        <v>17</v>
      </c>
      <c r="D14" s="554">
        <f>D11*D9</f>
        <v>161147315.76202697</v>
      </c>
      <c r="E14" s="554">
        <f t="shared" ref="E14:V14" si="14">E11*E9</f>
        <v>454569221.35158795</v>
      </c>
      <c r="F14" s="556">
        <f t="shared" si="14"/>
        <v>530005691.44163007</v>
      </c>
      <c r="G14" s="556">
        <f>G11*G9</f>
        <v>648247245.29282928</v>
      </c>
      <c r="H14" s="556">
        <f t="shared" si="14"/>
        <v>707721180.0781076</v>
      </c>
      <c r="I14" s="556">
        <f t="shared" si="14"/>
        <v>736030027.281232</v>
      </c>
      <c r="J14" s="556">
        <f t="shared" si="14"/>
        <v>765471228.37248135</v>
      </c>
      <c r="K14" s="556">
        <f t="shared" si="14"/>
        <v>798271146.21288025</v>
      </c>
      <c r="L14" s="556">
        <f t="shared" si="14"/>
        <v>827933680.60767579</v>
      </c>
      <c r="M14" s="556">
        <f t="shared" si="14"/>
        <v>861051027.83198297</v>
      </c>
      <c r="N14" s="556">
        <f t="shared" si="14"/>
        <v>895493068.94526231</v>
      </c>
      <c r="O14" s="556">
        <f t="shared" si="14"/>
        <v>933864333.59814978</v>
      </c>
      <c r="P14" s="556">
        <f t="shared" si="14"/>
        <v>968565303.37119579</v>
      </c>
      <c r="Q14" s="556">
        <f t="shared" si="14"/>
        <v>1007307915.5060437</v>
      </c>
      <c r="R14" s="556">
        <f t="shared" si="14"/>
        <v>1047600232.1262856</v>
      </c>
      <c r="S14" s="556">
        <f t="shared" si="14"/>
        <v>1092489184.5384912</v>
      </c>
      <c r="T14" s="556">
        <f t="shared" si="14"/>
        <v>1133084411.0677905</v>
      </c>
      <c r="U14" s="556">
        <f t="shared" si="14"/>
        <v>1178407787.5105021</v>
      </c>
      <c r="V14" s="556">
        <f t="shared" si="14"/>
        <v>1225544099.0109222</v>
      </c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M14" s="555"/>
      <c r="AN14" s="555"/>
      <c r="AO14" s="555"/>
      <c r="AP14" s="555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  <c r="BF14" s="556"/>
      <c r="BG14" s="556"/>
      <c r="BH14" s="556"/>
      <c r="BI14" s="556"/>
      <c r="BJ14" s="556"/>
      <c r="BK14" s="556"/>
    </row>
    <row r="15" spans="1:63">
      <c r="A15" s="553"/>
      <c r="B15" s="553"/>
      <c r="C15" s="519" t="s">
        <v>25</v>
      </c>
      <c r="D15" s="201">
        <f t="shared" ref="D15:V15" si="15">AS15*D9</f>
        <v>18746121.130268861</v>
      </c>
      <c r="E15" s="201">
        <f t="shared" si="15"/>
        <v>46537758.216167726</v>
      </c>
      <c r="F15" s="201">
        <f t="shared" si="15"/>
        <v>48345551.265630409</v>
      </c>
      <c r="G15" s="201">
        <f t="shared" si="15"/>
        <v>50187165.257466584</v>
      </c>
      <c r="H15" s="201">
        <f t="shared" si="15"/>
        <v>51651229.98464787</v>
      </c>
      <c r="I15" s="201">
        <f t="shared" si="15"/>
        <v>53717279.184033789</v>
      </c>
      <c r="J15" s="201">
        <f t="shared" si="15"/>
        <v>55865970.351395145</v>
      </c>
      <c r="K15" s="201">
        <f t="shared" si="15"/>
        <v>58259788.916589178</v>
      </c>
      <c r="L15" s="201">
        <f t="shared" si="15"/>
        <v>60424633.532068998</v>
      </c>
      <c r="M15" s="201">
        <f t="shared" si="15"/>
        <v>62841618.873351753</v>
      </c>
      <c r="N15" s="201">
        <f t="shared" si="15"/>
        <v>65355283.628285825</v>
      </c>
      <c r="O15" s="201">
        <f t="shared" si="15"/>
        <v>68155712.767864987</v>
      </c>
      <c r="P15" s="201">
        <f t="shared" si="15"/>
        <v>70688274.772353962</v>
      </c>
      <c r="Q15" s="201">
        <f t="shared" si="15"/>
        <v>73515805.763248131</v>
      </c>
      <c r="R15" s="201">
        <f t="shared" si="15"/>
        <v>76456437.99377805</v>
      </c>
      <c r="S15" s="201">
        <f t="shared" si="15"/>
        <v>79732543.994388163</v>
      </c>
      <c r="T15" s="201">
        <f t="shared" si="15"/>
        <v>82695283.33407034</v>
      </c>
      <c r="U15" s="201">
        <f t="shared" si="15"/>
        <v>86003094.667433158</v>
      </c>
      <c r="V15" s="201">
        <f t="shared" si="15"/>
        <v>89443218.454130486</v>
      </c>
      <c r="X15" s="522">
        <f>D15/D14</f>
        <v>0.11632909329964917</v>
      </c>
      <c r="Y15" s="522">
        <f>E15/E14</f>
        <v>0.1023777150546956</v>
      </c>
      <c r="Z15" s="522">
        <f>F15/F14</f>
        <v>9.1217041715399655E-2</v>
      </c>
      <c r="AA15" s="522">
        <f>G15/G14</f>
        <v>7.7419789473684233E-2</v>
      </c>
      <c r="AB15" s="522">
        <f>H15/H14</f>
        <v>7.2982456140350899E-2</v>
      </c>
      <c r="AC15" s="522">
        <f>AB15</f>
        <v>7.2982456140350899E-2</v>
      </c>
      <c r="AD15" s="522">
        <f t="shared" ref="AD15:AP17" si="16">AC15</f>
        <v>7.2982456140350899E-2</v>
      </c>
      <c r="AE15" s="522">
        <f t="shared" si="16"/>
        <v>7.2982456140350899E-2</v>
      </c>
      <c r="AF15" s="522">
        <f t="shared" si="16"/>
        <v>7.2982456140350899E-2</v>
      </c>
      <c r="AG15" s="522">
        <f t="shared" si="16"/>
        <v>7.2982456140350899E-2</v>
      </c>
      <c r="AH15" s="522">
        <f t="shared" si="16"/>
        <v>7.2982456140350899E-2</v>
      </c>
      <c r="AI15" s="522">
        <f t="shared" si="16"/>
        <v>7.2982456140350899E-2</v>
      </c>
      <c r="AJ15" s="522">
        <f t="shared" si="16"/>
        <v>7.2982456140350899E-2</v>
      </c>
      <c r="AK15" s="522">
        <f t="shared" si="16"/>
        <v>7.2982456140350899E-2</v>
      </c>
      <c r="AL15" s="522">
        <f t="shared" si="16"/>
        <v>7.2982456140350899E-2</v>
      </c>
      <c r="AM15" s="522">
        <f t="shared" si="16"/>
        <v>7.2982456140350899E-2</v>
      </c>
      <c r="AN15" s="522">
        <f t="shared" si="16"/>
        <v>7.2982456140350899E-2</v>
      </c>
      <c r="AO15" s="522">
        <f t="shared" si="16"/>
        <v>7.2982456140350899E-2</v>
      </c>
      <c r="AP15" s="522">
        <f t="shared" si="16"/>
        <v>7.2982456140350899E-2</v>
      </c>
      <c r="AS15" s="1112">
        <f>'Прогноз расходов'!M12</f>
        <v>596.69610597669953</v>
      </c>
      <c r="AT15" s="1112">
        <f>'Прогноз расходов'!N12</f>
        <v>580.27327737183623</v>
      </c>
      <c r="AU15" s="1112">
        <f>'Прогноз расходов'!O12</f>
        <v>569.32472496859407</v>
      </c>
      <c r="AV15" s="1112">
        <f>'Прогноз расходов'!P12</f>
        <v>558.37617256535179</v>
      </c>
      <c r="AW15" s="1112">
        <f>'Прогноз расходов'!Q12</f>
        <v>547.42762016210963</v>
      </c>
      <c r="AX15" s="201">
        <f>AW15*(1+AX11)</f>
        <v>569.32472496859407</v>
      </c>
      <c r="AY15" s="201">
        <f t="shared" ref="AY15:BK15" si="17">AX15*(1+AY11)</f>
        <v>592.09771396733788</v>
      </c>
      <c r="AZ15" s="201">
        <f t="shared" si="17"/>
        <v>615.78162252603147</v>
      </c>
      <c r="BA15" s="201">
        <f t="shared" si="17"/>
        <v>640.41288742707275</v>
      </c>
      <c r="BB15" s="201">
        <f t="shared" si="17"/>
        <v>666.02940292415565</v>
      </c>
      <c r="BC15" s="201">
        <f t="shared" si="17"/>
        <v>692.67057904112187</v>
      </c>
      <c r="BD15" s="201">
        <f t="shared" si="17"/>
        <v>720.3774022027668</v>
      </c>
      <c r="BE15" s="201">
        <f t="shared" si="17"/>
        <v>749.19249829087755</v>
      </c>
      <c r="BF15" s="201">
        <f t="shared" si="17"/>
        <v>779.16019822251269</v>
      </c>
      <c r="BG15" s="201">
        <f t="shared" si="17"/>
        <v>810.32660615141322</v>
      </c>
      <c r="BH15" s="201">
        <f t="shared" si="17"/>
        <v>842.73967039746981</v>
      </c>
      <c r="BI15" s="201">
        <f t="shared" si="17"/>
        <v>876.44925721336858</v>
      </c>
      <c r="BJ15" s="201">
        <f t="shared" si="17"/>
        <v>911.50722750190334</v>
      </c>
      <c r="BK15" s="201">
        <f t="shared" si="17"/>
        <v>947.96751660197947</v>
      </c>
    </row>
    <row r="16" spans="1:63">
      <c r="A16" s="553"/>
      <c r="B16" s="553"/>
      <c r="C16" s="519" t="s">
        <v>529</v>
      </c>
      <c r="D16" s="201">
        <f t="shared" ref="D16:V16" si="18">X16*D14</f>
        <v>5640156.0516709443</v>
      </c>
      <c r="E16" s="201">
        <f t="shared" si="18"/>
        <v>13637076.640547639</v>
      </c>
      <c r="F16" s="201">
        <f t="shared" si="18"/>
        <v>13250142.286040753</v>
      </c>
      <c r="G16" s="201">
        <f t="shared" si="18"/>
        <v>12964944.905856585</v>
      </c>
      <c r="H16" s="201">
        <f t="shared" si="18"/>
        <v>10615817.701171614</v>
      </c>
      <c r="I16" s="201">
        <f t="shared" si="18"/>
        <v>11040450.409218479</v>
      </c>
      <c r="J16" s="201">
        <f t="shared" si="18"/>
        <v>11482068.42558722</v>
      </c>
      <c r="K16" s="201">
        <f t="shared" si="18"/>
        <v>11974067.193193203</v>
      </c>
      <c r="L16" s="201">
        <f t="shared" si="18"/>
        <v>12419005.209115136</v>
      </c>
      <c r="M16" s="201">
        <f t="shared" si="18"/>
        <v>12915765.417479744</v>
      </c>
      <c r="N16" s="201">
        <f t="shared" si="18"/>
        <v>13432396.034178935</v>
      </c>
      <c r="O16" s="201">
        <f t="shared" si="18"/>
        <v>14007965.003972245</v>
      </c>
      <c r="P16" s="201">
        <f t="shared" si="18"/>
        <v>14528479.550567936</v>
      </c>
      <c r="Q16" s="201">
        <f t="shared" si="18"/>
        <v>15109618.732590655</v>
      </c>
      <c r="R16" s="201">
        <f t="shared" si="18"/>
        <v>15714003.481894283</v>
      </c>
      <c r="S16" s="201">
        <f t="shared" si="18"/>
        <v>16387337.768077368</v>
      </c>
      <c r="T16" s="201">
        <f t="shared" si="18"/>
        <v>16996266.166016858</v>
      </c>
      <c r="U16" s="201">
        <f t="shared" si="18"/>
        <v>17676116.812657531</v>
      </c>
      <c r="V16" s="201">
        <f t="shared" si="18"/>
        <v>18383161.485163834</v>
      </c>
      <c r="X16" s="522">
        <f>'Прогноз расходов'!M22</f>
        <v>3.5000000000000003E-2</v>
      </c>
      <c r="Y16" s="522">
        <f>'Прогноз расходов'!N22</f>
        <v>3.0000000000000002E-2</v>
      </c>
      <c r="Z16" s="522">
        <f>'Прогноз расходов'!O22</f>
        <v>2.5000000000000001E-2</v>
      </c>
      <c r="AA16" s="522">
        <f>'Прогноз расходов'!P22</f>
        <v>0.02</v>
      </c>
      <c r="AB16" s="522">
        <f>'Прогноз расходов'!Q22</f>
        <v>1.4999999999999999E-2</v>
      </c>
      <c r="AC16" s="522">
        <f>AB16</f>
        <v>1.4999999999999999E-2</v>
      </c>
      <c r="AD16" s="522">
        <f t="shared" si="16"/>
        <v>1.4999999999999999E-2</v>
      </c>
      <c r="AE16" s="522">
        <f t="shared" si="16"/>
        <v>1.4999999999999999E-2</v>
      </c>
      <c r="AF16" s="522">
        <f t="shared" si="16"/>
        <v>1.4999999999999999E-2</v>
      </c>
      <c r="AG16" s="522">
        <f t="shared" si="16"/>
        <v>1.4999999999999999E-2</v>
      </c>
      <c r="AH16" s="522">
        <f t="shared" si="16"/>
        <v>1.4999999999999999E-2</v>
      </c>
      <c r="AI16" s="522">
        <f t="shared" si="16"/>
        <v>1.4999999999999999E-2</v>
      </c>
      <c r="AJ16" s="522">
        <f t="shared" si="16"/>
        <v>1.4999999999999999E-2</v>
      </c>
      <c r="AK16" s="522">
        <f t="shared" si="16"/>
        <v>1.4999999999999999E-2</v>
      </c>
      <c r="AL16" s="522">
        <f t="shared" si="16"/>
        <v>1.4999999999999999E-2</v>
      </c>
      <c r="AM16" s="522">
        <f t="shared" si="16"/>
        <v>1.4999999999999999E-2</v>
      </c>
      <c r="AN16" s="522">
        <f t="shared" si="16"/>
        <v>1.4999999999999999E-2</v>
      </c>
      <c r="AO16" s="522">
        <f t="shared" si="16"/>
        <v>1.4999999999999999E-2</v>
      </c>
      <c r="AP16" s="522">
        <f t="shared" si="16"/>
        <v>1.4999999999999999E-2</v>
      </c>
      <c r="AS16" s="201">
        <f t="shared" ref="AS16:BK16" si="19">D16/D9</f>
        <v>179.52829440000002</v>
      </c>
      <c r="AT16" s="201">
        <f t="shared" si="19"/>
        <v>170.03894169599999</v>
      </c>
      <c r="AU16" s="201">
        <f t="shared" si="19"/>
        <v>156.03573473280002</v>
      </c>
      <c r="AV16" s="201">
        <f t="shared" si="19"/>
        <v>144.246368108544</v>
      </c>
      <c r="AW16" s="201">
        <f t="shared" si="19"/>
        <v>112.51216712466433</v>
      </c>
      <c r="AX16" s="201">
        <f t="shared" si="19"/>
        <v>117.0126538096509</v>
      </c>
      <c r="AY16" s="201">
        <f t="shared" si="19"/>
        <v>121.69315996203696</v>
      </c>
      <c r="AZ16" s="201">
        <f t="shared" si="19"/>
        <v>126.56088636051842</v>
      </c>
      <c r="BA16" s="201">
        <f t="shared" si="19"/>
        <v>131.62332181493917</v>
      </c>
      <c r="BB16" s="201">
        <f t="shared" si="19"/>
        <v>136.88825468753677</v>
      </c>
      <c r="BC16" s="201">
        <f t="shared" si="19"/>
        <v>142.36378487503825</v>
      </c>
      <c r="BD16" s="201">
        <f t="shared" si="19"/>
        <v>148.05833627003977</v>
      </c>
      <c r="BE16" s="201">
        <f t="shared" si="19"/>
        <v>153.98066972084135</v>
      </c>
      <c r="BF16" s="201">
        <f t="shared" si="19"/>
        <v>160.13989650967503</v>
      </c>
      <c r="BG16" s="201">
        <f t="shared" si="19"/>
        <v>166.54549237006205</v>
      </c>
      <c r="BH16" s="201">
        <f t="shared" si="19"/>
        <v>173.20731206486451</v>
      </c>
      <c r="BI16" s="201">
        <f t="shared" si="19"/>
        <v>180.13560454745914</v>
      </c>
      <c r="BJ16" s="201">
        <f t="shared" si="19"/>
        <v>187.34102872935748</v>
      </c>
      <c r="BK16" s="201">
        <f t="shared" si="19"/>
        <v>194.8346698785318</v>
      </c>
    </row>
    <row r="17" spans="1:67">
      <c r="A17" s="553"/>
      <c r="B17" s="553"/>
      <c r="C17" s="519" t="s">
        <v>27</v>
      </c>
      <c r="D17" s="201">
        <f t="shared" ref="D17:V17" si="20">AS17*D9</f>
        <v>15951401.236994831</v>
      </c>
      <c r="E17" s="201">
        <f t="shared" si="20"/>
        <v>39952226.393125124</v>
      </c>
      <c r="F17" s="201">
        <f t="shared" si="20"/>
        <v>41488850.485168397</v>
      </c>
      <c r="G17" s="201">
        <f t="shared" si="20"/>
        <v>43913769.600283265</v>
      </c>
      <c r="H17" s="201">
        <f t="shared" si="20"/>
        <v>45194826.236566886</v>
      </c>
      <c r="I17" s="201">
        <f t="shared" si="20"/>
        <v>47002619.286029562</v>
      </c>
      <c r="J17" s="201">
        <f t="shared" si="20"/>
        <v>48882724.057470754</v>
      </c>
      <c r="K17" s="201">
        <f t="shared" si="20"/>
        <v>50977315.302015521</v>
      </c>
      <c r="L17" s="201">
        <f t="shared" si="20"/>
        <v>52871554.340560362</v>
      </c>
      <c r="M17" s="201">
        <f t="shared" si="20"/>
        <v>54986416.514182776</v>
      </c>
      <c r="N17" s="201">
        <f t="shared" si="20"/>
        <v>57185873.17475009</v>
      </c>
      <c r="O17" s="201">
        <f t="shared" si="20"/>
        <v>59636248.671881855</v>
      </c>
      <c r="P17" s="201">
        <f t="shared" si="20"/>
        <v>61852240.425809704</v>
      </c>
      <c r="Q17" s="201">
        <f t="shared" si="20"/>
        <v>64326330.042842098</v>
      </c>
      <c r="R17" s="201">
        <f t="shared" si="20"/>
        <v>66899383.244555786</v>
      </c>
      <c r="S17" s="201">
        <f t="shared" si="20"/>
        <v>69765975.995089635</v>
      </c>
      <c r="T17" s="201">
        <f t="shared" si="20"/>
        <v>72358372.917311534</v>
      </c>
      <c r="U17" s="201">
        <f t="shared" si="20"/>
        <v>75252707.834004015</v>
      </c>
      <c r="V17" s="201">
        <f t="shared" si="20"/>
        <v>78262816.147364169</v>
      </c>
      <c r="X17" s="160">
        <f>D17/D14</f>
        <v>9.8986453243508798E-2</v>
      </c>
      <c r="Y17" s="160">
        <f>E17/E14</f>
        <v>8.7890302546955665E-2</v>
      </c>
      <c r="Z17" s="160">
        <f>F17/F14</f>
        <v>7.8280009356725175E-2</v>
      </c>
      <c r="AA17" s="160">
        <f>G17/G14</f>
        <v>6.7742315789473706E-2</v>
      </c>
      <c r="AB17" s="160">
        <f>H17/H14</f>
        <v>6.3859649122807033E-2</v>
      </c>
      <c r="AC17" s="522">
        <f>AB17</f>
        <v>6.3859649122807033E-2</v>
      </c>
      <c r="AD17" s="522">
        <f t="shared" si="16"/>
        <v>6.3859649122807033E-2</v>
      </c>
      <c r="AE17" s="522">
        <f t="shared" si="16"/>
        <v>6.3859649122807033E-2</v>
      </c>
      <c r="AF17" s="522">
        <f t="shared" si="16"/>
        <v>6.3859649122807033E-2</v>
      </c>
      <c r="AG17" s="522">
        <f t="shared" si="16"/>
        <v>6.3859649122807033E-2</v>
      </c>
      <c r="AH17" s="522">
        <f t="shared" si="16"/>
        <v>6.3859649122807033E-2</v>
      </c>
      <c r="AI17" s="522">
        <f t="shared" si="16"/>
        <v>6.3859649122807033E-2</v>
      </c>
      <c r="AJ17" s="522">
        <f t="shared" si="16"/>
        <v>6.3859649122807033E-2</v>
      </c>
      <c r="AK17" s="522">
        <f t="shared" si="16"/>
        <v>6.3859649122807033E-2</v>
      </c>
      <c r="AL17" s="522">
        <f t="shared" si="16"/>
        <v>6.3859649122807033E-2</v>
      </c>
      <c r="AM17" s="522">
        <f t="shared" si="16"/>
        <v>6.3859649122807033E-2</v>
      </c>
      <c r="AN17" s="522">
        <f t="shared" si="16"/>
        <v>6.3859649122807033E-2</v>
      </c>
      <c r="AO17" s="522">
        <f t="shared" si="16"/>
        <v>6.3859649122807033E-2</v>
      </c>
      <c r="AP17" s="522">
        <f t="shared" si="16"/>
        <v>6.3859649122807033E-2</v>
      </c>
      <c r="AS17" s="1112">
        <f>'Прогноз расходов'!M32</f>
        <v>507.7391177003567</v>
      </c>
      <c r="AT17" s="1112">
        <f>'Прогноз расходов'!N32</f>
        <v>498.1591343475198</v>
      </c>
      <c r="AU17" s="1112">
        <f>'Прогноз расходов'!O32</f>
        <v>488.57915099468283</v>
      </c>
      <c r="AV17" s="1112">
        <f>'Прогноз расходов'!P32</f>
        <v>488.57915099468283</v>
      </c>
      <c r="AW17" s="1112">
        <f>'Прогноз расходов'!Q32</f>
        <v>478.99916764184593</v>
      </c>
      <c r="AX17" s="201">
        <f>AW17*(1+AX11)</f>
        <v>498.1591343475198</v>
      </c>
      <c r="AY17" s="201">
        <f t="shared" ref="AY17:BK17" si="21">AX17*(1+AY11)</f>
        <v>518.08549972142066</v>
      </c>
      <c r="AZ17" s="201">
        <f t="shared" si="21"/>
        <v>538.80891971027745</v>
      </c>
      <c r="BA17" s="201">
        <f t="shared" si="21"/>
        <v>560.36127649868854</v>
      </c>
      <c r="BB17" s="201">
        <f t="shared" si="21"/>
        <v>582.77572755863605</v>
      </c>
      <c r="BC17" s="201">
        <f t="shared" si="21"/>
        <v>606.08675666098156</v>
      </c>
      <c r="BD17" s="201">
        <f t="shared" si="21"/>
        <v>630.33022692742088</v>
      </c>
      <c r="BE17" s="201">
        <f t="shared" si="21"/>
        <v>655.54343600451773</v>
      </c>
      <c r="BF17" s="201">
        <f t="shared" si="21"/>
        <v>681.76517344469846</v>
      </c>
      <c r="BG17" s="201">
        <f t="shared" si="21"/>
        <v>709.03578038248645</v>
      </c>
      <c r="BH17" s="201">
        <f t="shared" si="21"/>
        <v>737.39721159778594</v>
      </c>
      <c r="BI17" s="201">
        <f t="shared" si="21"/>
        <v>766.8931000616974</v>
      </c>
      <c r="BJ17" s="201">
        <f t="shared" si="21"/>
        <v>797.56882406416537</v>
      </c>
      <c r="BK17" s="201">
        <f t="shared" si="21"/>
        <v>829.47157702673201</v>
      </c>
    </row>
    <row r="18" spans="1:67">
      <c r="A18" s="553"/>
      <c r="B18" s="553"/>
      <c r="C18" s="521" t="s">
        <v>28</v>
      </c>
      <c r="D18" s="554">
        <f>SUM(D15:D17)</f>
        <v>40337678.418934636</v>
      </c>
      <c r="E18" s="556">
        <f t="shared" ref="E18:V18" si="22">SUM(E15:E17)</f>
        <v>100127061.2498405</v>
      </c>
      <c r="F18" s="556">
        <f t="shared" si="22"/>
        <v>103084544.03683956</v>
      </c>
      <c r="G18" s="554">
        <f t="shared" si="22"/>
        <v>107065879.76360643</v>
      </c>
      <c r="H18" s="556">
        <f t="shared" si="22"/>
        <v>107461873.92238638</v>
      </c>
      <c r="I18" s="556">
        <f t="shared" si="22"/>
        <v>111760348.87928183</v>
      </c>
      <c r="J18" s="556">
        <f t="shared" si="22"/>
        <v>116230762.83445312</v>
      </c>
      <c r="K18" s="556">
        <f t="shared" si="22"/>
        <v>121211171.41179791</v>
      </c>
      <c r="L18" s="556">
        <f t="shared" si="22"/>
        <v>125715193.08174449</v>
      </c>
      <c r="M18" s="556">
        <f t="shared" si="22"/>
        <v>130743800.80501427</v>
      </c>
      <c r="N18" s="556">
        <f t="shared" si="22"/>
        <v>135973552.83721486</v>
      </c>
      <c r="O18" s="556">
        <f t="shared" si="22"/>
        <v>141799926.44371909</v>
      </c>
      <c r="P18" s="556">
        <f t="shared" si="22"/>
        <v>147068994.74873161</v>
      </c>
      <c r="Q18" s="556">
        <f t="shared" si="22"/>
        <v>152951754.53868088</v>
      </c>
      <c r="R18" s="556">
        <f t="shared" si="22"/>
        <v>159069824.72022814</v>
      </c>
      <c r="S18" s="556">
        <f t="shared" si="22"/>
        <v>165885857.75755519</v>
      </c>
      <c r="T18" s="556">
        <f t="shared" si="22"/>
        <v>172049922.41739875</v>
      </c>
      <c r="U18" s="556">
        <f t="shared" si="22"/>
        <v>178931919.31409472</v>
      </c>
      <c r="V18" s="556">
        <f t="shared" si="22"/>
        <v>186089196.08665848</v>
      </c>
      <c r="X18" s="559">
        <f t="shared" ref="X18:AP18" si="23">D18/D14</f>
        <v>0.25031554654315796</v>
      </c>
      <c r="Y18" s="559">
        <f t="shared" si="23"/>
        <v>0.22026801760165129</v>
      </c>
      <c r="Z18" s="559">
        <f t="shared" si="23"/>
        <v>0.19449705107212484</v>
      </c>
      <c r="AA18" s="559">
        <f t="shared" si="23"/>
        <v>0.16516210526315794</v>
      </c>
      <c r="AB18" s="559">
        <f t="shared" si="23"/>
        <v>0.15184210526315794</v>
      </c>
      <c r="AC18" s="559">
        <f t="shared" si="23"/>
        <v>0.15184210526315794</v>
      </c>
      <c r="AD18" s="559">
        <f t="shared" si="23"/>
        <v>0.15184210526315794</v>
      </c>
      <c r="AE18" s="559">
        <f t="shared" si="23"/>
        <v>0.15184210526315794</v>
      </c>
      <c r="AF18" s="559">
        <f t="shared" si="23"/>
        <v>0.15184210526315794</v>
      </c>
      <c r="AG18" s="559">
        <f t="shared" si="23"/>
        <v>0.15184210526315792</v>
      </c>
      <c r="AH18" s="559">
        <f t="shared" si="23"/>
        <v>0.15184210526315792</v>
      </c>
      <c r="AI18" s="559">
        <f t="shared" si="23"/>
        <v>0.15184210526315792</v>
      </c>
      <c r="AJ18" s="559">
        <f t="shared" si="23"/>
        <v>0.15184210526315794</v>
      </c>
      <c r="AK18" s="559">
        <f t="shared" si="23"/>
        <v>0.15184210526315794</v>
      </c>
      <c r="AL18" s="559">
        <f t="shared" si="23"/>
        <v>0.15184210526315794</v>
      </c>
      <c r="AM18" s="559">
        <f t="shared" si="23"/>
        <v>0.15184210526315794</v>
      </c>
      <c r="AN18" s="559">
        <f t="shared" si="23"/>
        <v>0.15184210526315792</v>
      </c>
      <c r="AO18" s="559">
        <f t="shared" si="23"/>
        <v>0.15184210526315794</v>
      </c>
      <c r="AP18" s="559">
        <f t="shared" si="23"/>
        <v>0.15184210526315792</v>
      </c>
      <c r="AS18" s="556">
        <f t="shared" ref="AS18:BK18" si="24">D18/D$9</f>
        <v>1283.9635180770563</v>
      </c>
      <c r="AT18" s="556">
        <f t="shared" si="24"/>
        <v>1248.4713534153561</v>
      </c>
      <c r="AU18" s="556">
        <f t="shared" si="24"/>
        <v>1213.9396106960769</v>
      </c>
      <c r="AV18" s="556">
        <f t="shared" si="24"/>
        <v>1191.2016916685786</v>
      </c>
      <c r="AW18" s="554">
        <f t="shared" si="24"/>
        <v>1138.93895492862</v>
      </c>
      <c r="AX18" s="556">
        <f t="shared" si="24"/>
        <v>1184.4965131257647</v>
      </c>
      <c r="AY18" s="556">
        <f t="shared" si="24"/>
        <v>1231.8763736507956</v>
      </c>
      <c r="AZ18" s="556">
        <f t="shared" si="24"/>
        <v>1281.1514285968274</v>
      </c>
      <c r="BA18" s="556">
        <f t="shared" si="24"/>
        <v>1332.3974857407004</v>
      </c>
      <c r="BB18" s="556">
        <f t="shared" si="24"/>
        <v>1385.6933851703284</v>
      </c>
      <c r="BC18" s="556">
        <f t="shared" si="24"/>
        <v>1441.1211205771417</v>
      </c>
      <c r="BD18" s="556">
        <f t="shared" si="24"/>
        <v>1498.7659654002275</v>
      </c>
      <c r="BE18" s="556">
        <f t="shared" si="24"/>
        <v>1558.7166040162367</v>
      </c>
      <c r="BF18" s="556">
        <f t="shared" si="24"/>
        <v>1621.0652681768863</v>
      </c>
      <c r="BG18" s="556">
        <f t="shared" si="24"/>
        <v>1685.907878903962</v>
      </c>
      <c r="BH18" s="556">
        <f t="shared" si="24"/>
        <v>1753.3441940601206</v>
      </c>
      <c r="BI18" s="556">
        <f t="shared" si="24"/>
        <v>1823.4779618225252</v>
      </c>
      <c r="BJ18" s="556">
        <f t="shared" si="24"/>
        <v>1896.4170802954263</v>
      </c>
      <c r="BK18" s="556">
        <f t="shared" si="24"/>
        <v>1972.2737635072431</v>
      </c>
    </row>
    <row r="19" spans="1:67">
      <c r="A19" s="560"/>
      <c r="B19" s="560"/>
      <c r="C19" s="521" t="s">
        <v>18</v>
      </c>
      <c r="D19" s="554">
        <f t="shared" ref="D19:V19" si="25">D14-D18</f>
        <v>120809637.34309232</v>
      </c>
      <c r="E19" s="556">
        <f t="shared" si="25"/>
        <v>354442160.10174745</v>
      </c>
      <c r="F19" s="556">
        <f t="shared" si="25"/>
        <v>426921147.40479052</v>
      </c>
      <c r="G19" s="556">
        <f t="shared" si="25"/>
        <v>541181365.52922285</v>
      </c>
      <c r="H19" s="556">
        <f t="shared" si="25"/>
        <v>600259306.15572119</v>
      </c>
      <c r="I19" s="556">
        <f t="shared" si="25"/>
        <v>624269678.40195012</v>
      </c>
      <c r="J19" s="556">
        <f t="shared" si="25"/>
        <v>649240465.53802824</v>
      </c>
      <c r="K19" s="556">
        <f t="shared" si="25"/>
        <v>677059974.80108237</v>
      </c>
      <c r="L19" s="556">
        <f t="shared" si="25"/>
        <v>702218487.52593136</v>
      </c>
      <c r="M19" s="556">
        <f t="shared" si="25"/>
        <v>730307227.02696872</v>
      </c>
      <c r="N19" s="556">
        <f t="shared" si="25"/>
        <v>759519516.10804749</v>
      </c>
      <c r="O19" s="556">
        <f t="shared" si="25"/>
        <v>792064407.15443063</v>
      </c>
      <c r="P19" s="556">
        <f t="shared" si="25"/>
        <v>821496308.62246418</v>
      </c>
      <c r="Q19" s="556">
        <f t="shared" si="25"/>
        <v>854356160.96736276</v>
      </c>
      <c r="R19" s="556">
        <f t="shared" si="25"/>
        <v>888530407.40605736</v>
      </c>
      <c r="S19" s="556">
        <f t="shared" si="25"/>
        <v>926603326.780936</v>
      </c>
      <c r="T19" s="556">
        <f t="shared" si="25"/>
        <v>961034488.65039182</v>
      </c>
      <c r="U19" s="556">
        <f t="shared" si="25"/>
        <v>999475868.19640732</v>
      </c>
      <c r="V19" s="556">
        <f t="shared" si="25"/>
        <v>1039454902.9242637</v>
      </c>
      <c r="X19" s="559">
        <f t="shared" ref="X19:AP19" si="26">D19/D14</f>
        <v>0.74968445345684198</v>
      </c>
      <c r="Y19" s="559">
        <f t="shared" si="26"/>
        <v>0.77973198239834873</v>
      </c>
      <c r="Z19" s="559">
        <f t="shared" si="26"/>
        <v>0.80550294892787522</v>
      </c>
      <c r="AA19" s="559">
        <f t="shared" si="26"/>
        <v>0.83483789473684211</v>
      </c>
      <c r="AB19" s="559">
        <f t="shared" si="26"/>
        <v>0.848157894736842</v>
      </c>
      <c r="AC19" s="559">
        <f t="shared" si="26"/>
        <v>0.848157894736842</v>
      </c>
      <c r="AD19" s="559">
        <f t="shared" si="26"/>
        <v>0.84815789473684211</v>
      </c>
      <c r="AE19" s="559">
        <f t="shared" si="26"/>
        <v>0.84815789473684211</v>
      </c>
      <c r="AF19" s="559">
        <f t="shared" si="26"/>
        <v>0.84815789473684211</v>
      </c>
      <c r="AG19" s="559">
        <f t="shared" si="26"/>
        <v>0.84815789473684211</v>
      </c>
      <c r="AH19" s="559">
        <f t="shared" si="26"/>
        <v>0.84815789473684211</v>
      </c>
      <c r="AI19" s="559">
        <f t="shared" si="26"/>
        <v>0.848157894736842</v>
      </c>
      <c r="AJ19" s="559">
        <f t="shared" si="26"/>
        <v>0.84815789473684211</v>
      </c>
      <c r="AK19" s="559">
        <f t="shared" si="26"/>
        <v>0.848157894736842</v>
      </c>
      <c r="AL19" s="559">
        <f t="shared" si="26"/>
        <v>0.848157894736842</v>
      </c>
      <c r="AM19" s="559">
        <f t="shared" si="26"/>
        <v>0.848157894736842</v>
      </c>
      <c r="AN19" s="559">
        <f t="shared" si="26"/>
        <v>0.84815789473684211</v>
      </c>
      <c r="AO19" s="559">
        <f t="shared" si="26"/>
        <v>0.848157894736842</v>
      </c>
      <c r="AP19" s="559">
        <f t="shared" si="26"/>
        <v>0.84815789473684211</v>
      </c>
      <c r="AS19" s="556"/>
      <c r="AT19" s="561"/>
      <c r="AU19" s="561"/>
      <c r="AV19" s="561"/>
      <c r="AW19" s="561"/>
      <c r="AX19" s="561"/>
      <c r="AY19" s="561"/>
      <c r="AZ19" s="561"/>
      <c r="BA19" s="561"/>
      <c r="BB19" s="561"/>
      <c r="BC19" s="561"/>
      <c r="BD19" s="561"/>
      <c r="BE19" s="561"/>
      <c r="BF19" s="561"/>
      <c r="BG19" s="561"/>
      <c r="BH19" s="561"/>
      <c r="BI19" s="561"/>
      <c r="BJ19" s="561"/>
      <c r="BK19" s="561"/>
    </row>
    <row r="20" spans="1:67">
      <c r="A20" s="509"/>
      <c r="B20" s="509"/>
      <c r="C20" s="550" t="s">
        <v>34</v>
      </c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X20" s="1040">
        <f>D21/D12</f>
        <v>0.25089605734767023</v>
      </c>
      <c r="Y20" s="1040">
        <f>E21/E12</f>
        <v>0.25270758122743681</v>
      </c>
      <c r="Z20" s="1040">
        <f>F21/F12</f>
        <v>0.24175824175824173</v>
      </c>
      <c r="AA20" s="1040">
        <f>G21/G12</f>
        <v>0.23703703703703702</v>
      </c>
      <c r="AB20" s="1040">
        <f>H21/H12</f>
        <v>0.23134328358208953</v>
      </c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M20" s="551"/>
      <c r="AN20" s="551"/>
      <c r="AO20" s="551"/>
      <c r="AP20" s="551"/>
      <c r="AS20" s="1044">
        <f>AS21/LOOKUP(AS3,CPI!3:3,CPI!5:5)</f>
        <v>1534.6153846153841</v>
      </c>
      <c r="AT20" s="564"/>
      <c r="AU20" s="564"/>
      <c r="AV20" s="564"/>
      <c r="AW20" s="564"/>
      <c r="AX20" s="562"/>
      <c r="AY20" s="562"/>
      <c r="AZ20" s="562"/>
      <c r="BA20" s="562"/>
      <c r="BB20" s="550"/>
      <c r="BC20" s="550"/>
      <c r="BD20" s="550"/>
      <c r="BE20" s="550"/>
      <c r="BF20" s="550"/>
      <c r="BG20" s="550"/>
      <c r="BH20" s="550"/>
      <c r="BI20" s="550"/>
      <c r="BJ20" s="550"/>
      <c r="BK20" s="550"/>
    </row>
    <row r="21" spans="1:67">
      <c r="A21" s="511"/>
      <c r="B21" s="511"/>
      <c r="C21" s="521" t="s">
        <v>17</v>
      </c>
      <c r="D21" s="556">
        <f>D23+D22</f>
        <v>56401560.516709432</v>
      </c>
      <c r="E21" s="556">
        <f t="shared" ref="E21:V21" si="27">E23+E22</f>
        <v>159099227.47305578</v>
      </c>
      <c r="F21" s="556">
        <f t="shared" si="27"/>
        <v>174901878.17573792</v>
      </c>
      <c r="G21" s="556">
        <f t="shared" si="27"/>
        <v>207439118.49370536</v>
      </c>
      <c r="H21" s="556">
        <f t="shared" si="27"/>
        <v>219393565.82421336</v>
      </c>
      <c r="I21" s="556">
        <f>I23+I22</f>
        <v>228169308.45718193</v>
      </c>
      <c r="J21" s="556">
        <f t="shared" si="27"/>
        <v>237296080.79546922</v>
      </c>
      <c r="K21" s="556">
        <f t="shared" si="27"/>
        <v>247464055.32599288</v>
      </c>
      <c r="L21" s="556">
        <f t="shared" si="27"/>
        <v>256659440.98837948</v>
      </c>
      <c r="M21" s="556">
        <f t="shared" si="27"/>
        <v>266925818.62791473</v>
      </c>
      <c r="N21" s="556">
        <f t="shared" si="27"/>
        <v>277602851.37303132</v>
      </c>
      <c r="O21" s="556">
        <f t="shared" si="27"/>
        <v>289497943.41542643</v>
      </c>
      <c r="P21" s="556">
        <f t="shared" si="27"/>
        <v>300255244.04507071</v>
      </c>
      <c r="Q21" s="556">
        <f t="shared" si="27"/>
        <v>312265453.80687356</v>
      </c>
      <c r="R21" s="556">
        <f t="shared" si="27"/>
        <v>324756071.95914853</v>
      </c>
      <c r="S21" s="556">
        <f t="shared" si="27"/>
        <v>338671647.20693231</v>
      </c>
      <c r="T21" s="556">
        <f t="shared" si="27"/>
        <v>351256167.43101507</v>
      </c>
      <c r="U21" s="556">
        <f t="shared" si="27"/>
        <v>365306414.12825567</v>
      </c>
      <c r="V21" s="556">
        <f t="shared" si="27"/>
        <v>379918670.6933859</v>
      </c>
      <c r="X21" s="555">
        <f t="shared" ref="X21:AP21" si="28">D21/D14</f>
        <v>0.35</v>
      </c>
      <c r="Y21" s="555">
        <f t="shared" si="28"/>
        <v>0.35</v>
      </c>
      <c r="Z21" s="555">
        <f t="shared" si="28"/>
        <v>0.33</v>
      </c>
      <c r="AA21" s="555">
        <f t="shared" si="28"/>
        <v>0.32</v>
      </c>
      <c r="AB21" s="555">
        <f t="shared" si="28"/>
        <v>0.31</v>
      </c>
      <c r="AC21" s="555">
        <f t="shared" si="28"/>
        <v>0.31</v>
      </c>
      <c r="AD21" s="555">
        <f t="shared" si="28"/>
        <v>0.31</v>
      </c>
      <c r="AE21" s="555">
        <f t="shared" si="28"/>
        <v>0.31</v>
      </c>
      <c r="AF21" s="555">
        <f t="shared" si="28"/>
        <v>0.31</v>
      </c>
      <c r="AG21" s="555">
        <f t="shared" si="28"/>
        <v>0.31</v>
      </c>
      <c r="AH21" s="555">
        <f t="shared" si="28"/>
        <v>0.31</v>
      </c>
      <c r="AI21" s="555">
        <f t="shared" si="28"/>
        <v>0.31</v>
      </c>
      <c r="AJ21" s="555">
        <f t="shared" si="28"/>
        <v>0.31</v>
      </c>
      <c r="AK21" s="555">
        <f t="shared" si="28"/>
        <v>0.31</v>
      </c>
      <c r="AL21" s="555">
        <f t="shared" si="28"/>
        <v>0.31</v>
      </c>
      <c r="AM21" s="555">
        <f t="shared" si="28"/>
        <v>0.31</v>
      </c>
      <c r="AN21" s="555">
        <f t="shared" si="28"/>
        <v>0.31</v>
      </c>
      <c r="AO21" s="555">
        <f t="shared" si="28"/>
        <v>0.31</v>
      </c>
      <c r="AP21" s="555">
        <f t="shared" si="28"/>
        <v>0.31</v>
      </c>
      <c r="AS21" s="554">
        <f t="shared" ref="AS21:BK21" si="29">D21/D9</f>
        <v>1795.2829439999998</v>
      </c>
      <c r="AT21" s="554">
        <f t="shared" si="29"/>
        <v>1983.78765312</v>
      </c>
      <c r="AU21" s="554">
        <f t="shared" si="29"/>
        <v>2059.6716984729601</v>
      </c>
      <c r="AV21" s="554">
        <f t="shared" si="29"/>
        <v>2307.9418897367041</v>
      </c>
      <c r="AW21" s="554">
        <f t="shared" si="29"/>
        <v>2325.2514539097292</v>
      </c>
      <c r="AX21" s="554">
        <f t="shared" si="29"/>
        <v>2418.2615120661189</v>
      </c>
      <c r="AY21" s="554">
        <f t="shared" si="29"/>
        <v>2514.9919725487639</v>
      </c>
      <c r="AZ21" s="554">
        <f t="shared" si="29"/>
        <v>2615.5916514507144</v>
      </c>
      <c r="BA21" s="554">
        <f t="shared" si="29"/>
        <v>2720.2153175087428</v>
      </c>
      <c r="BB21" s="554">
        <f t="shared" si="29"/>
        <v>2829.0239302090931</v>
      </c>
      <c r="BC21" s="554">
        <f t="shared" si="29"/>
        <v>2942.184887417457</v>
      </c>
      <c r="BD21" s="554">
        <f t="shared" si="29"/>
        <v>3059.8722829141552</v>
      </c>
      <c r="BE21" s="554">
        <f t="shared" si="29"/>
        <v>3182.2671742307216</v>
      </c>
      <c r="BF21" s="554">
        <f t="shared" si="29"/>
        <v>3309.5578611999508</v>
      </c>
      <c r="BG21" s="554">
        <f t="shared" si="29"/>
        <v>3441.9401756479492</v>
      </c>
      <c r="BH21" s="554">
        <f t="shared" si="29"/>
        <v>3579.6177826738672</v>
      </c>
      <c r="BI21" s="554">
        <f t="shared" si="29"/>
        <v>3722.802493980822</v>
      </c>
      <c r="BJ21" s="554">
        <f t="shared" si="29"/>
        <v>3871.7145937400551</v>
      </c>
      <c r="BK21" s="554">
        <f t="shared" si="29"/>
        <v>4026.5831774896574</v>
      </c>
      <c r="BL21" s="1367" t="s">
        <v>725</v>
      </c>
      <c r="BM21" s="1368"/>
      <c r="BN21" s="1368"/>
      <c r="BO21" s="1368"/>
    </row>
    <row r="22" spans="1:67">
      <c r="A22" s="511"/>
      <c r="B22" s="511"/>
      <c r="C22" s="517" t="s">
        <v>45</v>
      </c>
      <c r="D22" s="1113">
        <f t="shared" ref="D22:V22" si="30">X22*D14</f>
        <v>56401560.516709432</v>
      </c>
      <c r="E22" s="1113">
        <f t="shared" si="30"/>
        <v>159099227.47305578</v>
      </c>
      <c r="F22" s="1113">
        <f t="shared" si="30"/>
        <v>174901878.17573792</v>
      </c>
      <c r="G22" s="1113">
        <f t="shared" si="30"/>
        <v>207439118.49370536</v>
      </c>
      <c r="H22" s="1113">
        <f t="shared" si="30"/>
        <v>219393565.82421336</v>
      </c>
      <c r="I22" s="1113">
        <f t="shared" si="30"/>
        <v>228169308.45718193</v>
      </c>
      <c r="J22" s="1113">
        <f t="shared" si="30"/>
        <v>237296080.79546922</v>
      </c>
      <c r="K22" s="1113">
        <f t="shared" si="30"/>
        <v>247464055.32599288</v>
      </c>
      <c r="L22" s="1113">
        <f t="shared" si="30"/>
        <v>256659440.98837948</v>
      </c>
      <c r="M22" s="1113">
        <f t="shared" si="30"/>
        <v>266925818.62791473</v>
      </c>
      <c r="N22" s="1113">
        <f t="shared" si="30"/>
        <v>277602851.37303132</v>
      </c>
      <c r="O22" s="1113">
        <f t="shared" si="30"/>
        <v>289497943.41542643</v>
      </c>
      <c r="P22" s="1113">
        <f t="shared" si="30"/>
        <v>300255244.04507071</v>
      </c>
      <c r="Q22" s="1113">
        <f t="shared" si="30"/>
        <v>312265453.80687356</v>
      </c>
      <c r="R22" s="1113">
        <f t="shared" si="30"/>
        <v>324756071.95914853</v>
      </c>
      <c r="S22" s="1113">
        <f t="shared" si="30"/>
        <v>338671647.20693231</v>
      </c>
      <c r="T22" s="1113">
        <f t="shared" si="30"/>
        <v>351256167.43101507</v>
      </c>
      <c r="U22" s="1113">
        <f t="shared" si="30"/>
        <v>365306414.12825567</v>
      </c>
      <c r="V22" s="1113">
        <f t="shared" si="30"/>
        <v>379918670.6933859</v>
      </c>
      <c r="X22" s="522">
        <f>'Прогноз F&amp;B'!F13</f>
        <v>0.35</v>
      </c>
      <c r="Y22" s="522">
        <f>'Прогноз F&amp;B'!G13</f>
        <v>0.35</v>
      </c>
      <c r="Z22" s="522">
        <f>'Прогноз F&amp;B'!H13</f>
        <v>0.33</v>
      </c>
      <c r="AA22" s="522">
        <f>'Прогноз F&amp;B'!I13</f>
        <v>0.32</v>
      </c>
      <c r="AB22" s="522">
        <f>'Прогноз F&amp;B'!J13</f>
        <v>0.31</v>
      </c>
      <c r="AC22" s="1114">
        <f t="shared" ref="AC22:AP22" si="31">AB22</f>
        <v>0.31</v>
      </c>
      <c r="AD22" s="1114">
        <f t="shared" si="31"/>
        <v>0.31</v>
      </c>
      <c r="AE22" s="1114">
        <f t="shared" si="31"/>
        <v>0.31</v>
      </c>
      <c r="AF22" s="1114">
        <f t="shared" si="31"/>
        <v>0.31</v>
      </c>
      <c r="AG22" s="1114">
        <f t="shared" si="31"/>
        <v>0.31</v>
      </c>
      <c r="AH22" s="1114">
        <f t="shared" si="31"/>
        <v>0.31</v>
      </c>
      <c r="AI22" s="1114">
        <f t="shared" si="31"/>
        <v>0.31</v>
      </c>
      <c r="AJ22" s="1114">
        <f t="shared" si="31"/>
        <v>0.31</v>
      </c>
      <c r="AK22" s="1114">
        <f t="shared" si="31"/>
        <v>0.31</v>
      </c>
      <c r="AL22" s="1114">
        <f t="shared" si="31"/>
        <v>0.31</v>
      </c>
      <c r="AM22" s="1114">
        <f t="shared" si="31"/>
        <v>0.31</v>
      </c>
      <c r="AN22" s="1114">
        <f t="shared" si="31"/>
        <v>0.31</v>
      </c>
      <c r="AO22" s="1114">
        <f t="shared" si="31"/>
        <v>0.31</v>
      </c>
      <c r="AP22" s="1114">
        <f t="shared" si="31"/>
        <v>0.31</v>
      </c>
      <c r="AS22" s="556">
        <f t="shared" ref="AS22:BK22" si="32">D22/D9/$AS$5</f>
        <v>729.19697156783104</v>
      </c>
      <c r="AT22" s="556">
        <f t="shared" si="32"/>
        <v>805.76265358245337</v>
      </c>
      <c r="AU22" s="556">
        <f t="shared" si="32"/>
        <v>836.58476786066626</v>
      </c>
      <c r="AV22" s="556">
        <f t="shared" si="32"/>
        <v>937.42562540077347</v>
      </c>
      <c r="AW22" s="556">
        <f t="shared" si="32"/>
        <v>944.45631759127923</v>
      </c>
      <c r="AX22" s="556">
        <f t="shared" si="32"/>
        <v>982.23457029493068</v>
      </c>
      <c r="AY22" s="556">
        <f t="shared" si="32"/>
        <v>1021.523953106728</v>
      </c>
      <c r="AZ22" s="556">
        <f t="shared" si="32"/>
        <v>1062.384911230997</v>
      </c>
      <c r="BA22" s="556">
        <f t="shared" si="32"/>
        <v>1104.8803076802369</v>
      </c>
      <c r="BB22" s="556">
        <f t="shared" si="32"/>
        <v>1149.0755199874466</v>
      </c>
      <c r="BC22" s="556">
        <f t="shared" si="32"/>
        <v>1195.0385407869444</v>
      </c>
      <c r="BD22" s="556">
        <f t="shared" si="32"/>
        <v>1242.8400824184223</v>
      </c>
      <c r="BE22" s="556">
        <f t="shared" si="32"/>
        <v>1292.5536857151592</v>
      </c>
      <c r="BF22" s="556">
        <f t="shared" si="32"/>
        <v>1344.2558331437658</v>
      </c>
      <c r="BG22" s="556">
        <f t="shared" si="32"/>
        <v>1398.0260664695165</v>
      </c>
      <c r="BH22" s="556">
        <f t="shared" si="32"/>
        <v>1453.9471091282971</v>
      </c>
      <c r="BI22" s="556">
        <f t="shared" si="32"/>
        <v>1512.104993493429</v>
      </c>
      <c r="BJ22" s="556">
        <f t="shared" si="32"/>
        <v>1572.5891932331663</v>
      </c>
      <c r="BK22" s="556">
        <f t="shared" si="32"/>
        <v>1635.4927609624931</v>
      </c>
      <c r="BL22" s="1367" t="s">
        <v>550</v>
      </c>
      <c r="BM22" s="1368"/>
      <c r="BN22" s="1368"/>
      <c r="BO22" s="1368"/>
    </row>
    <row r="23" spans="1:67">
      <c r="A23" s="511"/>
      <c r="B23" s="511"/>
      <c r="C23" s="517" t="s">
        <v>509</v>
      </c>
      <c r="D23" s="1113">
        <f t="shared" ref="D23:V23" si="33">X23*D14</f>
        <v>0</v>
      </c>
      <c r="E23" s="1113">
        <f t="shared" si="33"/>
        <v>0</v>
      </c>
      <c r="F23" s="1113">
        <f t="shared" si="33"/>
        <v>0</v>
      </c>
      <c r="G23" s="1113">
        <f t="shared" si="33"/>
        <v>0</v>
      </c>
      <c r="H23" s="1113">
        <f t="shared" si="33"/>
        <v>0</v>
      </c>
      <c r="I23" s="1113">
        <f t="shared" si="33"/>
        <v>0</v>
      </c>
      <c r="J23" s="1113">
        <f t="shared" si="33"/>
        <v>0</v>
      </c>
      <c r="K23" s="1113">
        <f t="shared" si="33"/>
        <v>0</v>
      </c>
      <c r="L23" s="1113">
        <f t="shared" si="33"/>
        <v>0</v>
      </c>
      <c r="M23" s="1113">
        <f t="shared" si="33"/>
        <v>0</v>
      </c>
      <c r="N23" s="1113">
        <f t="shared" si="33"/>
        <v>0</v>
      </c>
      <c r="O23" s="1113">
        <f t="shared" si="33"/>
        <v>0</v>
      </c>
      <c r="P23" s="1113">
        <f t="shared" si="33"/>
        <v>0</v>
      </c>
      <c r="Q23" s="1113">
        <f t="shared" si="33"/>
        <v>0</v>
      </c>
      <c r="R23" s="1113">
        <f t="shared" si="33"/>
        <v>0</v>
      </c>
      <c r="S23" s="1113">
        <f t="shared" si="33"/>
        <v>0</v>
      </c>
      <c r="T23" s="1113">
        <f t="shared" si="33"/>
        <v>0</v>
      </c>
      <c r="U23" s="1113">
        <f t="shared" si="33"/>
        <v>0</v>
      </c>
      <c r="V23" s="1113">
        <f t="shared" si="33"/>
        <v>0</v>
      </c>
      <c r="X23" s="522"/>
      <c r="Y23" s="522"/>
      <c r="Z23" s="522"/>
      <c r="AA23" s="522"/>
      <c r="AB23" s="522"/>
      <c r="AC23" s="1114">
        <f t="shared" ref="AC23:AP23" si="34">AB23</f>
        <v>0</v>
      </c>
      <c r="AD23" s="1114">
        <f t="shared" si="34"/>
        <v>0</v>
      </c>
      <c r="AE23" s="1114">
        <f t="shared" si="34"/>
        <v>0</v>
      </c>
      <c r="AF23" s="1114">
        <f t="shared" si="34"/>
        <v>0</v>
      </c>
      <c r="AG23" s="1114">
        <f t="shared" si="34"/>
        <v>0</v>
      </c>
      <c r="AH23" s="1114">
        <f t="shared" si="34"/>
        <v>0</v>
      </c>
      <c r="AI23" s="1114">
        <f t="shared" si="34"/>
        <v>0</v>
      </c>
      <c r="AJ23" s="1114">
        <f t="shared" si="34"/>
        <v>0</v>
      </c>
      <c r="AK23" s="1114">
        <f t="shared" si="34"/>
        <v>0</v>
      </c>
      <c r="AL23" s="1114">
        <f t="shared" si="34"/>
        <v>0</v>
      </c>
      <c r="AM23" s="1114">
        <f t="shared" si="34"/>
        <v>0</v>
      </c>
      <c r="AN23" s="1114">
        <f t="shared" si="34"/>
        <v>0</v>
      </c>
      <c r="AO23" s="1114">
        <f t="shared" si="34"/>
        <v>0</v>
      </c>
      <c r="AP23" s="1114">
        <f t="shared" si="34"/>
        <v>0</v>
      </c>
      <c r="AS23" s="556"/>
      <c r="AT23" s="1127"/>
      <c r="AU23" s="1127"/>
      <c r="AV23" s="1127"/>
      <c r="AW23" s="1127"/>
      <c r="AX23" s="1127"/>
      <c r="AY23" s="1127"/>
      <c r="AZ23" s="1127"/>
      <c r="BA23" s="1127"/>
      <c r="BB23" s="1127"/>
      <c r="BC23" s="1127"/>
      <c r="BD23" s="1127"/>
      <c r="BE23" s="1127"/>
      <c r="BF23" s="1127"/>
      <c r="BG23" s="1127"/>
      <c r="BH23" s="1127"/>
      <c r="BI23" s="1127"/>
      <c r="BJ23" s="1127"/>
      <c r="BK23" s="1127"/>
      <c r="BL23" s="1043"/>
    </row>
    <row r="24" spans="1:67">
      <c r="A24" s="511"/>
      <c r="B24" s="511"/>
      <c r="C24" s="519" t="s">
        <v>516</v>
      </c>
      <c r="D24" s="201">
        <f t="shared" ref="D24:M25" si="35">X24*D22</f>
        <v>21432592.996349584</v>
      </c>
      <c r="E24" s="201">
        <f t="shared" si="35"/>
        <v>55684729.615569517</v>
      </c>
      <c r="F24" s="201">
        <f t="shared" si="35"/>
        <v>61215657.361508265</v>
      </c>
      <c r="G24" s="201">
        <f t="shared" si="35"/>
        <v>72603691.472796872</v>
      </c>
      <c r="H24" s="201">
        <f t="shared" si="35"/>
        <v>76787748.038474664</v>
      </c>
      <c r="I24" s="201">
        <f t="shared" si="35"/>
        <v>79859257.960013673</v>
      </c>
      <c r="J24" s="201">
        <f t="shared" si="35"/>
        <v>83053628.27841422</v>
      </c>
      <c r="K24" s="201">
        <f t="shared" si="35"/>
        <v>86612419.364097506</v>
      </c>
      <c r="L24" s="201">
        <f t="shared" si="35"/>
        <v>89830804.345932811</v>
      </c>
      <c r="M24" s="201">
        <f t="shared" si="35"/>
        <v>93424036.519770145</v>
      </c>
      <c r="N24" s="201">
        <f t="shared" ref="N24:V25" si="36">AH24*N22</f>
        <v>97160997.980560958</v>
      </c>
      <c r="O24" s="201">
        <f t="shared" si="36"/>
        <v>101324280.19539924</v>
      </c>
      <c r="P24" s="201">
        <f t="shared" si="36"/>
        <v>105089335.41577475</v>
      </c>
      <c r="Q24" s="201">
        <f t="shared" si="36"/>
        <v>109292908.83240575</v>
      </c>
      <c r="R24" s="201">
        <f t="shared" si="36"/>
        <v>113664625.18570198</v>
      </c>
      <c r="S24" s="201">
        <f t="shared" si="36"/>
        <v>118535076.52242629</v>
      </c>
      <c r="T24" s="201">
        <f t="shared" si="36"/>
        <v>122939658.60085526</v>
      </c>
      <c r="U24" s="201">
        <f t="shared" si="36"/>
        <v>127857244.94488947</v>
      </c>
      <c r="V24" s="201">
        <f t="shared" si="36"/>
        <v>132971534.74268505</v>
      </c>
      <c r="X24" s="522">
        <f>'Прогноз F&amp;B'!F40</f>
        <v>0.38</v>
      </c>
      <c r="Y24" s="522">
        <f>'Прогноз F&amp;B'!G40</f>
        <v>0.35</v>
      </c>
      <c r="Z24" s="522">
        <f>'Прогноз F&amp;B'!H40</f>
        <v>0.35</v>
      </c>
      <c r="AA24" s="522">
        <f>'Прогноз F&amp;B'!I40</f>
        <v>0.35</v>
      </c>
      <c r="AB24" s="522">
        <f>'Прогноз F&amp;B'!J40</f>
        <v>0.35</v>
      </c>
      <c r="AC24" s="567">
        <f t="shared" ref="AC24:AP24" si="37">AB24</f>
        <v>0.35</v>
      </c>
      <c r="AD24" s="567">
        <f t="shared" si="37"/>
        <v>0.35</v>
      </c>
      <c r="AE24" s="567">
        <f t="shared" si="37"/>
        <v>0.35</v>
      </c>
      <c r="AF24" s="567">
        <f t="shared" si="37"/>
        <v>0.35</v>
      </c>
      <c r="AG24" s="567">
        <f t="shared" si="37"/>
        <v>0.35</v>
      </c>
      <c r="AH24" s="567">
        <f t="shared" si="37"/>
        <v>0.35</v>
      </c>
      <c r="AI24" s="567">
        <f t="shared" si="37"/>
        <v>0.35</v>
      </c>
      <c r="AJ24" s="567">
        <f t="shared" si="37"/>
        <v>0.35</v>
      </c>
      <c r="AK24" s="567">
        <f t="shared" si="37"/>
        <v>0.35</v>
      </c>
      <c r="AL24" s="567">
        <f t="shared" si="37"/>
        <v>0.35</v>
      </c>
      <c r="AM24" s="567">
        <f t="shared" si="37"/>
        <v>0.35</v>
      </c>
      <c r="AN24" s="567">
        <f t="shared" si="37"/>
        <v>0.35</v>
      </c>
      <c r="AO24" s="567">
        <f t="shared" si="37"/>
        <v>0.35</v>
      </c>
      <c r="AP24" s="567">
        <f t="shared" si="37"/>
        <v>0.35</v>
      </c>
      <c r="AS24" s="201">
        <f t="shared" ref="AS24:BK24" si="38">D24/D$9</f>
        <v>682.20751871999994</v>
      </c>
      <c r="AT24" s="201">
        <f t="shared" si="38"/>
        <v>694.32567859199992</v>
      </c>
      <c r="AU24" s="201">
        <f t="shared" si="38"/>
        <v>720.88509446553587</v>
      </c>
      <c r="AV24" s="201">
        <f t="shared" si="38"/>
        <v>807.77966140784633</v>
      </c>
      <c r="AW24" s="201">
        <f t="shared" si="38"/>
        <v>813.83800886840515</v>
      </c>
      <c r="AX24" s="201">
        <f t="shared" si="38"/>
        <v>846.39152922314167</v>
      </c>
      <c r="AY24" s="201">
        <f t="shared" si="38"/>
        <v>880.2471903920673</v>
      </c>
      <c r="AZ24" s="201">
        <f t="shared" si="38"/>
        <v>915.45707800775006</v>
      </c>
      <c r="BA24" s="201">
        <f t="shared" si="38"/>
        <v>952.07536112805985</v>
      </c>
      <c r="BB24" s="201">
        <f t="shared" si="38"/>
        <v>990.15837557318252</v>
      </c>
      <c r="BC24" s="201">
        <f t="shared" si="38"/>
        <v>1029.7647105961098</v>
      </c>
      <c r="BD24" s="201">
        <f t="shared" si="38"/>
        <v>1070.9552990199543</v>
      </c>
      <c r="BE24" s="201">
        <f t="shared" si="38"/>
        <v>1113.7935109807527</v>
      </c>
      <c r="BF24" s="201">
        <f t="shared" si="38"/>
        <v>1158.3452514199828</v>
      </c>
      <c r="BG24" s="201">
        <f t="shared" si="38"/>
        <v>1204.6790614767822</v>
      </c>
      <c r="BH24" s="201">
        <f t="shared" si="38"/>
        <v>1252.8662239358532</v>
      </c>
      <c r="BI24" s="201">
        <f t="shared" si="38"/>
        <v>1302.9808728932876</v>
      </c>
      <c r="BJ24" s="201">
        <f t="shared" si="38"/>
        <v>1355.1001078090192</v>
      </c>
      <c r="BK24" s="201">
        <f t="shared" si="38"/>
        <v>1409.3041121213798</v>
      </c>
    </row>
    <row r="25" spans="1:67">
      <c r="A25" s="511"/>
      <c r="B25" s="511"/>
      <c r="C25" s="519" t="s">
        <v>517</v>
      </c>
      <c r="D25" s="201">
        <f t="shared" si="35"/>
        <v>0</v>
      </c>
      <c r="E25" s="201">
        <f t="shared" si="35"/>
        <v>0</v>
      </c>
      <c r="F25" s="201">
        <f t="shared" si="35"/>
        <v>0</v>
      </c>
      <c r="G25" s="201">
        <f t="shared" si="35"/>
        <v>0</v>
      </c>
      <c r="H25" s="201">
        <f t="shared" si="35"/>
        <v>0</v>
      </c>
      <c r="I25" s="201">
        <f t="shared" si="35"/>
        <v>0</v>
      </c>
      <c r="J25" s="201">
        <f t="shared" si="35"/>
        <v>0</v>
      </c>
      <c r="K25" s="201">
        <f t="shared" si="35"/>
        <v>0</v>
      </c>
      <c r="L25" s="201">
        <f t="shared" si="35"/>
        <v>0</v>
      </c>
      <c r="M25" s="201">
        <f t="shared" si="35"/>
        <v>0</v>
      </c>
      <c r="N25" s="201">
        <f t="shared" si="36"/>
        <v>0</v>
      </c>
      <c r="O25" s="201">
        <f t="shared" si="36"/>
        <v>0</v>
      </c>
      <c r="P25" s="201">
        <f t="shared" si="36"/>
        <v>0</v>
      </c>
      <c r="Q25" s="201">
        <f t="shared" si="36"/>
        <v>0</v>
      </c>
      <c r="R25" s="201">
        <f t="shared" si="36"/>
        <v>0</v>
      </c>
      <c r="S25" s="201">
        <f t="shared" si="36"/>
        <v>0</v>
      </c>
      <c r="T25" s="201">
        <f t="shared" si="36"/>
        <v>0</v>
      </c>
      <c r="U25" s="201">
        <f t="shared" si="36"/>
        <v>0</v>
      </c>
      <c r="V25" s="201">
        <f t="shared" si="36"/>
        <v>0</v>
      </c>
      <c r="X25" s="522"/>
      <c r="Y25" s="522"/>
      <c r="Z25" s="522"/>
      <c r="AA25" s="522"/>
      <c r="AB25" s="522"/>
      <c r="AC25" s="567">
        <f>AB25</f>
        <v>0</v>
      </c>
      <c r="AD25" s="567">
        <f t="shared" ref="AD25:AP29" si="39">AC25</f>
        <v>0</v>
      </c>
      <c r="AE25" s="567">
        <f t="shared" si="39"/>
        <v>0</v>
      </c>
      <c r="AF25" s="567">
        <f t="shared" si="39"/>
        <v>0</v>
      </c>
      <c r="AG25" s="567">
        <f t="shared" si="39"/>
        <v>0</v>
      </c>
      <c r="AH25" s="567">
        <f t="shared" si="39"/>
        <v>0</v>
      </c>
      <c r="AI25" s="567">
        <f t="shared" si="39"/>
        <v>0</v>
      </c>
      <c r="AJ25" s="567">
        <f t="shared" si="39"/>
        <v>0</v>
      </c>
      <c r="AK25" s="567">
        <f t="shared" si="39"/>
        <v>0</v>
      </c>
      <c r="AL25" s="567">
        <f t="shared" si="39"/>
        <v>0</v>
      </c>
      <c r="AM25" s="567">
        <f t="shared" si="39"/>
        <v>0</v>
      </c>
      <c r="AN25" s="567">
        <f t="shared" si="39"/>
        <v>0</v>
      </c>
      <c r="AO25" s="567">
        <f t="shared" si="39"/>
        <v>0</v>
      </c>
      <c r="AP25" s="567">
        <f t="shared" si="39"/>
        <v>0</v>
      </c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1"/>
      <c r="BK25" s="201"/>
    </row>
    <row r="26" spans="1:67">
      <c r="A26" s="511"/>
      <c r="B26" s="511"/>
      <c r="C26" s="519" t="s">
        <v>518</v>
      </c>
      <c r="D26" s="201">
        <f t="shared" ref="D26:M27" si="40">X26*D22</f>
        <v>15228421.339511547</v>
      </c>
      <c r="E26" s="201">
        <f t="shared" si="40"/>
        <v>42956791.417725064</v>
      </c>
      <c r="F26" s="201">
        <f t="shared" si="40"/>
        <v>47223507.107449241</v>
      </c>
      <c r="G26" s="201">
        <f t="shared" si="40"/>
        <v>56008561.993300453</v>
      </c>
      <c r="H26" s="201">
        <f t="shared" si="40"/>
        <v>59236262.772537611</v>
      </c>
      <c r="I26" s="201">
        <f t="shared" si="40"/>
        <v>61605713.283439122</v>
      </c>
      <c r="J26" s="201">
        <f t="shared" si="40"/>
        <v>64069941.814776696</v>
      </c>
      <c r="K26" s="201">
        <f t="shared" si="40"/>
        <v>66815294.938018084</v>
      </c>
      <c r="L26" s="201">
        <f t="shared" si="40"/>
        <v>69298049.066862464</v>
      </c>
      <c r="M26" s="201">
        <f t="shared" si="40"/>
        <v>72069971.029536977</v>
      </c>
      <c r="N26" s="201">
        <f t="shared" ref="N26:V27" si="41">AH26*N22</f>
        <v>74952769.870718464</v>
      </c>
      <c r="O26" s="201">
        <f t="shared" si="41"/>
        <v>78164444.722165138</v>
      </c>
      <c r="P26" s="201">
        <f t="shared" si="41"/>
        <v>81068915.892169103</v>
      </c>
      <c r="Q26" s="201">
        <f t="shared" si="41"/>
        <v>84311672.527855873</v>
      </c>
      <c r="R26" s="201">
        <f t="shared" si="41"/>
        <v>87684139.428970113</v>
      </c>
      <c r="S26" s="201">
        <f t="shared" si="41"/>
        <v>91441344.745871723</v>
      </c>
      <c r="T26" s="201">
        <f t="shared" si="41"/>
        <v>94839165.206374079</v>
      </c>
      <c r="U26" s="201">
        <f t="shared" si="41"/>
        <v>98632731.814629033</v>
      </c>
      <c r="V26" s="201">
        <f t="shared" si="41"/>
        <v>102578041.0872142</v>
      </c>
      <c r="X26" s="522">
        <f>'Прогноз F&amp;B'!F55</f>
        <v>0.27</v>
      </c>
      <c r="Y26" s="522">
        <f>'Прогноз F&amp;B'!G55</f>
        <v>0.27</v>
      </c>
      <c r="Z26" s="522">
        <f>'Прогноз F&amp;B'!H55</f>
        <v>0.27</v>
      </c>
      <c r="AA26" s="522">
        <f>'Прогноз F&amp;B'!I55</f>
        <v>0.27</v>
      </c>
      <c r="AB26" s="522">
        <f>'Прогноз F&amp;B'!J55</f>
        <v>0.27</v>
      </c>
      <c r="AC26" s="567">
        <f>AB26</f>
        <v>0.27</v>
      </c>
      <c r="AD26" s="567">
        <f t="shared" si="39"/>
        <v>0.27</v>
      </c>
      <c r="AE26" s="567">
        <f t="shared" si="39"/>
        <v>0.27</v>
      </c>
      <c r="AF26" s="567">
        <f t="shared" si="39"/>
        <v>0.27</v>
      </c>
      <c r="AG26" s="567">
        <f t="shared" si="39"/>
        <v>0.27</v>
      </c>
      <c r="AH26" s="567">
        <f t="shared" si="39"/>
        <v>0.27</v>
      </c>
      <c r="AI26" s="567">
        <f t="shared" si="39"/>
        <v>0.27</v>
      </c>
      <c r="AJ26" s="567">
        <f t="shared" si="39"/>
        <v>0.27</v>
      </c>
      <c r="AK26" s="567">
        <f t="shared" si="39"/>
        <v>0.27</v>
      </c>
      <c r="AL26" s="567">
        <f t="shared" si="39"/>
        <v>0.27</v>
      </c>
      <c r="AM26" s="567">
        <f t="shared" si="39"/>
        <v>0.27</v>
      </c>
      <c r="AN26" s="567">
        <f t="shared" si="39"/>
        <v>0.27</v>
      </c>
      <c r="AO26" s="567">
        <f t="shared" si="39"/>
        <v>0.27</v>
      </c>
      <c r="AP26" s="567">
        <f t="shared" si="39"/>
        <v>0.27</v>
      </c>
      <c r="AS26" s="201">
        <f t="shared" ref="AS26:BK26" si="42">D26/D$9</f>
        <v>484.72639487999999</v>
      </c>
      <c r="AT26" s="201">
        <f t="shared" si="42"/>
        <v>535.62266634239995</v>
      </c>
      <c r="AU26" s="201">
        <f t="shared" si="42"/>
        <v>556.11135858769921</v>
      </c>
      <c r="AV26" s="201">
        <f t="shared" si="42"/>
        <v>623.14431022891017</v>
      </c>
      <c r="AW26" s="201">
        <f t="shared" si="42"/>
        <v>627.81789255562705</v>
      </c>
      <c r="AX26" s="201">
        <f t="shared" si="42"/>
        <v>652.9306082578521</v>
      </c>
      <c r="AY26" s="201">
        <f t="shared" si="42"/>
        <v>679.04783258816633</v>
      </c>
      <c r="AZ26" s="201">
        <f t="shared" si="42"/>
        <v>706.20974589169293</v>
      </c>
      <c r="BA26" s="201">
        <f t="shared" si="42"/>
        <v>734.45813572736063</v>
      </c>
      <c r="BB26" s="201">
        <f t="shared" si="42"/>
        <v>763.83646115645513</v>
      </c>
      <c r="BC26" s="201">
        <f t="shared" si="42"/>
        <v>794.38991960271346</v>
      </c>
      <c r="BD26" s="201">
        <f t="shared" si="42"/>
        <v>826.16551638682199</v>
      </c>
      <c r="BE26" s="201">
        <f t="shared" si="42"/>
        <v>859.21213704229501</v>
      </c>
      <c r="BF26" s="201">
        <f t="shared" si="42"/>
        <v>893.5806225239869</v>
      </c>
      <c r="BG26" s="201">
        <f t="shared" si="42"/>
        <v>929.32384742494639</v>
      </c>
      <c r="BH26" s="201">
        <f t="shared" si="42"/>
        <v>966.49680132194408</v>
      </c>
      <c r="BI26" s="201">
        <f t="shared" si="42"/>
        <v>1005.156673374822</v>
      </c>
      <c r="BJ26" s="201">
        <f t="shared" si="42"/>
        <v>1045.3629403098148</v>
      </c>
      <c r="BK26" s="201">
        <f t="shared" si="42"/>
        <v>1087.1774579222076</v>
      </c>
    </row>
    <row r="27" spans="1:67">
      <c r="A27" s="511"/>
      <c r="B27" s="511"/>
      <c r="C27" s="519" t="s">
        <v>519</v>
      </c>
      <c r="D27" s="201">
        <f t="shared" si="40"/>
        <v>0</v>
      </c>
      <c r="E27" s="201">
        <f t="shared" si="40"/>
        <v>0</v>
      </c>
      <c r="F27" s="201">
        <f t="shared" si="40"/>
        <v>0</v>
      </c>
      <c r="G27" s="201">
        <f t="shared" si="40"/>
        <v>0</v>
      </c>
      <c r="H27" s="201">
        <f t="shared" si="40"/>
        <v>0</v>
      </c>
      <c r="I27" s="201">
        <f t="shared" si="40"/>
        <v>0</v>
      </c>
      <c r="J27" s="201">
        <f t="shared" si="40"/>
        <v>0</v>
      </c>
      <c r="K27" s="201">
        <f t="shared" si="40"/>
        <v>0</v>
      </c>
      <c r="L27" s="201">
        <f t="shared" si="40"/>
        <v>0</v>
      </c>
      <c r="M27" s="201">
        <f t="shared" si="40"/>
        <v>0</v>
      </c>
      <c r="N27" s="201">
        <f t="shared" si="41"/>
        <v>0</v>
      </c>
      <c r="O27" s="201">
        <f t="shared" si="41"/>
        <v>0</v>
      </c>
      <c r="P27" s="201">
        <f t="shared" si="41"/>
        <v>0</v>
      </c>
      <c r="Q27" s="201">
        <f t="shared" si="41"/>
        <v>0</v>
      </c>
      <c r="R27" s="201">
        <f t="shared" si="41"/>
        <v>0</v>
      </c>
      <c r="S27" s="201">
        <f t="shared" si="41"/>
        <v>0</v>
      </c>
      <c r="T27" s="201">
        <f t="shared" si="41"/>
        <v>0</v>
      </c>
      <c r="U27" s="201">
        <f t="shared" si="41"/>
        <v>0</v>
      </c>
      <c r="V27" s="201">
        <f t="shared" si="41"/>
        <v>0</v>
      </c>
      <c r="X27" s="522"/>
      <c r="Y27" s="522"/>
      <c r="Z27" s="522"/>
      <c r="AA27" s="522"/>
      <c r="AB27" s="522"/>
      <c r="AC27" s="567">
        <f>AB27</f>
        <v>0</v>
      </c>
      <c r="AD27" s="567">
        <f t="shared" si="39"/>
        <v>0</v>
      </c>
      <c r="AE27" s="567">
        <f t="shared" si="39"/>
        <v>0</v>
      </c>
      <c r="AF27" s="567">
        <f t="shared" si="39"/>
        <v>0</v>
      </c>
      <c r="AG27" s="567">
        <f t="shared" si="39"/>
        <v>0</v>
      </c>
      <c r="AH27" s="567">
        <f t="shared" si="39"/>
        <v>0</v>
      </c>
      <c r="AI27" s="567">
        <f t="shared" si="39"/>
        <v>0</v>
      </c>
      <c r="AJ27" s="567">
        <f t="shared" si="39"/>
        <v>0</v>
      </c>
      <c r="AK27" s="567">
        <f t="shared" si="39"/>
        <v>0</v>
      </c>
      <c r="AL27" s="567">
        <f t="shared" si="39"/>
        <v>0</v>
      </c>
      <c r="AM27" s="567">
        <f t="shared" si="39"/>
        <v>0</v>
      </c>
      <c r="AN27" s="567">
        <f t="shared" si="39"/>
        <v>0</v>
      </c>
      <c r="AO27" s="567">
        <f t="shared" si="39"/>
        <v>0</v>
      </c>
      <c r="AP27" s="567">
        <f t="shared" si="39"/>
        <v>0</v>
      </c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1"/>
      <c r="BK27" s="201"/>
    </row>
    <row r="28" spans="1:67">
      <c r="A28" s="511"/>
      <c r="B28" s="511"/>
      <c r="C28" s="519" t="s">
        <v>520</v>
      </c>
      <c r="D28" s="201">
        <f t="shared" ref="D28:M29" si="43">X28*D22</f>
        <v>2820078.0258354717</v>
      </c>
      <c r="E28" s="201">
        <f t="shared" si="43"/>
        <v>7954961.3736527897</v>
      </c>
      <c r="F28" s="201">
        <f t="shared" si="43"/>
        <v>8745093.9087868966</v>
      </c>
      <c r="G28" s="201">
        <f t="shared" si="43"/>
        <v>10371955.92468527</v>
      </c>
      <c r="H28" s="201">
        <f t="shared" si="43"/>
        <v>10969678.291210668</v>
      </c>
      <c r="I28" s="201">
        <f t="shared" si="43"/>
        <v>11408465.422859097</v>
      </c>
      <c r="J28" s="201">
        <f t="shared" si="43"/>
        <v>11864804.039773462</v>
      </c>
      <c r="K28" s="201">
        <f t="shared" si="43"/>
        <v>12373202.766299644</v>
      </c>
      <c r="L28" s="201">
        <f t="shared" si="43"/>
        <v>12832972.049418975</v>
      </c>
      <c r="M28" s="201">
        <f t="shared" si="43"/>
        <v>13346290.931395737</v>
      </c>
      <c r="N28" s="201">
        <f t="shared" ref="N28:V29" si="44">AH28*N22</f>
        <v>13880142.568651566</v>
      </c>
      <c r="O28" s="201">
        <f t="shared" si="44"/>
        <v>14474897.170771323</v>
      </c>
      <c r="P28" s="201">
        <f t="shared" si="44"/>
        <v>15012762.202253535</v>
      </c>
      <c r="Q28" s="201">
        <f t="shared" si="44"/>
        <v>15613272.690343678</v>
      </c>
      <c r="R28" s="201">
        <f t="shared" si="44"/>
        <v>16237803.597957427</v>
      </c>
      <c r="S28" s="201">
        <f t="shared" si="44"/>
        <v>16933582.360346615</v>
      </c>
      <c r="T28" s="201">
        <f t="shared" si="44"/>
        <v>17562808.371550754</v>
      </c>
      <c r="U28" s="201">
        <f t="shared" si="44"/>
        <v>18265320.706412785</v>
      </c>
      <c r="V28" s="201">
        <f t="shared" si="44"/>
        <v>18995933.534669295</v>
      </c>
      <c r="X28" s="522">
        <f>'Прогноз F&amp;B'!F70</f>
        <v>0.05</v>
      </c>
      <c r="Y28" s="522">
        <f>'Прогноз F&amp;B'!G70</f>
        <v>0.05</v>
      </c>
      <c r="Z28" s="522">
        <f>'Прогноз F&amp;B'!H70</f>
        <v>0.05</v>
      </c>
      <c r="AA28" s="522">
        <f>'Прогноз F&amp;B'!I70</f>
        <v>0.05</v>
      </c>
      <c r="AB28" s="522">
        <f>'Прогноз F&amp;B'!J70</f>
        <v>0.05</v>
      </c>
      <c r="AC28" s="567">
        <f>AB28</f>
        <v>0.05</v>
      </c>
      <c r="AD28" s="567">
        <f t="shared" si="39"/>
        <v>0.05</v>
      </c>
      <c r="AE28" s="567">
        <f t="shared" si="39"/>
        <v>0.05</v>
      </c>
      <c r="AF28" s="567">
        <f t="shared" si="39"/>
        <v>0.05</v>
      </c>
      <c r="AG28" s="567">
        <f t="shared" si="39"/>
        <v>0.05</v>
      </c>
      <c r="AH28" s="567">
        <f t="shared" si="39"/>
        <v>0.05</v>
      </c>
      <c r="AI28" s="567">
        <f t="shared" si="39"/>
        <v>0.05</v>
      </c>
      <c r="AJ28" s="567">
        <f t="shared" si="39"/>
        <v>0.05</v>
      </c>
      <c r="AK28" s="567">
        <f t="shared" si="39"/>
        <v>0.05</v>
      </c>
      <c r="AL28" s="567">
        <f t="shared" si="39"/>
        <v>0.05</v>
      </c>
      <c r="AM28" s="567">
        <f t="shared" si="39"/>
        <v>0.05</v>
      </c>
      <c r="AN28" s="567">
        <f t="shared" si="39"/>
        <v>0.05</v>
      </c>
      <c r="AO28" s="567">
        <f t="shared" si="39"/>
        <v>0.05</v>
      </c>
      <c r="AP28" s="567">
        <f t="shared" si="39"/>
        <v>0.05</v>
      </c>
      <c r="AS28" s="201">
        <f t="shared" ref="AS28:BK28" si="45">D28/D$9</f>
        <v>89.764147199999996</v>
      </c>
      <c r="AT28" s="201">
        <f t="shared" si="45"/>
        <v>99.189382656000006</v>
      </c>
      <c r="AU28" s="201">
        <f t="shared" si="45"/>
        <v>102.98358492364801</v>
      </c>
      <c r="AV28" s="201">
        <f t="shared" si="45"/>
        <v>115.39709448683521</v>
      </c>
      <c r="AW28" s="201">
        <f t="shared" si="45"/>
        <v>116.26257269548647</v>
      </c>
      <c r="AX28" s="201">
        <f t="shared" si="45"/>
        <v>120.91307560330596</v>
      </c>
      <c r="AY28" s="201">
        <f t="shared" si="45"/>
        <v>125.7495986274382</v>
      </c>
      <c r="AZ28" s="201">
        <f t="shared" si="45"/>
        <v>130.77958257253573</v>
      </c>
      <c r="BA28" s="201">
        <f t="shared" si="45"/>
        <v>136.01076587543713</v>
      </c>
      <c r="BB28" s="201">
        <f t="shared" si="45"/>
        <v>141.45119651045468</v>
      </c>
      <c r="BC28" s="201">
        <f t="shared" si="45"/>
        <v>147.10924437087286</v>
      </c>
      <c r="BD28" s="201">
        <f t="shared" si="45"/>
        <v>152.9936141457078</v>
      </c>
      <c r="BE28" s="201">
        <f t="shared" si="45"/>
        <v>159.11335871153608</v>
      </c>
      <c r="BF28" s="201">
        <f t="shared" si="45"/>
        <v>165.47789305999754</v>
      </c>
      <c r="BG28" s="201">
        <f t="shared" si="45"/>
        <v>172.09700878239747</v>
      </c>
      <c r="BH28" s="201">
        <f t="shared" si="45"/>
        <v>178.98088913369335</v>
      </c>
      <c r="BI28" s="201">
        <f t="shared" si="45"/>
        <v>186.14012469904111</v>
      </c>
      <c r="BJ28" s="201">
        <f t="shared" si="45"/>
        <v>193.58572968700275</v>
      </c>
      <c r="BK28" s="201">
        <f t="shared" si="45"/>
        <v>201.32915887448286</v>
      </c>
    </row>
    <row r="29" spans="1:67">
      <c r="A29" s="511"/>
      <c r="B29" s="511"/>
      <c r="C29" s="519" t="s">
        <v>521</v>
      </c>
      <c r="D29" s="201">
        <f t="shared" si="43"/>
        <v>0</v>
      </c>
      <c r="E29" s="201">
        <f t="shared" si="43"/>
        <v>0</v>
      </c>
      <c r="F29" s="201">
        <f t="shared" si="43"/>
        <v>0</v>
      </c>
      <c r="G29" s="201">
        <f t="shared" si="43"/>
        <v>0</v>
      </c>
      <c r="H29" s="201">
        <f t="shared" si="43"/>
        <v>0</v>
      </c>
      <c r="I29" s="201">
        <f t="shared" si="43"/>
        <v>0</v>
      </c>
      <c r="J29" s="201">
        <f t="shared" si="43"/>
        <v>0</v>
      </c>
      <c r="K29" s="201">
        <f t="shared" si="43"/>
        <v>0</v>
      </c>
      <c r="L29" s="201">
        <f t="shared" si="43"/>
        <v>0</v>
      </c>
      <c r="M29" s="201">
        <f t="shared" si="43"/>
        <v>0</v>
      </c>
      <c r="N29" s="201">
        <f t="shared" si="44"/>
        <v>0</v>
      </c>
      <c r="O29" s="201">
        <f t="shared" si="44"/>
        <v>0</v>
      </c>
      <c r="P29" s="201">
        <f t="shared" si="44"/>
        <v>0</v>
      </c>
      <c r="Q29" s="201">
        <f t="shared" si="44"/>
        <v>0</v>
      </c>
      <c r="R29" s="201">
        <f t="shared" si="44"/>
        <v>0</v>
      </c>
      <c r="S29" s="201">
        <f t="shared" si="44"/>
        <v>0</v>
      </c>
      <c r="T29" s="201">
        <f t="shared" si="44"/>
        <v>0</v>
      </c>
      <c r="U29" s="201">
        <f t="shared" si="44"/>
        <v>0</v>
      </c>
      <c r="V29" s="201">
        <f t="shared" si="44"/>
        <v>0</v>
      </c>
      <c r="X29" s="522"/>
      <c r="Y29" s="522"/>
      <c r="Z29" s="522"/>
      <c r="AA29" s="522"/>
      <c r="AB29" s="522"/>
      <c r="AC29" s="567">
        <f>AB29</f>
        <v>0</v>
      </c>
      <c r="AD29" s="567">
        <f t="shared" si="39"/>
        <v>0</v>
      </c>
      <c r="AE29" s="567">
        <f t="shared" si="39"/>
        <v>0</v>
      </c>
      <c r="AF29" s="567">
        <f t="shared" si="39"/>
        <v>0</v>
      </c>
      <c r="AG29" s="567">
        <f t="shared" si="39"/>
        <v>0</v>
      </c>
      <c r="AH29" s="567">
        <f t="shared" si="39"/>
        <v>0</v>
      </c>
      <c r="AI29" s="567">
        <f t="shared" si="39"/>
        <v>0</v>
      </c>
      <c r="AJ29" s="567">
        <f t="shared" si="39"/>
        <v>0</v>
      </c>
      <c r="AK29" s="567">
        <f t="shared" si="39"/>
        <v>0</v>
      </c>
      <c r="AL29" s="567">
        <f t="shared" si="39"/>
        <v>0</v>
      </c>
      <c r="AM29" s="567">
        <f t="shared" si="39"/>
        <v>0</v>
      </c>
      <c r="AN29" s="567">
        <f t="shared" si="39"/>
        <v>0</v>
      </c>
      <c r="AO29" s="567">
        <f t="shared" si="39"/>
        <v>0</v>
      </c>
      <c r="AP29" s="567">
        <f t="shared" si="39"/>
        <v>0</v>
      </c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201"/>
      <c r="BH29" s="201"/>
      <c r="BI29" s="201"/>
      <c r="BJ29" s="201"/>
      <c r="BK29" s="201"/>
    </row>
    <row r="30" spans="1:67">
      <c r="A30" s="511"/>
      <c r="B30" s="511"/>
      <c r="C30" s="521" t="s">
        <v>28</v>
      </c>
      <c r="D30" s="556">
        <f>SUM(D24:D28)</f>
        <v>39481092.361696601</v>
      </c>
      <c r="E30" s="556">
        <f t="shared" ref="E30:V30" si="46">SUM(E24:E28)</f>
        <v>106596482.40694737</v>
      </c>
      <c r="F30" s="556">
        <f t="shared" si="46"/>
        <v>117184258.37774441</v>
      </c>
      <c r="G30" s="556">
        <f t="shared" si="46"/>
        <v>138984209.39078259</v>
      </c>
      <c r="H30" s="556">
        <f t="shared" si="46"/>
        <v>146993689.10222295</v>
      </c>
      <c r="I30" s="556">
        <f t="shared" si="46"/>
        <v>152873436.66631189</v>
      </c>
      <c r="J30" s="556">
        <f t="shared" si="46"/>
        <v>158988374.13296437</v>
      </c>
      <c r="K30" s="556">
        <f t="shared" si="46"/>
        <v>165800917.06841522</v>
      </c>
      <c r="L30" s="556">
        <f t="shared" si="46"/>
        <v>171961825.46221426</v>
      </c>
      <c r="M30" s="556">
        <f t="shared" si="46"/>
        <v>178840298.48070285</v>
      </c>
      <c r="N30" s="556">
        <f t="shared" si="46"/>
        <v>185993910.41993099</v>
      </c>
      <c r="O30" s="556">
        <f t="shared" si="46"/>
        <v>193963622.08833572</v>
      </c>
      <c r="P30" s="556">
        <f t="shared" si="46"/>
        <v>201171013.5101974</v>
      </c>
      <c r="Q30" s="556">
        <f t="shared" si="46"/>
        <v>209217854.0506053</v>
      </c>
      <c r="R30" s="556">
        <f t="shared" si="46"/>
        <v>217586568.21262953</v>
      </c>
      <c r="S30" s="556">
        <f t="shared" si="46"/>
        <v>226910003.62864465</v>
      </c>
      <c r="T30" s="556">
        <f t="shared" si="46"/>
        <v>235341632.17878008</v>
      </c>
      <c r="U30" s="556">
        <f t="shared" si="46"/>
        <v>244755297.4659313</v>
      </c>
      <c r="V30" s="556">
        <f t="shared" si="46"/>
        <v>254545509.36456853</v>
      </c>
      <c r="X30" s="568">
        <f t="shared" ref="X30:AP30" si="47">D30/D21</f>
        <v>0.7</v>
      </c>
      <c r="Y30" s="555">
        <f t="shared" si="47"/>
        <v>0.67</v>
      </c>
      <c r="Z30" s="555">
        <f t="shared" si="47"/>
        <v>0.67</v>
      </c>
      <c r="AA30" s="555">
        <f t="shared" si="47"/>
        <v>0.67</v>
      </c>
      <c r="AB30" s="555">
        <f t="shared" si="47"/>
        <v>0.67</v>
      </c>
      <c r="AC30" s="555">
        <f t="shared" si="47"/>
        <v>0.66999999999999993</v>
      </c>
      <c r="AD30" s="555">
        <f t="shared" si="47"/>
        <v>0.66999999999999993</v>
      </c>
      <c r="AE30" s="555">
        <f t="shared" si="47"/>
        <v>0.66999999999999993</v>
      </c>
      <c r="AF30" s="555">
        <f t="shared" si="47"/>
        <v>0.67</v>
      </c>
      <c r="AG30" s="555">
        <f t="shared" si="47"/>
        <v>0.66999999999999993</v>
      </c>
      <c r="AH30" s="555">
        <f t="shared" si="47"/>
        <v>0.67</v>
      </c>
      <c r="AI30" s="555">
        <f t="shared" si="47"/>
        <v>0.67</v>
      </c>
      <c r="AJ30" s="555">
        <f t="shared" si="47"/>
        <v>0.67</v>
      </c>
      <c r="AK30" s="555">
        <f t="shared" si="47"/>
        <v>0.67</v>
      </c>
      <c r="AL30" s="555">
        <f t="shared" si="47"/>
        <v>0.67</v>
      </c>
      <c r="AM30" s="555">
        <f t="shared" si="47"/>
        <v>0.67</v>
      </c>
      <c r="AN30" s="555">
        <f t="shared" si="47"/>
        <v>0.66999999999999993</v>
      </c>
      <c r="AO30" s="555">
        <f t="shared" si="47"/>
        <v>0.67</v>
      </c>
      <c r="AP30" s="555">
        <f t="shared" si="47"/>
        <v>0.66999999999999993</v>
      </c>
      <c r="AS30" s="556">
        <f t="shared" ref="AS30:BK30" si="48">D30/D$9</f>
        <v>1256.6980607999999</v>
      </c>
      <c r="AT30" s="556">
        <f t="shared" si="48"/>
        <v>1329.1377275903999</v>
      </c>
      <c r="AU30" s="556">
        <f t="shared" si="48"/>
        <v>1379.9800379768831</v>
      </c>
      <c r="AV30" s="556">
        <f t="shared" si="48"/>
        <v>1546.3210661235917</v>
      </c>
      <c r="AW30" s="556">
        <f t="shared" si="48"/>
        <v>1557.9184741195188</v>
      </c>
      <c r="AX30" s="556">
        <f t="shared" si="48"/>
        <v>1620.2352130842996</v>
      </c>
      <c r="AY30" s="556">
        <f t="shared" si="48"/>
        <v>1685.0446216076718</v>
      </c>
      <c r="AZ30" s="556">
        <f t="shared" si="48"/>
        <v>1752.4464064719787</v>
      </c>
      <c r="BA30" s="556">
        <f t="shared" si="48"/>
        <v>1822.5442627308578</v>
      </c>
      <c r="BB30" s="556">
        <f t="shared" si="48"/>
        <v>1895.4460332400922</v>
      </c>
      <c r="BC30" s="556">
        <f t="shared" si="48"/>
        <v>1971.2638745696963</v>
      </c>
      <c r="BD30" s="556">
        <f t="shared" si="48"/>
        <v>2050.1144295524841</v>
      </c>
      <c r="BE30" s="556">
        <f t="shared" si="48"/>
        <v>2132.1190067345838</v>
      </c>
      <c r="BF30" s="556">
        <f t="shared" si="48"/>
        <v>2217.403767003967</v>
      </c>
      <c r="BG30" s="556">
        <f t="shared" si="48"/>
        <v>2306.099917684126</v>
      </c>
      <c r="BH30" s="556">
        <f t="shared" si="48"/>
        <v>2398.3439143914911</v>
      </c>
      <c r="BI30" s="556">
        <f t="shared" si="48"/>
        <v>2494.2776709671507</v>
      </c>
      <c r="BJ30" s="556">
        <f t="shared" si="48"/>
        <v>2594.0487778058368</v>
      </c>
      <c r="BK30" s="556">
        <f t="shared" si="48"/>
        <v>2697.8107289180703</v>
      </c>
    </row>
    <row r="31" spans="1:67">
      <c r="A31" s="511"/>
      <c r="B31" s="511"/>
      <c r="C31" s="521" t="s">
        <v>18</v>
      </c>
      <c r="D31" s="556">
        <f t="shared" ref="D31:V31" si="49">D21-D30</f>
        <v>16920468.155012831</v>
      </c>
      <c r="E31" s="556">
        <f t="shared" si="49"/>
        <v>52502745.066108406</v>
      </c>
      <c r="F31" s="556">
        <f t="shared" si="49"/>
        <v>57717619.797993511</v>
      </c>
      <c r="G31" s="556">
        <f t="shared" si="49"/>
        <v>68454909.102922767</v>
      </c>
      <c r="H31" s="556">
        <f t="shared" si="49"/>
        <v>72399876.721990407</v>
      </c>
      <c r="I31" s="556">
        <f t="shared" si="49"/>
        <v>75295871.790870041</v>
      </c>
      <c r="J31" s="556">
        <f t="shared" si="49"/>
        <v>78307706.662504852</v>
      </c>
      <c r="K31" s="556">
        <f t="shared" si="49"/>
        <v>81663138.257577658</v>
      </c>
      <c r="L31" s="556">
        <f t="shared" si="49"/>
        <v>84697615.526165217</v>
      </c>
      <c r="M31" s="556">
        <f t="shared" si="49"/>
        <v>88085520.147211879</v>
      </c>
      <c r="N31" s="556">
        <f t="shared" si="49"/>
        <v>91608940.953100324</v>
      </c>
      <c r="O31" s="556">
        <f t="shared" si="49"/>
        <v>95534321.32709071</v>
      </c>
      <c r="P31" s="556">
        <f t="shared" si="49"/>
        <v>99084230.534873307</v>
      </c>
      <c r="Q31" s="556">
        <f t="shared" si="49"/>
        <v>103047599.75626826</v>
      </c>
      <c r="R31" s="556">
        <f t="shared" si="49"/>
        <v>107169503.746519</v>
      </c>
      <c r="S31" s="556">
        <f t="shared" si="49"/>
        <v>111761643.57828766</v>
      </c>
      <c r="T31" s="556">
        <f t="shared" si="49"/>
        <v>115914535.252235</v>
      </c>
      <c r="U31" s="556">
        <f t="shared" si="49"/>
        <v>120551116.66232437</v>
      </c>
      <c r="V31" s="556">
        <f t="shared" si="49"/>
        <v>125373161.32881737</v>
      </c>
      <c r="X31" s="555">
        <f t="shared" ref="X31:AP31" si="50">D31/D21</f>
        <v>0.30000000000000004</v>
      </c>
      <c r="Y31" s="555">
        <f t="shared" si="50"/>
        <v>0.33</v>
      </c>
      <c r="Z31" s="555">
        <f t="shared" si="50"/>
        <v>0.33</v>
      </c>
      <c r="AA31" s="555">
        <f t="shared" si="50"/>
        <v>0.33</v>
      </c>
      <c r="AB31" s="555">
        <f t="shared" si="50"/>
        <v>0.33</v>
      </c>
      <c r="AC31" s="555">
        <f t="shared" si="50"/>
        <v>0.33</v>
      </c>
      <c r="AD31" s="555">
        <f t="shared" si="50"/>
        <v>0.33</v>
      </c>
      <c r="AE31" s="555">
        <f t="shared" si="50"/>
        <v>0.33</v>
      </c>
      <c r="AF31" s="555">
        <f t="shared" si="50"/>
        <v>0.32999999999999996</v>
      </c>
      <c r="AG31" s="555">
        <f t="shared" si="50"/>
        <v>0.33000000000000007</v>
      </c>
      <c r="AH31" s="555">
        <f t="shared" si="50"/>
        <v>0.32999999999999996</v>
      </c>
      <c r="AI31" s="555">
        <f t="shared" si="50"/>
        <v>0.32999999999999996</v>
      </c>
      <c r="AJ31" s="555">
        <f t="shared" si="50"/>
        <v>0.3299999999999999</v>
      </c>
      <c r="AK31" s="555">
        <f t="shared" si="50"/>
        <v>0.32999999999999996</v>
      </c>
      <c r="AL31" s="555">
        <f t="shared" si="50"/>
        <v>0.32999999999999996</v>
      </c>
      <c r="AM31" s="555">
        <f t="shared" si="50"/>
        <v>0.33</v>
      </c>
      <c r="AN31" s="555">
        <f t="shared" si="50"/>
        <v>0.33000000000000007</v>
      </c>
      <c r="AO31" s="555">
        <f t="shared" si="50"/>
        <v>0.33</v>
      </c>
      <c r="AP31" s="555">
        <f t="shared" si="50"/>
        <v>0.33000000000000007</v>
      </c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556"/>
      <c r="BD31" s="556"/>
      <c r="BE31" s="556"/>
      <c r="BF31" s="556"/>
      <c r="BG31" s="556"/>
      <c r="BH31" s="556"/>
      <c r="BI31" s="556"/>
      <c r="BJ31" s="556"/>
      <c r="BK31" s="556"/>
    </row>
    <row r="32" spans="1:67" hidden="1" outlineLevel="1">
      <c r="A32" s="509"/>
      <c r="B32" s="509"/>
      <c r="C32" s="550" t="s">
        <v>551</v>
      </c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U32" s="550"/>
      <c r="V32" s="550"/>
      <c r="X32" s="551"/>
      <c r="Y32" s="551"/>
      <c r="Z32" s="551"/>
      <c r="AA32" s="551"/>
      <c r="AB32" s="551"/>
      <c r="AC32" s="551"/>
      <c r="AD32" s="551"/>
      <c r="AE32" s="551"/>
      <c r="AF32" s="551"/>
      <c r="AG32" s="551"/>
      <c r="AH32" s="551"/>
      <c r="AI32" s="551"/>
      <c r="AJ32" s="551"/>
      <c r="AK32" s="551"/>
      <c r="AL32" s="551"/>
      <c r="AM32" s="551"/>
      <c r="AN32" s="551"/>
      <c r="AO32" s="551"/>
      <c r="AP32" s="551"/>
      <c r="AS32" s="550"/>
      <c r="AT32" s="550"/>
      <c r="AU32" s="550"/>
      <c r="AV32" s="550"/>
      <c r="AW32" s="550"/>
      <c r="AX32" s="550"/>
      <c r="AY32" s="550"/>
      <c r="AZ32" s="550"/>
      <c r="BA32" s="550"/>
      <c r="BB32" s="550"/>
      <c r="BC32" s="550"/>
      <c r="BD32" s="550"/>
      <c r="BE32" s="550"/>
      <c r="BF32" s="550"/>
      <c r="BG32" s="550"/>
      <c r="BH32" s="550"/>
      <c r="BI32" s="550"/>
      <c r="BJ32" s="550"/>
      <c r="BK32" s="550"/>
    </row>
    <row r="33" spans="1:63" hidden="1" outlineLevel="1">
      <c r="A33" s="553"/>
      <c r="B33" s="553"/>
      <c r="C33" s="521" t="s">
        <v>17</v>
      </c>
      <c r="D33" s="556">
        <f t="shared" ref="D33:V33" si="51">X33*D14</f>
        <v>0</v>
      </c>
      <c r="E33" s="556">
        <f t="shared" si="51"/>
        <v>0</v>
      </c>
      <c r="F33" s="556">
        <f t="shared" si="51"/>
        <v>0</v>
      </c>
      <c r="G33" s="556">
        <f t="shared" si="51"/>
        <v>0</v>
      </c>
      <c r="H33" s="556">
        <f t="shared" si="51"/>
        <v>0</v>
      </c>
      <c r="I33" s="556">
        <f t="shared" si="51"/>
        <v>0</v>
      </c>
      <c r="J33" s="556">
        <f t="shared" si="51"/>
        <v>0</v>
      </c>
      <c r="K33" s="556">
        <f t="shared" si="51"/>
        <v>0</v>
      </c>
      <c r="L33" s="556">
        <f t="shared" si="51"/>
        <v>0</v>
      </c>
      <c r="M33" s="556">
        <f t="shared" si="51"/>
        <v>0</v>
      </c>
      <c r="N33" s="556">
        <f t="shared" si="51"/>
        <v>0</v>
      </c>
      <c r="O33" s="556">
        <f t="shared" si="51"/>
        <v>0</v>
      </c>
      <c r="P33" s="556">
        <f t="shared" si="51"/>
        <v>0</v>
      </c>
      <c r="Q33" s="556">
        <f t="shared" si="51"/>
        <v>0</v>
      </c>
      <c r="R33" s="556">
        <f t="shared" si="51"/>
        <v>0</v>
      </c>
      <c r="S33" s="556">
        <f t="shared" si="51"/>
        <v>0</v>
      </c>
      <c r="T33" s="556">
        <f t="shared" si="51"/>
        <v>0</v>
      </c>
      <c r="U33" s="556">
        <f t="shared" si="51"/>
        <v>0</v>
      </c>
      <c r="V33" s="556">
        <f t="shared" si="51"/>
        <v>0</v>
      </c>
      <c r="X33" s="522"/>
      <c r="Y33" s="522"/>
      <c r="Z33" s="522"/>
      <c r="AA33" s="522"/>
      <c r="AB33" s="522"/>
      <c r="AC33" s="559">
        <f>AB33</f>
        <v>0</v>
      </c>
      <c r="AD33" s="559">
        <f t="shared" ref="AD33:AP35" si="52">AC33</f>
        <v>0</v>
      </c>
      <c r="AE33" s="559">
        <f t="shared" si="52"/>
        <v>0</v>
      </c>
      <c r="AF33" s="559">
        <f t="shared" si="52"/>
        <v>0</v>
      </c>
      <c r="AG33" s="559">
        <f t="shared" si="52"/>
        <v>0</v>
      </c>
      <c r="AH33" s="559">
        <f t="shared" si="52"/>
        <v>0</v>
      </c>
      <c r="AI33" s="559">
        <f t="shared" si="52"/>
        <v>0</v>
      </c>
      <c r="AJ33" s="559">
        <f t="shared" si="52"/>
        <v>0</v>
      </c>
      <c r="AK33" s="559">
        <f t="shared" si="52"/>
        <v>0</v>
      </c>
      <c r="AL33" s="559">
        <f t="shared" si="52"/>
        <v>0</v>
      </c>
      <c r="AM33" s="559">
        <f t="shared" si="52"/>
        <v>0</v>
      </c>
      <c r="AN33" s="559">
        <f t="shared" si="52"/>
        <v>0</v>
      </c>
      <c r="AO33" s="559">
        <f t="shared" si="52"/>
        <v>0</v>
      </c>
      <c r="AP33" s="559">
        <f t="shared" si="52"/>
        <v>0</v>
      </c>
      <c r="AS33" s="556">
        <f t="shared" ref="AS33:BB36" si="53">D33/D$9</f>
        <v>0</v>
      </c>
      <c r="AT33" s="556">
        <f t="shared" si="53"/>
        <v>0</v>
      </c>
      <c r="AU33" s="556">
        <f t="shared" si="53"/>
        <v>0</v>
      </c>
      <c r="AV33" s="556">
        <f t="shared" si="53"/>
        <v>0</v>
      </c>
      <c r="AW33" s="556">
        <f t="shared" si="53"/>
        <v>0</v>
      </c>
      <c r="AX33" s="556">
        <f t="shared" si="53"/>
        <v>0</v>
      </c>
      <c r="AY33" s="556">
        <f t="shared" si="53"/>
        <v>0</v>
      </c>
      <c r="AZ33" s="556">
        <f t="shared" si="53"/>
        <v>0</v>
      </c>
      <c r="BA33" s="556">
        <f t="shared" si="53"/>
        <v>0</v>
      </c>
      <c r="BB33" s="556">
        <f t="shared" si="53"/>
        <v>0</v>
      </c>
      <c r="BC33" s="556">
        <f t="shared" ref="BC33:BK36" si="54">N33/N$9</f>
        <v>0</v>
      </c>
      <c r="BD33" s="556">
        <f t="shared" si="54"/>
        <v>0</v>
      </c>
      <c r="BE33" s="556">
        <f t="shared" si="54"/>
        <v>0</v>
      </c>
      <c r="BF33" s="556">
        <f t="shared" si="54"/>
        <v>0</v>
      </c>
      <c r="BG33" s="556">
        <f t="shared" si="54"/>
        <v>0</v>
      </c>
      <c r="BH33" s="556">
        <f t="shared" si="54"/>
        <v>0</v>
      </c>
      <c r="BI33" s="556">
        <f t="shared" si="54"/>
        <v>0</v>
      </c>
      <c r="BJ33" s="556">
        <f t="shared" si="54"/>
        <v>0</v>
      </c>
      <c r="BK33" s="556">
        <f t="shared" si="54"/>
        <v>0</v>
      </c>
    </row>
    <row r="34" spans="1:63" hidden="1" outlineLevel="1">
      <c r="A34" s="511"/>
      <c r="B34" s="511"/>
      <c r="C34" s="519" t="s">
        <v>25</v>
      </c>
      <c r="D34" s="201">
        <f t="shared" ref="D34:V34" si="55">X34*D33</f>
        <v>0</v>
      </c>
      <c r="E34" s="201">
        <f t="shared" si="55"/>
        <v>0</v>
      </c>
      <c r="F34" s="201">
        <f t="shared" si="55"/>
        <v>0</v>
      </c>
      <c r="G34" s="201">
        <f t="shared" si="55"/>
        <v>0</v>
      </c>
      <c r="H34" s="201">
        <f t="shared" si="55"/>
        <v>0</v>
      </c>
      <c r="I34" s="201">
        <f t="shared" si="55"/>
        <v>0</v>
      </c>
      <c r="J34" s="201">
        <f t="shared" si="55"/>
        <v>0</v>
      </c>
      <c r="K34" s="201">
        <f t="shared" si="55"/>
        <v>0</v>
      </c>
      <c r="L34" s="201">
        <f t="shared" si="55"/>
        <v>0</v>
      </c>
      <c r="M34" s="201">
        <f t="shared" si="55"/>
        <v>0</v>
      </c>
      <c r="N34" s="201">
        <f t="shared" si="55"/>
        <v>0</v>
      </c>
      <c r="O34" s="201">
        <f t="shared" si="55"/>
        <v>0</v>
      </c>
      <c r="P34" s="201">
        <f t="shared" si="55"/>
        <v>0</v>
      </c>
      <c r="Q34" s="201">
        <f t="shared" si="55"/>
        <v>0</v>
      </c>
      <c r="R34" s="201">
        <f t="shared" si="55"/>
        <v>0</v>
      </c>
      <c r="S34" s="201">
        <f t="shared" si="55"/>
        <v>0</v>
      </c>
      <c r="T34" s="201">
        <f t="shared" si="55"/>
        <v>0</v>
      </c>
      <c r="U34" s="201">
        <f t="shared" si="55"/>
        <v>0</v>
      </c>
      <c r="V34" s="201">
        <f t="shared" si="55"/>
        <v>0</v>
      </c>
      <c r="X34" s="522"/>
      <c r="Y34" s="522"/>
      <c r="Z34" s="522"/>
      <c r="AA34" s="522"/>
      <c r="AB34" s="522"/>
      <c r="AC34" s="522">
        <f>AB34</f>
        <v>0</v>
      </c>
      <c r="AD34" s="522">
        <f t="shared" si="52"/>
        <v>0</v>
      </c>
      <c r="AE34" s="522">
        <f t="shared" si="52"/>
        <v>0</v>
      </c>
      <c r="AF34" s="522">
        <f t="shared" si="52"/>
        <v>0</v>
      </c>
      <c r="AG34" s="522">
        <f t="shared" si="52"/>
        <v>0</v>
      </c>
      <c r="AH34" s="522">
        <f t="shared" si="52"/>
        <v>0</v>
      </c>
      <c r="AI34" s="522">
        <f t="shared" si="52"/>
        <v>0</v>
      </c>
      <c r="AJ34" s="522">
        <f t="shared" si="52"/>
        <v>0</v>
      </c>
      <c r="AK34" s="522">
        <f t="shared" si="52"/>
        <v>0</v>
      </c>
      <c r="AL34" s="522">
        <f t="shared" si="52"/>
        <v>0</v>
      </c>
      <c r="AM34" s="522">
        <f t="shared" si="52"/>
        <v>0</v>
      </c>
      <c r="AN34" s="522">
        <f t="shared" si="52"/>
        <v>0</v>
      </c>
      <c r="AO34" s="522">
        <f t="shared" si="52"/>
        <v>0</v>
      </c>
      <c r="AP34" s="522">
        <f t="shared" si="52"/>
        <v>0</v>
      </c>
      <c r="AS34" s="201">
        <f t="shared" si="53"/>
        <v>0</v>
      </c>
      <c r="AT34" s="201">
        <f t="shared" si="53"/>
        <v>0</v>
      </c>
      <c r="AU34" s="201">
        <f t="shared" si="53"/>
        <v>0</v>
      </c>
      <c r="AV34" s="201">
        <f t="shared" si="53"/>
        <v>0</v>
      </c>
      <c r="AW34" s="201">
        <f t="shared" si="53"/>
        <v>0</v>
      </c>
      <c r="AX34" s="201">
        <f t="shared" si="53"/>
        <v>0</v>
      </c>
      <c r="AY34" s="201">
        <f t="shared" si="53"/>
        <v>0</v>
      </c>
      <c r="AZ34" s="201">
        <f t="shared" si="53"/>
        <v>0</v>
      </c>
      <c r="BA34" s="201">
        <f t="shared" si="53"/>
        <v>0</v>
      </c>
      <c r="BB34" s="201">
        <f t="shared" si="53"/>
        <v>0</v>
      </c>
      <c r="BC34" s="201">
        <f t="shared" si="54"/>
        <v>0</v>
      </c>
      <c r="BD34" s="201">
        <f t="shared" si="54"/>
        <v>0</v>
      </c>
      <c r="BE34" s="201">
        <f t="shared" si="54"/>
        <v>0</v>
      </c>
      <c r="BF34" s="201">
        <f t="shared" si="54"/>
        <v>0</v>
      </c>
      <c r="BG34" s="201">
        <f t="shared" si="54"/>
        <v>0</v>
      </c>
      <c r="BH34" s="201">
        <f t="shared" si="54"/>
        <v>0</v>
      </c>
      <c r="BI34" s="201">
        <f t="shared" si="54"/>
        <v>0</v>
      </c>
      <c r="BJ34" s="201">
        <f t="shared" si="54"/>
        <v>0</v>
      </c>
      <c r="BK34" s="201">
        <f t="shared" si="54"/>
        <v>0</v>
      </c>
    </row>
    <row r="35" spans="1:63" hidden="1" outlineLevel="1">
      <c r="A35" s="511"/>
      <c r="B35" s="511"/>
      <c r="C35" s="519" t="s">
        <v>26</v>
      </c>
      <c r="D35" s="201">
        <f t="shared" ref="D35:V35" si="56">X35*D33</f>
        <v>0</v>
      </c>
      <c r="E35" s="201">
        <f t="shared" si="56"/>
        <v>0</v>
      </c>
      <c r="F35" s="201">
        <f t="shared" si="56"/>
        <v>0</v>
      </c>
      <c r="G35" s="201">
        <f t="shared" si="56"/>
        <v>0</v>
      </c>
      <c r="H35" s="201">
        <f t="shared" si="56"/>
        <v>0</v>
      </c>
      <c r="I35" s="201">
        <f t="shared" si="56"/>
        <v>0</v>
      </c>
      <c r="J35" s="201">
        <f t="shared" si="56"/>
        <v>0</v>
      </c>
      <c r="K35" s="201">
        <f t="shared" si="56"/>
        <v>0</v>
      </c>
      <c r="L35" s="201">
        <f t="shared" si="56"/>
        <v>0</v>
      </c>
      <c r="M35" s="201">
        <f t="shared" si="56"/>
        <v>0</v>
      </c>
      <c r="N35" s="201">
        <f t="shared" si="56"/>
        <v>0</v>
      </c>
      <c r="O35" s="201">
        <f t="shared" si="56"/>
        <v>0</v>
      </c>
      <c r="P35" s="201">
        <f t="shared" si="56"/>
        <v>0</v>
      </c>
      <c r="Q35" s="201">
        <f t="shared" si="56"/>
        <v>0</v>
      </c>
      <c r="R35" s="201">
        <f t="shared" si="56"/>
        <v>0</v>
      </c>
      <c r="S35" s="201">
        <f t="shared" si="56"/>
        <v>0</v>
      </c>
      <c r="T35" s="201">
        <f t="shared" si="56"/>
        <v>0</v>
      </c>
      <c r="U35" s="201">
        <f t="shared" si="56"/>
        <v>0</v>
      </c>
      <c r="V35" s="201">
        <f t="shared" si="56"/>
        <v>0</v>
      </c>
      <c r="X35" s="522"/>
      <c r="Y35" s="522"/>
      <c r="Z35" s="522"/>
      <c r="AA35" s="522"/>
      <c r="AB35" s="522"/>
      <c r="AC35" s="522">
        <f>AB35</f>
        <v>0</v>
      </c>
      <c r="AD35" s="522">
        <f t="shared" si="52"/>
        <v>0</v>
      </c>
      <c r="AE35" s="522">
        <f t="shared" si="52"/>
        <v>0</v>
      </c>
      <c r="AF35" s="522">
        <f t="shared" si="52"/>
        <v>0</v>
      </c>
      <c r="AG35" s="522">
        <f t="shared" si="52"/>
        <v>0</v>
      </c>
      <c r="AH35" s="522">
        <f t="shared" si="52"/>
        <v>0</v>
      </c>
      <c r="AI35" s="522">
        <f t="shared" si="52"/>
        <v>0</v>
      </c>
      <c r="AJ35" s="522">
        <f t="shared" si="52"/>
        <v>0</v>
      </c>
      <c r="AK35" s="522">
        <f t="shared" si="52"/>
        <v>0</v>
      </c>
      <c r="AL35" s="522">
        <f t="shared" si="52"/>
        <v>0</v>
      </c>
      <c r="AM35" s="522">
        <f t="shared" si="52"/>
        <v>0</v>
      </c>
      <c r="AN35" s="522">
        <f t="shared" si="52"/>
        <v>0</v>
      </c>
      <c r="AO35" s="522">
        <f t="shared" si="52"/>
        <v>0</v>
      </c>
      <c r="AP35" s="522">
        <f t="shared" si="52"/>
        <v>0</v>
      </c>
      <c r="AS35" s="201">
        <f t="shared" si="53"/>
        <v>0</v>
      </c>
      <c r="AT35" s="201">
        <f t="shared" si="53"/>
        <v>0</v>
      </c>
      <c r="AU35" s="201">
        <f t="shared" si="53"/>
        <v>0</v>
      </c>
      <c r="AV35" s="201">
        <f t="shared" si="53"/>
        <v>0</v>
      </c>
      <c r="AW35" s="201">
        <f t="shared" si="53"/>
        <v>0</v>
      </c>
      <c r="AX35" s="201">
        <f t="shared" si="53"/>
        <v>0</v>
      </c>
      <c r="AY35" s="201">
        <f t="shared" si="53"/>
        <v>0</v>
      </c>
      <c r="AZ35" s="201">
        <f t="shared" si="53"/>
        <v>0</v>
      </c>
      <c r="BA35" s="201">
        <f t="shared" si="53"/>
        <v>0</v>
      </c>
      <c r="BB35" s="201">
        <f t="shared" si="53"/>
        <v>0</v>
      </c>
      <c r="BC35" s="201">
        <f t="shared" si="54"/>
        <v>0</v>
      </c>
      <c r="BD35" s="201">
        <f t="shared" si="54"/>
        <v>0</v>
      </c>
      <c r="BE35" s="201">
        <f t="shared" si="54"/>
        <v>0</v>
      </c>
      <c r="BF35" s="201">
        <f t="shared" si="54"/>
        <v>0</v>
      </c>
      <c r="BG35" s="201">
        <f t="shared" si="54"/>
        <v>0</v>
      </c>
      <c r="BH35" s="201">
        <f t="shared" si="54"/>
        <v>0</v>
      </c>
      <c r="BI35" s="201">
        <f t="shared" si="54"/>
        <v>0</v>
      </c>
      <c r="BJ35" s="201">
        <f t="shared" si="54"/>
        <v>0</v>
      </c>
      <c r="BK35" s="201">
        <f t="shared" si="54"/>
        <v>0</v>
      </c>
    </row>
    <row r="36" spans="1:63" hidden="1" outlineLevel="1">
      <c r="A36" s="511"/>
      <c r="B36" s="511"/>
      <c r="C36" s="521" t="s">
        <v>28</v>
      </c>
      <c r="D36" s="556">
        <f>D34+D35</f>
        <v>0</v>
      </c>
      <c r="E36" s="556">
        <f t="shared" ref="E36:V36" si="57">E34+E35</f>
        <v>0</v>
      </c>
      <c r="F36" s="556">
        <f t="shared" si="57"/>
        <v>0</v>
      </c>
      <c r="G36" s="556">
        <f t="shared" si="57"/>
        <v>0</v>
      </c>
      <c r="H36" s="556">
        <f t="shared" si="57"/>
        <v>0</v>
      </c>
      <c r="I36" s="556">
        <f t="shared" si="57"/>
        <v>0</v>
      </c>
      <c r="J36" s="556">
        <f t="shared" si="57"/>
        <v>0</v>
      </c>
      <c r="K36" s="556">
        <f t="shared" si="57"/>
        <v>0</v>
      </c>
      <c r="L36" s="556">
        <f t="shared" si="57"/>
        <v>0</v>
      </c>
      <c r="M36" s="556">
        <f t="shared" si="57"/>
        <v>0</v>
      </c>
      <c r="N36" s="556">
        <f t="shared" si="57"/>
        <v>0</v>
      </c>
      <c r="O36" s="556">
        <f t="shared" si="57"/>
        <v>0</v>
      </c>
      <c r="P36" s="556">
        <f t="shared" si="57"/>
        <v>0</v>
      </c>
      <c r="Q36" s="556">
        <f t="shared" si="57"/>
        <v>0</v>
      </c>
      <c r="R36" s="556">
        <f t="shared" si="57"/>
        <v>0</v>
      </c>
      <c r="S36" s="556">
        <f t="shared" si="57"/>
        <v>0</v>
      </c>
      <c r="T36" s="556">
        <f t="shared" si="57"/>
        <v>0</v>
      </c>
      <c r="U36" s="556">
        <f t="shared" si="57"/>
        <v>0</v>
      </c>
      <c r="V36" s="556">
        <f t="shared" si="57"/>
        <v>0</v>
      </c>
      <c r="X36" s="559" t="e">
        <f t="shared" ref="X36:AP36" si="58">D36/D33</f>
        <v>#DIV/0!</v>
      </c>
      <c r="Y36" s="559" t="e">
        <f t="shared" si="58"/>
        <v>#DIV/0!</v>
      </c>
      <c r="Z36" s="559" t="e">
        <f t="shared" si="58"/>
        <v>#DIV/0!</v>
      </c>
      <c r="AA36" s="559" t="e">
        <f t="shared" si="58"/>
        <v>#DIV/0!</v>
      </c>
      <c r="AB36" s="559" t="e">
        <f t="shared" si="58"/>
        <v>#DIV/0!</v>
      </c>
      <c r="AC36" s="559" t="e">
        <f t="shared" si="58"/>
        <v>#DIV/0!</v>
      </c>
      <c r="AD36" s="559" t="e">
        <f t="shared" si="58"/>
        <v>#DIV/0!</v>
      </c>
      <c r="AE36" s="559" t="e">
        <f t="shared" si="58"/>
        <v>#DIV/0!</v>
      </c>
      <c r="AF36" s="559" t="e">
        <f t="shared" si="58"/>
        <v>#DIV/0!</v>
      </c>
      <c r="AG36" s="559" t="e">
        <f t="shared" si="58"/>
        <v>#DIV/0!</v>
      </c>
      <c r="AH36" s="559" t="e">
        <f t="shared" si="58"/>
        <v>#DIV/0!</v>
      </c>
      <c r="AI36" s="559" t="e">
        <f t="shared" si="58"/>
        <v>#DIV/0!</v>
      </c>
      <c r="AJ36" s="559" t="e">
        <f t="shared" si="58"/>
        <v>#DIV/0!</v>
      </c>
      <c r="AK36" s="559" t="e">
        <f t="shared" si="58"/>
        <v>#DIV/0!</v>
      </c>
      <c r="AL36" s="559" t="e">
        <f t="shared" si="58"/>
        <v>#DIV/0!</v>
      </c>
      <c r="AM36" s="559" t="e">
        <f t="shared" si="58"/>
        <v>#DIV/0!</v>
      </c>
      <c r="AN36" s="559" t="e">
        <f t="shared" si="58"/>
        <v>#DIV/0!</v>
      </c>
      <c r="AO36" s="559" t="e">
        <f t="shared" si="58"/>
        <v>#DIV/0!</v>
      </c>
      <c r="AP36" s="559" t="e">
        <f t="shared" si="58"/>
        <v>#DIV/0!</v>
      </c>
      <c r="AS36" s="556">
        <f t="shared" si="53"/>
        <v>0</v>
      </c>
      <c r="AT36" s="556">
        <f t="shared" si="53"/>
        <v>0</v>
      </c>
      <c r="AU36" s="556">
        <f t="shared" si="53"/>
        <v>0</v>
      </c>
      <c r="AV36" s="556">
        <f t="shared" si="53"/>
        <v>0</v>
      </c>
      <c r="AW36" s="556">
        <f t="shared" si="53"/>
        <v>0</v>
      </c>
      <c r="AX36" s="556">
        <f t="shared" si="53"/>
        <v>0</v>
      </c>
      <c r="AY36" s="556">
        <f t="shared" si="53"/>
        <v>0</v>
      </c>
      <c r="AZ36" s="556">
        <f t="shared" si="53"/>
        <v>0</v>
      </c>
      <c r="BA36" s="556">
        <f t="shared" si="53"/>
        <v>0</v>
      </c>
      <c r="BB36" s="556">
        <f t="shared" si="53"/>
        <v>0</v>
      </c>
      <c r="BC36" s="556">
        <f t="shared" si="54"/>
        <v>0</v>
      </c>
      <c r="BD36" s="556">
        <f t="shared" si="54"/>
        <v>0</v>
      </c>
      <c r="BE36" s="556">
        <f t="shared" si="54"/>
        <v>0</v>
      </c>
      <c r="BF36" s="556">
        <f t="shared" si="54"/>
        <v>0</v>
      </c>
      <c r="BG36" s="556">
        <f t="shared" si="54"/>
        <v>0</v>
      </c>
      <c r="BH36" s="556">
        <f t="shared" si="54"/>
        <v>0</v>
      </c>
      <c r="BI36" s="556">
        <f t="shared" si="54"/>
        <v>0</v>
      </c>
      <c r="BJ36" s="556">
        <f t="shared" si="54"/>
        <v>0</v>
      </c>
      <c r="BK36" s="556">
        <f t="shared" si="54"/>
        <v>0</v>
      </c>
    </row>
    <row r="37" spans="1:63" hidden="1" outlineLevel="1">
      <c r="A37" s="511"/>
      <c r="B37" s="511"/>
      <c r="C37" s="521" t="s">
        <v>18</v>
      </c>
      <c r="D37" s="556">
        <f>D33-D36</f>
        <v>0</v>
      </c>
      <c r="E37" s="556">
        <f t="shared" ref="E37:V37" si="59">E33-E36</f>
        <v>0</v>
      </c>
      <c r="F37" s="556">
        <f t="shared" si="59"/>
        <v>0</v>
      </c>
      <c r="G37" s="556">
        <f t="shared" si="59"/>
        <v>0</v>
      </c>
      <c r="H37" s="556">
        <f t="shared" si="59"/>
        <v>0</v>
      </c>
      <c r="I37" s="556">
        <f t="shared" si="59"/>
        <v>0</v>
      </c>
      <c r="J37" s="556">
        <f t="shared" si="59"/>
        <v>0</v>
      </c>
      <c r="K37" s="556">
        <f t="shared" si="59"/>
        <v>0</v>
      </c>
      <c r="L37" s="556">
        <f t="shared" si="59"/>
        <v>0</v>
      </c>
      <c r="M37" s="556">
        <f t="shared" si="59"/>
        <v>0</v>
      </c>
      <c r="N37" s="556">
        <f t="shared" si="59"/>
        <v>0</v>
      </c>
      <c r="O37" s="556">
        <f t="shared" si="59"/>
        <v>0</v>
      </c>
      <c r="P37" s="556">
        <f t="shared" si="59"/>
        <v>0</v>
      </c>
      <c r="Q37" s="556">
        <f t="shared" si="59"/>
        <v>0</v>
      </c>
      <c r="R37" s="556">
        <f t="shared" si="59"/>
        <v>0</v>
      </c>
      <c r="S37" s="556">
        <f t="shared" si="59"/>
        <v>0</v>
      </c>
      <c r="T37" s="556">
        <f t="shared" si="59"/>
        <v>0</v>
      </c>
      <c r="U37" s="556">
        <f t="shared" si="59"/>
        <v>0</v>
      </c>
      <c r="V37" s="556">
        <f t="shared" si="59"/>
        <v>0</v>
      </c>
      <c r="X37" s="559" t="e">
        <f t="shared" ref="X37:AP37" si="60">D37/D33</f>
        <v>#DIV/0!</v>
      </c>
      <c r="Y37" s="559" t="e">
        <f t="shared" si="60"/>
        <v>#DIV/0!</v>
      </c>
      <c r="Z37" s="559" t="e">
        <f t="shared" si="60"/>
        <v>#DIV/0!</v>
      </c>
      <c r="AA37" s="559" t="e">
        <f t="shared" si="60"/>
        <v>#DIV/0!</v>
      </c>
      <c r="AB37" s="559" t="e">
        <f t="shared" si="60"/>
        <v>#DIV/0!</v>
      </c>
      <c r="AC37" s="559" t="e">
        <f t="shared" si="60"/>
        <v>#DIV/0!</v>
      </c>
      <c r="AD37" s="559" t="e">
        <f t="shared" si="60"/>
        <v>#DIV/0!</v>
      </c>
      <c r="AE37" s="559" t="e">
        <f t="shared" si="60"/>
        <v>#DIV/0!</v>
      </c>
      <c r="AF37" s="559" t="e">
        <f t="shared" si="60"/>
        <v>#DIV/0!</v>
      </c>
      <c r="AG37" s="559" t="e">
        <f t="shared" si="60"/>
        <v>#DIV/0!</v>
      </c>
      <c r="AH37" s="559" t="e">
        <f t="shared" si="60"/>
        <v>#DIV/0!</v>
      </c>
      <c r="AI37" s="559" t="e">
        <f t="shared" si="60"/>
        <v>#DIV/0!</v>
      </c>
      <c r="AJ37" s="559" t="e">
        <f t="shared" si="60"/>
        <v>#DIV/0!</v>
      </c>
      <c r="AK37" s="559" t="e">
        <f t="shared" si="60"/>
        <v>#DIV/0!</v>
      </c>
      <c r="AL37" s="559" t="e">
        <f t="shared" si="60"/>
        <v>#DIV/0!</v>
      </c>
      <c r="AM37" s="559" t="e">
        <f t="shared" si="60"/>
        <v>#DIV/0!</v>
      </c>
      <c r="AN37" s="559" t="e">
        <f t="shared" si="60"/>
        <v>#DIV/0!</v>
      </c>
      <c r="AO37" s="559" t="e">
        <f t="shared" si="60"/>
        <v>#DIV/0!</v>
      </c>
      <c r="AP37" s="559" t="e">
        <f t="shared" si="60"/>
        <v>#DIV/0!</v>
      </c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  <c r="BF37" s="556"/>
      <c r="BG37" s="556"/>
      <c r="BH37" s="556"/>
      <c r="BI37" s="556"/>
      <c r="BJ37" s="556"/>
      <c r="BK37" s="556"/>
    </row>
    <row r="38" spans="1:63" collapsed="1">
      <c r="A38" s="509"/>
      <c r="B38" s="509"/>
      <c r="C38" s="571" t="s">
        <v>46</v>
      </c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X38" s="570">
        <f t="shared" ref="X38:AP38" si="61">D39/D$12</f>
        <v>3.2258064516129031E-2</v>
      </c>
      <c r="Y38" s="570">
        <f t="shared" si="61"/>
        <v>2.5270758122743681E-2</v>
      </c>
      <c r="Z38" s="570">
        <f t="shared" si="61"/>
        <v>2.5641025641025644E-2</v>
      </c>
      <c r="AA38" s="570">
        <f t="shared" si="61"/>
        <v>2.222222222222222E-2</v>
      </c>
      <c r="AB38" s="570">
        <f t="shared" si="61"/>
        <v>2.2388059701492536E-2</v>
      </c>
      <c r="AC38" s="570">
        <f t="shared" si="61"/>
        <v>2.2388059701492536E-2</v>
      </c>
      <c r="AD38" s="570">
        <f t="shared" si="61"/>
        <v>2.2388059701492536E-2</v>
      </c>
      <c r="AE38" s="570">
        <f t="shared" si="61"/>
        <v>2.2388059701492536E-2</v>
      </c>
      <c r="AF38" s="570">
        <f t="shared" si="61"/>
        <v>2.2388059701492536E-2</v>
      </c>
      <c r="AG38" s="570">
        <f t="shared" si="61"/>
        <v>2.2388059701492536E-2</v>
      </c>
      <c r="AH38" s="570">
        <f t="shared" si="61"/>
        <v>2.2388059701492536E-2</v>
      </c>
      <c r="AI38" s="570">
        <f t="shared" si="61"/>
        <v>2.2388059701492533E-2</v>
      </c>
      <c r="AJ38" s="570">
        <f t="shared" si="61"/>
        <v>2.2388059701492536E-2</v>
      </c>
      <c r="AK38" s="570">
        <f t="shared" si="61"/>
        <v>2.2388059701492536E-2</v>
      </c>
      <c r="AL38" s="570">
        <f t="shared" si="61"/>
        <v>2.2388059701492539E-2</v>
      </c>
      <c r="AM38" s="570">
        <f t="shared" si="61"/>
        <v>2.2388059701492536E-2</v>
      </c>
      <c r="AN38" s="570">
        <f t="shared" si="61"/>
        <v>2.2388059701492539E-2</v>
      </c>
      <c r="AO38" s="570">
        <f t="shared" si="61"/>
        <v>2.2388059701492539E-2</v>
      </c>
      <c r="AP38" s="570">
        <f t="shared" si="61"/>
        <v>2.2388059701492539E-2</v>
      </c>
      <c r="AS38" s="550"/>
      <c r="AT38" s="550"/>
      <c r="AU38" s="550"/>
      <c r="AV38" s="550"/>
      <c r="AW38" s="550"/>
      <c r="AX38" s="550"/>
      <c r="AY38" s="550"/>
      <c r="AZ38" s="550"/>
      <c r="BA38" s="550"/>
      <c r="BB38" s="550"/>
      <c r="BC38" s="550"/>
      <c r="BD38" s="550"/>
      <c r="BE38" s="550"/>
      <c r="BF38" s="550"/>
      <c r="BG38" s="550"/>
      <c r="BH38" s="550"/>
      <c r="BI38" s="550"/>
      <c r="BJ38" s="550"/>
      <c r="BK38" s="550"/>
    </row>
    <row r="39" spans="1:63">
      <c r="A39" s="511"/>
      <c r="B39" s="511"/>
      <c r="C39" s="521" t="s">
        <v>17</v>
      </c>
      <c r="D39" s="556">
        <f t="shared" ref="D39:V39" si="62">X39*D14</f>
        <v>7251629.2092912132</v>
      </c>
      <c r="E39" s="556">
        <f t="shared" si="62"/>
        <v>15909922.747305579</v>
      </c>
      <c r="F39" s="556">
        <f t="shared" si="62"/>
        <v>18550199.200457055</v>
      </c>
      <c r="G39" s="556">
        <f t="shared" si="62"/>
        <v>19447417.358784877</v>
      </c>
      <c r="H39" s="556">
        <f t="shared" si="62"/>
        <v>21231635.402343228</v>
      </c>
      <c r="I39" s="556">
        <f t="shared" si="62"/>
        <v>22080900.818436958</v>
      </c>
      <c r="J39" s="556">
        <f t="shared" si="62"/>
        <v>22964136.85117444</v>
      </c>
      <c r="K39" s="556">
        <f t="shared" si="62"/>
        <v>23948134.386386406</v>
      </c>
      <c r="L39" s="556">
        <f t="shared" si="62"/>
        <v>24838010.418230273</v>
      </c>
      <c r="M39" s="556">
        <f t="shared" si="62"/>
        <v>25831530.834959488</v>
      </c>
      <c r="N39" s="556">
        <f t="shared" si="62"/>
        <v>26864792.06835787</v>
      </c>
      <c r="O39" s="556">
        <f t="shared" si="62"/>
        <v>28015930.007944491</v>
      </c>
      <c r="P39" s="556">
        <f t="shared" si="62"/>
        <v>29056959.101135872</v>
      </c>
      <c r="Q39" s="556">
        <f t="shared" si="62"/>
        <v>30219237.46518131</v>
      </c>
      <c r="R39" s="556">
        <f t="shared" si="62"/>
        <v>31428006.963788565</v>
      </c>
      <c r="S39" s="556">
        <f t="shared" si="62"/>
        <v>32774675.536154736</v>
      </c>
      <c r="T39" s="556">
        <f t="shared" si="62"/>
        <v>33992532.332033716</v>
      </c>
      <c r="U39" s="556">
        <f t="shared" si="62"/>
        <v>35352233.625315063</v>
      </c>
      <c r="V39" s="556">
        <f t="shared" si="62"/>
        <v>36766322.970327668</v>
      </c>
      <c r="X39" s="522">
        <f>'Прогноз прочих'!F35</f>
        <v>4.4999999999999998E-2</v>
      </c>
      <c r="Y39" s="522">
        <f>'Прогноз прочих'!G35</f>
        <v>3.5000000000000003E-2</v>
      </c>
      <c r="Z39" s="522">
        <f>'Прогноз прочих'!H35</f>
        <v>3.5000000000000003E-2</v>
      </c>
      <c r="AA39" s="522">
        <f>'Прогноз прочих'!I35</f>
        <v>0.03</v>
      </c>
      <c r="AB39" s="522">
        <f>'Прогноз прочих'!J35</f>
        <v>0.03</v>
      </c>
      <c r="AC39" s="559">
        <f>AB39</f>
        <v>0.03</v>
      </c>
      <c r="AD39" s="559">
        <f t="shared" ref="AD39:AP41" si="63">AC39</f>
        <v>0.03</v>
      </c>
      <c r="AE39" s="559">
        <f t="shared" si="63"/>
        <v>0.03</v>
      </c>
      <c r="AF39" s="559">
        <f t="shared" si="63"/>
        <v>0.03</v>
      </c>
      <c r="AG39" s="559">
        <f t="shared" si="63"/>
        <v>0.03</v>
      </c>
      <c r="AH39" s="559">
        <f t="shared" si="63"/>
        <v>0.03</v>
      </c>
      <c r="AI39" s="559">
        <f t="shared" si="63"/>
        <v>0.03</v>
      </c>
      <c r="AJ39" s="559">
        <f t="shared" si="63"/>
        <v>0.03</v>
      </c>
      <c r="AK39" s="559">
        <f t="shared" si="63"/>
        <v>0.03</v>
      </c>
      <c r="AL39" s="559">
        <f t="shared" si="63"/>
        <v>0.03</v>
      </c>
      <c r="AM39" s="559">
        <f t="shared" si="63"/>
        <v>0.03</v>
      </c>
      <c r="AN39" s="559">
        <f t="shared" si="63"/>
        <v>0.03</v>
      </c>
      <c r="AO39" s="559">
        <f t="shared" si="63"/>
        <v>0.03</v>
      </c>
      <c r="AP39" s="559">
        <f t="shared" si="63"/>
        <v>0.03</v>
      </c>
      <c r="AS39" s="556">
        <f t="shared" ref="AS39:BK39" si="64">D39/D9</f>
        <v>230.82209280000001</v>
      </c>
      <c r="AT39" s="556">
        <f t="shared" si="64"/>
        <v>198.37876531200001</v>
      </c>
      <c r="AU39" s="556">
        <f t="shared" si="64"/>
        <v>218.45002862592003</v>
      </c>
      <c r="AV39" s="556">
        <f t="shared" si="64"/>
        <v>216.36955216281598</v>
      </c>
      <c r="AW39" s="556">
        <f t="shared" si="64"/>
        <v>225.02433424932866</v>
      </c>
      <c r="AX39" s="556">
        <f t="shared" si="64"/>
        <v>234.0253076193018</v>
      </c>
      <c r="AY39" s="556">
        <f t="shared" si="64"/>
        <v>243.38631992407392</v>
      </c>
      <c r="AZ39" s="556">
        <f t="shared" si="64"/>
        <v>253.12177272103685</v>
      </c>
      <c r="BA39" s="556">
        <f t="shared" si="64"/>
        <v>263.24664362987835</v>
      </c>
      <c r="BB39" s="556">
        <f t="shared" si="64"/>
        <v>273.77650937507354</v>
      </c>
      <c r="BC39" s="556">
        <f t="shared" si="64"/>
        <v>284.7275697500765</v>
      </c>
      <c r="BD39" s="556">
        <f t="shared" si="64"/>
        <v>296.11667254007955</v>
      </c>
      <c r="BE39" s="556">
        <f t="shared" si="64"/>
        <v>307.9613394416827</v>
      </c>
      <c r="BF39" s="556">
        <f t="shared" si="64"/>
        <v>320.27979301935005</v>
      </c>
      <c r="BG39" s="556">
        <f t="shared" si="64"/>
        <v>333.0909847401241</v>
      </c>
      <c r="BH39" s="556">
        <f t="shared" si="64"/>
        <v>346.41462412972902</v>
      </c>
      <c r="BI39" s="556">
        <f t="shared" si="64"/>
        <v>360.27120909491828</v>
      </c>
      <c r="BJ39" s="556">
        <f t="shared" si="64"/>
        <v>374.68205745871495</v>
      </c>
      <c r="BK39" s="556">
        <f t="shared" si="64"/>
        <v>389.6693397570636</v>
      </c>
    </row>
    <row r="40" spans="1:63">
      <c r="A40" s="511"/>
      <c r="B40" s="511"/>
      <c r="C40" s="519" t="s">
        <v>25</v>
      </c>
      <c r="D40" s="201">
        <f t="shared" ref="D40:V40" si="65">X40*D39</f>
        <v>652646.62883620919</v>
      </c>
      <c r="E40" s="201">
        <f t="shared" si="65"/>
        <v>1113694.5923113907</v>
      </c>
      <c r="F40" s="201">
        <f t="shared" si="65"/>
        <v>1113011.9520274233</v>
      </c>
      <c r="G40" s="201">
        <f t="shared" si="65"/>
        <v>1166845.0415270925</v>
      </c>
      <c r="H40" s="201">
        <f t="shared" si="65"/>
        <v>1273898.1241405937</v>
      </c>
      <c r="I40" s="201">
        <f t="shared" si="65"/>
        <v>1324854.0491062175</v>
      </c>
      <c r="J40" s="201">
        <f t="shared" si="65"/>
        <v>1377848.2110704663</v>
      </c>
      <c r="K40" s="201">
        <f t="shared" si="65"/>
        <v>1436888.0631831842</v>
      </c>
      <c r="L40" s="201">
        <f t="shared" si="65"/>
        <v>1490280.6250938163</v>
      </c>
      <c r="M40" s="201">
        <f t="shared" si="65"/>
        <v>1549891.8500975692</v>
      </c>
      <c r="N40" s="201">
        <f t="shared" si="65"/>
        <v>1611887.5241014722</v>
      </c>
      <c r="O40" s="201">
        <f t="shared" si="65"/>
        <v>1680955.8004766693</v>
      </c>
      <c r="P40" s="201">
        <f t="shared" si="65"/>
        <v>1743417.5460681522</v>
      </c>
      <c r="Q40" s="201">
        <f t="shared" si="65"/>
        <v>1813154.2479108786</v>
      </c>
      <c r="R40" s="201">
        <f t="shared" si="65"/>
        <v>1885680.4178273138</v>
      </c>
      <c r="S40" s="201">
        <f t="shared" si="65"/>
        <v>1966480.5321692841</v>
      </c>
      <c r="T40" s="201">
        <f t="shared" si="65"/>
        <v>2039551.9399220229</v>
      </c>
      <c r="U40" s="201">
        <f t="shared" si="65"/>
        <v>2121134.0175189036</v>
      </c>
      <c r="V40" s="201">
        <f t="shared" si="65"/>
        <v>2205979.3782196599</v>
      </c>
      <c r="X40" s="522">
        <f>'Прогноз прочих'!F43</f>
        <v>0.09</v>
      </c>
      <c r="Y40" s="522">
        <f>'Прогноз прочих'!G43</f>
        <v>7.0000000000000007E-2</v>
      </c>
      <c r="Z40" s="522">
        <f>'Прогноз прочих'!H43</f>
        <v>0.06</v>
      </c>
      <c r="AA40" s="522">
        <f>'Прогноз прочих'!I43</f>
        <v>0.06</v>
      </c>
      <c r="AB40" s="522">
        <f>'Прогноз прочих'!J43</f>
        <v>0.06</v>
      </c>
      <c r="AC40" s="522">
        <f>AB40</f>
        <v>0.06</v>
      </c>
      <c r="AD40" s="522">
        <f t="shared" si="63"/>
        <v>0.06</v>
      </c>
      <c r="AE40" s="522">
        <f t="shared" si="63"/>
        <v>0.06</v>
      </c>
      <c r="AF40" s="522">
        <f t="shared" si="63"/>
        <v>0.06</v>
      </c>
      <c r="AG40" s="522">
        <f t="shared" si="63"/>
        <v>0.06</v>
      </c>
      <c r="AH40" s="522">
        <f t="shared" si="63"/>
        <v>0.06</v>
      </c>
      <c r="AI40" s="522">
        <f t="shared" si="63"/>
        <v>0.06</v>
      </c>
      <c r="AJ40" s="522">
        <f t="shared" si="63"/>
        <v>0.06</v>
      </c>
      <c r="AK40" s="522">
        <f t="shared" si="63"/>
        <v>0.06</v>
      </c>
      <c r="AL40" s="522">
        <f t="shared" si="63"/>
        <v>0.06</v>
      </c>
      <c r="AM40" s="522">
        <f t="shared" si="63"/>
        <v>0.06</v>
      </c>
      <c r="AN40" s="522">
        <f t="shared" si="63"/>
        <v>0.06</v>
      </c>
      <c r="AO40" s="522">
        <f t="shared" si="63"/>
        <v>0.06</v>
      </c>
      <c r="AP40" s="522">
        <f t="shared" si="63"/>
        <v>0.06</v>
      </c>
      <c r="AS40" s="201">
        <f t="shared" ref="AS40:BB41" si="66">D40/D$9</f>
        <v>20.773988352</v>
      </c>
      <c r="AT40" s="201">
        <f t="shared" si="66"/>
        <v>13.886513571840002</v>
      </c>
      <c r="AU40" s="201">
        <f t="shared" si="66"/>
        <v>13.107001717555201</v>
      </c>
      <c r="AV40" s="201">
        <f t="shared" si="66"/>
        <v>12.982173129768958</v>
      </c>
      <c r="AW40" s="201">
        <f t="shared" si="66"/>
        <v>13.50146005495972</v>
      </c>
      <c r="AX40" s="201">
        <f t="shared" si="66"/>
        <v>14.041518457158109</v>
      </c>
      <c r="AY40" s="201">
        <f t="shared" si="66"/>
        <v>14.603179195444435</v>
      </c>
      <c r="AZ40" s="201">
        <f t="shared" si="66"/>
        <v>15.187306363262211</v>
      </c>
      <c r="BA40" s="201">
        <f t="shared" si="66"/>
        <v>15.794798617792699</v>
      </c>
      <c r="BB40" s="201">
        <f t="shared" si="66"/>
        <v>16.426590562504408</v>
      </c>
      <c r="BC40" s="201">
        <f t="shared" ref="BC40:BK41" si="67">N40/N$9</f>
        <v>17.08365418500459</v>
      </c>
      <c r="BD40" s="201">
        <f t="shared" si="67"/>
        <v>17.767000352404771</v>
      </c>
      <c r="BE40" s="201">
        <f t="shared" si="67"/>
        <v>18.477680366500962</v>
      </c>
      <c r="BF40" s="201">
        <f t="shared" si="67"/>
        <v>19.216787581161004</v>
      </c>
      <c r="BG40" s="201">
        <f t="shared" si="67"/>
        <v>19.985459084407445</v>
      </c>
      <c r="BH40" s="201">
        <f t="shared" si="67"/>
        <v>20.784877447783742</v>
      </c>
      <c r="BI40" s="201">
        <f t="shared" si="67"/>
        <v>21.616272545695093</v>
      </c>
      <c r="BJ40" s="201">
        <f t="shared" si="67"/>
        <v>22.480923447522898</v>
      </c>
      <c r="BK40" s="201">
        <f t="shared" si="67"/>
        <v>23.380160385423814</v>
      </c>
    </row>
    <row r="41" spans="1:63">
      <c r="A41" s="511"/>
      <c r="B41" s="511"/>
      <c r="C41" s="519" t="s">
        <v>26</v>
      </c>
      <c r="D41" s="201">
        <f t="shared" ref="D41:V41" si="68">X41*D39</f>
        <v>580130.33674329706</v>
      </c>
      <c r="E41" s="201">
        <f t="shared" si="68"/>
        <v>1113694.5923113907</v>
      </c>
      <c r="F41" s="201">
        <f t="shared" si="68"/>
        <v>1113011.9520274233</v>
      </c>
      <c r="G41" s="201">
        <f t="shared" si="68"/>
        <v>1166845.0415270925</v>
      </c>
      <c r="H41" s="201">
        <f t="shared" si="68"/>
        <v>1273898.1241405937</v>
      </c>
      <c r="I41" s="201">
        <f t="shared" si="68"/>
        <v>1324854.0491062175</v>
      </c>
      <c r="J41" s="201">
        <f t="shared" si="68"/>
        <v>1377848.2110704663</v>
      </c>
      <c r="K41" s="201">
        <f t="shared" si="68"/>
        <v>1436888.0631831842</v>
      </c>
      <c r="L41" s="201">
        <f t="shared" si="68"/>
        <v>1490280.6250938163</v>
      </c>
      <c r="M41" s="201">
        <f t="shared" si="68"/>
        <v>1549891.8500975692</v>
      </c>
      <c r="N41" s="201">
        <f t="shared" si="68"/>
        <v>1611887.5241014722</v>
      </c>
      <c r="O41" s="201">
        <f t="shared" si="68"/>
        <v>1680955.8004766693</v>
      </c>
      <c r="P41" s="201">
        <f t="shared" si="68"/>
        <v>1743417.5460681522</v>
      </c>
      <c r="Q41" s="201">
        <f t="shared" si="68"/>
        <v>1813154.2479108786</v>
      </c>
      <c r="R41" s="201">
        <f t="shared" si="68"/>
        <v>1885680.4178273138</v>
      </c>
      <c r="S41" s="201">
        <f t="shared" si="68"/>
        <v>1966480.5321692841</v>
      </c>
      <c r="T41" s="201">
        <f t="shared" si="68"/>
        <v>2039551.9399220229</v>
      </c>
      <c r="U41" s="201">
        <f t="shared" si="68"/>
        <v>2121134.0175189036</v>
      </c>
      <c r="V41" s="201">
        <f t="shared" si="68"/>
        <v>2205979.3782196599</v>
      </c>
      <c r="X41" s="522">
        <f>'Прогноз прочих'!F51</f>
        <v>0.08</v>
      </c>
      <c r="Y41" s="522">
        <f>'Прогноз прочих'!G51</f>
        <v>7.0000000000000007E-2</v>
      </c>
      <c r="Z41" s="522">
        <f>'Прогноз прочих'!H51</f>
        <v>0.06</v>
      </c>
      <c r="AA41" s="522">
        <f>'Прогноз прочих'!I51</f>
        <v>0.06</v>
      </c>
      <c r="AB41" s="522">
        <f>'Прогноз прочих'!J51</f>
        <v>0.06</v>
      </c>
      <c r="AC41" s="522">
        <f>AB41</f>
        <v>0.06</v>
      </c>
      <c r="AD41" s="522">
        <f t="shared" si="63"/>
        <v>0.06</v>
      </c>
      <c r="AE41" s="522">
        <f t="shared" si="63"/>
        <v>0.06</v>
      </c>
      <c r="AF41" s="522">
        <f t="shared" si="63"/>
        <v>0.06</v>
      </c>
      <c r="AG41" s="522">
        <f t="shared" si="63"/>
        <v>0.06</v>
      </c>
      <c r="AH41" s="522">
        <f t="shared" si="63"/>
        <v>0.06</v>
      </c>
      <c r="AI41" s="522">
        <f t="shared" si="63"/>
        <v>0.06</v>
      </c>
      <c r="AJ41" s="522">
        <f t="shared" si="63"/>
        <v>0.06</v>
      </c>
      <c r="AK41" s="522">
        <f t="shared" si="63"/>
        <v>0.06</v>
      </c>
      <c r="AL41" s="522">
        <f t="shared" si="63"/>
        <v>0.06</v>
      </c>
      <c r="AM41" s="522">
        <f t="shared" si="63"/>
        <v>0.06</v>
      </c>
      <c r="AN41" s="522">
        <f t="shared" si="63"/>
        <v>0.06</v>
      </c>
      <c r="AO41" s="522">
        <f t="shared" si="63"/>
        <v>0.06</v>
      </c>
      <c r="AP41" s="522">
        <f t="shared" si="63"/>
        <v>0.06</v>
      </c>
      <c r="AS41" s="201">
        <f t="shared" si="66"/>
        <v>18.465767423999999</v>
      </c>
      <c r="AT41" s="201">
        <f t="shared" si="66"/>
        <v>13.886513571840002</v>
      </c>
      <c r="AU41" s="201">
        <f t="shared" si="66"/>
        <v>13.107001717555201</v>
      </c>
      <c r="AV41" s="201">
        <f t="shared" si="66"/>
        <v>12.982173129768958</v>
      </c>
      <c r="AW41" s="201">
        <f t="shared" si="66"/>
        <v>13.50146005495972</v>
      </c>
      <c r="AX41" s="201">
        <f t="shared" si="66"/>
        <v>14.041518457158109</v>
      </c>
      <c r="AY41" s="201">
        <f t="shared" si="66"/>
        <v>14.603179195444435</v>
      </c>
      <c r="AZ41" s="201">
        <f t="shared" si="66"/>
        <v>15.187306363262211</v>
      </c>
      <c r="BA41" s="201">
        <f t="shared" si="66"/>
        <v>15.794798617792699</v>
      </c>
      <c r="BB41" s="201">
        <f t="shared" si="66"/>
        <v>16.426590562504408</v>
      </c>
      <c r="BC41" s="201">
        <f t="shared" si="67"/>
        <v>17.08365418500459</v>
      </c>
      <c r="BD41" s="201">
        <f t="shared" si="67"/>
        <v>17.767000352404771</v>
      </c>
      <c r="BE41" s="201">
        <f t="shared" si="67"/>
        <v>18.477680366500962</v>
      </c>
      <c r="BF41" s="201">
        <f t="shared" si="67"/>
        <v>19.216787581161004</v>
      </c>
      <c r="BG41" s="201">
        <f t="shared" si="67"/>
        <v>19.985459084407445</v>
      </c>
      <c r="BH41" s="201">
        <f t="shared" si="67"/>
        <v>20.784877447783742</v>
      </c>
      <c r="BI41" s="201">
        <f t="shared" si="67"/>
        <v>21.616272545695093</v>
      </c>
      <c r="BJ41" s="201">
        <f t="shared" si="67"/>
        <v>22.480923447522898</v>
      </c>
      <c r="BK41" s="201">
        <f t="shared" si="67"/>
        <v>23.380160385423814</v>
      </c>
    </row>
    <row r="42" spans="1:63">
      <c r="A42" s="511"/>
      <c r="B42" s="511"/>
      <c r="C42" s="521" t="s">
        <v>28</v>
      </c>
      <c r="D42" s="556">
        <f>D40+D41</f>
        <v>1232776.9655795062</v>
      </c>
      <c r="E42" s="556">
        <f t="shared" ref="E42:V42" si="69">E40+E41</f>
        <v>2227389.1846227814</v>
      </c>
      <c r="F42" s="556">
        <f t="shared" si="69"/>
        <v>2226023.9040548466</v>
      </c>
      <c r="G42" s="556">
        <f t="shared" si="69"/>
        <v>2333690.0830541849</v>
      </c>
      <c r="H42" s="556">
        <f t="shared" si="69"/>
        <v>2547796.2482811874</v>
      </c>
      <c r="I42" s="556">
        <f t="shared" si="69"/>
        <v>2649708.0982124349</v>
      </c>
      <c r="J42" s="556">
        <f t="shared" si="69"/>
        <v>2755696.4221409326</v>
      </c>
      <c r="K42" s="556">
        <f t="shared" si="69"/>
        <v>2873776.1263663685</v>
      </c>
      <c r="L42" s="556">
        <f t="shared" si="69"/>
        <v>2980561.2501876326</v>
      </c>
      <c r="M42" s="556">
        <f t="shared" si="69"/>
        <v>3099783.7001951383</v>
      </c>
      <c r="N42" s="556">
        <f t="shared" si="69"/>
        <v>3223775.0482029445</v>
      </c>
      <c r="O42" s="556">
        <f t="shared" si="69"/>
        <v>3361911.6009533387</v>
      </c>
      <c r="P42" s="556">
        <f t="shared" si="69"/>
        <v>3486835.0921363044</v>
      </c>
      <c r="Q42" s="556">
        <f t="shared" si="69"/>
        <v>3626308.4958217572</v>
      </c>
      <c r="R42" s="556">
        <f t="shared" si="69"/>
        <v>3771360.8356546275</v>
      </c>
      <c r="S42" s="556">
        <f t="shared" si="69"/>
        <v>3932961.0643385681</v>
      </c>
      <c r="T42" s="556">
        <f t="shared" si="69"/>
        <v>4079103.8798440457</v>
      </c>
      <c r="U42" s="556">
        <f t="shared" si="69"/>
        <v>4242268.0350378072</v>
      </c>
      <c r="V42" s="556">
        <f t="shared" si="69"/>
        <v>4411958.7564393198</v>
      </c>
      <c r="X42" s="559">
        <f t="shared" ref="X42:AP42" si="70">D42/D39</f>
        <v>0.17</v>
      </c>
      <c r="Y42" s="559">
        <f t="shared" si="70"/>
        <v>0.14000000000000001</v>
      </c>
      <c r="Z42" s="559">
        <f t="shared" si="70"/>
        <v>0.12</v>
      </c>
      <c r="AA42" s="559">
        <f t="shared" si="70"/>
        <v>0.11999999999999998</v>
      </c>
      <c r="AB42" s="559">
        <f t="shared" si="70"/>
        <v>0.12</v>
      </c>
      <c r="AC42" s="559">
        <f t="shared" si="70"/>
        <v>0.12</v>
      </c>
      <c r="AD42" s="559">
        <f t="shared" si="70"/>
        <v>0.12</v>
      </c>
      <c r="AE42" s="559">
        <f t="shared" si="70"/>
        <v>0.12</v>
      </c>
      <c r="AF42" s="559">
        <f t="shared" si="70"/>
        <v>0.12</v>
      </c>
      <c r="AG42" s="559">
        <f t="shared" si="70"/>
        <v>0.12</v>
      </c>
      <c r="AH42" s="559">
        <f t="shared" si="70"/>
        <v>0.12</v>
      </c>
      <c r="AI42" s="559">
        <f t="shared" si="70"/>
        <v>0.12</v>
      </c>
      <c r="AJ42" s="559">
        <f t="shared" si="70"/>
        <v>0.12</v>
      </c>
      <c r="AK42" s="559">
        <f t="shared" si="70"/>
        <v>0.12</v>
      </c>
      <c r="AL42" s="559">
        <f t="shared" si="70"/>
        <v>0.12</v>
      </c>
      <c r="AM42" s="559">
        <f t="shared" si="70"/>
        <v>0.12</v>
      </c>
      <c r="AN42" s="559">
        <f t="shared" si="70"/>
        <v>0.12</v>
      </c>
      <c r="AO42" s="559">
        <f t="shared" si="70"/>
        <v>0.12</v>
      </c>
      <c r="AP42" s="559">
        <f t="shared" si="70"/>
        <v>0.12</v>
      </c>
      <c r="AS42" s="556">
        <f>AS41+AS40</f>
        <v>39.239755775999996</v>
      </c>
      <c r="AT42" s="556">
        <f t="shared" ref="AT42:BK42" si="71">AT41+AT40</f>
        <v>27.773027143680004</v>
      </c>
      <c r="AU42" s="556">
        <f t="shared" si="71"/>
        <v>26.214003435110403</v>
      </c>
      <c r="AV42" s="556">
        <f t="shared" si="71"/>
        <v>25.964346259537916</v>
      </c>
      <c r="AW42" s="556">
        <f t="shared" si="71"/>
        <v>27.00292010991944</v>
      </c>
      <c r="AX42" s="556">
        <f t="shared" si="71"/>
        <v>28.083036914316217</v>
      </c>
      <c r="AY42" s="556">
        <f t="shared" si="71"/>
        <v>29.20635839088887</v>
      </c>
      <c r="AZ42" s="556">
        <f t="shared" si="71"/>
        <v>30.374612726524422</v>
      </c>
      <c r="BA42" s="556">
        <f t="shared" si="71"/>
        <v>31.589597235585398</v>
      </c>
      <c r="BB42" s="556">
        <f t="shared" si="71"/>
        <v>32.853181125008817</v>
      </c>
      <c r="BC42" s="556">
        <f t="shared" si="71"/>
        <v>34.167308370009181</v>
      </c>
      <c r="BD42" s="556">
        <f t="shared" si="71"/>
        <v>35.534000704809543</v>
      </c>
      <c r="BE42" s="556">
        <f t="shared" si="71"/>
        <v>36.955360733001925</v>
      </c>
      <c r="BF42" s="556">
        <f t="shared" si="71"/>
        <v>38.433575162322008</v>
      </c>
      <c r="BG42" s="556">
        <f t="shared" si="71"/>
        <v>39.97091816881489</v>
      </c>
      <c r="BH42" s="556">
        <f t="shared" si="71"/>
        <v>41.569754895567485</v>
      </c>
      <c r="BI42" s="556">
        <f t="shared" si="71"/>
        <v>43.232545091390186</v>
      </c>
      <c r="BJ42" s="556">
        <f t="shared" si="71"/>
        <v>44.961846895045795</v>
      </c>
      <c r="BK42" s="556">
        <f t="shared" si="71"/>
        <v>46.760320770847628</v>
      </c>
    </row>
    <row r="43" spans="1:63">
      <c r="A43" s="511"/>
      <c r="B43" s="511"/>
      <c r="C43" s="521" t="s">
        <v>18</v>
      </c>
      <c r="D43" s="556">
        <f>D39-D42</f>
        <v>6018852.2437117072</v>
      </c>
      <c r="E43" s="556">
        <f t="shared" ref="E43:V43" si="72">E39-E42</f>
        <v>13682533.562682798</v>
      </c>
      <c r="F43" s="556">
        <f t="shared" si="72"/>
        <v>16324175.296402209</v>
      </c>
      <c r="G43" s="556">
        <f t="shared" si="72"/>
        <v>17113727.275730692</v>
      </c>
      <c r="H43" s="556">
        <f t="shared" si="72"/>
        <v>18683839.15406204</v>
      </c>
      <c r="I43" s="556">
        <f t="shared" si="72"/>
        <v>19431192.720224522</v>
      </c>
      <c r="J43" s="556">
        <f t="shared" si="72"/>
        <v>20208440.429033507</v>
      </c>
      <c r="K43" s="556">
        <f t="shared" si="72"/>
        <v>21074358.260020036</v>
      </c>
      <c r="L43" s="556">
        <f t="shared" si="72"/>
        <v>21857449.168042641</v>
      </c>
      <c r="M43" s="556">
        <f t="shared" si="72"/>
        <v>22731747.134764351</v>
      </c>
      <c r="N43" s="556">
        <f t="shared" si="72"/>
        <v>23641017.020154927</v>
      </c>
      <c r="O43" s="556">
        <f t="shared" si="72"/>
        <v>24654018.406991154</v>
      </c>
      <c r="P43" s="556">
        <f t="shared" si="72"/>
        <v>25570124.008999567</v>
      </c>
      <c r="Q43" s="556">
        <f t="shared" si="72"/>
        <v>26592928.969359554</v>
      </c>
      <c r="R43" s="556">
        <f t="shared" si="72"/>
        <v>27656646.128133938</v>
      </c>
      <c r="S43" s="556">
        <f t="shared" si="72"/>
        <v>28841714.471816167</v>
      </c>
      <c r="T43" s="556">
        <f t="shared" si="72"/>
        <v>29913428.452189669</v>
      </c>
      <c r="U43" s="556">
        <f t="shared" si="72"/>
        <v>31109965.590277255</v>
      </c>
      <c r="V43" s="556">
        <f t="shared" si="72"/>
        <v>32354364.213888347</v>
      </c>
      <c r="X43" s="559">
        <f t="shared" ref="X43:AP43" si="73">D43/D39</f>
        <v>0.83000000000000007</v>
      </c>
      <c r="Y43" s="559">
        <f t="shared" si="73"/>
        <v>0.86</v>
      </c>
      <c r="Z43" s="559">
        <f t="shared" si="73"/>
        <v>0.88</v>
      </c>
      <c r="AA43" s="559">
        <f t="shared" si="73"/>
        <v>0.88</v>
      </c>
      <c r="AB43" s="559">
        <f t="shared" si="73"/>
        <v>0.88</v>
      </c>
      <c r="AC43" s="559">
        <f t="shared" si="73"/>
        <v>0.88</v>
      </c>
      <c r="AD43" s="559">
        <f t="shared" si="73"/>
        <v>0.88</v>
      </c>
      <c r="AE43" s="559">
        <f t="shared" si="73"/>
        <v>0.88</v>
      </c>
      <c r="AF43" s="559">
        <f t="shared" si="73"/>
        <v>0.88</v>
      </c>
      <c r="AG43" s="559">
        <f t="shared" si="73"/>
        <v>0.88</v>
      </c>
      <c r="AH43" s="559">
        <f t="shared" si="73"/>
        <v>0.88</v>
      </c>
      <c r="AI43" s="559">
        <f t="shared" si="73"/>
        <v>0.88000000000000012</v>
      </c>
      <c r="AJ43" s="559">
        <f t="shared" si="73"/>
        <v>0.88</v>
      </c>
      <c r="AK43" s="559">
        <f t="shared" si="73"/>
        <v>0.88</v>
      </c>
      <c r="AL43" s="559">
        <f t="shared" si="73"/>
        <v>0.88</v>
      </c>
      <c r="AM43" s="559">
        <f t="shared" si="73"/>
        <v>0.88</v>
      </c>
      <c r="AN43" s="559">
        <f t="shared" si="73"/>
        <v>0.88</v>
      </c>
      <c r="AO43" s="559">
        <f t="shared" si="73"/>
        <v>0.88</v>
      </c>
      <c r="AP43" s="559">
        <f t="shared" si="73"/>
        <v>0.88</v>
      </c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  <c r="BF43" s="556"/>
      <c r="BG43" s="556"/>
      <c r="BH43" s="556"/>
      <c r="BI43" s="556"/>
      <c r="BJ43" s="556"/>
      <c r="BK43" s="556"/>
    </row>
    <row r="44" spans="1:63">
      <c r="A44" s="572"/>
      <c r="B44" s="572"/>
      <c r="C44" s="550" t="s">
        <v>29</v>
      </c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U44" s="550"/>
      <c r="V44" s="550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M44" s="551"/>
      <c r="AN44" s="551"/>
      <c r="AO44" s="551"/>
      <c r="AP44" s="551"/>
      <c r="AS44" s="550"/>
      <c r="AT44" s="550"/>
      <c r="AU44" s="550"/>
      <c r="AV44" s="550"/>
      <c r="AW44" s="550"/>
      <c r="AX44" s="550"/>
      <c r="AY44" s="550"/>
      <c r="AZ44" s="550"/>
      <c r="BA44" s="550"/>
      <c r="BB44" s="550"/>
      <c r="BC44" s="550"/>
      <c r="BD44" s="550"/>
      <c r="BE44" s="550"/>
      <c r="BF44" s="550"/>
      <c r="BG44" s="550"/>
      <c r="BH44" s="550"/>
      <c r="BI44" s="550"/>
      <c r="BJ44" s="550"/>
      <c r="BK44" s="550"/>
    </row>
    <row r="45" spans="1:63">
      <c r="A45" s="511"/>
      <c r="B45" s="511"/>
      <c r="C45" s="521" t="str">
        <f>C44</f>
        <v>Прочие доходы и доходы от аренды</v>
      </c>
      <c r="D45" s="556">
        <f t="shared" ref="D45:V45" si="74">X45*D14</f>
        <v>0</v>
      </c>
      <c r="E45" s="556">
        <f t="shared" si="74"/>
        <v>0</v>
      </c>
      <c r="F45" s="556">
        <f t="shared" si="74"/>
        <v>0</v>
      </c>
      <c r="G45" s="556">
        <f t="shared" si="74"/>
        <v>0</v>
      </c>
      <c r="H45" s="556">
        <f t="shared" si="74"/>
        <v>0</v>
      </c>
      <c r="I45" s="556">
        <f t="shared" si="74"/>
        <v>0</v>
      </c>
      <c r="J45" s="556">
        <f t="shared" si="74"/>
        <v>0</v>
      </c>
      <c r="K45" s="556">
        <f t="shared" si="74"/>
        <v>0</v>
      </c>
      <c r="L45" s="556">
        <f t="shared" si="74"/>
        <v>0</v>
      </c>
      <c r="M45" s="556">
        <f t="shared" si="74"/>
        <v>0</v>
      </c>
      <c r="N45" s="556">
        <f t="shared" si="74"/>
        <v>0</v>
      </c>
      <c r="O45" s="556">
        <f t="shared" si="74"/>
        <v>0</v>
      </c>
      <c r="P45" s="556">
        <f t="shared" si="74"/>
        <v>0</v>
      </c>
      <c r="Q45" s="556">
        <f t="shared" si="74"/>
        <v>0</v>
      </c>
      <c r="R45" s="556">
        <f t="shared" si="74"/>
        <v>0</v>
      </c>
      <c r="S45" s="556">
        <f t="shared" si="74"/>
        <v>0</v>
      </c>
      <c r="T45" s="556">
        <f t="shared" si="74"/>
        <v>0</v>
      </c>
      <c r="U45" s="556">
        <f t="shared" si="74"/>
        <v>0</v>
      </c>
      <c r="V45" s="556">
        <f t="shared" si="74"/>
        <v>0</v>
      </c>
      <c r="X45" s="522"/>
      <c r="Y45" s="522"/>
      <c r="Z45" s="522"/>
      <c r="AA45" s="522"/>
      <c r="AB45" s="522"/>
      <c r="AC45" s="559">
        <f>AB45</f>
        <v>0</v>
      </c>
      <c r="AD45" s="559">
        <f t="shared" ref="AD45:AP45" si="75">AC45</f>
        <v>0</v>
      </c>
      <c r="AE45" s="559">
        <f t="shared" si="75"/>
        <v>0</v>
      </c>
      <c r="AF45" s="559">
        <f t="shared" si="75"/>
        <v>0</v>
      </c>
      <c r="AG45" s="559">
        <f t="shared" si="75"/>
        <v>0</v>
      </c>
      <c r="AH45" s="559">
        <f t="shared" si="75"/>
        <v>0</v>
      </c>
      <c r="AI45" s="559">
        <f t="shared" si="75"/>
        <v>0</v>
      </c>
      <c r="AJ45" s="559">
        <f t="shared" si="75"/>
        <v>0</v>
      </c>
      <c r="AK45" s="559">
        <f t="shared" si="75"/>
        <v>0</v>
      </c>
      <c r="AL45" s="559">
        <f t="shared" si="75"/>
        <v>0</v>
      </c>
      <c r="AM45" s="559">
        <f t="shared" si="75"/>
        <v>0</v>
      </c>
      <c r="AN45" s="559">
        <f t="shared" si="75"/>
        <v>0</v>
      </c>
      <c r="AO45" s="559">
        <f t="shared" si="75"/>
        <v>0</v>
      </c>
      <c r="AP45" s="559">
        <f t="shared" si="75"/>
        <v>0</v>
      </c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  <c r="BF45" s="556"/>
      <c r="BG45" s="556"/>
      <c r="BH45" s="556"/>
      <c r="BI45" s="556"/>
      <c r="BJ45" s="556"/>
      <c r="BK45" s="556"/>
    </row>
    <row r="46" spans="1:63">
      <c r="A46" s="509"/>
      <c r="B46" s="509"/>
      <c r="C46" s="547" t="s">
        <v>35</v>
      </c>
      <c r="D46" s="548">
        <f>D42+D30+D18+D36</f>
        <v>81051547.746210754</v>
      </c>
      <c r="E46" s="548">
        <f t="shared" ref="E46:V46" si="76">E42+E30+E18+E36</f>
        <v>208950932.84141064</v>
      </c>
      <c r="F46" s="548">
        <f t="shared" si="76"/>
        <v>222494826.3186388</v>
      </c>
      <c r="G46" s="548">
        <f t="shared" si="76"/>
        <v>248383779.23744321</v>
      </c>
      <c r="H46" s="548">
        <f t="shared" si="76"/>
        <v>257003359.27289051</v>
      </c>
      <c r="I46" s="548">
        <f t="shared" si="76"/>
        <v>267283493.64380616</v>
      </c>
      <c r="J46" s="548">
        <f t="shared" si="76"/>
        <v>277974833.38955843</v>
      </c>
      <c r="K46" s="548">
        <f t="shared" si="76"/>
        <v>289885864.60657954</v>
      </c>
      <c r="L46" s="548">
        <f t="shared" si="76"/>
        <v>300657579.79414642</v>
      </c>
      <c r="M46" s="548">
        <f t="shared" si="76"/>
        <v>312683882.98591226</v>
      </c>
      <c r="N46" s="548">
        <f t="shared" si="76"/>
        <v>325191238.30534875</v>
      </c>
      <c r="O46" s="548">
        <f t="shared" si="76"/>
        <v>339125460.13300812</v>
      </c>
      <c r="P46" s="548">
        <f t="shared" si="76"/>
        <v>351726843.35106528</v>
      </c>
      <c r="Q46" s="548">
        <f t="shared" si="76"/>
        <v>365795917.08510792</v>
      </c>
      <c r="R46" s="548">
        <f t="shared" si="76"/>
        <v>380427753.76851225</v>
      </c>
      <c r="S46" s="548">
        <f t="shared" si="76"/>
        <v>396728822.4505384</v>
      </c>
      <c r="T46" s="548">
        <f t="shared" si="76"/>
        <v>411470658.47602284</v>
      </c>
      <c r="U46" s="548">
        <f t="shared" si="76"/>
        <v>427929484.81506383</v>
      </c>
      <c r="V46" s="548">
        <f t="shared" si="76"/>
        <v>445046664.20766634</v>
      </c>
      <c r="X46" s="573">
        <f t="shared" ref="X46:AP46" si="77">D46/D12</f>
        <v>0.36054877888398423</v>
      </c>
      <c r="Y46" s="573">
        <f t="shared" si="77"/>
        <v>0.33189026541635469</v>
      </c>
      <c r="Z46" s="573">
        <f t="shared" si="77"/>
        <v>0.3075436271590658</v>
      </c>
      <c r="AA46" s="573">
        <f t="shared" si="77"/>
        <v>0.28382378167641326</v>
      </c>
      <c r="AB46" s="573">
        <f t="shared" si="77"/>
        <v>0.27100157109190887</v>
      </c>
      <c r="AC46" s="573">
        <f t="shared" si="77"/>
        <v>0.27100157109190892</v>
      </c>
      <c r="AD46" s="573">
        <f t="shared" si="77"/>
        <v>0.27100157109190887</v>
      </c>
      <c r="AE46" s="573">
        <f t="shared" si="77"/>
        <v>0.27100157109190892</v>
      </c>
      <c r="AF46" s="573">
        <f t="shared" si="77"/>
        <v>0.27100157109190892</v>
      </c>
      <c r="AG46" s="573">
        <f t="shared" si="77"/>
        <v>0.27100157109190887</v>
      </c>
      <c r="AH46" s="573">
        <f t="shared" si="77"/>
        <v>0.27100157109190887</v>
      </c>
      <c r="AI46" s="573">
        <f t="shared" si="77"/>
        <v>0.27100157109190887</v>
      </c>
      <c r="AJ46" s="573">
        <f t="shared" si="77"/>
        <v>0.27100157109190892</v>
      </c>
      <c r="AK46" s="573">
        <f t="shared" si="77"/>
        <v>0.27100157109190892</v>
      </c>
      <c r="AL46" s="573">
        <f t="shared" si="77"/>
        <v>0.27100157109190892</v>
      </c>
      <c r="AM46" s="573">
        <f t="shared" si="77"/>
        <v>0.27100157109190892</v>
      </c>
      <c r="AN46" s="573">
        <f t="shared" si="77"/>
        <v>0.27100157109190887</v>
      </c>
      <c r="AO46" s="573">
        <f t="shared" si="77"/>
        <v>0.27100157109190898</v>
      </c>
      <c r="AP46" s="573">
        <f t="shared" si="77"/>
        <v>0.27100157109190892</v>
      </c>
      <c r="AS46" s="548"/>
      <c r="AT46" s="548"/>
      <c r="AU46" s="548"/>
      <c r="AV46" s="548"/>
      <c r="AW46" s="548"/>
      <c r="AX46" s="548"/>
      <c r="AY46" s="548"/>
      <c r="AZ46" s="548"/>
      <c r="BA46" s="548"/>
      <c r="BB46" s="548"/>
      <c r="BC46" s="548"/>
      <c r="BD46" s="548"/>
      <c r="BE46" s="548"/>
      <c r="BF46" s="548"/>
      <c r="BG46" s="548"/>
      <c r="BH46" s="548"/>
      <c r="BI46" s="548"/>
      <c r="BJ46" s="548"/>
      <c r="BK46" s="548"/>
    </row>
    <row r="47" spans="1:63">
      <c r="A47" s="509"/>
      <c r="B47" s="509"/>
      <c r="C47" s="547" t="s">
        <v>20</v>
      </c>
      <c r="D47" s="548">
        <f>D12-D46</f>
        <v>143748957.74181688</v>
      </c>
      <c r="E47" s="548">
        <f t="shared" ref="E47:V47" si="78">E12-E46</f>
        <v>420627438.73053873</v>
      </c>
      <c r="F47" s="548">
        <f t="shared" si="78"/>
        <v>500962942.49918628</v>
      </c>
      <c r="G47" s="548">
        <f t="shared" si="78"/>
        <v>626750001.90787637</v>
      </c>
      <c r="H47" s="1035">
        <f t="shared" si="78"/>
        <v>691343022.03177381</v>
      </c>
      <c r="I47" s="548">
        <f t="shared" si="78"/>
        <v>718996742.91304469</v>
      </c>
      <c r="J47" s="548">
        <f t="shared" si="78"/>
        <v>747756612.62956667</v>
      </c>
      <c r="K47" s="548">
        <f t="shared" si="78"/>
        <v>779797471.31868005</v>
      </c>
      <c r="L47" s="548">
        <f t="shared" si="78"/>
        <v>808773552.22013915</v>
      </c>
      <c r="M47" s="548">
        <f t="shared" si="78"/>
        <v>841124494.30894494</v>
      </c>
      <c r="N47" s="548">
        <f t="shared" si="78"/>
        <v>874769474.08130276</v>
      </c>
      <c r="O47" s="548">
        <f t="shared" si="78"/>
        <v>912252746.88851273</v>
      </c>
      <c r="P47" s="548">
        <f t="shared" si="78"/>
        <v>946150663.16633713</v>
      </c>
      <c r="Q47" s="548">
        <f t="shared" si="78"/>
        <v>983996689.69299066</v>
      </c>
      <c r="R47" s="548">
        <f t="shared" si="78"/>
        <v>1023356557.2807102</v>
      </c>
      <c r="S47" s="548">
        <f t="shared" si="78"/>
        <v>1067206684.8310399</v>
      </c>
      <c r="T47" s="548">
        <f t="shared" si="78"/>
        <v>1106862452.3548164</v>
      </c>
      <c r="U47" s="548">
        <f t="shared" si="78"/>
        <v>1151136950.4490089</v>
      </c>
      <c r="V47" s="548">
        <f t="shared" si="78"/>
        <v>1197182428.4669693</v>
      </c>
      <c r="X47" s="573">
        <f t="shared" ref="X47:AP47" si="79">D47/D12</f>
        <v>0.63945122111601582</v>
      </c>
      <c r="Y47" s="573">
        <f t="shared" si="79"/>
        <v>0.66810973458364531</v>
      </c>
      <c r="Z47" s="573">
        <f t="shared" si="79"/>
        <v>0.6924563728409342</v>
      </c>
      <c r="AA47" s="573">
        <f t="shared" si="79"/>
        <v>0.71617621832358669</v>
      </c>
      <c r="AB47" s="573">
        <f t="shared" si="79"/>
        <v>0.72899842890809119</v>
      </c>
      <c r="AC47" s="573">
        <f t="shared" si="79"/>
        <v>0.72899842890809108</v>
      </c>
      <c r="AD47" s="573">
        <f t="shared" si="79"/>
        <v>0.72899842890809108</v>
      </c>
      <c r="AE47" s="573">
        <f t="shared" si="79"/>
        <v>0.72899842890809108</v>
      </c>
      <c r="AF47" s="573">
        <f t="shared" si="79"/>
        <v>0.72899842890809108</v>
      </c>
      <c r="AG47" s="573">
        <f t="shared" si="79"/>
        <v>0.72899842890809108</v>
      </c>
      <c r="AH47" s="573">
        <f t="shared" si="79"/>
        <v>0.72899842890809108</v>
      </c>
      <c r="AI47" s="573">
        <f t="shared" si="79"/>
        <v>0.72899842890809119</v>
      </c>
      <c r="AJ47" s="573">
        <f t="shared" si="79"/>
        <v>0.72899842890809108</v>
      </c>
      <c r="AK47" s="573">
        <f t="shared" si="79"/>
        <v>0.72899842890809108</v>
      </c>
      <c r="AL47" s="573">
        <f t="shared" si="79"/>
        <v>0.72899842890809108</v>
      </c>
      <c r="AM47" s="573">
        <f t="shared" si="79"/>
        <v>0.72899842890809108</v>
      </c>
      <c r="AN47" s="573">
        <f t="shared" si="79"/>
        <v>0.72899842890809119</v>
      </c>
      <c r="AO47" s="573">
        <f t="shared" si="79"/>
        <v>0.72899842890809108</v>
      </c>
      <c r="AP47" s="573">
        <f t="shared" si="79"/>
        <v>0.72899842890809108</v>
      </c>
      <c r="AS47" s="548"/>
      <c r="AT47" s="548"/>
      <c r="AU47" s="548"/>
      <c r="AV47" s="548"/>
      <c r="AW47" s="548"/>
      <c r="AX47" s="548"/>
      <c r="AY47" s="548"/>
      <c r="AZ47" s="548"/>
      <c r="BA47" s="548"/>
      <c r="BB47" s="548"/>
      <c r="BC47" s="548"/>
      <c r="BD47" s="548"/>
      <c r="BE47" s="548"/>
      <c r="BF47" s="548"/>
      <c r="BG47" s="548"/>
      <c r="BH47" s="548"/>
      <c r="BI47" s="548"/>
      <c r="BJ47" s="548"/>
      <c r="BK47" s="548"/>
    </row>
    <row r="48" spans="1:63" s="1133" customFormat="1">
      <c r="A48" s="1131"/>
      <c r="B48" s="1131"/>
      <c r="C48" s="1628" t="s">
        <v>1285</v>
      </c>
      <c r="D48" s="1629">
        <f>D47/D7</f>
        <v>373373.91621251137</v>
      </c>
      <c r="E48" s="1629">
        <f>E47/E7</f>
        <v>1092538.8018975032</v>
      </c>
      <c r="F48" s="1629">
        <f>F47/F7</f>
        <v>1301202.4480498345</v>
      </c>
      <c r="G48" s="1629">
        <f>G47/G7</f>
        <v>1627922.082877601</v>
      </c>
      <c r="H48" s="1629">
        <f>H47/H7</f>
        <v>1795696.1611214904</v>
      </c>
      <c r="I48" s="1629">
        <f t="shared" ref="I48:V48" si="80">I47/I7</f>
        <v>1867524.0075663498</v>
      </c>
      <c r="J48" s="1629">
        <f t="shared" si="80"/>
        <v>1942224.9678690042</v>
      </c>
      <c r="K48" s="1629">
        <f t="shared" si="80"/>
        <v>2025447.977451117</v>
      </c>
      <c r="L48" s="1629">
        <f t="shared" si="80"/>
        <v>2100710.5252471147</v>
      </c>
      <c r="M48" s="1629">
        <f t="shared" si="80"/>
        <v>2184738.9462569999</v>
      </c>
      <c r="N48" s="1629">
        <f t="shared" si="80"/>
        <v>2272128.5041072797</v>
      </c>
      <c r="O48" s="1629">
        <f t="shared" si="80"/>
        <v>2369487.6542558772</v>
      </c>
      <c r="P48" s="1629">
        <f t="shared" si="80"/>
        <v>2457534.1900424343</v>
      </c>
      <c r="Q48" s="1629">
        <f t="shared" si="80"/>
        <v>2555835.5576441316</v>
      </c>
      <c r="R48" s="1629">
        <f t="shared" si="80"/>
        <v>2658068.9799498967</v>
      </c>
      <c r="S48" s="1629">
        <f t="shared" si="80"/>
        <v>2771965.4151455583</v>
      </c>
      <c r="T48" s="1629">
        <f t="shared" si="80"/>
        <v>2874967.4087138087</v>
      </c>
      <c r="U48" s="1629">
        <f t="shared" si="80"/>
        <v>2989966.1050623609</v>
      </c>
      <c r="V48" s="1629">
        <f t="shared" si="80"/>
        <v>3109564.7492648554</v>
      </c>
      <c r="W48" s="197"/>
      <c r="X48" s="1134"/>
      <c r="Y48" s="1134"/>
      <c r="Z48" s="1134"/>
      <c r="AA48" s="1134"/>
      <c r="AB48" s="1134"/>
      <c r="AC48" s="1134"/>
      <c r="AD48" s="1134"/>
      <c r="AE48" s="1134"/>
      <c r="AF48" s="1134"/>
      <c r="AG48" s="1134"/>
      <c r="AH48" s="1134"/>
      <c r="AI48" s="1134"/>
      <c r="AJ48" s="1134"/>
      <c r="AK48" s="1134"/>
      <c r="AL48" s="1134"/>
      <c r="AM48" s="1134"/>
      <c r="AN48" s="1134"/>
      <c r="AO48" s="1134"/>
      <c r="AP48" s="1134"/>
      <c r="AS48" s="1132"/>
      <c r="AT48" s="1132"/>
      <c r="AU48" s="1132"/>
      <c r="AV48" s="1132"/>
      <c r="AW48" s="1132"/>
      <c r="AX48" s="1132"/>
      <c r="AY48" s="1132"/>
      <c r="AZ48" s="1132"/>
      <c r="BA48" s="1132"/>
      <c r="BB48" s="1132"/>
      <c r="BC48" s="1132"/>
      <c r="BD48" s="1132"/>
      <c r="BE48" s="1132"/>
      <c r="BF48" s="1132"/>
      <c r="BG48" s="1132"/>
      <c r="BH48" s="1132"/>
      <c r="BI48" s="1132"/>
      <c r="BJ48" s="1132"/>
      <c r="BK48" s="1132"/>
    </row>
    <row r="49" spans="1:63" s="1133" customFormat="1">
      <c r="A49" s="1131"/>
      <c r="B49" s="1131"/>
      <c r="C49" s="1135"/>
      <c r="D49" s="1136"/>
      <c r="E49" s="1136"/>
      <c r="F49" s="1136"/>
      <c r="G49" s="1136"/>
      <c r="H49" s="1136"/>
      <c r="I49" s="1136"/>
      <c r="J49" s="1136"/>
      <c r="K49" s="1136"/>
      <c r="L49" s="1136"/>
      <c r="M49" s="1136"/>
      <c r="N49" s="1136"/>
      <c r="O49" s="1136"/>
      <c r="P49" s="1136"/>
      <c r="Q49" s="1136"/>
      <c r="R49" s="1136"/>
      <c r="S49" s="1136"/>
      <c r="T49" s="1136"/>
      <c r="U49" s="1136"/>
      <c r="V49" s="1136"/>
      <c r="X49" s="1137"/>
      <c r="Y49" s="1137"/>
      <c r="Z49" s="1137"/>
      <c r="AA49" s="1137"/>
      <c r="AB49" s="1137"/>
      <c r="AC49" s="1137"/>
      <c r="AD49" s="1137"/>
      <c r="AE49" s="1137"/>
      <c r="AF49" s="1137"/>
      <c r="AG49" s="1137"/>
      <c r="AH49" s="1137"/>
      <c r="AI49" s="1137"/>
      <c r="AJ49" s="1137"/>
      <c r="AK49" s="1137"/>
      <c r="AL49" s="1137"/>
      <c r="AM49" s="1137"/>
      <c r="AN49" s="1137"/>
      <c r="AO49" s="1137"/>
      <c r="AP49" s="1137"/>
      <c r="AS49" s="1136"/>
      <c r="AT49" s="1136"/>
      <c r="AU49" s="1136"/>
      <c r="AV49" s="1136"/>
      <c r="AW49" s="1136"/>
      <c r="AX49" s="1136"/>
      <c r="AY49" s="1136"/>
      <c r="AZ49" s="1136"/>
      <c r="BA49" s="1136"/>
      <c r="BB49" s="1136"/>
      <c r="BC49" s="1136"/>
      <c r="BD49" s="1136"/>
      <c r="BE49" s="1136"/>
      <c r="BF49" s="1136"/>
      <c r="BG49" s="1136"/>
      <c r="BH49" s="1136"/>
      <c r="BI49" s="1136"/>
      <c r="BJ49" s="1136"/>
      <c r="BK49" s="1136"/>
    </row>
    <row r="50" spans="1:63" ht="15" customHeight="1">
      <c r="C50" s="1533" t="s">
        <v>1081</v>
      </c>
      <c r="D50" s="1539">
        <f>D15*D56+D24+D25+D34+D40</f>
        <v>40831360.755454652</v>
      </c>
      <c r="E50" s="1534">
        <f t="shared" ref="E50:V50" si="81">E15*E56+E24+E25+E34+E40</f>
        <v>97518962.647027671</v>
      </c>
      <c r="F50" s="1534">
        <f t="shared" si="81"/>
        <v>82875528.601428613</v>
      </c>
      <c r="G50" s="1534">
        <f t="shared" si="81"/>
        <v>73770536.514323965</v>
      </c>
      <c r="H50" s="1534">
        <f t="shared" si="81"/>
        <v>78061646.162615255</v>
      </c>
      <c r="I50" s="1534">
        <f t="shared" si="81"/>
        <v>81184112.009119883</v>
      </c>
      <c r="J50" s="1534">
        <f t="shared" si="81"/>
        <v>84431476.489484683</v>
      </c>
      <c r="K50" s="1534">
        <f t="shared" si="81"/>
        <v>88049307.427280694</v>
      </c>
      <c r="L50" s="1534">
        <f t="shared" si="81"/>
        <v>91321084.971026629</v>
      </c>
      <c r="M50" s="1534">
        <f t="shared" si="81"/>
        <v>94973928.369867712</v>
      </c>
      <c r="N50" s="1534">
        <f t="shared" si="81"/>
        <v>98772885.504662424</v>
      </c>
      <c r="O50" s="1534">
        <f t="shared" si="81"/>
        <v>103005235.99587591</v>
      </c>
      <c r="P50" s="1534">
        <f t="shared" si="81"/>
        <v>106832752.96184289</v>
      </c>
      <c r="Q50" s="1534">
        <f t="shared" si="81"/>
        <v>111106063.08031662</v>
      </c>
      <c r="R50" s="1534">
        <f t="shared" si="81"/>
        <v>115550305.60352929</v>
      </c>
      <c r="S50" s="1534">
        <f t="shared" si="81"/>
        <v>120501557.05459557</v>
      </c>
      <c r="T50" s="1534">
        <f t="shared" si="81"/>
        <v>124979210.54077728</v>
      </c>
      <c r="U50" s="1534">
        <f t="shared" si="81"/>
        <v>129978378.96240838</v>
      </c>
      <c r="V50" s="1534">
        <f t="shared" si="81"/>
        <v>135177514.12090471</v>
      </c>
      <c r="W50" s="534"/>
      <c r="X50" s="1540"/>
      <c r="AM50" s="197"/>
      <c r="AN50" s="197"/>
      <c r="AO50" s="197"/>
      <c r="AP50" s="197"/>
      <c r="AS50" s="823"/>
    </row>
    <row r="51" spans="1:63">
      <c r="A51" s="509"/>
      <c r="B51" s="509"/>
      <c r="D51" s="1536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</row>
    <row r="52" spans="1:63">
      <c r="A52" s="509"/>
      <c r="B52" s="509"/>
      <c r="C52" s="2" t="s">
        <v>815</v>
      </c>
      <c r="D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</row>
    <row r="53" spans="1:63">
      <c r="A53" s="509"/>
      <c r="B53" s="509"/>
      <c r="C53" s="1069" t="str">
        <f>C3</f>
        <v>Туристские резиденции</v>
      </c>
      <c r="D53" s="1063">
        <f>D3</f>
        <v>2025</v>
      </c>
      <c r="E53" s="1045">
        <f t="shared" ref="E53:V53" si="82">E3</f>
        <v>2026</v>
      </c>
      <c r="F53" s="1841">
        <f t="shared" si="82"/>
        <v>2027</v>
      </c>
      <c r="G53" s="1045">
        <f t="shared" si="82"/>
        <v>2028</v>
      </c>
      <c r="H53" s="1045">
        <f t="shared" si="82"/>
        <v>2029</v>
      </c>
      <c r="I53" s="1045">
        <f t="shared" si="82"/>
        <v>2030</v>
      </c>
      <c r="J53" s="1045">
        <f t="shared" si="82"/>
        <v>2031</v>
      </c>
      <c r="K53" s="1045">
        <f t="shared" si="82"/>
        <v>2032</v>
      </c>
      <c r="L53" s="1045">
        <f t="shared" si="82"/>
        <v>2033</v>
      </c>
      <c r="M53" s="1045">
        <f t="shared" si="82"/>
        <v>2034</v>
      </c>
      <c r="N53" s="1045">
        <f t="shared" si="82"/>
        <v>2035</v>
      </c>
      <c r="O53" s="1045">
        <f t="shared" si="82"/>
        <v>2036</v>
      </c>
      <c r="P53" s="1045">
        <f t="shared" si="82"/>
        <v>2037</v>
      </c>
      <c r="Q53" s="1045">
        <f t="shared" si="82"/>
        <v>2038</v>
      </c>
      <c r="R53" s="1045">
        <f t="shared" si="82"/>
        <v>2039</v>
      </c>
      <c r="S53" s="1045">
        <f t="shared" si="82"/>
        <v>2040</v>
      </c>
      <c r="T53" s="1045">
        <f t="shared" si="82"/>
        <v>2041</v>
      </c>
      <c r="U53" s="1045">
        <f t="shared" si="82"/>
        <v>2042</v>
      </c>
      <c r="V53" s="1045">
        <f t="shared" si="82"/>
        <v>2043</v>
      </c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</row>
    <row r="54" spans="1:63">
      <c r="A54" s="509"/>
      <c r="B54" s="509"/>
      <c r="C54" s="512" t="s">
        <v>816</v>
      </c>
      <c r="D54" s="201">
        <f>D7</f>
        <v>385</v>
      </c>
      <c r="E54" s="201">
        <f t="shared" ref="E54:V54" si="83">E7</f>
        <v>385</v>
      </c>
      <c r="F54" s="201">
        <f t="shared" si="83"/>
        <v>385</v>
      </c>
      <c r="G54" s="201">
        <f t="shared" si="83"/>
        <v>385</v>
      </c>
      <c r="H54" s="201">
        <f t="shared" si="83"/>
        <v>385</v>
      </c>
      <c r="I54" s="201">
        <f t="shared" si="83"/>
        <v>385</v>
      </c>
      <c r="J54" s="201">
        <f t="shared" si="83"/>
        <v>385</v>
      </c>
      <c r="K54" s="201">
        <f t="shared" si="83"/>
        <v>385</v>
      </c>
      <c r="L54" s="201">
        <f t="shared" si="83"/>
        <v>385</v>
      </c>
      <c r="M54" s="201">
        <f t="shared" si="83"/>
        <v>385</v>
      </c>
      <c r="N54" s="201">
        <f t="shared" si="83"/>
        <v>385</v>
      </c>
      <c r="O54" s="201">
        <f t="shared" si="83"/>
        <v>385</v>
      </c>
      <c r="P54" s="201">
        <f t="shared" si="83"/>
        <v>385</v>
      </c>
      <c r="Q54" s="201">
        <f t="shared" si="83"/>
        <v>385</v>
      </c>
      <c r="R54" s="201">
        <f t="shared" si="83"/>
        <v>385</v>
      </c>
      <c r="S54" s="201">
        <f t="shared" si="83"/>
        <v>385</v>
      </c>
      <c r="T54" s="201">
        <f t="shared" si="83"/>
        <v>385</v>
      </c>
      <c r="U54" s="201">
        <f t="shared" si="83"/>
        <v>385</v>
      </c>
      <c r="V54" s="208">
        <f t="shared" si="83"/>
        <v>385</v>
      </c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</row>
    <row r="55" spans="1:63">
      <c r="A55" s="509"/>
      <c r="B55" s="509"/>
      <c r="C55" s="512" t="s">
        <v>817</v>
      </c>
      <c r="D55" s="28">
        <f>MIN(D54,LOOKUP(DATE(D53-1,12,31),ПРОДАЖА_lease_back!12:12,ПРОДАЖА_lease_back!21:21)+LOOKUP(DATE(D53,12,31),ПРОДАЖА_lease_back!12:12,ПРОДАЖА_lease_back!21:21)/2)</f>
        <v>0</v>
      </c>
      <c r="E55" s="28">
        <f>MIN(E54,LOOKUP(DATE(E53-1,12,31),ПРОДАЖА_lease_back!12:12,ПРОДАЖА_lease_back!21:21)+LOOKUP(DATE(E53,12,31),ПРОДАЖА_lease_back!12:12,ПРОДАЖА_lease_back!21:21)/2)</f>
        <v>48.125</v>
      </c>
      <c r="F55" s="28">
        <f>MIN(F54,LOOKUP(DATE(F53-1,12,31),ПРОДАЖА_lease_back!12:12,ПРОДАЖА_lease_back!21:21)+LOOKUP(DATE(F53,12,31),ПРОДАЖА_lease_back!12:12,ПРОДАЖА_lease_back!21:21)/2)</f>
        <v>221.375</v>
      </c>
      <c r="G55" s="28">
        <f>MIN(G54,LOOKUP(DATE(G53-1,12,31),ПРОДАЖА_lease_back!12:12,ПРОДАЖА_lease_back!21:21)+LOOKUP(DATE(G53,12,31),ПРОДАЖА_lease_back!12:12,ПРОДАЖА_lease_back!21:21)/2)</f>
        <v>385</v>
      </c>
      <c r="H55" s="28">
        <f>MIN(H54,LOOKUP(DATE(H53-1,12,31),ПРОДАЖА_lease_back!12:12,ПРОДАЖА_lease_back!21:21)+LOOKUP(DATE(H53,12,31),ПРОДАЖА_lease_back!12:12,ПРОДАЖА_lease_back!21:21)/2)</f>
        <v>385</v>
      </c>
      <c r="I55" s="28">
        <f>MIN(I54,LOOKUP(DATE(I53-1,12,31),ПРОДАЖА_lease_back!12:12,ПРОДАЖА_lease_back!21:21)+LOOKUP(DATE(I53,12,31),ПРОДАЖА_lease_back!12:12,ПРОДАЖА_lease_back!21:21)/2)</f>
        <v>385</v>
      </c>
      <c r="J55" s="28">
        <f>MIN(J54,LOOKUP(DATE(J53-1,12,31),ПРОДАЖА_lease_back!12:12,ПРОДАЖА_lease_back!21:21)+LOOKUP(DATE(J53,12,31),ПРОДАЖА_lease_back!12:12,ПРОДАЖА_lease_back!21:21)/2)</f>
        <v>385</v>
      </c>
      <c r="K55" s="28">
        <f>MIN(K54,LOOKUP(DATE(K53-1,12,31),ПРОДАЖА_lease_back!12:12,ПРОДАЖА_lease_back!21:21)+LOOKUP(DATE(K53,12,31),ПРОДАЖА_lease_back!12:12,ПРОДАЖА_lease_back!21:21)/2)</f>
        <v>385</v>
      </c>
      <c r="L55" s="28">
        <f>MIN(L54,LOOKUP(DATE(L53-1,12,31),ПРОДАЖА_lease_back!12:12,ПРОДАЖА_lease_back!21:21)+LOOKUP(DATE(L53,12,31),ПРОДАЖА_lease_back!12:12,ПРОДАЖА_lease_back!21:21)/2)</f>
        <v>385</v>
      </c>
      <c r="M55" s="28">
        <f>MIN(M54,LOOKUP(DATE(M53-1,12,31),ПРОДАЖА_lease_back!12:12,ПРОДАЖА_lease_back!21:21)+LOOKUP(DATE(M53,12,31),ПРОДАЖА_lease_back!12:12,ПРОДАЖА_lease_back!21:21)/2)</f>
        <v>385</v>
      </c>
      <c r="N55" s="28">
        <f>MIN(N54,LOOKUP(DATE(N53-1,12,31),ПРОДАЖА_lease_back!12:12,ПРОДАЖА_lease_back!21:21)+LOOKUP(DATE(N53,12,31),ПРОДАЖА_lease_back!12:12,ПРОДАЖА_lease_back!21:21)/2)</f>
        <v>385</v>
      </c>
      <c r="O55" s="28">
        <f>MIN(O54,LOOKUP(DATE(O53-1,12,31),ПРОДАЖА_lease_back!12:12,ПРОДАЖА_lease_back!21:21)+LOOKUP(DATE(O53,12,31),ПРОДАЖА_lease_back!12:12,ПРОДАЖА_lease_back!21:21)/2)</f>
        <v>385</v>
      </c>
      <c r="P55" s="28">
        <f>MIN(P54,LOOKUP(DATE(P53-1,12,31),ПРОДАЖА_lease_back!12:12,ПРОДАЖА_lease_back!21:21)+LOOKUP(DATE(P53,12,31),ПРОДАЖА_lease_back!12:12,ПРОДАЖА_lease_back!21:21)/2)</f>
        <v>385</v>
      </c>
      <c r="Q55" s="28">
        <f>MIN(Q54,LOOKUP(DATE(Q53-1,12,31),ПРОДАЖА_lease_back!12:12,ПРОДАЖА_lease_back!21:21)+LOOKUP(DATE(Q53,12,31),ПРОДАЖА_lease_back!12:12,ПРОДАЖА_lease_back!21:21)/2)</f>
        <v>385</v>
      </c>
      <c r="R55" s="28">
        <f>MIN(R54,LOOKUP(DATE(R53-1,12,31),ПРОДАЖА_lease_back!12:12,ПРОДАЖА_lease_back!21:21)+LOOKUP(DATE(R53,12,31),ПРОДАЖА_lease_back!12:12,ПРОДАЖА_lease_back!21:21)/2)</f>
        <v>385</v>
      </c>
      <c r="S55" s="28">
        <f>MIN(S54,LOOKUP(DATE(S53-1,12,31),ПРОДАЖА_lease_back!12:12,ПРОДАЖА_lease_back!21:21)+LOOKUP(DATE(S53,12,31),ПРОДАЖА_lease_back!12:12,ПРОДАЖА_lease_back!21:21)/2)</f>
        <v>385</v>
      </c>
      <c r="T55" s="28">
        <f>MIN(T54,LOOKUP(DATE(T53-1,12,31),ПРОДАЖА_lease_back!12:12,ПРОДАЖА_lease_back!21:21)+LOOKUP(DATE(T53,12,31),ПРОДАЖА_lease_back!12:12,ПРОДАЖА_lease_back!21:21)/2)</f>
        <v>385</v>
      </c>
      <c r="U55" s="28">
        <f>MIN(U54,LOOKUP(DATE(U53-1,12,31),ПРОДАЖА_lease_back!12:12,ПРОДАЖА_lease_back!21:21)+LOOKUP(DATE(U53,12,31),ПРОДАЖА_lease_back!12:12,ПРОДАЖА_lease_back!21:21)/2)</f>
        <v>385</v>
      </c>
      <c r="V55" s="28">
        <f>MIN(V54,LOOKUP(DATE(V53-1,12,31),ПРОДАЖА_lease_back!12:12,ПРОДАЖА_lease_back!21:21)+LOOKUP(DATE(V53,12,31),ПРОДАЖА_lease_back!12:12,ПРОДАЖА_lease_back!21:21)/2)</f>
        <v>385</v>
      </c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</row>
    <row r="56" spans="1:63">
      <c r="A56" s="509"/>
      <c r="B56" s="509"/>
      <c r="C56" s="512" t="s">
        <v>800</v>
      </c>
      <c r="D56" s="1138">
        <f>1-D57</f>
        <v>1</v>
      </c>
      <c r="E56" s="1138">
        <f t="shared" ref="E56:V56" si="84">1-E57</f>
        <v>0.875</v>
      </c>
      <c r="F56" s="1138">
        <f t="shared" si="84"/>
        <v>0.42500000000000004</v>
      </c>
      <c r="G56" s="1138">
        <f t="shared" si="84"/>
        <v>0</v>
      </c>
      <c r="H56" s="1138">
        <f t="shared" si="84"/>
        <v>0</v>
      </c>
      <c r="I56" s="1138">
        <f t="shared" si="84"/>
        <v>0</v>
      </c>
      <c r="J56" s="1138">
        <f t="shared" si="84"/>
        <v>0</v>
      </c>
      <c r="K56" s="1138">
        <f t="shared" si="84"/>
        <v>0</v>
      </c>
      <c r="L56" s="1138">
        <f t="shared" si="84"/>
        <v>0</v>
      </c>
      <c r="M56" s="1138">
        <f t="shared" si="84"/>
        <v>0</v>
      </c>
      <c r="N56" s="1138">
        <f t="shared" si="84"/>
        <v>0</v>
      </c>
      <c r="O56" s="1138">
        <f t="shared" si="84"/>
        <v>0</v>
      </c>
      <c r="P56" s="1138">
        <f t="shared" si="84"/>
        <v>0</v>
      </c>
      <c r="Q56" s="1138">
        <f t="shared" si="84"/>
        <v>0</v>
      </c>
      <c r="R56" s="1138">
        <f t="shared" si="84"/>
        <v>0</v>
      </c>
      <c r="S56" s="1138">
        <f t="shared" si="84"/>
        <v>0</v>
      </c>
      <c r="T56" s="1138">
        <f t="shared" si="84"/>
        <v>0</v>
      </c>
      <c r="U56" s="1138">
        <f t="shared" si="84"/>
        <v>0</v>
      </c>
      <c r="V56" s="1138">
        <f t="shared" si="84"/>
        <v>0</v>
      </c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</row>
    <row r="57" spans="1:63">
      <c r="A57" s="509"/>
      <c r="B57" s="509"/>
      <c r="C57" s="512" t="s">
        <v>801</v>
      </c>
      <c r="D57" s="1138">
        <f>D55/D54</f>
        <v>0</v>
      </c>
      <c r="E57" s="1138">
        <f t="shared" ref="E57:V57" si="85">E55/E54</f>
        <v>0.125</v>
      </c>
      <c r="F57" s="1138">
        <f t="shared" si="85"/>
        <v>0.57499999999999996</v>
      </c>
      <c r="G57" s="1138">
        <f t="shared" si="85"/>
        <v>1</v>
      </c>
      <c r="H57" s="1138">
        <f t="shared" si="85"/>
        <v>1</v>
      </c>
      <c r="I57" s="1138">
        <f t="shared" si="85"/>
        <v>1</v>
      </c>
      <c r="J57" s="1138">
        <f t="shared" si="85"/>
        <v>1</v>
      </c>
      <c r="K57" s="1138">
        <f t="shared" si="85"/>
        <v>1</v>
      </c>
      <c r="L57" s="1138">
        <f t="shared" si="85"/>
        <v>1</v>
      </c>
      <c r="M57" s="1138">
        <f t="shared" si="85"/>
        <v>1</v>
      </c>
      <c r="N57" s="1138">
        <f t="shared" si="85"/>
        <v>1</v>
      </c>
      <c r="O57" s="1138">
        <f t="shared" si="85"/>
        <v>1</v>
      </c>
      <c r="P57" s="1138">
        <f t="shared" si="85"/>
        <v>1</v>
      </c>
      <c r="Q57" s="1138">
        <f t="shared" si="85"/>
        <v>1</v>
      </c>
      <c r="R57" s="1138">
        <f t="shared" si="85"/>
        <v>1</v>
      </c>
      <c r="S57" s="1138">
        <f t="shared" si="85"/>
        <v>1</v>
      </c>
      <c r="T57" s="1138">
        <f t="shared" si="85"/>
        <v>1</v>
      </c>
      <c r="U57" s="1138">
        <f t="shared" si="85"/>
        <v>1</v>
      </c>
      <c r="V57" s="1138">
        <f t="shared" si="85"/>
        <v>1</v>
      </c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</row>
    <row r="58" spans="1:63" s="534" customFormat="1" ht="15" customHeight="1">
      <c r="A58" s="197"/>
      <c r="B58" s="197"/>
      <c r="C58" s="1116" t="s">
        <v>720</v>
      </c>
      <c r="D58" s="1117"/>
      <c r="E58" s="1117"/>
      <c r="F58" s="1117"/>
      <c r="G58" s="1117"/>
      <c r="H58" s="1117"/>
      <c r="I58" s="1117"/>
      <c r="J58" s="1117"/>
      <c r="K58" s="1117"/>
      <c r="L58" s="1117"/>
      <c r="M58" s="1117"/>
      <c r="N58" s="1117"/>
      <c r="O58" s="1117"/>
      <c r="P58" s="1117"/>
      <c r="Q58" s="1117"/>
      <c r="R58" s="1117"/>
      <c r="S58" s="1117"/>
      <c r="T58" s="1117"/>
      <c r="U58" s="1117"/>
      <c r="V58" s="1117"/>
      <c r="W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</row>
    <row r="59" spans="1:63" s="534" customFormat="1" ht="15" customHeight="1">
      <c r="A59" s="197"/>
      <c r="B59" s="197"/>
      <c r="C59" s="1118" t="s">
        <v>802</v>
      </c>
      <c r="D59" s="1052">
        <f>D14</f>
        <v>161147315.76202697</v>
      </c>
      <c r="E59" s="1052">
        <f t="shared" ref="E59:V59" si="86">E14</f>
        <v>454569221.35158795</v>
      </c>
      <c r="F59" s="1052">
        <f t="shared" si="86"/>
        <v>530005691.44163007</v>
      </c>
      <c r="G59" s="1052">
        <f t="shared" si="86"/>
        <v>648247245.29282928</v>
      </c>
      <c r="H59" s="1052">
        <f t="shared" si="86"/>
        <v>707721180.0781076</v>
      </c>
      <c r="I59" s="1052">
        <f t="shared" si="86"/>
        <v>736030027.281232</v>
      </c>
      <c r="J59" s="1052">
        <f t="shared" si="86"/>
        <v>765471228.37248135</v>
      </c>
      <c r="K59" s="1052">
        <f t="shared" si="86"/>
        <v>798271146.21288025</v>
      </c>
      <c r="L59" s="1052">
        <f t="shared" si="86"/>
        <v>827933680.60767579</v>
      </c>
      <c r="M59" s="1052">
        <f t="shared" si="86"/>
        <v>861051027.83198297</v>
      </c>
      <c r="N59" s="1052">
        <f t="shared" si="86"/>
        <v>895493068.94526231</v>
      </c>
      <c r="O59" s="1052">
        <f t="shared" si="86"/>
        <v>933864333.59814978</v>
      </c>
      <c r="P59" s="1052">
        <f t="shared" si="86"/>
        <v>968565303.37119579</v>
      </c>
      <c r="Q59" s="1052">
        <f t="shared" si="86"/>
        <v>1007307915.5060437</v>
      </c>
      <c r="R59" s="1052">
        <f t="shared" si="86"/>
        <v>1047600232.1262856</v>
      </c>
      <c r="S59" s="1052">
        <f t="shared" si="86"/>
        <v>1092489184.5384912</v>
      </c>
      <c r="T59" s="1052">
        <f t="shared" si="86"/>
        <v>1133084411.0677905</v>
      </c>
      <c r="U59" s="1052">
        <f t="shared" si="86"/>
        <v>1178407787.5105021</v>
      </c>
      <c r="V59" s="1052">
        <f t="shared" si="86"/>
        <v>1225544099.0109222</v>
      </c>
      <c r="W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</row>
    <row r="60" spans="1:63" s="534" customFormat="1" ht="15" customHeight="1">
      <c r="A60" s="197"/>
      <c r="B60" s="197"/>
      <c r="C60" s="519" t="s">
        <v>803</v>
      </c>
      <c r="D60" s="201">
        <f>D59*D56</f>
        <v>161147315.76202697</v>
      </c>
      <c r="E60" s="201">
        <f t="shared" ref="E60:V60" si="87">E59*E56</f>
        <v>397748068.68263948</v>
      </c>
      <c r="F60" s="201">
        <f t="shared" si="87"/>
        <v>225252418.8626928</v>
      </c>
      <c r="G60" s="201">
        <f t="shared" si="87"/>
        <v>0</v>
      </c>
      <c r="H60" s="201">
        <f t="shared" si="87"/>
        <v>0</v>
      </c>
      <c r="I60" s="201">
        <f t="shared" si="87"/>
        <v>0</v>
      </c>
      <c r="J60" s="201">
        <f t="shared" si="87"/>
        <v>0</v>
      </c>
      <c r="K60" s="201">
        <f t="shared" si="87"/>
        <v>0</v>
      </c>
      <c r="L60" s="201">
        <f t="shared" si="87"/>
        <v>0</v>
      </c>
      <c r="M60" s="201">
        <f t="shared" si="87"/>
        <v>0</v>
      </c>
      <c r="N60" s="201">
        <f t="shared" si="87"/>
        <v>0</v>
      </c>
      <c r="O60" s="201">
        <f t="shared" si="87"/>
        <v>0</v>
      </c>
      <c r="P60" s="201">
        <f t="shared" si="87"/>
        <v>0</v>
      </c>
      <c r="Q60" s="201">
        <f t="shared" si="87"/>
        <v>0</v>
      </c>
      <c r="R60" s="201">
        <f t="shared" si="87"/>
        <v>0</v>
      </c>
      <c r="S60" s="201">
        <f t="shared" si="87"/>
        <v>0</v>
      </c>
      <c r="T60" s="201">
        <f t="shared" si="87"/>
        <v>0</v>
      </c>
      <c r="U60" s="201">
        <f t="shared" si="87"/>
        <v>0</v>
      </c>
      <c r="V60" s="201">
        <f t="shared" si="87"/>
        <v>0</v>
      </c>
      <c r="W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</row>
    <row r="61" spans="1:63" s="534" customFormat="1" ht="15" customHeight="1">
      <c r="A61" s="197"/>
      <c r="B61" s="197"/>
      <c r="C61" s="519" t="s">
        <v>804</v>
      </c>
      <c r="D61" s="201">
        <f>D59*D57</f>
        <v>0</v>
      </c>
      <c r="E61" s="201">
        <f t="shared" ref="E61:V61" si="88">E59*E57</f>
        <v>56821152.668948494</v>
      </c>
      <c r="F61" s="201">
        <f t="shared" si="88"/>
        <v>304753272.57893729</v>
      </c>
      <c r="G61" s="201">
        <f t="shared" si="88"/>
        <v>648247245.29282928</v>
      </c>
      <c r="H61" s="201">
        <f t="shared" si="88"/>
        <v>707721180.0781076</v>
      </c>
      <c r="I61" s="201">
        <f t="shared" si="88"/>
        <v>736030027.281232</v>
      </c>
      <c r="J61" s="201">
        <f t="shared" si="88"/>
        <v>765471228.37248135</v>
      </c>
      <c r="K61" s="201">
        <f t="shared" si="88"/>
        <v>798271146.21288025</v>
      </c>
      <c r="L61" s="201">
        <f t="shared" si="88"/>
        <v>827933680.60767579</v>
      </c>
      <c r="M61" s="201">
        <f t="shared" si="88"/>
        <v>861051027.83198297</v>
      </c>
      <c r="N61" s="201">
        <f t="shared" si="88"/>
        <v>895493068.94526231</v>
      </c>
      <c r="O61" s="201">
        <f t="shared" si="88"/>
        <v>933864333.59814978</v>
      </c>
      <c r="P61" s="201">
        <f t="shared" si="88"/>
        <v>968565303.37119579</v>
      </c>
      <c r="Q61" s="201">
        <f t="shared" si="88"/>
        <v>1007307915.5060437</v>
      </c>
      <c r="R61" s="201">
        <f t="shared" si="88"/>
        <v>1047600232.1262856</v>
      </c>
      <c r="S61" s="201">
        <f t="shared" si="88"/>
        <v>1092489184.5384912</v>
      </c>
      <c r="T61" s="201">
        <f t="shared" si="88"/>
        <v>1133084411.0677905</v>
      </c>
      <c r="U61" s="201">
        <f t="shared" si="88"/>
        <v>1178407787.5105021</v>
      </c>
      <c r="V61" s="201">
        <f t="shared" si="88"/>
        <v>1225544099.0109222</v>
      </c>
      <c r="W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</row>
    <row r="62" spans="1:63" s="534" customFormat="1" ht="15" customHeight="1">
      <c r="A62" s="197"/>
      <c r="B62" s="197"/>
      <c r="C62" s="1118" t="s">
        <v>805</v>
      </c>
      <c r="D62" s="1139">
        <f t="shared" ref="D62:V62" si="89">D18</f>
        <v>40337678.418934636</v>
      </c>
      <c r="E62" s="1052">
        <f t="shared" si="89"/>
        <v>100127061.2498405</v>
      </c>
      <c r="F62" s="1052">
        <f t="shared" si="89"/>
        <v>103084544.03683956</v>
      </c>
      <c r="G62" s="1052">
        <f t="shared" si="89"/>
        <v>107065879.76360643</v>
      </c>
      <c r="H62" s="1052">
        <f t="shared" si="89"/>
        <v>107461873.92238638</v>
      </c>
      <c r="I62" s="1052">
        <f t="shared" si="89"/>
        <v>111760348.87928183</v>
      </c>
      <c r="J62" s="1052">
        <f t="shared" si="89"/>
        <v>116230762.83445312</v>
      </c>
      <c r="K62" s="1052">
        <f t="shared" si="89"/>
        <v>121211171.41179791</v>
      </c>
      <c r="L62" s="1052">
        <f t="shared" si="89"/>
        <v>125715193.08174449</v>
      </c>
      <c r="M62" s="1052">
        <f t="shared" si="89"/>
        <v>130743800.80501427</v>
      </c>
      <c r="N62" s="1052">
        <f t="shared" si="89"/>
        <v>135973552.83721486</v>
      </c>
      <c r="O62" s="1052">
        <f t="shared" si="89"/>
        <v>141799926.44371909</v>
      </c>
      <c r="P62" s="1052">
        <f t="shared" si="89"/>
        <v>147068994.74873161</v>
      </c>
      <c r="Q62" s="1052">
        <f t="shared" si="89"/>
        <v>152951754.53868088</v>
      </c>
      <c r="R62" s="1052">
        <f t="shared" si="89"/>
        <v>159069824.72022814</v>
      </c>
      <c r="S62" s="1052">
        <f t="shared" si="89"/>
        <v>165885857.75755519</v>
      </c>
      <c r="T62" s="1052">
        <f t="shared" si="89"/>
        <v>172049922.41739875</v>
      </c>
      <c r="U62" s="1052">
        <f t="shared" si="89"/>
        <v>178931919.31409472</v>
      </c>
      <c r="V62" s="1052">
        <f t="shared" si="89"/>
        <v>186089196.08665848</v>
      </c>
      <c r="W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</row>
    <row r="63" spans="1:63" s="534" customFormat="1" ht="15" customHeight="1">
      <c r="A63" s="197"/>
      <c r="B63" s="197"/>
      <c r="C63" s="519" t="s">
        <v>803</v>
      </c>
      <c r="D63" s="201">
        <f>D62*D56</f>
        <v>40337678.418934636</v>
      </c>
      <c r="E63" s="201">
        <f t="shared" ref="E63:V63" si="90">E62*E56</f>
        <v>87611178.593610436</v>
      </c>
      <c r="F63" s="201">
        <f t="shared" si="90"/>
        <v>43810931.215656817</v>
      </c>
      <c r="G63" s="201">
        <f t="shared" si="90"/>
        <v>0</v>
      </c>
      <c r="H63" s="201">
        <f t="shared" si="90"/>
        <v>0</v>
      </c>
      <c r="I63" s="201">
        <f t="shared" si="90"/>
        <v>0</v>
      </c>
      <c r="J63" s="201">
        <f t="shared" si="90"/>
        <v>0</v>
      </c>
      <c r="K63" s="201">
        <f t="shared" si="90"/>
        <v>0</v>
      </c>
      <c r="L63" s="201">
        <f t="shared" si="90"/>
        <v>0</v>
      </c>
      <c r="M63" s="201">
        <f t="shared" si="90"/>
        <v>0</v>
      </c>
      <c r="N63" s="201">
        <f t="shared" si="90"/>
        <v>0</v>
      </c>
      <c r="O63" s="201">
        <f t="shared" si="90"/>
        <v>0</v>
      </c>
      <c r="P63" s="201">
        <f t="shared" si="90"/>
        <v>0</v>
      </c>
      <c r="Q63" s="201">
        <f t="shared" si="90"/>
        <v>0</v>
      </c>
      <c r="R63" s="201">
        <f t="shared" si="90"/>
        <v>0</v>
      </c>
      <c r="S63" s="201">
        <f t="shared" si="90"/>
        <v>0</v>
      </c>
      <c r="T63" s="201">
        <f t="shared" si="90"/>
        <v>0</v>
      </c>
      <c r="U63" s="201">
        <f t="shared" si="90"/>
        <v>0</v>
      </c>
      <c r="V63" s="201">
        <f t="shared" si="90"/>
        <v>0</v>
      </c>
      <c r="W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</row>
    <row r="64" spans="1:63" s="534" customFormat="1" ht="15" customHeight="1">
      <c r="A64" s="197"/>
      <c r="B64" s="197"/>
      <c r="C64" s="519" t="s">
        <v>804</v>
      </c>
      <c r="D64" s="201">
        <f>D62-D63</f>
        <v>0</v>
      </c>
      <c r="E64" s="201">
        <f t="shared" ref="E64:V64" si="91">E62-E63</f>
        <v>12515882.656230062</v>
      </c>
      <c r="F64" s="201">
        <f t="shared" si="91"/>
        <v>59273612.821182743</v>
      </c>
      <c r="G64" s="201">
        <f t="shared" si="91"/>
        <v>107065879.76360643</v>
      </c>
      <c r="H64" s="201">
        <f t="shared" si="91"/>
        <v>107461873.92238638</v>
      </c>
      <c r="I64" s="201">
        <f t="shared" si="91"/>
        <v>111760348.87928183</v>
      </c>
      <c r="J64" s="201">
        <f t="shared" si="91"/>
        <v>116230762.83445312</v>
      </c>
      <c r="K64" s="201">
        <f t="shared" si="91"/>
        <v>121211171.41179791</v>
      </c>
      <c r="L64" s="201">
        <f t="shared" si="91"/>
        <v>125715193.08174449</v>
      </c>
      <c r="M64" s="201">
        <f t="shared" si="91"/>
        <v>130743800.80501427</v>
      </c>
      <c r="N64" s="201">
        <f t="shared" si="91"/>
        <v>135973552.83721486</v>
      </c>
      <c r="O64" s="201">
        <f t="shared" si="91"/>
        <v>141799926.44371909</v>
      </c>
      <c r="P64" s="201">
        <f t="shared" si="91"/>
        <v>147068994.74873161</v>
      </c>
      <c r="Q64" s="201">
        <f t="shared" si="91"/>
        <v>152951754.53868088</v>
      </c>
      <c r="R64" s="201">
        <f t="shared" si="91"/>
        <v>159069824.72022814</v>
      </c>
      <c r="S64" s="201">
        <f t="shared" si="91"/>
        <v>165885857.75755519</v>
      </c>
      <c r="T64" s="201">
        <f t="shared" si="91"/>
        <v>172049922.41739875</v>
      </c>
      <c r="U64" s="201">
        <f t="shared" si="91"/>
        <v>178931919.31409472</v>
      </c>
      <c r="V64" s="201">
        <f t="shared" si="91"/>
        <v>186089196.08665848</v>
      </c>
      <c r="W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</row>
    <row r="65" spans="1:63" s="534" customFormat="1" ht="15" customHeight="1">
      <c r="A65" s="197"/>
      <c r="B65" s="197"/>
      <c r="C65" s="1118" t="s">
        <v>806</v>
      </c>
      <c r="D65" s="1052">
        <f t="shared" ref="D65:V65" si="92">D19</f>
        <v>120809637.34309232</v>
      </c>
      <c r="E65" s="1052">
        <f t="shared" si="92"/>
        <v>354442160.10174745</v>
      </c>
      <c r="F65" s="1052">
        <f t="shared" si="92"/>
        <v>426921147.40479052</v>
      </c>
      <c r="G65" s="1052">
        <f t="shared" si="92"/>
        <v>541181365.52922285</v>
      </c>
      <c r="H65" s="1052">
        <f t="shared" si="92"/>
        <v>600259306.15572119</v>
      </c>
      <c r="I65" s="1052">
        <f t="shared" si="92"/>
        <v>624269678.40195012</v>
      </c>
      <c r="J65" s="1052">
        <f t="shared" si="92"/>
        <v>649240465.53802824</v>
      </c>
      <c r="K65" s="1052">
        <f t="shared" si="92"/>
        <v>677059974.80108237</v>
      </c>
      <c r="L65" s="1052">
        <f t="shared" si="92"/>
        <v>702218487.52593136</v>
      </c>
      <c r="M65" s="1052">
        <f t="shared" si="92"/>
        <v>730307227.02696872</v>
      </c>
      <c r="N65" s="1052">
        <f t="shared" si="92"/>
        <v>759519516.10804749</v>
      </c>
      <c r="O65" s="1052">
        <f t="shared" si="92"/>
        <v>792064407.15443063</v>
      </c>
      <c r="P65" s="1052">
        <f t="shared" si="92"/>
        <v>821496308.62246418</v>
      </c>
      <c r="Q65" s="1052">
        <f t="shared" si="92"/>
        <v>854356160.96736276</v>
      </c>
      <c r="R65" s="1052">
        <f t="shared" si="92"/>
        <v>888530407.40605736</v>
      </c>
      <c r="S65" s="1052">
        <f t="shared" si="92"/>
        <v>926603326.780936</v>
      </c>
      <c r="T65" s="1052">
        <f t="shared" si="92"/>
        <v>961034488.65039182</v>
      </c>
      <c r="U65" s="1052">
        <f t="shared" si="92"/>
        <v>999475868.19640732</v>
      </c>
      <c r="V65" s="1052">
        <f t="shared" si="92"/>
        <v>1039454902.9242637</v>
      </c>
      <c r="W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197"/>
      <c r="BF65" s="197"/>
      <c r="BG65" s="197"/>
      <c r="BH65" s="197"/>
      <c r="BI65" s="197"/>
      <c r="BJ65" s="197"/>
      <c r="BK65" s="197"/>
    </row>
    <row r="66" spans="1:63" s="534" customFormat="1" ht="15" customHeight="1">
      <c r="A66" s="197"/>
      <c r="B66" s="197"/>
      <c r="C66" s="519" t="s">
        <v>803</v>
      </c>
      <c r="D66" s="201">
        <f>D60-D63</f>
        <v>120809637.34309232</v>
      </c>
      <c r="E66" s="201">
        <f t="shared" ref="E66:V67" si="93">E60-E63</f>
        <v>310136890.08902907</v>
      </c>
      <c r="F66" s="201">
        <f t="shared" si="93"/>
        <v>181441487.64703599</v>
      </c>
      <c r="G66" s="201">
        <f t="shared" si="93"/>
        <v>0</v>
      </c>
      <c r="H66" s="201">
        <f t="shared" si="93"/>
        <v>0</v>
      </c>
      <c r="I66" s="201">
        <f t="shared" si="93"/>
        <v>0</v>
      </c>
      <c r="J66" s="201">
        <f t="shared" si="93"/>
        <v>0</v>
      </c>
      <c r="K66" s="201">
        <f t="shared" si="93"/>
        <v>0</v>
      </c>
      <c r="L66" s="201">
        <f t="shared" si="93"/>
        <v>0</v>
      </c>
      <c r="M66" s="201">
        <f t="shared" si="93"/>
        <v>0</v>
      </c>
      <c r="N66" s="201">
        <f t="shared" si="93"/>
        <v>0</v>
      </c>
      <c r="O66" s="201">
        <f t="shared" si="93"/>
        <v>0</v>
      </c>
      <c r="P66" s="201">
        <f t="shared" si="93"/>
        <v>0</v>
      </c>
      <c r="Q66" s="201">
        <f t="shared" si="93"/>
        <v>0</v>
      </c>
      <c r="R66" s="201">
        <f t="shared" si="93"/>
        <v>0</v>
      </c>
      <c r="S66" s="201">
        <f t="shared" si="93"/>
        <v>0</v>
      </c>
      <c r="T66" s="201">
        <f t="shared" si="93"/>
        <v>0</v>
      </c>
      <c r="U66" s="201">
        <f t="shared" si="93"/>
        <v>0</v>
      </c>
      <c r="V66" s="201">
        <f t="shared" si="93"/>
        <v>0</v>
      </c>
      <c r="W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197"/>
      <c r="BI66" s="197"/>
      <c r="BJ66" s="197"/>
      <c r="BK66" s="197"/>
    </row>
    <row r="67" spans="1:63" ht="15" customHeight="1">
      <c r="C67" s="519" t="s">
        <v>804</v>
      </c>
      <c r="D67" s="201">
        <f>D61-D64</f>
        <v>0</v>
      </c>
      <c r="E67" s="201">
        <f t="shared" si="93"/>
        <v>44305270.012718432</v>
      </c>
      <c r="F67" s="201">
        <f t="shared" si="93"/>
        <v>245479659.75775456</v>
      </c>
      <c r="G67" s="201">
        <f t="shared" si="93"/>
        <v>541181365.52922285</v>
      </c>
      <c r="H67" s="208">
        <f t="shared" si="93"/>
        <v>600259306.15572119</v>
      </c>
      <c r="I67" s="201">
        <f t="shared" si="93"/>
        <v>624269678.40195012</v>
      </c>
      <c r="J67" s="201">
        <f t="shared" si="93"/>
        <v>649240465.53802824</v>
      </c>
      <c r="K67" s="201">
        <f t="shared" si="93"/>
        <v>677059974.80108237</v>
      </c>
      <c r="L67" s="201">
        <f t="shared" si="93"/>
        <v>702218487.52593136</v>
      </c>
      <c r="M67" s="201">
        <f t="shared" si="93"/>
        <v>730307227.02696872</v>
      </c>
      <c r="N67" s="201">
        <f t="shared" si="93"/>
        <v>759519516.10804749</v>
      </c>
      <c r="O67" s="201">
        <f t="shared" si="93"/>
        <v>792064407.15443063</v>
      </c>
      <c r="P67" s="201">
        <f t="shared" si="93"/>
        <v>821496308.62246418</v>
      </c>
      <c r="Q67" s="201">
        <f t="shared" si="93"/>
        <v>854356160.96736276</v>
      </c>
      <c r="R67" s="201">
        <f t="shared" si="93"/>
        <v>888530407.40605736</v>
      </c>
      <c r="S67" s="201">
        <f t="shared" si="93"/>
        <v>926603326.780936</v>
      </c>
      <c r="T67" s="201">
        <f t="shared" si="93"/>
        <v>961034488.65039182</v>
      </c>
      <c r="U67" s="201">
        <f t="shared" si="93"/>
        <v>999475868.19640732</v>
      </c>
      <c r="V67" s="201">
        <f t="shared" si="93"/>
        <v>1039454902.9242637</v>
      </c>
    </row>
    <row r="68" spans="1:63" ht="15" customHeight="1">
      <c r="C68" s="1116" t="s">
        <v>787</v>
      </c>
      <c r="D68" s="1117"/>
      <c r="E68" s="1117"/>
      <c r="F68" s="1117"/>
      <c r="G68" s="1117"/>
      <c r="H68" s="1117"/>
      <c r="I68" s="1117"/>
      <c r="J68" s="1117"/>
      <c r="K68" s="1117"/>
      <c r="L68" s="1117"/>
      <c r="M68" s="1117"/>
      <c r="N68" s="1117"/>
      <c r="O68" s="1117"/>
      <c r="P68" s="1117"/>
      <c r="Q68" s="1117"/>
      <c r="R68" s="1117"/>
      <c r="S68" s="1117"/>
      <c r="T68" s="1117"/>
      <c r="U68" s="1117"/>
      <c r="V68" s="1117"/>
    </row>
    <row r="69" spans="1:63" ht="15" customHeight="1">
      <c r="C69" s="1118" t="s">
        <v>17</v>
      </c>
      <c r="D69" s="1052">
        <f>D70+D71</f>
        <v>63653189.726000644</v>
      </c>
      <c r="E69" s="1052">
        <f t="shared" ref="E69:V69" si="94">E70+E71</f>
        <v>175009150.22036135</v>
      </c>
      <c r="F69" s="1052">
        <f t="shared" si="94"/>
        <v>193452077.37619498</v>
      </c>
      <c r="G69" s="1052">
        <f t="shared" si="94"/>
        <v>226886535.85249025</v>
      </c>
      <c r="H69" s="1052">
        <f t="shared" si="94"/>
        <v>240625201.2265566</v>
      </c>
      <c r="I69" s="1052">
        <f t="shared" si="94"/>
        <v>250250209.27561888</v>
      </c>
      <c r="J69" s="1052">
        <f t="shared" si="94"/>
        <v>260260217.64664367</v>
      </c>
      <c r="K69" s="1052">
        <f t="shared" si="94"/>
        <v>271412189.71237928</v>
      </c>
      <c r="L69" s="1052">
        <f t="shared" si="94"/>
        <v>281497451.40660977</v>
      </c>
      <c r="M69" s="1052">
        <f t="shared" si="94"/>
        <v>292757349.46287423</v>
      </c>
      <c r="N69" s="1052">
        <f t="shared" si="94"/>
        <v>304467643.4413892</v>
      </c>
      <c r="O69" s="1052">
        <f t="shared" si="94"/>
        <v>317513873.4233709</v>
      </c>
      <c r="P69" s="1052">
        <f t="shared" si="94"/>
        <v>329312203.14620656</v>
      </c>
      <c r="Q69" s="1052">
        <f t="shared" si="94"/>
        <v>342484691.27205485</v>
      </c>
      <c r="R69" s="1052">
        <f t="shared" si="94"/>
        <v>356184078.9229371</v>
      </c>
      <c r="S69" s="1052">
        <f t="shared" si="94"/>
        <v>371446322.74308705</v>
      </c>
      <c r="T69" s="1052">
        <f t="shared" si="94"/>
        <v>385248699.76304877</v>
      </c>
      <c r="U69" s="1052">
        <f t="shared" si="94"/>
        <v>400658647.75357074</v>
      </c>
      <c r="V69" s="1052">
        <f t="shared" si="94"/>
        <v>416684993.66371357</v>
      </c>
    </row>
    <row r="70" spans="1:63" ht="15" customHeight="1">
      <c r="C70" s="519" t="s">
        <v>803</v>
      </c>
      <c r="D70" s="201">
        <f t="shared" ref="D70:V70" si="95">D21+D33+D39+D45</f>
        <v>63653189.726000644</v>
      </c>
      <c r="E70" s="201">
        <f t="shared" si="95"/>
        <v>175009150.22036135</v>
      </c>
      <c r="F70" s="201">
        <f t="shared" si="95"/>
        <v>193452077.37619498</v>
      </c>
      <c r="G70" s="201">
        <f t="shared" si="95"/>
        <v>226886535.85249025</v>
      </c>
      <c r="H70" s="201">
        <f t="shared" si="95"/>
        <v>240625201.2265566</v>
      </c>
      <c r="I70" s="201">
        <f t="shared" si="95"/>
        <v>250250209.27561888</v>
      </c>
      <c r="J70" s="201">
        <f t="shared" si="95"/>
        <v>260260217.64664367</v>
      </c>
      <c r="K70" s="201">
        <f t="shared" si="95"/>
        <v>271412189.71237928</v>
      </c>
      <c r="L70" s="201">
        <f t="shared" si="95"/>
        <v>281497451.40660977</v>
      </c>
      <c r="M70" s="201">
        <f t="shared" si="95"/>
        <v>292757349.46287423</v>
      </c>
      <c r="N70" s="201">
        <f t="shared" si="95"/>
        <v>304467643.4413892</v>
      </c>
      <c r="O70" s="201">
        <f t="shared" si="95"/>
        <v>317513873.4233709</v>
      </c>
      <c r="P70" s="201">
        <f t="shared" si="95"/>
        <v>329312203.14620656</v>
      </c>
      <c r="Q70" s="201">
        <f t="shared" si="95"/>
        <v>342484691.27205485</v>
      </c>
      <c r="R70" s="201">
        <f t="shared" si="95"/>
        <v>356184078.9229371</v>
      </c>
      <c r="S70" s="201">
        <f t="shared" si="95"/>
        <v>371446322.74308705</v>
      </c>
      <c r="T70" s="201">
        <f t="shared" si="95"/>
        <v>385248699.76304877</v>
      </c>
      <c r="U70" s="201">
        <f t="shared" si="95"/>
        <v>400658647.75357074</v>
      </c>
      <c r="V70" s="201">
        <f t="shared" si="95"/>
        <v>416684993.66371357</v>
      </c>
    </row>
    <row r="71" spans="1:63" ht="15" customHeight="1">
      <c r="C71" s="519" t="s">
        <v>804</v>
      </c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</row>
    <row r="72" spans="1:63" ht="15" customHeight="1">
      <c r="C72" s="1118" t="s">
        <v>805</v>
      </c>
      <c r="D72" s="1052">
        <f>D73+D74</f>
        <v>40713869.327276111</v>
      </c>
      <c r="E72" s="1052">
        <f t="shared" ref="E72:V72" si="96">E73+E74</f>
        <v>108823871.59157015</v>
      </c>
      <c r="F72" s="1052">
        <f t="shared" si="96"/>
        <v>119410282.28179926</v>
      </c>
      <c r="G72" s="1052">
        <f t="shared" si="96"/>
        <v>141317899.47383678</v>
      </c>
      <c r="H72" s="1052">
        <f t="shared" si="96"/>
        <v>149541485.35050413</v>
      </c>
      <c r="I72" s="1052">
        <f t="shared" si="96"/>
        <v>155523144.76452431</v>
      </c>
      <c r="J72" s="1052">
        <f t="shared" si="96"/>
        <v>161744070.5551053</v>
      </c>
      <c r="K72" s="1052">
        <f t="shared" si="96"/>
        <v>168674693.1947816</v>
      </c>
      <c r="L72" s="1052">
        <f t="shared" si="96"/>
        <v>174942386.7124019</v>
      </c>
      <c r="M72" s="1052">
        <f t="shared" si="96"/>
        <v>181940082.18089798</v>
      </c>
      <c r="N72" s="1052">
        <f t="shared" si="96"/>
        <v>189217685.46813393</v>
      </c>
      <c r="O72" s="1052">
        <f t="shared" si="96"/>
        <v>197325533.68928906</v>
      </c>
      <c r="P72" s="1052">
        <f t="shared" si="96"/>
        <v>204657848.60233369</v>
      </c>
      <c r="Q72" s="1052">
        <f t="shared" si="96"/>
        <v>212844162.54642704</v>
      </c>
      <c r="R72" s="1052">
        <f t="shared" si="96"/>
        <v>221357929.04828414</v>
      </c>
      <c r="S72" s="1052">
        <f t="shared" si="96"/>
        <v>230842964.69298321</v>
      </c>
      <c r="T72" s="1052">
        <f t="shared" si="96"/>
        <v>239420736.05862412</v>
      </c>
      <c r="U72" s="1052">
        <f t="shared" si="96"/>
        <v>248997565.50096911</v>
      </c>
      <c r="V72" s="1052">
        <f t="shared" si="96"/>
        <v>258957468.12100786</v>
      </c>
    </row>
    <row r="73" spans="1:63" ht="15" customHeight="1">
      <c r="C73" s="519" t="s">
        <v>803</v>
      </c>
      <c r="D73" s="201">
        <f t="shared" ref="D73:V73" si="97">D30+D36+D42</f>
        <v>40713869.327276111</v>
      </c>
      <c r="E73" s="201">
        <f t="shared" si="97"/>
        <v>108823871.59157015</v>
      </c>
      <c r="F73" s="201">
        <f t="shared" si="97"/>
        <v>119410282.28179926</v>
      </c>
      <c r="G73" s="201">
        <f t="shared" si="97"/>
        <v>141317899.47383678</v>
      </c>
      <c r="H73" s="201">
        <f t="shared" si="97"/>
        <v>149541485.35050413</v>
      </c>
      <c r="I73" s="201">
        <f t="shared" si="97"/>
        <v>155523144.76452431</v>
      </c>
      <c r="J73" s="201">
        <f t="shared" si="97"/>
        <v>161744070.5551053</v>
      </c>
      <c r="K73" s="201">
        <f t="shared" si="97"/>
        <v>168674693.1947816</v>
      </c>
      <c r="L73" s="201">
        <f t="shared" si="97"/>
        <v>174942386.7124019</v>
      </c>
      <c r="M73" s="201">
        <f t="shared" si="97"/>
        <v>181940082.18089798</v>
      </c>
      <c r="N73" s="201">
        <f t="shared" si="97"/>
        <v>189217685.46813393</v>
      </c>
      <c r="O73" s="201">
        <f t="shared" si="97"/>
        <v>197325533.68928906</v>
      </c>
      <c r="P73" s="201">
        <f t="shared" si="97"/>
        <v>204657848.60233369</v>
      </c>
      <c r="Q73" s="201">
        <f t="shared" si="97"/>
        <v>212844162.54642704</v>
      </c>
      <c r="R73" s="201">
        <f t="shared" si="97"/>
        <v>221357929.04828414</v>
      </c>
      <c r="S73" s="201">
        <f t="shared" si="97"/>
        <v>230842964.69298321</v>
      </c>
      <c r="T73" s="201">
        <f t="shared" si="97"/>
        <v>239420736.05862412</v>
      </c>
      <c r="U73" s="201">
        <f t="shared" si="97"/>
        <v>248997565.50096911</v>
      </c>
      <c r="V73" s="201">
        <f t="shared" si="97"/>
        <v>258957468.12100786</v>
      </c>
    </row>
    <row r="74" spans="1:63" ht="15" customHeight="1">
      <c r="C74" s="519" t="s">
        <v>804</v>
      </c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</row>
    <row r="75" spans="1:63" ht="15" customHeight="1">
      <c r="C75" s="1118" t="s">
        <v>806</v>
      </c>
      <c r="D75" s="1052">
        <f>D76+D77</f>
        <v>22939320.398724534</v>
      </c>
      <c r="E75" s="1052">
        <f t="shared" ref="E75:V75" si="98">E76+E77</f>
        <v>66185278.628791198</v>
      </c>
      <c r="F75" s="1052">
        <f t="shared" si="98"/>
        <v>74041795.094395727</v>
      </c>
      <c r="G75" s="1052">
        <f t="shared" si="98"/>
        <v>85568636.378653467</v>
      </c>
      <c r="H75" s="1052">
        <f t="shared" si="98"/>
        <v>91083715.876052469</v>
      </c>
      <c r="I75" s="1052">
        <f t="shared" si="98"/>
        <v>94727064.51109457</v>
      </c>
      <c r="J75" s="1052">
        <f t="shared" si="98"/>
        <v>98516147.09153837</v>
      </c>
      <c r="K75" s="1052">
        <f t="shared" si="98"/>
        <v>102737496.51759768</v>
      </c>
      <c r="L75" s="1052">
        <f t="shared" si="98"/>
        <v>106555064.69420788</v>
      </c>
      <c r="M75" s="1052">
        <f t="shared" si="98"/>
        <v>110817267.28197625</v>
      </c>
      <c r="N75" s="1052">
        <f t="shared" si="98"/>
        <v>115249957.97325528</v>
      </c>
      <c r="O75" s="1052">
        <f t="shared" si="98"/>
        <v>120188339.73408183</v>
      </c>
      <c r="P75" s="1052">
        <f t="shared" si="98"/>
        <v>124654354.54387286</v>
      </c>
      <c r="Q75" s="1052">
        <f t="shared" si="98"/>
        <v>129640528.72562781</v>
      </c>
      <c r="R75" s="1052">
        <f t="shared" si="98"/>
        <v>134826149.87465295</v>
      </c>
      <c r="S75" s="1052">
        <f t="shared" si="98"/>
        <v>140603358.05010384</v>
      </c>
      <c r="T75" s="1052">
        <f t="shared" si="98"/>
        <v>145827963.70442465</v>
      </c>
      <c r="U75" s="1052">
        <f t="shared" si="98"/>
        <v>151661082.25260162</v>
      </c>
      <c r="V75" s="1052">
        <f t="shared" si="98"/>
        <v>157727525.54270571</v>
      </c>
    </row>
    <row r="76" spans="1:63" ht="15" customHeight="1">
      <c r="C76" s="519" t="s">
        <v>803</v>
      </c>
      <c r="D76" s="201">
        <f>D70-D73</f>
        <v>22939320.398724534</v>
      </c>
      <c r="E76" s="201">
        <f t="shared" ref="E76:V76" si="99">E70-E73</f>
        <v>66185278.628791198</v>
      </c>
      <c r="F76" s="201">
        <f t="shared" si="99"/>
        <v>74041795.094395727</v>
      </c>
      <c r="G76" s="201">
        <f t="shared" si="99"/>
        <v>85568636.378653467</v>
      </c>
      <c r="H76" s="201">
        <f t="shared" si="99"/>
        <v>91083715.876052469</v>
      </c>
      <c r="I76" s="201">
        <f t="shared" si="99"/>
        <v>94727064.51109457</v>
      </c>
      <c r="J76" s="201">
        <f t="shared" si="99"/>
        <v>98516147.09153837</v>
      </c>
      <c r="K76" s="201">
        <f t="shared" si="99"/>
        <v>102737496.51759768</v>
      </c>
      <c r="L76" s="201">
        <f t="shared" si="99"/>
        <v>106555064.69420788</v>
      </c>
      <c r="M76" s="201">
        <f t="shared" si="99"/>
        <v>110817267.28197625</v>
      </c>
      <c r="N76" s="201">
        <f t="shared" si="99"/>
        <v>115249957.97325528</v>
      </c>
      <c r="O76" s="201">
        <f t="shared" si="99"/>
        <v>120188339.73408183</v>
      </c>
      <c r="P76" s="201">
        <f t="shared" si="99"/>
        <v>124654354.54387286</v>
      </c>
      <c r="Q76" s="201">
        <f t="shared" si="99"/>
        <v>129640528.72562781</v>
      </c>
      <c r="R76" s="201">
        <f t="shared" si="99"/>
        <v>134826149.87465295</v>
      </c>
      <c r="S76" s="201">
        <f t="shared" si="99"/>
        <v>140603358.05010384</v>
      </c>
      <c r="T76" s="201">
        <f t="shared" si="99"/>
        <v>145827963.70442465</v>
      </c>
      <c r="U76" s="201">
        <f t="shared" si="99"/>
        <v>151661082.25260162</v>
      </c>
      <c r="V76" s="201">
        <f t="shared" si="99"/>
        <v>157727525.54270571</v>
      </c>
    </row>
    <row r="77" spans="1:63" ht="15" customHeight="1">
      <c r="C77" s="519" t="s">
        <v>804</v>
      </c>
      <c r="D77" s="201"/>
      <c r="E77" s="201"/>
      <c r="F77" s="201"/>
      <c r="G77" s="201"/>
      <c r="H77" s="208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</row>
    <row r="78" spans="1:63" ht="15" customHeight="1">
      <c r="C78" s="1116" t="s">
        <v>807</v>
      </c>
      <c r="D78" s="1119">
        <f>D79+D80</f>
        <v>224800505.4880276</v>
      </c>
      <c r="E78" s="552">
        <f t="shared" ref="E78:V78" si="100">E79+E80</f>
        <v>629578371.57194936</v>
      </c>
      <c r="F78" s="552">
        <f t="shared" si="100"/>
        <v>723457768.81782508</v>
      </c>
      <c r="G78" s="552">
        <f t="shared" si="100"/>
        <v>875133781.14531946</v>
      </c>
      <c r="H78" s="552">
        <f t="shared" si="100"/>
        <v>948346381.30466413</v>
      </c>
      <c r="I78" s="552">
        <f t="shared" si="100"/>
        <v>986280236.55685091</v>
      </c>
      <c r="J78" s="552">
        <f t="shared" si="100"/>
        <v>1025731446.019125</v>
      </c>
      <c r="K78" s="552">
        <f t="shared" si="100"/>
        <v>1069683335.9252596</v>
      </c>
      <c r="L78" s="552">
        <f t="shared" si="100"/>
        <v>1109431132.0142856</v>
      </c>
      <c r="M78" s="552">
        <f t="shared" si="100"/>
        <v>1153808377.2948573</v>
      </c>
      <c r="N78" s="552">
        <f t="shared" si="100"/>
        <v>1199960712.3866515</v>
      </c>
      <c r="O78" s="552">
        <f t="shared" si="100"/>
        <v>1251378207.0215206</v>
      </c>
      <c r="P78" s="552">
        <f t="shared" si="100"/>
        <v>1297877506.5174024</v>
      </c>
      <c r="Q78" s="552">
        <f t="shared" si="100"/>
        <v>1349792606.7780986</v>
      </c>
      <c r="R78" s="552">
        <f t="shared" si="100"/>
        <v>1403784311.0492227</v>
      </c>
      <c r="S78" s="552">
        <f t="shared" si="100"/>
        <v>1463935507.2815783</v>
      </c>
      <c r="T78" s="552">
        <f t="shared" si="100"/>
        <v>1518333110.8308392</v>
      </c>
      <c r="U78" s="552">
        <f t="shared" si="100"/>
        <v>1579066435.2640729</v>
      </c>
      <c r="V78" s="552">
        <f t="shared" si="100"/>
        <v>1642229092.6746359</v>
      </c>
      <c r="X78" s="1115" t="b">
        <f t="shared" ref="X78:AP78" si="101">ROUND(D78,2)=ROUND(D12,2)</f>
        <v>1</v>
      </c>
      <c r="Y78" s="1115" t="b">
        <f t="shared" si="101"/>
        <v>1</v>
      </c>
      <c r="Z78" s="1115" t="b">
        <f t="shared" si="101"/>
        <v>1</v>
      </c>
      <c r="AA78" s="1115" t="b">
        <f t="shared" si="101"/>
        <v>1</v>
      </c>
      <c r="AB78" s="1115" t="b">
        <f t="shared" si="101"/>
        <v>1</v>
      </c>
      <c r="AC78" s="1115" t="b">
        <f t="shared" si="101"/>
        <v>1</v>
      </c>
      <c r="AD78" s="1115" t="b">
        <f t="shared" si="101"/>
        <v>1</v>
      </c>
      <c r="AE78" s="1115" t="b">
        <f t="shared" si="101"/>
        <v>1</v>
      </c>
      <c r="AF78" s="1115" t="b">
        <f t="shared" si="101"/>
        <v>1</v>
      </c>
      <c r="AG78" s="1115" t="b">
        <f t="shared" si="101"/>
        <v>1</v>
      </c>
      <c r="AH78" s="1115" t="b">
        <f t="shared" si="101"/>
        <v>1</v>
      </c>
      <c r="AI78" s="1115" t="b">
        <f t="shared" si="101"/>
        <v>1</v>
      </c>
      <c r="AJ78" s="1115" t="b">
        <f t="shared" si="101"/>
        <v>1</v>
      </c>
      <c r="AK78" s="1115" t="b">
        <f t="shared" si="101"/>
        <v>1</v>
      </c>
      <c r="AL78" s="1115" t="b">
        <f t="shared" si="101"/>
        <v>1</v>
      </c>
      <c r="AM78" s="1115" t="b">
        <f t="shared" si="101"/>
        <v>1</v>
      </c>
      <c r="AN78" s="1115" t="b">
        <f t="shared" si="101"/>
        <v>1</v>
      </c>
      <c r="AO78" s="1115" t="b">
        <f t="shared" si="101"/>
        <v>1</v>
      </c>
      <c r="AP78" s="1115" t="b">
        <f t="shared" si="101"/>
        <v>1</v>
      </c>
    </row>
    <row r="79" spans="1:63" ht="15" customHeight="1">
      <c r="C79" s="519" t="s">
        <v>803</v>
      </c>
      <c r="D79" s="208">
        <f>D70+D60</f>
        <v>224800505.4880276</v>
      </c>
      <c r="E79" s="208">
        <f t="shared" ref="E79:V80" si="102">E70+E60</f>
        <v>572757218.90300083</v>
      </c>
      <c r="F79" s="208">
        <f t="shared" si="102"/>
        <v>418704496.23888779</v>
      </c>
      <c r="G79" s="208">
        <f t="shared" si="102"/>
        <v>226886535.85249025</v>
      </c>
      <c r="H79" s="208">
        <f t="shared" si="102"/>
        <v>240625201.2265566</v>
      </c>
      <c r="I79" s="208">
        <f t="shared" si="102"/>
        <v>250250209.27561888</v>
      </c>
      <c r="J79" s="208">
        <f t="shared" si="102"/>
        <v>260260217.64664367</v>
      </c>
      <c r="K79" s="208">
        <f t="shared" si="102"/>
        <v>271412189.71237928</v>
      </c>
      <c r="L79" s="208">
        <f t="shared" si="102"/>
        <v>281497451.40660977</v>
      </c>
      <c r="M79" s="208">
        <f t="shared" si="102"/>
        <v>292757349.46287423</v>
      </c>
      <c r="N79" s="208">
        <f t="shared" si="102"/>
        <v>304467643.4413892</v>
      </c>
      <c r="O79" s="208">
        <f t="shared" si="102"/>
        <v>317513873.4233709</v>
      </c>
      <c r="P79" s="208">
        <f t="shared" si="102"/>
        <v>329312203.14620656</v>
      </c>
      <c r="Q79" s="208">
        <f t="shared" si="102"/>
        <v>342484691.27205485</v>
      </c>
      <c r="R79" s="208">
        <f t="shared" si="102"/>
        <v>356184078.9229371</v>
      </c>
      <c r="S79" s="208">
        <f t="shared" si="102"/>
        <v>371446322.74308705</v>
      </c>
      <c r="T79" s="208">
        <f t="shared" si="102"/>
        <v>385248699.76304877</v>
      </c>
      <c r="U79" s="208">
        <f t="shared" si="102"/>
        <v>400658647.75357074</v>
      </c>
      <c r="V79" s="208">
        <f t="shared" si="102"/>
        <v>416684993.66371357</v>
      </c>
    </row>
    <row r="80" spans="1:63" ht="15" customHeight="1">
      <c r="C80" s="519" t="s">
        <v>804</v>
      </c>
      <c r="D80" s="201">
        <f>D71+D61</f>
        <v>0</v>
      </c>
      <c r="E80" s="201">
        <f t="shared" si="102"/>
        <v>56821152.668948494</v>
      </c>
      <c r="F80" s="201">
        <f t="shared" si="102"/>
        <v>304753272.57893729</v>
      </c>
      <c r="G80" s="201">
        <f t="shared" si="102"/>
        <v>648247245.29282928</v>
      </c>
      <c r="H80" s="201">
        <f t="shared" si="102"/>
        <v>707721180.0781076</v>
      </c>
      <c r="I80" s="201">
        <f t="shared" si="102"/>
        <v>736030027.281232</v>
      </c>
      <c r="J80" s="201">
        <f t="shared" si="102"/>
        <v>765471228.37248135</v>
      </c>
      <c r="K80" s="201">
        <f t="shared" si="102"/>
        <v>798271146.21288025</v>
      </c>
      <c r="L80" s="201">
        <f t="shared" si="102"/>
        <v>827933680.60767579</v>
      </c>
      <c r="M80" s="201">
        <f t="shared" si="102"/>
        <v>861051027.83198297</v>
      </c>
      <c r="N80" s="201">
        <f t="shared" si="102"/>
        <v>895493068.94526231</v>
      </c>
      <c r="O80" s="201">
        <f t="shared" si="102"/>
        <v>933864333.59814978</v>
      </c>
      <c r="P80" s="201">
        <f t="shared" si="102"/>
        <v>968565303.37119579</v>
      </c>
      <c r="Q80" s="201">
        <f t="shared" si="102"/>
        <v>1007307915.5060437</v>
      </c>
      <c r="R80" s="201">
        <f t="shared" si="102"/>
        <v>1047600232.1262856</v>
      </c>
      <c r="S80" s="201">
        <f t="shared" si="102"/>
        <v>1092489184.5384912</v>
      </c>
      <c r="T80" s="201">
        <f t="shared" si="102"/>
        <v>1133084411.0677905</v>
      </c>
      <c r="U80" s="201">
        <f t="shared" si="102"/>
        <v>1178407787.5105021</v>
      </c>
      <c r="V80" s="201">
        <f t="shared" si="102"/>
        <v>1225544099.0109222</v>
      </c>
    </row>
    <row r="81" spans="3:42" ht="15" customHeight="1">
      <c r="C81" s="1120" t="s">
        <v>803</v>
      </c>
      <c r="D81" s="1121">
        <f>D79/D78</f>
        <v>1</v>
      </c>
      <c r="E81" s="1121">
        <f t="shared" ref="E81:V81" si="103">E79/E78</f>
        <v>0.9097472924187725</v>
      </c>
      <c r="F81" s="1121">
        <f t="shared" si="103"/>
        <v>0.57875457875457881</v>
      </c>
      <c r="G81" s="1121">
        <f t="shared" si="103"/>
        <v>0.2592592592592593</v>
      </c>
      <c r="H81" s="1121">
        <f t="shared" si="103"/>
        <v>0.2537313432835821</v>
      </c>
      <c r="I81" s="1121">
        <f t="shared" si="103"/>
        <v>0.2537313432835821</v>
      </c>
      <c r="J81" s="1121">
        <f t="shared" si="103"/>
        <v>0.2537313432835821</v>
      </c>
      <c r="K81" s="1121">
        <f t="shared" si="103"/>
        <v>0.25373134328358204</v>
      </c>
      <c r="L81" s="1121">
        <f t="shared" si="103"/>
        <v>0.2537313432835821</v>
      </c>
      <c r="M81" s="1121">
        <f t="shared" si="103"/>
        <v>0.2537313432835821</v>
      </c>
      <c r="N81" s="1121">
        <f t="shared" si="103"/>
        <v>0.2537313432835821</v>
      </c>
      <c r="O81" s="1121">
        <f t="shared" si="103"/>
        <v>0.2537313432835821</v>
      </c>
      <c r="P81" s="1121">
        <f t="shared" si="103"/>
        <v>0.25373134328358204</v>
      </c>
      <c r="Q81" s="1121">
        <f t="shared" si="103"/>
        <v>0.2537313432835821</v>
      </c>
      <c r="R81" s="1121">
        <f t="shared" si="103"/>
        <v>0.2537313432835821</v>
      </c>
      <c r="S81" s="1121">
        <f t="shared" si="103"/>
        <v>0.2537313432835821</v>
      </c>
      <c r="T81" s="1121">
        <f t="shared" si="103"/>
        <v>0.2537313432835821</v>
      </c>
      <c r="U81" s="1121">
        <f t="shared" si="103"/>
        <v>0.2537313432835821</v>
      </c>
      <c r="V81" s="1121">
        <f t="shared" si="103"/>
        <v>0.2537313432835821</v>
      </c>
    </row>
    <row r="82" spans="3:42" ht="15" customHeight="1">
      <c r="C82" s="1120" t="s">
        <v>804</v>
      </c>
      <c r="D82" s="1121">
        <f>D80/D78</f>
        <v>0</v>
      </c>
      <c r="E82" s="1121">
        <f t="shared" ref="E82:V82" si="104">E80/E78</f>
        <v>9.0252707581227429E-2</v>
      </c>
      <c r="F82" s="1121">
        <f t="shared" si="104"/>
        <v>0.42124542124542125</v>
      </c>
      <c r="G82" s="1121">
        <f t="shared" si="104"/>
        <v>0.74074074074074081</v>
      </c>
      <c r="H82" s="1121">
        <f t="shared" si="104"/>
        <v>0.74626865671641796</v>
      </c>
      <c r="I82" s="1121">
        <f t="shared" si="104"/>
        <v>0.74626865671641784</v>
      </c>
      <c r="J82" s="1121">
        <f t="shared" si="104"/>
        <v>0.74626865671641796</v>
      </c>
      <c r="K82" s="1121">
        <f t="shared" si="104"/>
        <v>0.74626865671641784</v>
      </c>
      <c r="L82" s="1121">
        <f t="shared" si="104"/>
        <v>0.74626865671641796</v>
      </c>
      <c r="M82" s="1121">
        <f t="shared" si="104"/>
        <v>0.74626865671641784</v>
      </c>
      <c r="N82" s="1121">
        <f t="shared" si="104"/>
        <v>0.74626865671641796</v>
      </c>
      <c r="O82" s="1121">
        <f t="shared" si="104"/>
        <v>0.74626865671641796</v>
      </c>
      <c r="P82" s="1121">
        <f t="shared" si="104"/>
        <v>0.74626865671641784</v>
      </c>
      <c r="Q82" s="1121">
        <f t="shared" si="104"/>
        <v>0.74626865671641784</v>
      </c>
      <c r="R82" s="1121">
        <f t="shared" si="104"/>
        <v>0.74626865671641784</v>
      </c>
      <c r="S82" s="1121">
        <f t="shared" si="104"/>
        <v>0.74626865671641784</v>
      </c>
      <c r="T82" s="1121">
        <f t="shared" si="104"/>
        <v>0.74626865671641796</v>
      </c>
      <c r="U82" s="1121">
        <f t="shared" si="104"/>
        <v>0.74626865671641784</v>
      </c>
      <c r="V82" s="1121">
        <f t="shared" si="104"/>
        <v>0.74626865671641784</v>
      </c>
    </row>
    <row r="83" spans="3:42" ht="15" customHeight="1">
      <c r="C83" s="1116" t="s">
        <v>545</v>
      </c>
      <c r="D83" s="552">
        <f t="shared" ref="D83:V83" si="105">D47</f>
        <v>143748957.74181688</v>
      </c>
      <c r="E83" s="552">
        <f t="shared" si="105"/>
        <v>420627438.73053873</v>
      </c>
      <c r="F83" s="552">
        <f t="shared" si="105"/>
        <v>500962942.49918628</v>
      </c>
      <c r="G83" s="552">
        <f t="shared" si="105"/>
        <v>626750001.90787637</v>
      </c>
      <c r="H83" s="552">
        <f t="shared" si="105"/>
        <v>691343022.03177381</v>
      </c>
      <c r="I83" s="552">
        <f t="shared" si="105"/>
        <v>718996742.91304469</v>
      </c>
      <c r="J83" s="552">
        <f t="shared" si="105"/>
        <v>747756612.62956667</v>
      </c>
      <c r="K83" s="552">
        <f t="shared" si="105"/>
        <v>779797471.31868005</v>
      </c>
      <c r="L83" s="552">
        <f t="shared" si="105"/>
        <v>808773552.22013915</v>
      </c>
      <c r="M83" s="552">
        <f t="shared" si="105"/>
        <v>841124494.30894494</v>
      </c>
      <c r="N83" s="552">
        <f t="shared" si="105"/>
        <v>874769474.08130276</v>
      </c>
      <c r="O83" s="552">
        <f t="shared" si="105"/>
        <v>912252746.88851273</v>
      </c>
      <c r="P83" s="552">
        <f t="shared" si="105"/>
        <v>946150663.16633713</v>
      </c>
      <c r="Q83" s="552">
        <f t="shared" si="105"/>
        <v>983996689.69299066</v>
      </c>
      <c r="R83" s="552">
        <f t="shared" si="105"/>
        <v>1023356557.2807102</v>
      </c>
      <c r="S83" s="552">
        <f t="shared" si="105"/>
        <v>1067206684.8310399</v>
      </c>
      <c r="T83" s="552">
        <f t="shared" si="105"/>
        <v>1106862452.3548164</v>
      </c>
      <c r="U83" s="552">
        <f t="shared" si="105"/>
        <v>1151136950.4490089</v>
      </c>
      <c r="V83" s="552">
        <f t="shared" si="105"/>
        <v>1197182428.4669693</v>
      </c>
      <c r="X83" s="1115" t="b">
        <f t="shared" ref="X83:AP83" si="106">ROUND(D83,2)=ROUND(D47,2)</f>
        <v>1</v>
      </c>
      <c r="Y83" s="1115" t="b">
        <f t="shared" si="106"/>
        <v>1</v>
      </c>
      <c r="Z83" s="1115" t="b">
        <f t="shared" si="106"/>
        <v>1</v>
      </c>
      <c r="AA83" s="1115" t="b">
        <f t="shared" si="106"/>
        <v>1</v>
      </c>
      <c r="AB83" s="1115" t="b">
        <f t="shared" si="106"/>
        <v>1</v>
      </c>
      <c r="AC83" s="1115" t="b">
        <f t="shared" si="106"/>
        <v>1</v>
      </c>
      <c r="AD83" s="1115" t="b">
        <f t="shared" si="106"/>
        <v>1</v>
      </c>
      <c r="AE83" s="1115" t="b">
        <f t="shared" si="106"/>
        <v>1</v>
      </c>
      <c r="AF83" s="1115" t="b">
        <f t="shared" si="106"/>
        <v>1</v>
      </c>
      <c r="AG83" s="1115" t="b">
        <f t="shared" si="106"/>
        <v>1</v>
      </c>
      <c r="AH83" s="1115" t="b">
        <f t="shared" si="106"/>
        <v>1</v>
      </c>
      <c r="AI83" s="1115" t="b">
        <f t="shared" si="106"/>
        <v>1</v>
      </c>
      <c r="AJ83" s="1115" t="b">
        <f t="shared" si="106"/>
        <v>1</v>
      </c>
      <c r="AK83" s="1115" t="b">
        <f t="shared" si="106"/>
        <v>1</v>
      </c>
      <c r="AL83" s="1115" t="b">
        <f t="shared" si="106"/>
        <v>1</v>
      </c>
      <c r="AM83" s="1115" t="b">
        <f t="shared" si="106"/>
        <v>1</v>
      </c>
      <c r="AN83" s="1115" t="b">
        <f t="shared" si="106"/>
        <v>1</v>
      </c>
      <c r="AO83" s="1115" t="b">
        <f t="shared" si="106"/>
        <v>1</v>
      </c>
      <c r="AP83" s="1115" t="b">
        <f t="shared" si="106"/>
        <v>1</v>
      </c>
    </row>
    <row r="84" spans="3:42" ht="15" customHeight="1">
      <c r="C84" s="1059" t="s">
        <v>803</v>
      </c>
      <c r="D84" s="208">
        <f t="shared" ref="D84:V85" si="107">D66+D76</f>
        <v>143748957.74181685</v>
      </c>
      <c r="E84" s="201">
        <f t="shared" si="107"/>
        <v>376322168.71782029</v>
      </c>
      <c r="F84" s="201">
        <f t="shared" si="107"/>
        <v>255483282.74143171</v>
      </c>
      <c r="G84" s="201">
        <f t="shared" si="107"/>
        <v>85568636.378653467</v>
      </c>
      <c r="H84" s="201">
        <f t="shared" si="107"/>
        <v>91083715.876052469</v>
      </c>
      <c r="I84" s="201">
        <f t="shared" si="107"/>
        <v>94727064.51109457</v>
      </c>
      <c r="J84" s="201">
        <f t="shared" si="107"/>
        <v>98516147.09153837</v>
      </c>
      <c r="K84" s="201">
        <f t="shared" si="107"/>
        <v>102737496.51759768</v>
      </c>
      <c r="L84" s="201">
        <f t="shared" si="107"/>
        <v>106555064.69420788</v>
      </c>
      <c r="M84" s="201">
        <f t="shared" si="107"/>
        <v>110817267.28197625</v>
      </c>
      <c r="N84" s="201">
        <f t="shared" si="107"/>
        <v>115249957.97325528</v>
      </c>
      <c r="O84" s="201">
        <f t="shared" si="107"/>
        <v>120188339.73408183</v>
      </c>
      <c r="P84" s="201">
        <f t="shared" si="107"/>
        <v>124654354.54387286</v>
      </c>
      <c r="Q84" s="201">
        <f t="shared" si="107"/>
        <v>129640528.72562781</v>
      </c>
      <c r="R84" s="201">
        <f t="shared" si="107"/>
        <v>134826149.87465295</v>
      </c>
      <c r="S84" s="201">
        <f t="shared" si="107"/>
        <v>140603358.05010384</v>
      </c>
      <c r="T84" s="201">
        <f t="shared" si="107"/>
        <v>145827963.70442465</v>
      </c>
      <c r="U84" s="201">
        <f t="shared" si="107"/>
        <v>151661082.25260162</v>
      </c>
      <c r="V84" s="201">
        <f t="shared" si="107"/>
        <v>157727525.54270571</v>
      </c>
    </row>
    <row r="85" spans="3:42" ht="15" customHeight="1">
      <c r="C85" s="1059" t="s">
        <v>804</v>
      </c>
      <c r="D85" s="201">
        <f t="shared" si="107"/>
        <v>0</v>
      </c>
      <c r="E85" s="201">
        <f t="shared" si="107"/>
        <v>44305270.012718432</v>
      </c>
      <c r="F85" s="201">
        <f t="shared" si="107"/>
        <v>245479659.75775456</v>
      </c>
      <c r="G85" s="201">
        <f t="shared" si="107"/>
        <v>541181365.52922285</v>
      </c>
      <c r="H85" s="208">
        <f t="shared" si="107"/>
        <v>600259306.15572119</v>
      </c>
      <c r="I85" s="201">
        <f t="shared" si="107"/>
        <v>624269678.40195012</v>
      </c>
      <c r="J85" s="201">
        <f t="shared" si="107"/>
        <v>649240465.53802824</v>
      </c>
      <c r="K85" s="201">
        <f t="shared" si="107"/>
        <v>677059974.80108237</v>
      </c>
      <c r="L85" s="201">
        <f t="shared" si="107"/>
        <v>702218487.52593136</v>
      </c>
      <c r="M85" s="201">
        <f t="shared" si="107"/>
        <v>730307227.02696872</v>
      </c>
      <c r="N85" s="201">
        <f t="shared" si="107"/>
        <v>759519516.10804749</v>
      </c>
      <c r="O85" s="201">
        <f t="shared" si="107"/>
        <v>792064407.15443063</v>
      </c>
      <c r="P85" s="201">
        <f t="shared" si="107"/>
        <v>821496308.62246418</v>
      </c>
      <c r="Q85" s="201">
        <f t="shared" si="107"/>
        <v>854356160.96736276</v>
      </c>
      <c r="R85" s="201">
        <f t="shared" si="107"/>
        <v>888530407.40605736</v>
      </c>
      <c r="S85" s="201">
        <f t="shared" si="107"/>
        <v>926603326.780936</v>
      </c>
      <c r="T85" s="201">
        <f t="shared" si="107"/>
        <v>961034488.65039182</v>
      </c>
      <c r="U85" s="201">
        <f t="shared" si="107"/>
        <v>999475868.19640732</v>
      </c>
      <c r="V85" s="201">
        <f t="shared" si="107"/>
        <v>1039454902.9242637</v>
      </c>
    </row>
    <row r="87" spans="3:42" ht="15" customHeight="1">
      <c r="C87" s="1122" t="s">
        <v>808</v>
      </c>
      <c r="D87" s="208">
        <f t="shared" ref="D87:V87" si="108">$C$88*D61</f>
        <v>0</v>
      </c>
      <c r="E87" s="208">
        <f t="shared" si="108"/>
        <v>2841057.633447425</v>
      </c>
      <c r="F87" s="208">
        <f t="shared" si="108"/>
        <v>15237663.628946865</v>
      </c>
      <c r="G87" s="208">
        <f t="shared" si="108"/>
        <v>32412362.264641464</v>
      </c>
      <c r="H87" s="208">
        <f t="shared" si="108"/>
        <v>35386059.003905378</v>
      </c>
      <c r="I87" s="208">
        <f t="shared" si="108"/>
        <v>36801501.364061601</v>
      </c>
      <c r="J87" s="208">
        <f t="shared" si="108"/>
        <v>38273561.418624066</v>
      </c>
      <c r="K87" s="208">
        <f t="shared" si="108"/>
        <v>39913557.310644016</v>
      </c>
      <c r="L87" s="208">
        <f t="shared" si="108"/>
        <v>41396684.030383795</v>
      </c>
      <c r="M87" s="208">
        <f t="shared" si="108"/>
        <v>43052551.391599149</v>
      </c>
      <c r="N87" s="201">
        <f t="shared" si="108"/>
        <v>44774653.447263122</v>
      </c>
      <c r="O87" s="201">
        <f t="shared" si="108"/>
        <v>46693216.679907493</v>
      </c>
      <c r="P87" s="201">
        <f t="shared" si="108"/>
        <v>48428265.16855979</v>
      </c>
      <c r="Q87" s="201">
        <f t="shared" si="108"/>
        <v>50365395.775302187</v>
      </c>
      <c r="R87" s="201">
        <f t="shared" si="108"/>
        <v>52380011.606314279</v>
      </c>
      <c r="S87" s="201">
        <f t="shared" si="108"/>
        <v>54624459.226924568</v>
      </c>
      <c r="T87" s="201">
        <f t="shared" si="108"/>
        <v>56654220.553389527</v>
      </c>
      <c r="U87" s="201">
        <f t="shared" si="108"/>
        <v>58920389.375525109</v>
      </c>
      <c r="V87" s="201">
        <f t="shared" si="108"/>
        <v>61277204.950546116</v>
      </c>
    </row>
    <row r="88" spans="3:42" ht="15" customHeight="1">
      <c r="C88" s="1123">
        <v>0.05</v>
      </c>
      <c r="D88" s="1140" t="s">
        <v>809</v>
      </c>
      <c r="U88" s="199"/>
      <c r="V88" s="199"/>
    </row>
    <row r="89" spans="3:42" ht="15" customHeight="1">
      <c r="C89" s="1140"/>
      <c r="D89" s="197"/>
      <c r="U89" s="199"/>
      <c r="V89" s="199"/>
    </row>
    <row r="90" spans="3:42" ht="15" customHeight="1">
      <c r="C90" s="1140" t="s">
        <v>977</v>
      </c>
      <c r="D90" s="197"/>
      <c r="U90" s="199"/>
      <c r="V90" s="199"/>
    </row>
    <row r="91" spans="3:42" ht="15" customHeight="1">
      <c r="C91" s="519" t="s">
        <v>963</v>
      </c>
      <c r="D91" s="208" t="e">
        <f t="shared" ref="D91:V91" si="109">D87/D55</f>
        <v>#DIV/0!</v>
      </c>
      <c r="E91" s="208">
        <f t="shared" si="109"/>
        <v>59034.963811894544</v>
      </c>
      <c r="F91" s="208">
        <f t="shared" si="109"/>
        <v>68831.907979432479</v>
      </c>
      <c r="G91" s="208">
        <f t="shared" si="109"/>
        <v>84187.953934133679</v>
      </c>
      <c r="H91" s="208">
        <f t="shared" si="109"/>
        <v>91911.841568585398</v>
      </c>
      <c r="I91" s="208">
        <f t="shared" si="109"/>
        <v>95588.31523132883</v>
      </c>
      <c r="J91" s="208">
        <f t="shared" si="109"/>
        <v>99411.847840581991</v>
      </c>
      <c r="K91" s="208">
        <f t="shared" si="109"/>
        <v>103671.5774302442</v>
      </c>
      <c r="L91" s="208">
        <f t="shared" si="109"/>
        <v>107523.85462437349</v>
      </c>
      <c r="M91" s="208">
        <f t="shared" si="109"/>
        <v>111824.80880934844</v>
      </c>
      <c r="N91" s="208">
        <f t="shared" si="109"/>
        <v>116297.8011617224</v>
      </c>
      <c r="O91" s="208">
        <f t="shared" si="109"/>
        <v>121281.08228547401</v>
      </c>
      <c r="P91" s="208">
        <f t="shared" si="109"/>
        <v>125787.70173651894</v>
      </c>
      <c r="Q91" s="208">
        <f t="shared" si="109"/>
        <v>130819.2098059797</v>
      </c>
      <c r="R91" s="208">
        <f t="shared" si="109"/>
        <v>136051.97819821892</v>
      </c>
      <c r="S91" s="208">
        <f t="shared" si="109"/>
        <v>141881.71227772615</v>
      </c>
      <c r="T91" s="208">
        <f t="shared" si="109"/>
        <v>147153.81961919359</v>
      </c>
      <c r="U91" s="208">
        <f t="shared" si="109"/>
        <v>153039.97240396132</v>
      </c>
      <c r="V91" s="208">
        <f t="shared" si="109"/>
        <v>159161.57130011977</v>
      </c>
    </row>
    <row r="92" spans="3:42" ht="15" customHeight="1">
      <c r="C92" s="519" t="s">
        <v>962</v>
      </c>
      <c r="D92" s="208" t="e">
        <f>D91/ROUND((D5-D4)/30,0)</f>
        <v>#DIV/0!</v>
      </c>
      <c r="E92" s="208">
        <f t="shared" ref="E92:V92" si="110">E91/12</f>
        <v>4919.5803176578784</v>
      </c>
      <c r="F92" s="208">
        <f t="shared" si="110"/>
        <v>5735.9923316193735</v>
      </c>
      <c r="G92" s="208">
        <f t="shared" si="110"/>
        <v>7015.6628278444732</v>
      </c>
      <c r="H92" s="208">
        <f t="shared" si="110"/>
        <v>7659.3201307154495</v>
      </c>
      <c r="I92" s="208">
        <f t="shared" si="110"/>
        <v>7965.6929359440692</v>
      </c>
      <c r="J92" s="208">
        <f t="shared" si="110"/>
        <v>8284.320653381832</v>
      </c>
      <c r="K92" s="208">
        <f t="shared" si="110"/>
        <v>8639.2981191870167</v>
      </c>
      <c r="L92" s="208">
        <f t="shared" si="110"/>
        <v>8960.3212186977908</v>
      </c>
      <c r="M92" s="208">
        <f t="shared" si="110"/>
        <v>9318.7340674457027</v>
      </c>
      <c r="N92" s="208">
        <f t="shared" si="110"/>
        <v>9691.483430143533</v>
      </c>
      <c r="O92" s="208">
        <f t="shared" si="110"/>
        <v>10106.756857122835</v>
      </c>
      <c r="P92" s="208">
        <f t="shared" si="110"/>
        <v>10482.308478043245</v>
      </c>
      <c r="Q92" s="208">
        <f t="shared" si="110"/>
        <v>10901.600817164976</v>
      </c>
      <c r="R92" s="208">
        <f t="shared" si="110"/>
        <v>11337.664849851577</v>
      </c>
      <c r="S92" s="208">
        <f t="shared" si="110"/>
        <v>11823.476023143847</v>
      </c>
      <c r="T92" s="208">
        <f t="shared" si="110"/>
        <v>12262.818301599465</v>
      </c>
      <c r="U92" s="208">
        <f t="shared" si="110"/>
        <v>12753.331033663444</v>
      </c>
      <c r="V92" s="208">
        <f t="shared" si="110"/>
        <v>13263.464275009981</v>
      </c>
    </row>
    <row r="93" spans="3:42" ht="15" customHeight="1">
      <c r="C93" s="1140" t="s">
        <v>964</v>
      </c>
      <c r="D93" s="1369">
        <f>LOOKUP(D53,CPI!3:3,CPI!5:5)</f>
        <v>1.1698585600000002</v>
      </c>
      <c r="E93" s="1369">
        <f>LOOKUP(E53,CPI!3:3,CPI!5:5)</f>
        <v>1.2166529024000003</v>
      </c>
      <c r="F93" s="1369">
        <f>LOOKUP(F53,CPI!3:3,CPI!5:5)</f>
        <v>1.2653190184960004</v>
      </c>
      <c r="G93" s="1369">
        <f>LOOKUP(G53,CPI!3:3,CPI!5:5)</f>
        <v>1.3159317792358405</v>
      </c>
      <c r="H93" s="1369">
        <f>LOOKUP(H53,CPI!3:3,CPI!5:5)</f>
        <v>1.3685690504052741</v>
      </c>
      <c r="I93" s="1369">
        <f>LOOKUP(I53,CPI!3:3,CPI!5:5)</f>
        <v>1.4233118124214852</v>
      </c>
      <c r="J93" s="1369">
        <f>LOOKUP(J53,CPI!3:3,CPI!5:5)</f>
        <v>1.4802442849183446</v>
      </c>
      <c r="K93" s="1369">
        <f>LOOKUP(K53,CPI!3:3,CPI!5:5)</f>
        <v>1.5394540563150785</v>
      </c>
      <c r="L93" s="1369">
        <f>LOOKUP(L53,CPI!3:3,CPI!5:5)</f>
        <v>1.6010322185676817</v>
      </c>
      <c r="M93" s="1369">
        <f>LOOKUP(M53,CPI!3:3,CPI!5:5)</f>
        <v>1.6650735073103891</v>
      </c>
      <c r="N93" s="1369">
        <f>LOOKUP(N53,CPI!3:3,CPI!5:5)</f>
        <v>1.7316764476028046</v>
      </c>
      <c r="O93" s="1369">
        <f>LOOKUP(O53,CPI!3:3,CPI!5:5)</f>
        <v>1.8009435055069167</v>
      </c>
      <c r="P93" s="1369">
        <f>LOOKUP(P53,CPI!3:3,CPI!5:5)</f>
        <v>1.8729812457271935</v>
      </c>
      <c r="Q93" s="1369">
        <f>LOOKUP(Q53,CPI!3:3,CPI!5:5)</f>
        <v>1.9479004955562813</v>
      </c>
      <c r="R93" s="1369">
        <f>LOOKUP(R53,CPI!3:3,CPI!5:5)</f>
        <v>2.0258165153785326</v>
      </c>
      <c r="S93" s="1369">
        <f>LOOKUP(S53,CPI!3:3,CPI!5:5)</f>
        <v>2.1068491759936738</v>
      </c>
      <c r="T93" s="1369">
        <f>LOOKUP(T53,CPI!3:3,CPI!5:5)</f>
        <v>2.1911231430334208</v>
      </c>
      <c r="U93" s="1369">
        <f>LOOKUP(U53,CPI!3:3,CPI!5:5)</f>
        <v>2.2787680687547578</v>
      </c>
      <c r="V93" s="1369">
        <f>LOOKUP(V53,CPI!3:3,CPI!5:5)</f>
        <v>2.369918791504948</v>
      </c>
    </row>
    <row r="94" spans="3:42" ht="15" customHeight="1">
      <c r="C94" s="519" t="s">
        <v>963</v>
      </c>
      <c r="D94" s="208" t="e">
        <f>D91/D93</f>
        <v>#DIV/0!</v>
      </c>
      <c r="E94" s="208">
        <f t="shared" ref="E94:V94" si="111">E91/E93</f>
        <v>48522.437003553503</v>
      </c>
      <c r="F94" s="208">
        <f t="shared" si="111"/>
        <v>54398.85670986621</v>
      </c>
      <c r="G94" s="208">
        <f t="shared" si="111"/>
        <v>63975.925851582891</v>
      </c>
      <c r="H94" s="208">
        <f t="shared" si="111"/>
        <v>67159.082357859515</v>
      </c>
      <c r="I94" s="208">
        <f t="shared" si="111"/>
        <v>67159.08235785953</v>
      </c>
      <c r="J94" s="208">
        <f t="shared" si="111"/>
        <v>67159.08235785953</v>
      </c>
      <c r="K94" s="208">
        <f t="shared" si="111"/>
        <v>67343.079843771469</v>
      </c>
      <c r="L94" s="208">
        <f t="shared" si="111"/>
        <v>67159.08235785953</v>
      </c>
      <c r="M94" s="208">
        <f t="shared" si="111"/>
        <v>67159.08235785953</v>
      </c>
      <c r="N94" s="208">
        <f t="shared" si="111"/>
        <v>67159.082357859545</v>
      </c>
      <c r="O94" s="208">
        <f t="shared" si="111"/>
        <v>67343.079843771484</v>
      </c>
      <c r="P94" s="208">
        <f t="shared" si="111"/>
        <v>67159.08235785953</v>
      </c>
      <c r="Q94" s="208">
        <f t="shared" si="111"/>
        <v>67159.08235785953</v>
      </c>
      <c r="R94" s="208">
        <f t="shared" si="111"/>
        <v>67159.082357859545</v>
      </c>
      <c r="S94" s="208">
        <f t="shared" si="111"/>
        <v>67343.079843771498</v>
      </c>
      <c r="T94" s="208">
        <f t="shared" si="111"/>
        <v>67159.082357859559</v>
      </c>
      <c r="U94" s="208">
        <f t="shared" si="111"/>
        <v>67159.082357859545</v>
      </c>
      <c r="V94" s="208">
        <f t="shared" si="111"/>
        <v>67159.082357859545</v>
      </c>
    </row>
    <row r="95" spans="3:42" ht="15" customHeight="1">
      <c r="C95" s="519" t="s">
        <v>962</v>
      </c>
      <c r="D95" s="208" t="e">
        <f>D92/D93</f>
        <v>#DIV/0!</v>
      </c>
      <c r="E95" s="208">
        <f t="shared" ref="E95:V95" si="112">E92/E93</f>
        <v>4043.5364169627915</v>
      </c>
      <c r="F95" s="208">
        <f t="shared" si="112"/>
        <v>4533.2380591555175</v>
      </c>
      <c r="G95" s="208">
        <f t="shared" si="112"/>
        <v>5331.327154298574</v>
      </c>
      <c r="H95" s="208">
        <f t="shared" si="112"/>
        <v>5596.5901964882933</v>
      </c>
      <c r="I95" s="208">
        <f t="shared" si="112"/>
        <v>5596.5901964882933</v>
      </c>
      <c r="J95" s="208">
        <f t="shared" si="112"/>
        <v>5596.5901964882942</v>
      </c>
      <c r="K95" s="208">
        <f t="shared" si="112"/>
        <v>5611.9233203142894</v>
      </c>
      <c r="L95" s="208">
        <f t="shared" si="112"/>
        <v>5596.5901964882933</v>
      </c>
      <c r="M95" s="208">
        <f t="shared" si="112"/>
        <v>5596.5901964882942</v>
      </c>
      <c r="N95" s="208">
        <f t="shared" si="112"/>
        <v>5596.5901964882951</v>
      </c>
      <c r="O95" s="208">
        <f t="shared" si="112"/>
        <v>5611.9233203142912</v>
      </c>
      <c r="P95" s="208">
        <f t="shared" si="112"/>
        <v>5596.5901964882951</v>
      </c>
      <c r="Q95" s="208">
        <f t="shared" si="112"/>
        <v>5596.5901964882951</v>
      </c>
      <c r="R95" s="208">
        <f t="shared" si="112"/>
        <v>5596.590196488296</v>
      </c>
      <c r="S95" s="208">
        <f t="shared" si="112"/>
        <v>5611.9233203142912</v>
      </c>
      <c r="T95" s="208">
        <f t="shared" si="112"/>
        <v>5596.590196488296</v>
      </c>
      <c r="U95" s="208">
        <f t="shared" si="112"/>
        <v>5596.590196488296</v>
      </c>
      <c r="V95" s="208">
        <f t="shared" si="112"/>
        <v>5596.590196488296</v>
      </c>
    </row>
    <row r="98" spans="4:4" ht="15" customHeight="1">
      <c r="D98" s="1535"/>
    </row>
  </sheetData>
  <conditionalFormatting sqref="X78:AP78">
    <cfRule type="cellIs" dxfId="281" priority="24" operator="equal">
      <formula>FALSE</formula>
    </cfRule>
    <cfRule type="cellIs" dxfId="280" priority="26" operator="equal">
      <formula>0</formula>
    </cfRule>
  </conditionalFormatting>
  <conditionalFormatting sqref="X78:AP78">
    <cfRule type="cellIs" dxfId="279" priority="25" operator="equal">
      <formula>0</formula>
    </cfRule>
  </conditionalFormatting>
  <conditionalFormatting sqref="X83:AP83">
    <cfRule type="cellIs" dxfId="278" priority="21" operator="equal">
      <formula>FALSE</formula>
    </cfRule>
    <cfRule type="cellIs" dxfId="277" priority="23" operator="equal">
      <formula>0</formula>
    </cfRule>
  </conditionalFormatting>
  <conditionalFormatting sqref="X83:AP83">
    <cfRule type="cellIs" dxfId="276" priority="22" operator="equal">
      <formula>0</formula>
    </cfRule>
  </conditionalFormatting>
  <conditionalFormatting sqref="X22:AB29">
    <cfRule type="expression" dxfId="275" priority="14">
      <formula>$A$1=1</formula>
    </cfRule>
  </conditionalFormatting>
  <conditionalFormatting sqref="X33:AB35">
    <cfRule type="expression" dxfId="274" priority="13">
      <formula>$A$1=1</formula>
    </cfRule>
  </conditionalFormatting>
  <conditionalFormatting sqref="X39:AB41">
    <cfRule type="expression" dxfId="273" priority="12">
      <formula>$A$1=1</formula>
    </cfRule>
  </conditionalFormatting>
  <conditionalFormatting sqref="X45:AB45">
    <cfRule type="expression" dxfId="272" priority="11">
      <formula>$A$1=1</formula>
    </cfRule>
  </conditionalFormatting>
  <conditionalFormatting sqref="X16:AB16">
    <cfRule type="expression" dxfId="271" priority="4">
      <formula>$A$1=1</formula>
    </cfRule>
  </conditionalFormatting>
  <conditionalFormatting sqref="C52">
    <cfRule type="cellIs" dxfId="270" priority="3" operator="notEqual">
      <formula>1</formula>
    </cfRule>
  </conditionalFormatting>
  <conditionalFormatting sqref="D55:V55">
    <cfRule type="expression" dxfId="269" priority="2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A93D8"/>
  </sheetPr>
  <dimension ref="A1:BE147"/>
  <sheetViews>
    <sheetView showGridLines="0" zoomScale="70" zoomScaleNormal="70" workbookViewId="0">
      <selection activeCell="P32" sqref="D32:P32"/>
    </sheetView>
  </sheetViews>
  <sheetFormatPr defaultColWidth="9.140625" defaultRowHeight="15" customHeight="1" outlineLevelRow="2" outlineLevelCol="1"/>
  <cols>
    <col min="1" max="1" width="10.5703125" style="197" customWidth="1"/>
    <col min="2" max="2" width="12.140625" style="197" bestFit="1" customWidth="1"/>
    <col min="3" max="3" width="45.42578125" style="197" customWidth="1"/>
    <col min="4" max="4" width="14" style="199" customWidth="1"/>
    <col min="5" max="10" width="14" style="197" customWidth="1"/>
    <col min="11" max="11" width="14.5703125" style="197" customWidth="1"/>
    <col min="12" max="19" width="14.5703125" style="197" customWidth="1" outlineLevel="1"/>
    <col min="20" max="20" width="16.5703125" style="197" customWidth="1"/>
    <col min="21" max="21" width="2" style="197" customWidth="1"/>
    <col min="22" max="24" width="9.140625" style="534" customWidth="1"/>
    <col min="25" max="29" width="6.85546875" style="534" customWidth="1"/>
    <col min="30" max="37" width="6.85546875" style="534" hidden="1" customWidth="1" outlineLevel="1"/>
    <col min="38" max="38" width="8.140625" style="534" customWidth="1" collapsed="1"/>
    <col min="39" max="39" width="1.5703125" style="197" customWidth="1"/>
    <col min="40" max="40" width="4.85546875" style="197" customWidth="1"/>
    <col min="41" max="41" width="9.28515625" style="197" customWidth="1"/>
    <col min="42" max="44" width="8.42578125" style="197" customWidth="1"/>
    <col min="45" max="45" width="8.7109375" style="197" bestFit="1" customWidth="1"/>
    <col min="46" max="51" width="8.7109375" style="197" hidden="1" customWidth="1" outlineLevel="1"/>
    <col min="52" max="56" width="10.42578125" style="197" hidden="1" customWidth="1" outlineLevel="1"/>
    <col min="57" max="57" width="10.42578125" style="197" customWidth="1" collapsed="1"/>
    <col min="58" max="16384" width="9.140625" style="197"/>
  </cols>
  <sheetData>
    <row r="1" spans="1:57" ht="15" customHeight="1" thickBot="1">
      <c r="A1" s="415">
        <v>1</v>
      </c>
      <c r="V1" s="1056">
        <f>SUMIF(CPI!3:3,V3,CPI!5:5)</f>
        <v>1.1698585600000002</v>
      </c>
      <c r="W1" s="1056">
        <f>SUMIF(CPI!3:3,W3,CPI!5:5)</f>
        <v>1.2166529024000003</v>
      </c>
      <c r="X1" s="1056">
        <f>SUMIF(CPI!3:3,X3,CPI!5:5)</f>
        <v>1.2653190184960004</v>
      </c>
      <c r="Y1" s="1056">
        <f>SUMIF(CPI!3:3,Y3,CPI!5:5)</f>
        <v>1.3159317792358405</v>
      </c>
      <c r="Z1" s="1056">
        <f>SUMIF(CPI!3:3,Z3,CPI!5:5)</f>
        <v>1.3685690504052741</v>
      </c>
      <c r="AA1" s="1056">
        <f>SUMIF(CPI!3:3,AA3,CPI!5:5)</f>
        <v>1.4233118124214852</v>
      </c>
      <c r="AB1" s="1700">
        <f>SUMIF(CPI!3:3,AB3,CPI!5:5)</f>
        <v>1.4802442849183446</v>
      </c>
      <c r="AC1" s="1056">
        <f>SUMIF(CPI!3:3,AC3,CPI!5:5)</f>
        <v>1.5394540563150785</v>
      </c>
      <c r="AD1" s="1056">
        <f>SUMIF(CPI!3:3,AD3,CPI!5:5)</f>
        <v>1.6010322185676817</v>
      </c>
      <c r="AE1" s="1056">
        <f>SUMIF(CPI!3:3,AE3,CPI!5:5)</f>
        <v>1.6650735073103891</v>
      </c>
      <c r="AF1" s="1056">
        <f>SUMIF(CPI!3:3,AF3,CPI!5:5)</f>
        <v>1.7316764476028046</v>
      </c>
      <c r="AG1" s="1056">
        <f>SUMIF(CPI!3:3,AG3,CPI!5:5)</f>
        <v>1.8009435055069167</v>
      </c>
      <c r="AH1" s="1056">
        <f>SUMIF(CPI!3:3,AH3,CPI!5:5)</f>
        <v>1.8729812457271935</v>
      </c>
      <c r="AI1" s="1056">
        <f>SUMIF(CPI!3:3,AI3,CPI!5:5)</f>
        <v>1.9479004955562813</v>
      </c>
      <c r="AJ1" s="1056">
        <f>SUMIF(CPI!3:3,AJ3,CPI!5:5)</f>
        <v>2.0258165153785326</v>
      </c>
      <c r="AK1" s="1056">
        <f>SUMIF(CPI!3:3,AK3,CPI!5:5)</f>
        <v>2.1068491759936738</v>
      </c>
      <c r="AL1" s="1056">
        <f>SUMIF(CPI!3:3,AL3,CPI!5:5)</f>
        <v>2.1911231430334208</v>
      </c>
    </row>
    <row r="2" spans="1:57" ht="15" customHeight="1">
      <c r="A2" s="511"/>
      <c r="V2" s="522">
        <f>SUMIF(CPI!3:3,V3,CPI!4:4)</f>
        <v>0.04</v>
      </c>
      <c r="W2" s="522">
        <f>SUMIF(CPI!3:3,W3,CPI!4:4)</f>
        <v>0.04</v>
      </c>
      <c r="X2" s="522">
        <f>SUMIF(CPI!3:3,X3,CPI!4:4)</f>
        <v>0.04</v>
      </c>
      <c r="Y2" s="522">
        <f>SUMIF(CPI!3:3,Y3,CPI!4:4)</f>
        <v>0.04</v>
      </c>
      <c r="Z2" s="522">
        <f>SUMIF(CPI!3:3,Z3,CPI!4:4)</f>
        <v>0.04</v>
      </c>
      <c r="AA2" s="522">
        <f>SUMIF(CPI!3:3,AA3,CPI!4:4)</f>
        <v>0.04</v>
      </c>
      <c r="AB2" s="522">
        <f>SUMIF(CPI!3:3,AB3,CPI!4:4)</f>
        <v>0.04</v>
      </c>
      <c r="AC2" s="522">
        <f>SUMIF(CPI!3:3,AC3,CPI!4:4)</f>
        <v>0.04</v>
      </c>
      <c r="AD2" s="522">
        <f>SUMIF(CPI!3:3,AD3,CPI!4:4)</f>
        <v>0.04</v>
      </c>
      <c r="AE2" s="522">
        <f>SUMIF(CPI!3:3,AE3,CPI!4:4)</f>
        <v>0.04</v>
      </c>
      <c r="AF2" s="522">
        <f>SUMIF(CPI!3:3,AF3,CPI!4:4)</f>
        <v>0.04</v>
      </c>
      <c r="AG2" s="522">
        <f>SUMIF(CPI!3:3,AG3,CPI!4:4)</f>
        <v>0.04</v>
      </c>
      <c r="AH2" s="522">
        <f>SUMIF(CPI!3:3,AH3,CPI!4:4)</f>
        <v>0.04</v>
      </c>
      <c r="AI2" s="522">
        <f>SUMIF(CPI!3:3,AI3,CPI!4:4)</f>
        <v>0.04</v>
      </c>
      <c r="AJ2" s="522">
        <f>SUMIF(CPI!3:3,AJ3,CPI!4:4)</f>
        <v>0.04</v>
      </c>
      <c r="AK2" s="522">
        <f>SUMIF(CPI!3:3,AK3,CPI!4:4)</f>
        <v>0.04</v>
      </c>
      <c r="AL2" s="522">
        <f>SUMIF(CPI!3:3,AL3,CPI!4:4)</f>
        <v>0.04</v>
      </c>
    </row>
    <row r="3" spans="1:57">
      <c r="A3" s="511"/>
      <c r="B3" s="511"/>
      <c r="C3" s="536" t="s">
        <v>1382</v>
      </c>
      <c r="D3" s="1841">
        <f>YEAR(D4)</f>
        <v>2025</v>
      </c>
      <c r="E3" s="824">
        <f>D3+1</f>
        <v>2026</v>
      </c>
      <c r="F3" s="824">
        <f t="shared" ref="F3:T3" si="0">E3+1</f>
        <v>2027</v>
      </c>
      <c r="G3" s="824">
        <f t="shared" si="0"/>
        <v>2028</v>
      </c>
      <c r="H3" s="824">
        <f t="shared" si="0"/>
        <v>2029</v>
      </c>
      <c r="I3" s="824">
        <f t="shared" si="0"/>
        <v>2030</v>
      </c>
      <c r="J3" s="824">
        <f t="shared" si="0"/>
        <v>2031</v>
      </c>
      <c r="K3" s="824">
        <f t="shared" si="0"/>
        <v>2032</v>
      </c>
      <c r="L3" s="824">
        <f t="shared" si="0"/>
        <v>2033</v>
      </c>
      <c r="M3" s="824">
        <f>L3+1</f>
        <v>2034</v>
      </c>
      <c r="N3" s="824">
        <f t="shared" si="0"/>
        <v>2035</v>
      </c>
      <c r="O3" s="824">
        <f t="shared" si="0"/>
        <v>2036</v>
      </c>
      <c r="P3" s="824">
        <f t="shared" si="0"/>
        <v>2037</v>
      </c>
      <c r="Q3" s="824">
        <f t="shared" si="0"/>
        <v>2038</v>
      </c>
      <c r="R3" s="824">
        <f t="shared" si="0"/>
        <v>2039</v>
      </c>
      <c r="S3" s="824">
        <f t="shared" si="0"/>
        <v>2040</v>
      </c>
      <c r="T3" s="824">
        <f t="shared" si="0"/>
        <v>2041</v>
      </c>
      <c r="V3" s="824">
        <f t="shared" ref="V3:AL3" si="1">D3</f>
        <v>2025</v>
      </c>
      <c r="W3" s="824">
        <f t="shared" si="1"/>
        <v>2026</v>
      </c>
      <c r="X3" s="824">
        <f t="shared" si="1"/>
        <v>2027</v>
      </c>
      <c r="Y3" s="824">
        <f t="shared" si="1"/>
        <v>2028</v>
      </c>
      <c r="Z3" s="824">
        <f t="shared" si="1"/>
        <v>2029</v>
      </c>
      <c r="AA3" s="824">
        <f t="shared" si="1"/>
        <v>2030</v>
      </c>
      <c r="AB3" s="824">
        <f t="shared" si="1"/>
        <v>2031</v>
      </c>
      <c r="AC3" s="824">
        <f t="shared" si="1"/>
        <v>2032</v>
      </c>
      <c r="AD3" s="824">
        <f t="shared" si="1"/>
        <v>2033</v>
      </c>
      <c r="AE3" s="824">
        <f t="shared" si="1"/>
        <v>2034</v>
      </c>
      <c r="AF3" s="824">
        <f t="shared" si="1"/>
        <v>2035</v>
      </c>
      <c r="AG3" s="824">
        <f t="shared" si="1"/>
        <v>2036</v>
      </c>
      <c r="AH3" s="824">
        <f t="shared" si="1"/>
        <v>2037</v>
      </c>
      <c r="AI3" s="824">
        <f t="shared" si="1"/>
        <v>2038</v>
      </c>
      <c r="AJ3" s="824">
        <f t="shared" si="1"/>
        <v>2039</v>
      </c>
      <c r="AK3" s="824">
        <f t="shared" si="1"/>
        <v>2040</v>
      </c>
      <c r="AL3" s="824">
        <f t="shared" si="1"/>
        <v>2041</v>
      </c>
      <c r="AO3" s="824">
        <f t="shared" ref="AO3:BE3" si="2">V3</f>
        <v>2025</v>
      </c>
      <c r="AP3" s="824">
        <f t="shared" si="2"/>
        <v>2026</v>
      </c>
      <c r="AQ3" s="824">
        <f t="shared" si="2"/>
        <v>2027</v>
      </c>
      <c r="AR3" s="824">
        <f t="shared" si="2"/>
        <v>2028</v>
      </c>
      <c r="AS3" s="824">
        <f t="shared" si="2"/>
        <v>2029</v>
      </c>
      <c r="AT3" s="824">
        <f t="shared" si="2"/>
        <v>2030</v>
      </c>
      <c r="AU3" s="824">
        <f t="shared" si="2"/>
        <v>2031</v>
      </c>
      <c r="AV3" s="824">
        <f t="shared" si="2"/>
        <v>2032</v>
      </c>
      <c r="AW3" s="824">
        <f t="shared" si="2"/>
        <v>2033</v>
      </c>
      <c r="AX3" s="824">
        <f t="shared" si="2"/>
        <v>2034</v>
      </c>
      <c r="AY3" s="824">
        <f t="shared" si="2"/>
        <v>2035</v>
      </c>
      <c r="AZ3" s="824">
        <f t="shared" si="2"/>
        <v>2036</v>
      </c>
      <c r="BA3" s="824">
        <f t="shared" si="2"/>
        <v>2037</v>
      </c>
      <c r="BB3" s="824">
        <f t="shared" si="2"/>
        <v>2038</v>
      </c>
      <c r="BC3" s="824">
        <f t="shared" si="2"/>
        <v>2039</v>
      </c>
      <c r="BD3" s="824">
        <f t="shared" si="2"/>
        <v>2040</v>
      </c>
      <c r="BE3" s="824">
        <f t="shared" si="2"/>
        <v>2041</v>
      </c>
    </row>
    <row r="4" spans="1:57" hidden="1">
      <c r="A4" s="511"/>
      <c r="B4" s="511"/>
      <c r="C4" s="512" t="s">
        <v>1</v>
      </c>
      <c r="D4" s="782">
        <f>MIN(Объекты!K5:K10)</f>
        <v>45839</v>
      </c>
      <c r="E4" s="514">
        <f>D5+1</f>
        <v>46023</v>
      </c>
      <c r="F4" s="514">
        <f t="shared" ref="F4:T4" si="3">E5+1</f>
        <v>46388</v>
      </c>
      <c r="G4" s="514">
        <f t="shared" si="3"/>
        <v>46753</v>
      </c>
      <c r="H4" s="514">
        <f t="shared" si="3"/>
        <v>47119</v>
      </c>
      <c r="I4" s="514">
        <f t="shared" si="3"/>
        <v>47484</v>
      </c>
      <c r="J4" s="514">
        <f t="shared" si="3"/>
        <v>47849</v>
      </c>
      <c r="K4" s="514">
        <f t="shared" si="3"/>
        <v>48214</v>
      </c>
      <c r="L4" s="514">
        <f>K5+1</f>
        <v>48580</v>
      </c>
      <c r="M4" s="514">
        <f t="shared" si="3"/>
        <v>48945</v>
      </c>
      <c r="N4" s="514">
        <f t="shared" si="3"/>
        <v>49310</v>
      </c>
      <c r="O4" s="514">
        <f t="shared" si="3"/>
        <v>49675</v>
      </c>
      <c r="P4" s="514">
        <f t="shared" si="3"/>
        <v>50041</v>
      </c>
      <c r="Q4" s="514">
        <f t="shared" si="3"/>
        <v>50406</v>
      </c>
      <c r="R4" s="514">
        <f t="shared" si="3"/>
        <v>50771</v>
      </c>
      <c r="S4" s="514">
        <f t="shared" si="3"/>
        <v>51136</v>
      </c>
      <c r="T4" s="514">
        <f t="shared" si="3"/>
        <v>51502</v>
      </c>
      <c r="AO4" s="537"/>
    </row>
    <row r="5" spans="1:57" hidden="1">
      <c r="A5" s="511"/>
      <c r="B5" s="511"/>
      <c r="C5" s="512" t="s">
        <v>2</v>
      </c>
      <c r="D5" s="513">
        <f>DATE(D3,12,31)</f>
        <v>46022</v>
      </c>
      <c r="E5" s="514">
        <f>DATE(E3,12,31)</f>
        <v>46387</v>
      </c>
      <c r="F5" s="514">
        <f t="shared" ref="F5:K5" si="4">DATE(F3,12,31)</f>
        <v>46752</v>
      </c>
      <c r="G5" s="514">
        <f t="shared" si="4"/>
        <v>47118</v>
      </c>
      <c r="H5" s="514">
        <f t="shared" si="4"/>
        <v>47483</v>
      </c>
      <c r="I5" s="514">
        <f t="shared" si="4"/>
        <v>47848</v>
      </c>
      <c r="J5" s="514">
        <f t="shared" si="4"/>
        <v>48213</v>
      </c>
      <c r="K5" s="514">
        <f t="shared" si="4"/>
        <v>48579</v>
      </c>
      <c r="L5" s="514">
        <f>DATE(L3,12,31)</f>
        <v>48944</v>
      </c>
      <c r="M5" s="514">
        <f t="shared" ref="M5:T5" si="5">DATE(M3,12,31)</f>
        <v>49309</v>
      </c>
      <c r="N5" s="514">
        <f t="shared" si="5"/>
        <v>49674</v>
      </c>
      <c r="O5" s="514">
        <f t="shared" si="5"/>
        <v>50040</v>
      </c>
      <c r="P5" s="514">
        <f t="shared" si="5"/>
        <v>50405</v>
      </c>
      <c r="Q5" s="514">
        <f t="shared" si="5"/>
        <v>50770</v>
      </c>
      <c r="R5" s="514">
        <f t="shared" si="5"/>
        <v>51135</v>
      </c>
      <c r="S5" s="514">
        <f t="shared" si="5"/>
        <v>51501</v>
      </c>
      <c r="T5" s="514">
        <f t="shared" si="5"/>
        <v>51866</v>
      </c>
    </row>
    <row r="6" spans="1:57" outlineLevel="1">
      <c r="A6" s="511"/>
      <c r="B6" s="511"/>
      <c r="C6" s="512" t="s">
        <v>9</v>
      </c>
      <c r="D6" s="515">
        <f t="shared" ref="D6:T6" si="6">D5-D4+1</f>
        <v>184</v>
      </c>
      <c r="E6" s="515">
        <f t="shared" si="6"/>
        <v>365</v>
      </c>
      <c r="F6" s="515">
        <f t="shared" si="6"/>
        <v>365</v>
      </c>
      <c r="G6" s="515">
        <f t="shared" si="6"/>
        <v>366</v>
      </c>
      <c r="H6" s="515">
        <f t="shared" si="6"/>
        <v>365</v>
      </c>
      <c r="I6" s="515">
        <f t="shared" si="6"/>
        <v>365</v>
      </c>
      <c r="J6" s="515">
        <f t="shared" si="6"/>
        <v>365</v>
      </c>
      <c r="K6" s="515">
        <f t="shared" si="6"/>
        <v>366</v>
      </c>
      <c r="L6" s="515">
        <f t="shared" si="6"/>
        <v>365</v>
      </c>
      <c r="M6" s="515">
        <f t="shared" si="6"/>
        <v>365</v>
      </c>
      <c r="N6" s="515">
        <f t="shared" si="6"/>
        <v>365</v>
      </c>
      <c r="O6" s="515">
        <f t="shared" si="6"/>
        <v>366</v>
      </c>
      <c r="P6" s="515">
        <f t="shared" si="6"/>
        <v>365</v>
      </c>
      <c r="Q6" s="515">
        <f t="shared" si="6"/>
        <v>365</v>
      </c>
      <c r="R6" s="515">
        <f t="shared" si="6"/>
        <v>365</v>
      </c>
      <c r="S6" s="515">
        <f t="shared" si="6"/>
        <v>366</v>
      </c>
      <c r="T6" s="515">
        <f t="shared" si="6"/>
        <v>365</v>
      </c>
    </row>
    <row r="7" spans="1:57" outlineLevel="1">
      <c r="A7" s="509"/>
      <c r="B7" s="509"/>
      <c r="C7" s="1049" t="s">
        <v>549</v>
      </c>
      <c r="D7" s="1852">
        <f>SUM(D8:D13)</f>
        <v>261</v>
      </c>
      <c r="E7" s="1852">
        <f>SUM(E8:E13)</f>
        <v>559</v>
      </c>
      <c r="F7" s="1852">
        <f t="shared" ref="F7:T7" si="7">SUM(F8:F13)</f>
        <v>559</v>
      </c>
      <c r="G7" s="1852">
        <f t="shared" si="7"/>
        <v>559</v>
      </c>
      <c r="H7" s="1852">
        <f t="shared" si="7"/>
        <v>559</v>
      </c>
      <c r="I7" s="1852">
        <f t="shared" si="7"/>
        <v>559</v>
      </c>
      <c r="J7" s="1852">
        <f t="shared" si="7"/>
        <v>559</v>
      </c>
      <c r="K7" s="1852">
        <f t="shared" si="7"/>
        <v>559</v>
      </c>
      <c r="L7" s="1852">
        <f t="shared" si="7"/>
        <v>559</v>
      </c>
      <c r="M7" s="1852">
        <f t="shared" si="7"/>
        <v>559</v>
      </c>
      <c r="N7" s="1852">
        <f t="shared" si="7"/>
        <v>559</v>
      </c>
      <c r="O7" s="1852">
        <f t="shared" si="7"/>
        <v>559</v>
      </c>
      <c r="P7" s="1852">
        <f t="shared" si="7"/>
        <v>559</v>
      </c>
      <c r="Q7" s="1852">
        <f t="shared" si="7"/>
        <v>559</v>
      </c>
      <c r="R7" s="1852">
        <f t="shared" si="7"/>
        <v>559</v>
      </c>
      <c r="S7" s="1852">
        <f t="shared" si="7"/>
        <v>559</v>
      </c>
      <c r="T7" s="1852">
        <f t="shared" si="7"/>
        <v>559</v>
      </c>
      <c r="V7" s="539"/>
      <c r="W7" s="540"/>
      <c r="X7" s="540"/>
      <c r="Y7" s="540"/>
      <c r="Z7" s="540"/>
    </row>
    <row r="8" spans="1:57" hidden="1" outlineLevel="2">
      <c r="A8" s="509"/>
      <c r="B8" s="509"/>
      <c r="C8" s="1047" t="str">
        <f>Объекты!C5</f>
        <v>Гостиница 5*</v>
      </c>
      <c r="D8" s="1046">
        <f>SUMIF(Отель5_PL!$D$3:$T$3,D$3,Отель5_PL!$D$7:$T$7)</f>
        <v>0</v>
      </c>
      <c r="E8" s="1046">
        <f>SUMIF(Отель5_PL!$D$3:$T$3,E$3,Отель5_PL!$D$7:$T$7)</f>
        <v>125</v>
      </c>
      <c r="F8" s="1046">
        <f>SUMIF(Отель5_PL!$D$3:$T$3,F$3,Отель5_PL!$D$7:$T$7)</f>
        <v>125</v>
      </c>
      <c r="G8" s="1046">
        <f>SUMIF(Отель5_PL!$D$3:$T$3,G$3,Отель5_PL!$D$7:$T$7)</f>
        <v>125</v>
      </c>
      <c r="H8" s="1046">
        <f>SUMIF(Отель5_PL!$D$3:$T$3,H$3,Отель5_PL!$D$7:$T$7)</f>
        <v>125</v>
      </c>
      <c r="I8" s="1046">
        <f>SUMIF(Отель5_PL!$D$3:$T$3,I$3,Отель5_PL!$D$7:$T$7)</f>
        <v>125</v>
      </c>
      <c r="J8" s="1046">
        <f>SUMIF(Отель5_PL!$D$3:$T$3,J$3,Отель5_PL!$D$7:$T$7)</f>
        <v>125</v>
      </c>
      <c r="K8" s="1046">
        <f>SUMIF(Отель5_PL!$D$3:$T$3,K$3,Отель5_PL!$D$7:$T$7)</f>
        <v>125</v>
      </c>
      <c r="L8" s="1046">
        <f>SUMIF(Отель5_PL!$D$3:$T$3,L$3,Отель5_PL!$D$7:$T$7)</f>
        <v>125</v>
      </c>
      <c r="M8" s="1046">
        <f>SUMIF(Отель5_PL!$D$3:$T$3,M$3,Отель5_PL!$D$7:$T$7)</f>
        <v>125</v>
      </c>
      <c r="N8" s="1046">
        <f>SUMIF(Отель5_PL!$D$3:$T$3,N$3,Отель5_PL!$D$7:$T$7)</f>
        <v>125</v>
      </c>
      <c r="O8" s="1046">
        <f>SUMIF(Отель5_PL!$D$3:$T$3,O$3,Отель5_PL!$D$7:$T$7)</f>
        <v>125</v>
      </c>
      <c r="P8" s="1046">
        <f>SUMIF(Отель5_PL!$D$3:$T$3,P$3,Отель5_PL!$D$7:$T$7)</f>
        <v>125</v>
      </c>
      <c r="Q8" s="1046">
        <f>SUMIF(Отель5_PL!$D$3:$T$3,Q$3,Отель5_PL!$D$7:$T$7)</f>
        <v>125</v>
      </c>
      <c r="R8" s="1046">
        <f>SUMIF(Отель5_PL!$D$3:$T$3,R$3,Отель5_PL!$D$7:$T$7)</f>
        <v>125</v>
      </c>
      <c r="S8" s="1046">
        <f>SUMIF(Отель5_PL!$D$3:$T$3,S$3,Отель5_PL!$D$7:$T$7)</f>
        <v>125</v>
      </c>
      <c r="T8" s="1048">
        <f>SUMIF(Отель5_PL!$D$3:$T$3,T$3,Отель5_PL!$D$7:$T$7)</f>
        <v>125</v>
      </c>
      <c r="V8" s="539"/>
      <c r="W8" s="540"/>
      <c r="X8" s="540"/>
      <c r="Y8" s="540"/>
      <c r="Z8" s="540"/>
    </row>
    <row r="9" spans="1:57" hidden="1" outlineLevel="2">
      <c r="A9" s="509"/>
      <c r="B9" s="509"/>
      <c r="C9" s="1047" t="str">
        <f>Объекты!C6</f>
        <v>Гостиница 4*</v>
      </c>
      <c r="D9" s="1046">
        <f>SUMIF(Отель4_PL!$D$3:$T$3,D$3,Отель4_PL!$D$7:$T$7)</f>
        <v>0</v>
      </c>
      <c r="E9" s="1046">
        <f>SUMIF(Отель4_PL!$D$3:$T$3,E$3,Отель4_PL!$D$7:$T$7)</f>
        <v>160</v>
      </c>
      <c r="F9" s="1046">
        <f>SUMIF(Отель4_PL!$D$3:$T$3,F$3,Отель4_PL!$D$7:$T$7)</f>
        <v>160</v>
      </c>
      <c r="G9" s="1046">
        <f>SUMIF(Отель4_PL!$D$3:$T$3,G$3,Отель4_PL!$D$7:$T$7)</f>
        <v>160</v>
      </c>
      <c r="H9" s="1046">
        <f>SUMIF(Отель4_PL!$D$3:$T$3,H$3,Отель4_PL!$D$7:$T$7)</f>
        <v>160</v>
      </c>
      <c r="I9" s="1046">
        <f>SUMIF(Отель4_PL!$D$3:$T$3,I$3,Отель4_PL!$D$7:$T$7)</f>
        <v>160</v>
      </c>
      <c r="J9" s="1046">
        <f>SUMIF(Отель4_PL!$D$3:$T$3,J$3,Отель4_PL!$D$7:$T$7)</f>
        <v>160</v>
      </c>
      <c r="K9" s="1046">
        <f>SUMIF(Отель4_PL!$D$3:$T$3,K$3,Отель4_PL!$D$7:$T$7)</f>
        <v>160</v>
      </c>
      <c r="L9" s="1046">
        <f>SUMIF(Отель4_PL!$D$3:$T$3,L$3,Отель4_PL!$D$7:$T$7)</f>
        <v>160</v>
      </c>
      <c r="M9" s="1046">
        <f>SUMIF(Отель4_PL!$D$3:$T$3,M$3,Отель4_PL!$D$7:$T$7)</f>
        <v>160</v>
      </c>
      <c r="N9" s="1046">
        <f>SUMIF(Отель4_PL!$D$3:$T$3,N$3,Отель4_PL!$D$7:$T$7)</f>
        <v>160</v>
      </c>
      <c r="O9" s="1046">
        <f>SUMIF(Отель4_PL!$D$3:$T$3,O$3,Отель4_PL!$D$7:$T$7)</f>
        <v>160</v>
      </c>
      <c r="P9" s="1046">
        <f>SUMIF(Отель4_PL!$D$3:$T$3,P$3,Отель4_PL!$D$7:$T$7)</f>
        <v>160</v>
      </c>
      <c r="Q9" s="1046">
        <f>SUMIF(Отель4_PL!$D$3:$T$3,Q$3,Отель4_PL!$D$7:$T$7)</f>
        <v>160</v>
      </c>
      <c r="R9" s="1046">
        <f>SUMIF(Отель4_PL!$D$3:$T$3,R$3,Отель4_PL!$D$7:$T$7)</f>
        <v>160</v>
      </c>
      <c r="S9" s="1046">
        <f>SUMIF(Отель4_PL!$D$3:$T$3,S$3,Отель4_PL!$D$7:$T$7)</f>
        <v>160</v>
      </c>
      <c r="T9" s="1046">
        <f>SUMIF(Отель4_PL!$D$3:$T$3,T$3,Отель4_PL!$D$7:$T$7)</f>
        <v>160</v>
      </c>
      <c r="V9" s="539"/>
      <c r="W9" s="540"/>
      <c r="X9" s="540"/>
      <c r="Y9" s="540"/>
      <c r="Z9" s="540"/>
    </row>
    <row r="10" spans="1:57" hidden="1" outlineLevel="2">
      <c r="A10" s="509"/>
      <c r="B10" s="509"/>
      <c r="C10" s="1047" t="str">
        <f>Объекты!C7</f>
        <v>Гостиница 3*</v>
      </c>
      <c r="D10" s="1046">
        <f>SUMIF(Отель3_PL!$D$3:$T$3,D$3,Отель3_PL!$D$7:$T$7)</f>
        <v>160</v>
      </c>
      <c r="E10" s="1046">
        <f>SUMIF(Отель3_PL!$D$3:$T$3,E$3,Отель3_PL!$D$7:$T$7)</f>
        <v>160</v>
      </c>
      <c r="F10" s="1046">
        <f>SUMIF(Отель3_PL!$D$3:$T$3,F$3,Отель3_PL!$D$7:$T$7)</f>
        <v>160</v>
      </c>
      <c r="G10" s="1046">
        <f>SUMIF(Отель3_PL!$D$3:$T$3,G$3,Отель3_PL!$D$7:$T$7)</f>
        <v>160</v>
      </c>
      <c r="H10" s="1046">
        <f>SUMIF(Отель3_PL!$D$3:$T$3,H$3,Отель3_PL!$D$7:$T$7)</f>
        <v>160</v>
      </c>
      <c r="I10" s="1046">
        <f>SUMIF(Отель3_PL!$D$3:$T$3,I$3,Отель3_PL!$D$7:$T$7)</f>
        <v>160</v>
      </c>
      <c r="J10" s="1046">
        <f>SUMIF(Отель3_PL!$D$3:$T$3,J$3,Отель3_PL!$D$7:$T$7)</f>
        <v>160</v>
      </c>
      <c r="K10" s="1046">
        <f>SUMIF(Отель3_PL!$D$3:$T$3,K$3,Отель3_PL!$D$7:$T$7)</f>
        <v>160</v>
      </c>
      <c r="L10" s="1046">
        <f>SUMIF(Отель3_PL!$D$3:$T$3,L$3,Отель3_PL!$D$7:$T$7)</f>
        <v>160</v>
      </c>
      <c r="M10" s="1046">
        <f>SUMIF(Отель3_PL!$D$3:$T$3,M$3,Отель3_PL!$D$7:$T$7)</f>
        <v>160</v>
      </c>
      <c r="N10" s="1046">
        <f>SUMIF(Отель3_PL!$D$3:$T$3,N$3,Отель3_PL!$D$7:$T$7)</f>
        <v>160</v>
      </c>
      <c r="O10" s="1046">
        <f>SUMIF(Отель3_PL!$D$3:$T$3,O$3,Отель3_PL!$D$7:$T$7)</f>
        <v>160</v>
      </c>
      <c r="P10" s="1046">
        <f>SUMIF(Отель3_PL!$D$3:$T$3,P$3,Отель3_PL!$D$7:$T$7)</f>
        <v>160</v>
      </c>
      <c r="Q10" s="1046">
        <f>SUMIF(Отель3_PL!$D$3:$T$3,Q$3,Отель3_PL!$D$7:$T$7)</f>
        <v>160</v>
      </c>
      <c r="R10" s="1046">
        <f>SUMIF(Отель3_PL!$D$3:$T$3,R$3,Отель3_PL!$D$7:$T$7)</f>
        <v>160</v>
      </c>
      <c r="S10" s="1046">
        <f>SUMIF(Отель3_PL!$D$3:$T$3,S$3,Отель3_PL!$D$7:$T$7)</f>
        <v>160</v>
      </c>
      <c r="T10" s="1046">
        <f>SUMIF(Отель3_PL!$D$3:$T$3,T$3,Отель3_PL!$D$7:$T$7)</f>
        <v>160</v>
      </c>
      <c r="V10" s="539"/>
      <c r="W10" s="540"/>
      <c r="X10" s="540"/>
      <c r="Y10" s="540"/>
      <c r="Z10" s="540"/>
    </row>
    <row r="11" spans="1:57" hidden="1" outlineLevel="2">
      <c r="A11" s="509"/>
      <c r="B11" s="509"/>
      <c r="C11" s="1047" t="str">
        <f>Объекты!C8</f>
        <v>Гостиница 2*</v>
      </c>
      <c r="D11" s="1046">
        <f>SUMIF(Отель2_PL!$D$3:$T$3,D$3,Отель2_PL!$D$7:$T$7)</f>
        <v>0</v>
      </c>
      <c r="E11" s="1046">
        <f>SUMIF(Отель2_PL!$D$3:$T$3,E$3,Отель2_PL!$D$7:$T$7)</f>
        <v>0</v>
      </c>
      <c r="F11" s="1046">
        <f>SUMIF(Отель2_PL!$D$3:$T$3,F$3,Отель2_PL!$D$7:$T$7)</f>
        <v>0</v>
      </c>
      <c r="G11" s="1046">
        <f>SUMIF(Отель2_PL!$D$3:$T$3,G$3,Отель2_PL!$D$7:$T$7)</f>
        <v>0</v>
      </c>
      <c r="H11" s="1046">
        <f>SUMIF(Отель2_PL!$D$3:$T$3,H$3,Отель2_PL!$D$7:$T$7)</f>
        <v>0</v>
      </c>
      <c r="I11" s="1046">
        <f>SUMIF(Отель2_PL!$D$3:$T$3,I$3,Отель2_PL!$D$7:$T$7)</f>
        <v>0</v>
      </c>
      <c r="J11" s="1046">
        <f>SUMIF(Отель2_PL!$D$3:$T$3,J$3,Отель2_PL!$D$7:$T$7)</f>
        <v>0</v>
      </c>
      <c r="K11" s="1046">
        <f>SUMIF(Отель2_PL!$D$3:$T$3,K$3,Отель2_PL!$D$7:$T$7)</f>
        <v>0</v>
      </c>
      <c r="L11" s="1046">
        <f>SUMIF(Отель2_PL!$D$3:$T$3,L$3,Отель2_PL!$D$7:$T$7)</f>
        <v>0</v>
      </c>
      <c r="M11" s="1046">
        <f>SUMIF(Отель2_PL!$D$3:$T$3,M$3,Отель2_PL!$D$7:$T$7)</f>
        <v>0</v>
      </c>
      <c r="N11" s="1046">
        <f>SUMIF(Отель2_PL!$D$3:$T$3,N$3,Отель2_PL!$D$7:$T$7)</f>
        <v>0</v>
      </c>
      <c r="O11" s="1046">
        <f>SUMIF(Отель2_PL!$D$3:$T$3,O$3,Отель2_PL!$D$7:$T$7)</f>
        <v>0</v>
      </c>
      <c r="P11" s="1046">
        <f>SUMIF(Отель2_PL!$D$3:$T$3,P$3,Отель2_PL!$D$7:$T$7)</f>
        <v>0</v>
      </c>
      <c r="Q11" s="1046">
        <f>SUMIF(Отель2_PL!$D$3:$T$3,Q$3,Отель2_PL!$D$7:$T$7)</f>
        <v>0</v>
      </c>
      <c r="R11" s="1046">
        <f>SUMIF(Отель2_PL!$D$3:$T$3,R$3,Отель2_PL!$D$7:$T$7)</f>
        <v>0</v>
      </c>
      <c r="S11" s="1046">
        <f>SUMIF(Отель2_PL!$D$3:$T$3,S$3,Отель2_PL!$D$7:$T$7)</f>
        <v>0</v>
      </c>
      <c r="T11" s="1046">
        <f>SUMIF(Отель2_PL!$D$3:$T$3,T$3,Отель2_PL!$D$7:$T$7)</f>
        <v>0</v>
      </c>
      <c r="V11" s="539"/>
      <c r="W11" s="540"/>
      <c r="X11" s="540"/>
      <c r="Y11" s="540"/>
      <c r="Z11" s="540"/>
    </row>
    <row r="12" spans="1:57" hidden="1" outlineLevel="2">
      <c r="A12" s="509"/>
      <c r="B12" s="509"/>
      <c r="C12" s="1047" t="str">
        <f>Объекты!C9</f>
        <v>Хостел в составе МФЦ</v>
      </c>
      <c r="D12" s="1048">
        <f>SUMIF(Хостел_PL!$D$3:$T$3,D$3,Хостел_PL!$D$7:$T$7)</f>
        <v>101</v>
      </c>
      <c r="E12" s="1046">
        <f>SUMIF(Хостел_PL!$D$3:$T$3,E$3,Хостел_PL!$D$7:$T$7)</f>
        <v>101</v>
      </c>
      <c r="F12" s="1046">
        <f>SUMIF(Хостел_PL!$D$3:$T$3,F$3,Хостел_PL!$D$7:$T$7)</f>
        <v>101</v>
      </c>
      <c r="G12" s="1046">
        <f>SUMIF(Хостел_PL!$D$3:$T$3,G$3,Хостел_PL!$D$7:$T$7)</f>
        <v>101</v>
      </c>
      <c r="H12" s="1046">
        <f>SUMIF(Хостел_PL!$D$3:$T$3,H$3,Хостел_PL!$D$7:$T$7)</f>
        <v>101</v>
      </c>
      <c r="I12" s="1046">
        <f>SUMIF(Хостел_PL!$D$3:$T$3,I$3,Хостел_PL!$D$7:$T$7)</f>
        <v>101</v>
      </c>
      <c r="J12" s="1046">
        <f>SUMIF(Хостел_PL!$D$3:$T$3,J$3,Хостел_PL!$D$7:$T$7)</f>
        <v>101</v>
      </c>
      <c r="K12" s="1046">
        <f>SUMIF(Хостел_PL!$D$3:$T$3,K$3,Хостел_PL!$D$7:$T$7)</f>
        <v>101</v>
      </c>
      <c r="L12" s="1046">
        <f>SUMIF(Хостел_PL!$D$3:$T$3,L$3,Хостел_PL!$D$7:$T$7)</f>
        <v>101</v>
      </c>
      <c r="M12" s="1046">
        <f>SUMIF(Хостел_PL!$D$3:$T$3,M$3,Хостел_PL!$D$7:$T$7)</f>
        <v>101</v>
      </c>
      <c r="N12" s="1046">
        <f>SUMIF(Хостел_PL!$D$3:$T$3,N$3,Хостел_PL!$D$7:$T$7)</f>
        <v>101</v>
      </c>
      <c r="O12" s="1046">
        <f>SUMIF(Хостел_PL!$D$3:$T$3,O$3,Хостел_PL!$D$7:$T$7)</f>
        <v>101</v>
      </c>
      <c r="P12" s="1046">
        <f>SUMIF(Хостел_PL!$D$3:$T$3,P$3,Хостел_PL!$D$7:$T$7)</f>
        <v>101</v>
      </c>
      <c r="Q12" s="1046">
        <f>SUMIF(Хостел_PL!$D$3:$T$3,Q$3,Хостел_PL!$D$7:$T$7)</f>
        <v>101</v>
      </c>
      <c r="R12" s="1046">
        <f>SUMIF(Хостел_PL!$D$3:$T$3,R$3,Хостел_PL!$D$7:$T$7)</f>
        <v>101</v>
      </c>
      <c r="S12" s="1046">
        <f>SUMIF(Хостел_PL!$D$3:$T$3,S$3,Хостел_PL!$D$7:$T$7)</f>
        <v>101</v>
      </c>
      <c r="T12" s="1046">
        <f>SUMIF(Хостел_PL!$D$3:$T$3,T$3,Хостел_PL!$D$7:$T$7)</f>
        <v>101</v>
      </c>
      <c r="V12" s="539"/>
      <c r="W12" s="540"/>
      <c r="X12" s="540"/>
      <c r="Y12" s="540"/>
      <c r="Z12" s="540"/>
    </row>
    <row r="13" spans="1:57" hidden="1" outlineLevel="2">
      <c r="A13" s="509"/>
      <c r="B13" s="509"/>
      <c r="C13" s="1047" t="str">
        <f>Объекты!C10</f>
        <v>Шале</v>
      </c>
      <c r="D13" s="1048">
        <f>SUMIF(Шале_PL!$D$3:$T$3,D$3,Шале_PL!$D$7:$T$7)</f>
        <v>0</v>
      </c>
      <c r="E13" s="1046">
        <f>SUMIF(Шале_PL!$D$3:$T$3,E$3,Шале_PL!$D$7:$T$7)</f>
        <v>13</v>
      </c>
      <c r="F13" s="1046">
        <f>SUMIF(Шале_PL!$D$3:$T$3,F$3,Шале_PL!$D$7:$T$7)</f>
        <v>13</v>
      </c>
      <c r="G13" s="1046">
        <f>SUMIF(Шале_PL!$D$3:$T$3,G$3,Шале_PL!$D$7:$T$7)</f>
        <v>13</v>
      </c>
      <c r="H13" s="1046">
        <f>SUMIF(Шале_PL!$D$3:$T$3,H$3,Шале_PL!$D$7:$T$7)</f>
        <v>13</v>
      </c>
      <c r="I13" s="1046">
        <f>SUMIF(Шале_PL!$D$3:$T$3,I$3,Шале_PL!$D$7:$T$7)</f>
        <v>13</v>
      </c>
      <c r="J13" s="1046">
        <f>SUMIF(Шале_PL!$D$3:$T$3,J$3,Шале_PL!$D$7:$T$7)</f>
        <v>13</v>
      </c>
      <c r="K13" s="1046">
        <f>SUMIF(Шале_PL!$D$3:$T$3,K$3,Шале_PL!$D$7:$T$7)</f>
        <v>13</v>
      </c>
      <c r="L13" s="1046">
        <f>SUMIF(Шале_PL!$D$3:$T$3,L$3,Шале_PL!$D$7:$T$7)</f>
        <v>13</v>
      </c>
      <c r="M13" s="1046">
        <f>SUMIF(Шале_PL!$D$3:$T$3,M$3,Шале_PL!$D$7:$T$7)</f>
        <v>13</v>
      </c>
      <c r="N13" s="1046">
        <f>SUMIF(Шале_PL!$D$3:$T$3,N$3,Шале_PL!$D$7:$T$7)</f>
        <v>13</v>
      </c>
      <c r="O13" s="1046">
        <f>SUMIF(Шале_PL!$D$3:$T$3,O$3,Шале_PL!$D$7:$T$7)</f>
        <v>13</v>
      </c>
      <c r="P13" s="1046">
        <f>SUMIF(Шале_PL!$D$3:$T$3,P$3,Шале_PL!$D$7:$T$7)</f>
        <v>13</v>
      </c>
      <c r="Q13" s="1046">
        <f>SUMIF(Шале_PL!$D$3:$T$3,Q$3,Шале_PL!$D$7:$T$7)</f>
        <v>13</v>
      </c>
      <c r="R13" s="1046">
        <f>SUMIF(Шале_PL!$D$3:$T$3,R$3,Шале_PL!$D$7:$T$7)</f>
        <v>13</v>
      </c>
      <c r="S13" s="1046">
        <f>SUMIF(Шале_PL!$D$3:$T$3,S$3,Шале_PL!$D$7:$T$7)</f>
        <v>13</v>
      </c>
      <c r="T13" s="1046">
        <f>SUMIF(Шале_PL!$D$3:$T$3,T$3,Шале_PL!$D$7:$T$7)</f>
        <v>13</v>
      </c>
      <c r="V13" s="539"/>
      <c r="W13" s="540"/>
      <c r="X13" s="540"/>
      <c r="Y13" s="540"/>
      <c r="Z13" s="540"/>
    </row>
    <row r="14" spans="1:57" hidden="1" outlineLevel="2">
      <c r="A14" s="509"/>
      <c r="B14" s="509"/>
      <c r="C14" s="1625" t="str">
        <f>Резиденции_PL!C3</f>
        <v>Туристские резиденции</v>
      </c>
      <c r="D14" s="1142">
        <f>SUMIF(Резиденции_PL!$D$3:$V$3,D$3,Резиденции_PL!$D$7:$V$7)</f>
        <v>385</v>
      </c>
      <c r="E14" s="1142">
        <f>SUMIF(Резиденции_PL!$D$3:$V$3,E$3,Резиденции_PL!$D$7:$V$7)</f>
        <v>385</v>
      </c>
      <c r="F14" s="1142">
        <f>SUMIF(Резиденции_PL!$D$3:$V$3,F$3,Резиденции_PL!$D$7:$V$7)</f>
        <v>385</v>
      </c>
      <c r="G14" s="1142">
        <f>SUMIF(Резиденции_PL!$D$3:$V$3,G$3,Резиденции_PL!$D$7:$V$7)</f>
        <v>385</v>
      </c>
      <c r="H14" s="1142">
        <f>SUMIF(Резиденции_PL!$D$3:$V$3,H$3,Резиденции_PL!$D$7:$V$7)</f>
        <v>385</v>
      </c>
      <c r="I14" s="1142">
        <f>SUMIF(Резиденции_PL!$D$3:$V$3,I$3,Резиденции_PL!$D$7:$V$7)</f>
        <v>385</v>
      </c>
      <c r="J14" s="1142">
        <f>SUMIF(Резиденции_PL!$D$3:$V$3,J$3,Резиденции_PL!$D$7:$V$7)</f>
        <v>385</v>
      </c>
      <c r="K14" s="1142">
        <f>SUMIF(Резиденции_PL!$D$3:$V$3,K$3,Резиденции_PL!$D$7:$V$7)</f>
        <v>385</v>
      </c>
      <c r="L14" s="1142">
        <f>SUMIF(Резиденции_PL!$D$3:$V$3,L$3,Резиденции_PL!$D$7:$V$7)</f>
        <v>385</v>
      </c>
      <c r="M14" s="1142">
        <f>SUMIF(Резиденции_PL!$D$3:$V$3,M$3,Резиденции_PL!$D$7:$V$7)</f>
        <v>385</v>
      </c>
      <c r="N14" s="1142">
        <f>SUMIF(Резиденции_PL!$D$3:$V$3,N$3,Резиденции_PL!$D$7:$V$7)</f>
        <v>385</v>
      </c>
      <c r="O14" s="1142">
        <f>SUMIF(Резиденции_PL!$D$3:$V$3,O$3,Резиденции_PL!$D$7:$V$7)</f>
        <v>385</v>
      </c>
      <c r="P14" s="1142">
        <f>SUMIF(Резиденции_PL!$D$3:$V$3,P$3,Резиденции_PL!$D$7:$V$7)</f>
        <v>385</v>
      </c>
      <c r="Q14" s="1142">
        <f>SUMIF(Резиденции_PL!$D$3:$V$3,Q$3,Резиденции_PL!$D$7:$V$7)</f>
        <v>385</v>
      </c>
      <c r="R14" s="1142">
        <f>SUMIF(Резиденции_PL!$D$3:$V$3,R$3,Резиденции_PL!$D$7:$V$7)</f>
        <v>385</v>
      </c>
      <c r="S14" s="1142">
        <f>SUMIF(Резиденции_PL!$D$3:$V$3,S$3,Резиденции_PL!$D$7:$V$7)</f>
        <v>385</v>
      </c>
      <c r="T14" s="1142">
        <f>SUMIF(Резиденции_PL!$D$3:$V$3,T$3,Резиденции_PL!$D$7:$V$7)</f>
        <v>385</v>
      </c>
      <c r="V14" s="539"/>
      <c r="W14" s="540"/>
      <c r="X14" s="540"/>
      <c r="Y14" s="540"/>
      <c r="Z14" s="540"/>
    </row>
    <row r="15" spans="1:57" outlineLevel="1" collapsed="1">
      <c r="A15" s="509"/>
      <c r="B15" s="509"/>
      <c r="C15" s="1049" t="s">
        <v>546</v>
      </c>
      <c r="D15" s="1052">
        <f>SUM(D16:D22)</f>
        <v>118864</v>
      </c>
      <c r="E15" s="1052">
        <f t="shared" ref="E15:T15" si="8">SUM(E16:E22)</f>
        <v>290622</v>
      </c>
      <c r="F15" s="1052">
        <f t="shared" si="8"/>
        <v>344560</v>
      </c>
      <c r="G15" s="1052">
        <f t="shared" si="8"/>
        <v>345504</v>
      </c>
      <c r="H15" s="1052">
        <f t="shared" si="8"/>
        <v>344560</v>
      </c>
      <c r="I15" s="1052">
        <f t="shared" si="8"/>
        <v>344560</v>
      </c>
      <c r="J15" s="1052">
        <f t="shared" si="8"/>
        <v>344560</v>
      </c>
      <c r="K15" s="1052">
        <f t="shared" si="8"/>
        <v>345504</v>
      </c>
      <c r="L15" s="1052">
        <f t="shared" si="8"/>
        <v>344560</v>
      </c>
      <c r="M15" s="1052">
        <f t="shared" si="8"/>
        <v>344560</v>
      </c>
      <c r="N15" s="1052">
        <f t="shared" si="8"/>
        <v>344560</v>
      </c>
      <c r="O15" s="1052">
        <f t="shared" si="8"/>
        <v>345504</v>
      </c>
      <c r="P15" s="1052">
        <f t="shared" si="8"/>
        <v>344560</v>
      </c>
      <c r="Q15" s="1052">
        <f t="shared" si="8"/>
        <v>344560</v>
      </c>
      <c r="R15" s="1052">
        <f t="shared" si="8"/>
        <v>344560</v>
      </c>
      <c r="S15" s="1052">
        <f t="shared" si="8"/>
        <v>345504</v>
      </c>
      <c r="T15" s="1052">
        <f t="shared" si="8"/>
        <v>344560</v>
      </c>
      <c r="AO15" s="537"/>
    </row>
    <row r="16" spans="1:57" hidden="1" outlineLevel="2">
      <c r="A16" s="509"/>
      <c r="B16" s="509"/>
      <c r="C16" s="1047" t="str">
        <f t="shared" ref="C16:C22" si="9">C8</f>
        <v>Гостиница 5*</v>
      </c>
      <c r="D16" s="1050">
        <f>SUMIF(Отель5_PL!$D$3:$T$3,D$3,Отель5_PL!$D$8:$T$8)</f>
        <v>0</v>
      </c>
      <c r="E16" s="1050">
        <f>SUMIF(Отель5_PL!$D$3:$T$3,E$3,Отель5_PL!$D$8:$T$8)</f>
        <v>23000</v>
      </c>
      <c r="F16" s="1051">
        <f>SUMIF(Отель5_PL!$D$3:$T$3,F$3,Отель5_PL!$D$8:$T$8)</f>
        <v>45625</v>
      </c>
      <c r="G16" s="1050">
        <f>SUMIF(Отель5_PL!$D$3:$T$3,G$3,Отель5_PL!$D$8:$T$8)</f>
        <v>45750</v>
      </c>
      <c r="H16" s="1050">
        <f>SUMIF(Отель5_PL!$D$3:$T$3,H$3,Отель5_PL!$D$8:$T$8)</f>
        <v>45625</v>
      </c>
      <c r="I16" s="1050">
        <f>SUMIF(Отель5_PL!$D$3:$T$3,I$3,Отель5_PL!$D$8:$T$8)</f>
        <v>45625</v>
      </c>
      <c r="J16" s="1050">
        <f>SUMIF(Отель5_PL!$D$3:$T$3,J$3,Отель5_PL!$D$8:$T$8)</f>
        <v>45625</v>
      </c>
      <c r="K16" s="1050">
        <f>SUMIF(Отель5_PL!$D$3:$T$3,K$3,Отель5_PL!$D$8:$T$8)</f>
        <v>45750</v>
      </c>
      <c r="L16" s="1050">
        <f>SUMIF(Отель5_PL!$D$3:$T$3,L$3,Отель5_PL!$D$8:$T$8)</f>
        <v>45625</v>
      </c>
      <c r="M16" s="1050">
        <f>SUMIF(Отель5_PL!$D$3:$T$3,M$3,Отель5_PL!$D$8:$T$8)</f>
        <v>45625</v>
      </c>
      <c r="N16" s="1050">
        <f>SUMIF(Отель5_PL!$D$3:$T$3,N$3,Отель5_PL!$D$8:$T$8)</f>
        <v>45625</v>
      </c>
      <c r="O16" s="1050">
        <f>SUMIF(Отель5_PL!$D$3:$T$3,O$3,Отель5_PL!$D$8:$T$8)</f>
        <v>45750</v>
      </c>
      <c r="P16" s="1050">
        <f>SUMIF(Отель5_PL!$D$3:$T$3,P$3,Отель5_PL!$D$8:$T$8)</f>
        <v>45625</v>
      </c>
      <c r="Q16" s="1050">
        <f>SUMIF(Отель5_PL!$D$3:$T$3,Q$3,Отель5_PL!$D$8:$T$8)</f>
        <v>45625</v>
      </c>
      <c r="R16" s="1050">
        <f>SUMIF(Отель5_PL!$D$3:$T$3,R$3,Отель5_PL!$D$8:$T$8)</f>
        <v>45625</v>
      </c>
      <c r="S16" s="1050">
        <f>SUMIF(Отель5_PL!$D$3:$T$3,S$3,Отель5_PL!$D$8:$T$8)</f>
        <v>45750</v>
      </c>
      <c r="T16" s="1050">
        <f>SUMIF(Отель5_PL!$D$3:$T$3,T$3,Отель5_PL!$D$8:$T$8)</f>
        <v>45625</v>
      </c>
      <c r="AO16" s="537"/>
    </row>
    <row r="17" spans="1:57" hidden="1" outlineLevel="2">
      <c r="A17" s="509"/>
      <c r="B17" s="509"/>
      <c r="C17" s="1047" t="str">
        <f t="shared" si="9"/>
        <v>Гостиница 4*</v>
      </c>
      <c r="D17" s="1050">
        <f>SUMIF(Отель4_PL!$D$3:$T$3,D$3,Отель4_PL!$D$8:$T$8)</f>
        <v>0</v>
      </c>
      <c r="E17" s="1050">
        <f>SUMIF(Отель4_PL!$D$3:$T$3,E$3,Отель4_PL!$D$8:$T$8)</f>
        <v>29440</v>
      </c>
      <c r="F17" s="1050">
        <f>SUMIF(Отель4_PL!$D$3:$T$3,F$3,Отель4_PL!$D$8:$T$8)</f>
        <v>58400</v>
      </c>
      <c r="G17" s="1050">
        <f>SUMIF(Отель4_PL!$D$3:$T$3,G$3,Отель4_PL!$D$8:$T$8)</f>
        <v>58560</v>
      </c>
      <c r="H17" s="1050">
        <f>SUMIF(Отель4_PL!$D$3:$T$3,H$3,Отель4_PL!$D$8:$T$8)</f>
        <v>58400</v>
      </c>
      <c r="I17" s="1050">
        <f>SUMIF(Отель4_PL!$D$3:$T$3,I$3,Отель4_PL!$D$8:$T$8)</f>
        <v>58400</v>
      </c>
      <c r="J17" s="1050">
        <f>SUMIF(Отель4_PL!$D$3:$T$3,J$3,Отель4_PL!$D$8:$T$8)</f>
        <v>58400</v>
      </c>
      <c r="K17" s="1050">
        <f>SUMIF(Отель4_PL!$D$3:$T$3,K$3,Отель4_PL!$D$8:$T$8)</f>
        <v>58560</v>
      </c>
      <c r="L17" s="1050">
        <f>SUMIF(Отель4_PL!$D$3:$T$3,L$3,Отель4_PL!$D$8:$T$8)</f>
        <v>58400</v>
      </c>
      <c r="M17" s="1050">
        <f>SUMIF(Отель4_PL!$D$3:$T$3,M$3,Отель4_PL!$D$8:$T$8)</f>
        <v>58400</v>
      </c>
      <c r="N17" s="1050">
        <f>SUMIF(Отель4_PL!$D$3:$T$3,N$3,Отель4_PL!$D$8:$T$8)</f>
        <v>58400</v>
      </c>
      <c r="O17" s="1050">
        <f>SUMIF(Отель4_PL!$D$3:$T$3,O$3,Отель4_PL!$D$8:$T$8)</f>
        <v>58560</v>
      </c>
      <c r="P17" s="1050">
        <f>SUMIF(Отель4_PL!$D$3:$T$3,P$3,Отель4_PL!$D$8:$T$8)</f>
        <v>58400</v>
      </c>
      <c r="Q17" s="1050">
        <f>SUMIF(Отель4_PL!$D$3:$T$3,Q$3,Отель4_PL!$D$8:$T$8)</f>
        <v>58400</v>
      </c>
      <c r="R17" s="1050">
        <f>SUMIF(Отель4_PL!$D$3:$T$3,R$3,Отель4_PL!$D$8:$T$8)</f>
        <v>58400</v>
      </c>
      <c r="S17" s="1050">
        <f>SUMIF(Отель4_PL!$D$3:$T$3,S$3,Отель4_PL!$D$8:$T$8)</f>
        <v>58560</v>
      </c>
      <c r="T17" s="1050">
        <f>SUMIF(Отель4_PL!$D$3:$T$3,T$3,Отель4_PL!$D$8:$T$8)</f>
        <v>58400</v>
      </c>
      <c r="AO17" s="537"/>
    </row>
    <row r="18" spans="1:57" hidden="1" outlineLevel="2">
      <c r="A18" s="509"/>
      <c r="B18" s="509"/>
      <c r="C18" s="1047" t="str">
        <f t="shared" si="9"/>
        <v>Гостиница 3*</v>
      </c>
      <c r="D18" s="1050">
        <f>SUMIF(Отель3_PL!$D$3:$T$3,D$3,Отель3_PL!$D$8:$T$8)</f>
        <v>29440</v>
      </c>
      <c r="E18" s="1050">
        <f>SUMIF(Отель3_PL!$D$3:$T$3,E$3,Отель3_PL!$D$8:$T$8)</f>
        <v>58400</v>
      </c>
      <c r="F18" s="1050">
        <f>SUMIF(Отель3_PL!$D$3:$T$3,F$3,Отель3_PL!$D$8:$T$8)</f>
        <v>58400</v>
      </c>
      <c r="G18" s="1050">
        <f>SUMIF(Отель3_PL!$D$3:$T$3,G$3,Отель3_PL!$D$8:$T$8)</f>
        <v>58560</v>
      </c>
      <c r="H18" s="1050">
        <f>SUMIF(Отель3_PL!$D$3:$T$3,H$3,Отель3_PL!$D$8:$T$8)</f>
        <v>58400</v>
      </c>
      <c r="I18" s="1050">
        <f>SUMIF(Отель3_PL!$D$3:$T$3,I$3,Отель3_PL!$D$8:$T$8)</f>
        <v>58400</v>
      </c>
      <c r="J18" s="1050">
        <f>SUMIF(Отель3_PL!$D$3:$T$3,J$3,Отель3_PL!$D$8:$T$8)</f>
        <v>58400</v>
      </c>
      <c r="K18" s="1050">
        <f>SUMIF(Отель3_PL!$D$3:$T$3,K$3,Отель3_PL!$D$8:$T$8)</f>
        <v>58560</v>
      </c>
      <c r="L18" s="1050">
        <f>SUMIF(Отель3_PL!$D$3:$T$3,L$3,Отель3_PL!$D$8:$T$8)</f>
        <v>58400</v>
      </c>
      <c r="M18" s="1050">
        <f>SUMIF(Отель3_PL!$D$3:$T$3,M$3,Отель3_PL!$D$8:$T$8)</f>
        <v>58400</v>
      </c>
      <c r="N18" s="1050">
        <f>SUMIF(Отель3_PL!$D$3:$T$3,N$3,Отель3_PL!$D$8:$T$8)</f>
        <v>58400</v>
      </c>
      <c r="O18" s="1050">
        <f>SUMIF(Отель3_PL!$D$3:$T$3,O$3,Отель3_PL!$D$8:$T$8)</f>
        <v>58560</v>
      </c>
      <c r="P18" s="1050">
        <f>SUMIF(Отель3_PL!$D$3:$T$3,P$3,Отель3_PL!$D$8:$T$8)</f>
        <v>58400</v>
      </c>
      <c r="Q18" s="1050">
        <f>SUMIF(Отель3_PL!$D$3:$T$3,Q$3,Отель3_PL!$D$8:$T$8)</f>
        <v>58400</v>
      </c>
      <c r="R18" s="1050">
        <f>SUMIF(Отель3_PL!$D$3:$T$3,R$3,Отель3_PL!$D$8:$T$8)</f>
        <v>58400</v>
      </c>
      <c r="S18" s="1050">
        <f>SUMIF(Отель3_PL!$D$3:$T$3,S$3,Отель3_PL!$D$8:$T$8)</f>
        <v>58560</v>
      </c>
      <c r="T18" s="1050">
        <f>SUMIF(Отель3_PL!$D$3:$T$3,T$3,Отель3_PL!$D$8:$T$8)</f>
        <v>58400</v>
      </c>
      <c r="AO18" s="537"/>
    </row>
    <row r="19" spans="1:57" hidden="1" outlineLevel="2">
      <c r="A19" s="509"/>
      <c r="B19" s="509"/>
      <c r="C19" s="1047" t="str">
        <f t="shared" si="9"/>
        <v>Гостиница 2*</v>
      </c>
      <c r="D19" s="1050">
        <f>SUMIF(Отель2_PL!$D$3:$T$3,D$3,Отель2_PL!$D$8:$T$8)</f>
        <v>0</v>
      </c>
      <c r="E19" s="1050">
        <f>SUMIF(Отель2_PL!$D$3:$T$3,E$3,Отель2_PL!$D$8:$T$8)</f>
        <v>0</v>
      </c>
      <c r="F19" s="1050">
        <f>SUMIF(Отель2_PL!$D$3:$T$3,F$3,Отель2_PL!$D$8:$T$8)</f>
        <v>0</v>
      </c>
      <c r="G19" s="1050">
        <f>SUMIF(Отель2_PL!$D$3:$T$3,G$3,Отель2_PL!$D$8:$T$8)</f>
        <v>0</v>
      </c>
      <c r="H19" s="1050">
        <f>SUMIF(Отель2_PL!$D$3:$T$3,H$3,Отель2_PL!$D$8:$T$8)</f>
        <v>0</v>
      </c>
      <c r="I19" s="1050">
        <f>SUMIF(Отель2_PL!$D$3:$T$3,I$3,Отель2_PL!$D$8:$T$8)</f>
        <v>0</v>
      </c>
      <c r="J19" s="1050">
        <f>SUMIF(Отель2_PL!$D$3:$T$3,J$3,Отель2_PL!$D$8:$T$8)</f>
        <v>0</v>
      </c>
      <c r="K19" s="1050">
        <f>SUMIF(Отель2_PL!$D$3:$T$3,K$3,Отель2_PL!$D$8:$T$8)</f>
        <v>0</v>
      </c>
      <c r="L19" s="1050">
        <f>SUMIF(Отель2_PL!$D$3:$T$3,L$3,Отель2_PL!$D$8:$T$8)</f>
        <v>0</v>
      </c>
      <c r="M19" s="1050">
        <f>SUMIF(Отель2_PL!$D$3:$T$3,M$3,Отель2_PL!$D$8:$T$8)</f>
        <v>0</v>
      </c>
      <c r="N19" s="1050">
        <f>SUMIF(Отель2_PL!$D$3:$T$3,N$3,Отель2_PL!$D$8:$T$8)</f>
        <v>0</v>
      </c>
      <c r="O19" s="1050">
        <f>SUMIF(Отель2_PL!$D$3:$T$3,O$3,Отель2_PL!$D$8:$T$8)</f>
        <v>0</v>
      </c>
      <c r="P19" s="1050">
        <f>SUMIF(Отель2_PL!$D$3:$T$3,P$3,Отель2_PL!$D$8:$T$8)</f>
        <v>0</v>
      </c>
      <c r="Q19" s="1050">
        <f>SUMIF(Отель2_PL!$D$3:$T$3,Q$3,Отель2_PL!$D$8:$T$8)</f>
        <v>0</v>
      </c>
      <c r="R19" s="1050">
        <f>SUMIF(Отель2_PL!$D$3:$T$3,R$3,Отель2_PL!$D$8:$T$8)</f>
        <v>0</v>
      </c>
      <c r="S19" s="1050">
        <f>SUMIF(Отель2_PL!$D$3:$T$3,S$3,Отель2_PL!$D$8:$T$8)</f>
        <v>0</v>
      </c>
      <c r="T19" s="1050">
        <f>SUMIF(Отель2_PL!$D$3:$T$3,T$3,Отель2_PL!$D$8:$T$8)</f>
        <v>0</v>
      </c>
      <c r="AO19" s="537"/>
    </row>
    <row r="20" spans="1:57" hidden="1" outlineLevel="2">
      <c r="A20" s="509"/>
      <c r="B20" s="509"/>
      <c r="C20" s="1047" t="str">
        <f t="shared" si="9"/>
        <v>Хостел в составе МФЦ</v>
      </c>
      <c r="D20" s="1050">
        <f>SUMIF(Хостел_PL!$D$3:$T$3,D$3,Хостел_PL!$D$8:$T$8)</f>
        <v>18584</v>
      </c>
      <c r="E20" s="1050">
        <f>SUMIF(Хостел_PL!$D$3:$T$3,E$3,Хостел_PL!$D$8:$T$8)</f>
        <v>36865</v>
      </c>
      <c r="F20" s="1050">
        <f>SUMIF(Хостел_PL!$D$3:$T$3,F$3,Хостел_PL!$D$8:$T$8)</f>
        <v>36865</v>
      </c>
      <c r="G20" s="1050">
        <f>SUMIF(Хостел_PL!$D$3:$T$3,G$3,Хостел_PL!$D$8:$T$8)</f>
        <v>36966</v>
      </c>
      <c r="H20" s="1050">
        <f>SUMIF(Хостел_PL!$D$3:$T$3,H$3,Хостел_PL!$D$8:$T$8)</f>
        <v>36865</v>
      </c>
      <c r="I20" s="1050">
        <f>SUMIF(Хостел_PL!$D$3:$T$3,I$3,Хостел_PL!$D$8:$T$8)</f>
        <v>36865</v>
      </c>
      <c r="J20" s="1050">
        <f>SUMIF(Хостел_PL!$D$3:$T$3,J$3,Хостел_PL!$D$8:$T$8)</f>
        <v>36865</v>
      </c>
      <c r="K20" s="1050">
        <f>SUMIF(Хостел_PL!$D$3:$T$3,K$3,Хостел_PL!$D$8:$T$8)</f>
        <v>36966</v>
      </c>
      <c r="L20" s="1050">
        <f>SUMIF(Хостел_PL!$D$3:$T$3,L$3,Хостел_PL!$D$8:$T$8)</f>
        <v>36865</v>
      </c>
      <c r="M20" s="1050">
        <f>SUMIF(Хостел_PL!$D$3:$T$3,M$3,Хостел_PL!$D$8:$T$8)</f>
        <v>36865</v>
      </c>
      <c r="N20" s="1050">
        <f>SUMIF(Хостел_PL!$D$3:$T$3,N$3,Хостел_PL!$D$8:$T$8)</f>
        <v>36865</v>
      </c>
      <c r="O20" s="1050">
        <f>SUMIF(Хостел_PL!$D$3:$T$3,O$3,Хостел_PL!$D$8:$T$8)</f>
        <v>36966</v>
      </c>
      <c r="P20" s="1050">
        <f>SUMIF(Хостел_PL!$D$3:$T$3,P$3,Хостел_PL!$D$8:$T$8)</f>
        <v>36865</v>
      </c>
      <c r="Q20" s="1050">
        <f>SUMIF(Хостел_PL!$D$3:$T$3,Q$3,Хостел_PL!$D$8:$T$8)</f>
        <v>36865</v>
      </c>
      <c r="R20" s="1050">
        <f>SUMIF(Хостел_PL!$D$3:$T$3,R$3,Хостел_PL!$D$8:$T$8)</f>
        <v>36865</v>
      </c>
      <c r="S20" s="1050">
        <f>SUMIF(Хостел_PL!$D$3:$T$3,S$3,Хостел_PL!$D$8:$T$8)</f>
        <v>36966</v>
      </c>
      <c r="T20" s="1050">
        <f>SUMIF(Хостел_PL!$D$3:$T$3,T$3,Хостел_PL!$D$8:$T$8)</f>
        <v>36865</v>
      </c>
      <c r="AO20" s="537"/>
    </row>
    <row r="21" spans="1:57" hidden="1" outlineLevel="2">
      <c r="A21" s="509"/>
      <c r="B21" s="509"/>
      <c r="C21" s="1047" t="str">
        <f t="shared" si="9"/>
        <v>Шале</v>
      </c>
      <c r="D21" s="1051">
        <f>SUMIF(Шале_PL!$D$3:$T$3,D$3,Шале_PL!$D$8:$T$8)</f>
        <v>0</v>
      </c>
      <c r="E21" s="1050">
        <f>SUMIF(Шале_PL!$D$3:$T$3,E$3,Шале_PL!$D$8:$T$8)</f>
        <v>2392</v>
      </c>
      <c r="F21" s="1051">
        <f>SUMIF(Шале_PL!$D$3:$T$3,F$3,Шале_PL!$D$8:$T$8)</f>
        <v>4745</v>
      </c>
      <c r="G21" s="1050">
        <f>SUMIF(Шале_PL!$D$3:$T$3,G$3,Шале_PL!$D$8:$T$8)</f>
        <v>4758</v>
      </c>
      <c r="H21" s="1050">
        <f>SUMIF(Шале_PL!$D$3:$T$3,H$3,Шале_PL!$D$8:$T$8)</f>
        <v>4745</v>
      </c>
      <c r="I21" s="1050">
        <f>SUMIF(Шале_PL!$D$3:$T$3,I$3,Шале_PL!$D$8:$T$8)</f>
        <v>4745</v>
      </c>
      <c r="J21" s="1050">
        <f>SUMIF(Шале_PL!$D$3:$T$3,J$3,Шале_PL!$D$8:$T$8)</f>
        <v>4745</v>
      </c>
      <c r="K21" s="1050">
        <f>SUMIF(Шале_PL!$D$3:$T$3,K$3,Шале_PL!$D$8:$T$8)</f>
        <v>4758</v>
      </c>
      <c r="L21" s="1050">
        <f>SUMIF(Шале_PL!$D$3:$T$3,L$3,Шале_PL!$D$8:$T$8)</f>
        <v>4745</v>
      </c>
      <c r="M21" s="1050">
        <f>SUMIF(Шале_PL!$D$3:$T$3,M$3,Шале_PL!$D$8:$T$8)</f>
        <v>4745</v>
      </c>
      <c r="N21" s="1050">
        <f>SUMIF(Шале_PL!$D$3:$T$3,N$3,Шале_PL!$D$8:$T$8)</f>
        <v>4745</v>
      </c>
      <c r="O21" s="1050">
        <f>SUMIF(Шале_PL!$D$3:$T$3,O$3,Шале_PL!$D$8:$T$8)</f>
        <v>4758</v>
      </c>
      <c r="P21" s="1050">
        <f>SUMIF(Шале_PL!$D$3:$T$3,P$3,Шале_PL!$D$8:$T$8)</f>
        <v>4745</v>
      </c>
      <c r="Q21" s="1050">
        <f>SUMIF(Шале_PL!$D$3:$T$3,Q$3,Шале_PL!$D$8:$T$8)</f>
        <v>4745</v>
      </c>
      <c r="R21" s="1050">
        <f>SUMIF(Шале_PL!$D$3:$T$3,R$3,Шале_PL!$D$8:$T$8)</f>
        <v>4745</v>
      </c>
      <c r="S21" s="1050">
        <f>SUMIF(Шале_PL!$D$3:$T$3,S$3,Шале_PL!$D$8:$T$8)</f>
        <v>4758</v>
      </c>
      <c r="T21" s="1050">
        <f>SUMIF(Шале_PL!$D$3:$T$3,T$3,Шале_PL!$D$8:$T$8)</f>
        <v>4745</v>
      </c>
      <c r="AO21" s="537"/>
    </row>
    <row r="22" spans="1:57" hidden="1" outlineLevel="2">
      <c r="A22" s="509"/>
      <c r="B22" s="509"/>
      <c r="C22" s="1625" t="str">
        <f t="shared" si="9"/>
        <v>Туристские резиденции</v>
      </c>
      <c r="D22" s="1142">
        <f>SUMIF(Резиденции_PL!$D$3:$V$3,D$3,Резиденции_PL!$D$8:$V$8)</f>
        <v>70840</v>
      </c>
      <c r="E22" s="1142">
        <f>SUMIF(Резиденции_PL!$D$3:$V$3,E$3,Резиденции_PL!$D$8:$V$8)</f>
        <v>140525</v>
      </c>
      <c r="F22" s="1142">
        <f>SUMIF(Резиденции_PL!$D$3:$V$3,F$3,Резиденции_PL!$D$8:$V$8)</f>
        <v>140525</v>
      </c>
      <c r="G22" s="1142">
        <f>SUMIF(Резиденции_PL!$D$3:$V$3,G$3,Резиденции_PL!$D$8:$V$8)</f>
        <v>140910</v>
      </c>
      <c r="H22" s="1142">
        <f>SUMIF(Резиденции_PL!$D$3:$V$3,H$3,Резиденции_PL!$D$8:$V$8)</f>
        <v>140525</v>
      </c>
      <c r="I22" s="1142">
        <f>SUMIF(Резиденции_PL!$D$3:$V$3,I$3,Резиденции_PL!$D$8:$V$8)</f>
        <v>140525</v>
      </c>
      <c r="J22" s="1142">
        <f>SUMIF(Резиденции_PL!$D$3:$V$3,J$3,Резиденции_PL!$D$8:$V$8)</f>
        <v>140525</v>
      </c>
      <c r="K22" s="1142">
        <f>SUMIF(Резиденции_PL!$D$3:$V$3,K$3,Резиденции_PL!$D$8:$V$8)</f>
        <v>140910</v>
      </c>
      <c r="L22" s="1142">
        <f>SUMIF(Резиденции_PL!$D$3:$V$3,L$3,Резиденции_PL!$D$8:$V$8)</f>
        <v>140525</v>
      </c>
      <c r="M22" s="1142">
        <f>SUMIF(Резиденции_PL!$D$3:$V$3,M$3,Резиденции_PL!$D$8:$V$8)</f>
        <v>140525</v>
      </c>
      <c r="N22" s="1142">
        <f>SUMIF(Резиденции_PL!$D$3:$V$3,N$3,Резиденции_PL!$D$8:$V$8)</f>
        <v>140525</v>
      </c>
      <c r="O22" s="1142">
        <f>SUMIF(Резиденции_PL!$D$3:$V$3,O$3,Резиденции_PL!$D$8:$V$8)</f>
        <v>140910</v>
      </c>
      <c r="P22" s="1142">
        <f>SUMIF(Резиденции_PL!$D$3:$V$3,P$3,Резиденции_PL!$D$8:$V$8)</f>
        <v>140525</v>
      </c>
      <c r="Q22" s="1142">
        <f>SUMIF(Резиденции_PL!$D$3:$V$3,Q$3,Резиденции_PL!$D$8:$V$8)</f>
        <v>140525</v>
      </c>
      <c r="R22" s="1142">
        <f>SUMIF(Резиденции_PL!$D$3:$V$3,R$3,Резиденции_PL!$D$8:$V$8)</f>
        <v>140525</v>
      </c>
      <c r="S22" s="1142">
        <f>SUMIF(Резиденции_PL!$D$3:$V$3,S$3,Резиденции_PL!$D$8:$V$8)</f>
        <v>140910</v>
      </c>
      <c r="T22" s="1142">
        <f>SUMIF(Резиденции_PL!$D$3:$V$3,T$3,Резиденции_PL!$D$8:$V$8)</f>
        <v>140525</v>
      </c>
      <c r="AO22" s="537"/>
    </row>
    <row r="23" spans="1:57" outlineLevel="1" collapsed="1">
      <c r="A23" s="509"/>
      <c r="B23" s="509"/>
      <c r="C23" s="1049" t="s">
        <v>547</v>
      </c>
      <c r="D23" s="1139">
        <f>SUM(D24:D30)</f>
        <v>51681.806399359717</v>
      </c>
      <c r="E23" s="1139">
        <f t="shared" ref="E23:T23" si="10">SUM(E24:E30)</f>
        <v>159334.23908626166</v>
      </c>
      <c r="F23" s="1052">
        <f t="shared" si="10"/>
        <v>197324.57852520538</v>
      </c>
      <c r="G23" s="1052">
        <f t="shared" si="10"/>
        <v>209037.41083616449</v>
      </c>
      <c r="H23" s="1052">
        <f t="shared" si="10"/>
        <v>219607.96221359272</v>
      </c>
      <c r="I23" s="1139">
        <f t="shared" si="10"/>
        <v>222833.8368838733</v>
      </c>
      <c r="J23" s="1052">
        <f t="shared" si="10"/>
        <v>222833.8368838733</v>
      </c>
      <c r="K23" s="1052">
        <f t="shared" si="10"/>
        <v>223444.34054656888</v>
      </c>
      <c r="L23" s="1052">
        <f t="shared" si="10"/>
        <v>222833.8368838733</v>
      </c>
      <c r="M23" s="1052">
        <f t="shared" si="10"/>
        <v>222833.8368838733</v>
      </c>
      <c r="N23" s="1052">
        <f t="shared" si="10"/>
        <v>222833.8368838733</v>
      </c>
      <c r="O23" s="1052">
        <f t="shared" si="10"/>
        <v>223444.34054656888</v>
      </c>
      <c r="P23" s="1052">
        <f t="shared" si="10"/>
        <v>222833.8368838733</v>
      </c>
      <c r="Q23" s="1052">
        <f t="shared" si="10"/>
        <v>222833.8368838733</v>
      </c>
      <c r="R23" s="1052">
        <f t="shared" si="10"/>
        <v>222833.8368838733</v>
      </c>
      <c r="S23" s="1052">
        <f t="shared" si="10"/>
        <v>223444.34054656888</v>
      </c>
      <c r="T23" s="1052">
        <f t="shared" si="10"/>
        <v>222833.8368838733</v>
      </c>
      <c r="AO23" s="541"/>
      <c r="AP23" s="541"/>
      <c r="AQ23" s="541"/>
      <c r="AR23" s="541"/>
      <c r="AS23" s="541"/>
      <c r="AT23" s="541"/>
      <c r="AU23" s="541"/>
      <c r="AV23" s="541"/>
      <c r="AW23" s="541"/>
      <c r="AX23" s="541"/>
      <c r="AY23" s="541"/>
      <c r="AZ23" s="541"/>
      <c r="BA23" s="541"/>
      <c r="BB23" s="541"/>
      <c r="BC23" s="541"/>
      <c r="BD23" s="541"/>
      <c r="BE23" s="541"/>
    </row>
    <row r="24" spans="1:57" hidden="1" outlineLevel="2">
      <c r="A24" s="509"/>
      <c r="B24" s="509"/>
      <c r="C24" s="1047" t="str">
        <f t="shared" ref="C24:C30" si="11">C16</f>
        <v>Гостиница 5*</v>
      </c>
      <c r="D24" s="1050">
        <f>SUMIF(Отель5_PL!$D$3:$T$3,D$3,Отель5_PL!$D$9:$T$9)</f>
        <v>0</v>
      </c>
      <c r="E24" s="1050">
        <f>SUMIF(Отель5_PL!$D$3:$T$3,E$3,Отель5_PL!$D$9:$T$9)</f>
        <v>10964.481435916334</v>
      </c>
      <c r="F24" s="1051">
        <f>SUMIF(Отель5_PL!$D$3:$T$3,F$3,Отель5_PL!$D$9:$T$9)</f>
        <v>23203.130237430167</v>
      </c>
      <c r="G24" s="1050">
        <f>SUMIF(Отель5_PL!$D$3:$T$3,G$3,Отель5_PL!$D$9:$T$9)</f>
        <v>24635.329895921022</v>
      </c>
      <c r="H24" s="1050">
        <f>SUMIF(Отель5_PL!$D$3:$T$3,H$3,Отель5_PL!$D$9:$T$9)</f>
        <v>25932.910265363127</v>
      </c>
      <c r="I24" s="1051">
        <f>SUMIF(Отель5_PL!$D$3:$T$3,I$3,Отель5_PL!$D$9:$T$9)</f>
        <v>27297.800279329611</v>
      </c>
      <c r="J24" s="1050">
        <f>SUMIF(Отель5_PL!$D$3:$T$3,J$3,Отель5_PL!$D$9:$T$9)</f>
        <v>27297.800279329611</v>
      </c>
      <c r="K24" s="1050">
        <f>SUMIF(Отель5_PL!$D$3:$T$3,K$3,Отель5_PL!$D$9:$T$9)</f>
        <v>27372.588773245581</v>
      </c>
      <c r="L24" s="1050">
        <f>SUMIF(Отель5_PL!$D$3:$T$3,L$3,Отель5_PL!$D$9:$T$9)</f>
        <v>27297.800279329611</v>
      </c>
      <c r="M24" s="1050">
        <f>SUMIF(Отель5_PL!$D$3:$T$3,M$3,Отель5_PL!$D$9:$T$9)</f>
        <v>27297.800279329611</v>
      </c>
      <c r="N24" s="1050">
        <f>SUMIF(Отель5_PL!$D$3:$T$3,N$3,Отель5_PL!$D$9:$T$9)</f>
        <v>27297.800279329611</v>
      </c>
      <c r="O24" s="1050">
        <f>SUMIF(Отель5_PL!$D$3:$T$3,O$3,Отель5_PL!$D$9:$T$9)</f>
        <v>27372.588773245581</v>
      </c>
      <c r="P24" s="1050">
        <f>SUMIF(Отель5_PL!$D$3:$T$3,P$3,Отель5_PL!$D$9:$T$9)</f>
        <v>27297.800279329611</v>
      </c>
      <c r="Q24" s="1050">
        <f>SUMIF(Отель5_PL!$D$3:$T$3,Q$3,Отель5_PL!$D$9:$T$9)</f>
        <v>27297.800279329611</v>
      </c>
      <c r="R24" s="1050">
        <f>SUMIF(Отель5_PL!$D$3:$T$3,R$3,Отель5_PL!$D$9:$T$9)</f>
        <v>27297.800279329611</v>
      </c>
      <c r="S24" s="1050">
        <f>SUMIF(Отель5_PL!$D$3:$T$3,S$3,Отель5_PL!$D$9:$T$9)</f>
        <v>27372.588773245581</v>
      </c>
      <c r="T24" s="1050">
        <f>SUMIF(Отель5_PL!$D$3:$T$3,T$3,Отель5_PL!$D$9:$T$9)</f>
        <v>27297.800279329611</v>
      </c>
      <c r="AO24" s="541"/>
      <c r="AP24" s="541"/>
      <c r="AQ24" s="541"/>
      <c r="AR24" s="541"/>
      <c r="AS24" s="541"/>
      <c r="AT24" s="541"/>
      <c r="AU24" s="541"/>
      <c r="AV24" s="541"/>
      <c r="AW24" s="541"/>
      <c r="AX24" s="541"/>
      <c r="AY24" s="541"/>
      <c r="AZ24" s="541"/>
      <c r="BA24" s="541"/>
      <c r="BB24" s="541"/>
      <c r="BC24" s="541"/>
      <c r="BD24" s="541"/>
      <c r="BE24" s="541"/>
    </row>
    <row r="25" spans="1:57" hidden="1" outlineLevel="2">
      <c r="A25" s="509"/>
      <c r="B25" s="509"/>
      <c r="C25" s="1047" t="str">
        <f t="shared" si="11"/>
        <v>Гостиница 4*</v>
      </c>
      <c r="D25" s="1050">
        <f>SUMIF(Отель4_PL!$D$3:$T$3,D$3,Отель4_PL!$D$9:$T$9)</f>
        <v>0</v>
      </c>
      <c r="E25" s="1050">
        <f>SUMIF(Отель4_PL!$D$3:$T$3,E$3,Отель4_PL!$D$9:$T$9)</f>
        <v>13407.671114942152</v>
      </c>
      <c r="F25" s="1050">
        <f>SUMIF(Отель4_PL!$D$3:$T$3,F$3,Отель4_PL!$D$9:$T$9)</f>
        <v>29955.381202794946</v>
      </c>
      <c r="G25" s="1050">
        <f>SUMIF(Отель4_PL!$D$3:$T$3,G$3,Отель4_PL!$D$9:$T$9)</f>
        <v>31804.359607415485</v>
      </c>
      <c r="H25" s="1050">
        <f>SUMIF(Отель4_PL!$D$3:$T$3,H$3,Отель4_PL!$D$9:$T$9)</f>
        <v>33479.543697241403</v>
      </c>
      <c r="I25" s="1051">
        <f>SUMIF(Отель4_PL!$D$3:$T$3,I$3,Отель4_PL!$D$9:$T$9)</f>
        <v>35241.624944464638</v>
      </c>
      <c r="J25" s="1050">
        <f>SUMIF(Отель4_PL!$D$3:$T$3,J$3,Отель4_PL!$D$9:$T$9)</f>
        <v>35241.624944464638</v>
      </c>
      <c r="K25" s="1050">
        <f>SUMIF(Отель4_PL!$D$3:$T$3,K$3,Отель4_PL!$D$9:$T$9)</f>
        <v>35338.177341572766</v>
      </c>
      <c r="L25" s="1050">
        <f>SUMIF(Отель4_PL!$D$3:$T$3,L$3,Отель4_PL!$D$9:$T$9)</f>
        <v>35241.624944464638</v>
      </c>
      <c r="M25" s="1050">
        <f>SUMIF(Отель4_PL!$D$3:$T$3,M$3,Отель4_PL!$D$9:$T$9)</f>
        <v>35241.624944464638</v>
      </c>
      <c r="N25" s="1050">
        <f>SUMIF(Отель4_PL!$D$3:$T$3,N$3,Отель4_PL!$D$9:$T$9)</f>
        <v>35241.624944464638</v>
      </c>
      <c r="O25" s="1050">
        <f>SUMIF(Отель4_PL!$D$3:$T$3,O$3,Отель4_PL!$D$9:$T$9)</f>
        <v>35338.177341572766</v>
      </c>
      <c r="P25" s="1050">
        <f>SUMIF(Отель4_PL!$D$3:$T$3,P$3,Отель4_PL!$D$9:$T$9)</f>
        <v>35241.624944464638</v>
      </c>
      <c r="Q25" s="1050">
        <f>SUMIF(Отель4_PL!$D$3:$T$3,Q$3,Отель4_PL!$D$9:$T$9)</f>
        <v>35241.624944464638</v>
      </c>
      <c r="R25" s="1050">
        <f>SUMIF(Отель4_PL!$D$3:$T$3,R$3,Отель4_PL!$D$9:$T$9)</f>
        <v>35241.624944464638</v>
      </c>
      <c r="S25" s="1050">
        <f>SUMIF(Отель4_PL!$D$3:$T$3,S$3,Отель4_PL!$D$9:$T$9)</f>
        <v>35338.177341572766</v>
      </c>
      <c r="T25" s="1050">
        <f>SUMIF(Отель4_PL!$D$3:$T$3,T$3,Отель4_PL!$D$9:$T$9)</f>
        <v>35241.624944464638</v>
      </c>
      <c r="AO25" s="541"/>
      <c r="AP25" s="541"/>
      <c r="AQ25" s="541"/>
      <c r="AR25" s="541"/>
      <c r="AS25" s="541"/>
      <c r="AT25" s="541"/>
      <c r="AU25" s="541"/>
      <c r="AV25" s="541"/>
      <c r="AW25" s="541"/>
      <c r="AX25" s="541"/>
      <c r="AY25" s="541"/>
      <c r="AZ25" s="541"/>
      <c r="BA25" s="541"/>
      <c r="BB25" s="541"/>
      <c r="BC25" s="541"/>
      <c r="BD25" s="541"/>
      <c r="BE25" s="541"/>
    </row>
    <row r="26" spans="1:57" hidden="1" outlineLevel="2">
      <c r="A26" s="509"/>
      <c r="B26" s="509"/>
      <c r="C26" s="1047" t="str">
        <f t="shared" si="11"/>
        <v>Гостиница 3*</v>
      </c>
      <c r="D26" s="1050">
        <f>SUMIF(Отель3_PL!$D$3:$T$3,D$3,Отель3_PL!$D$9:$T$9)</f>
        <v>13056.220270862073</v>
      </c>
      <c r="E26" s="1050">
        <f>SUMIF(Отель3_PL!$D$3:$T$3,E$3,Отель3_PL!$D$9:$T$9)</f>
        <v>33329.756521739131</v>
      </c>
      <c r="F26" s="1050">
        <f>SUMIF(Отель3_PL!$D$3:$T$3,F$3,Отель3_PL!$D$9:$T$9)</f>
        <v>35290.330434782612</v>
      </c>
      <c r="G26" s="1050">
        <f>SUMIF(Отель3_PL!$D$3:$T$3,G$3,Отель3_PL!$D$9:$T$9)</f>
        <v>37352.961620011913</v>
      </c>
      <c r="H26" s="1050">
        <f>SUMIF(Отель3_PL!$D$3:$T$3,H$3,Отель3_PL!$D$9:$T$9)</f>
        <v>39211.478260869568</v>
      </c>
      <c r="I26" s="1051">
        <f>SUMIF(Отель3_PL!$D$3:$T$3,I$3,Отель3_PL!$D$9:$T$9)</f>
        <v>39211.478260869568</v>
      </c>
      <c r="J26" s="1050">
        <f>SUMIF(Отель3_PL!$D$3:$T$3,J$3,Отель3_PL!$D$9:$T$9)</f>
        <v>39211.478260869568</v>
      </c>
      <c r="K26" s="1050">
        <f>SUMIF(Отель3_PL!$D$3:$T$3,K$3,Отель3_PL!$D$9:$T$9)</f>
        <v>39318.906968433599</v>
      </c>
      <c r="L26" s="1050">
        <f>SUMIF(Отель3_PL!$D$3:$T$3,L$3,Отель3_PL!$D$9:$T$9)</f>
        <v>39211.478260869568</v>
      </c>
      <c r="M26" s="1050">
        <f>SUMIF(Отель3_PL!$D$3:$T$3,M$3,Отель3_PL!$D$9:$T$9)</f>
        <v>39211.478260869568</v>
      </c>
      <c r="N26" s="1050">
        <f>SUMIF(Отель3_PL!$D$3:$T$3,N$3,Отель3_PL!$D$9:$T$9)</f>
        <v>39211.478260869568</v>
      </c>
      <c r="O26" s="1050">
        <f>SUMIF(Отель3_PL!$D$3:$T$3,O$3,Отель3_PL!$D$9:$T$9)</f>
        <v>39318.906968433599</v>
      </c>
      <c r="P26" s="1050">
        <f>SUMIF(Отель3_PL!$D$3:$T$3,P$3,Отель3_PL!$D$9:$T$9)</f>
        <v>39211.478260869568</v>
      </c>
      <c r="Q26" s="1050">
        <f>SUMIF(Отель3_PL!$D$3:$T$3,Q$3,Отель3_PL!$D$9:$T$9)</f>
        <v>39211.478260869568</v>
      </c>
      <c r="R26" s="1050">
        <f>SUMIF(Отель3_PL!$D$3:$T$3,R$3,Отель3_PL!$D$9:$T$9)</f>
        <v>39211.478260869568</v>
      </c>
      <c r="S26" s="1050">
        <f>SUMIF(Отель3_PL!$D$3:$T$3,S$3,Отель3_PL!$D$9:$T$9)</f>
        <v>39318.906968433599</v>
      </c>
      <c r="T26" s="1050">
        <f>SUMIF(Отель3_PL!$D$3:$T$3,T$3,Отель3_PL!$D$9:$T$9)</f>
        <v>39211.478260869568</v>
      </c>
      <c r="AO26" s="541"/>
      <c r="AP26" s="541"/>
      <c r="AQ26" s="541"/>
      <c r="AR26" s="541"/>
      <c r="AS26" s="541"/>
      <c r="AT26" s="541"/>
      <c r="AU26" s="541"/>
      <c r="AV26" s="541"/>
      <c r="AW26" s="541"/>
      <c r="AX26" s="541"/>
      <c r="AY26" s="541"/>
      <c r="AZ26" s="541"/>
      <c r="BA26" s="541"/>
      <c r="BB26" s="541"/>
      <c r="BC26" s="541"/>
      <c r="BD26" s="541"/>
      <c r="BE26" s="541"/>
    </row>
    <row r="27" spans="1:57" hidden="1" outlineLevel="2">
      <c r="A27" s="509"/>
      <c r="B27" s="509"/>
      <c r="C27" s="1047" t="str">
        <f t="shared" si="11"/>
        <v>Гостиница 2*</v>
      </c>
      <c r="D27" s="1050">
        <f>SUMIF(Отель2_PL!$D$3:$T$3,D$3,Отель2_PL!$D$9:$T$9)</f>
        <v>0</v>
      </c>
      <c r="E27" s="1050">
        <f>SUMIF(Отель2_PL!$D$3:$T$3,E$3,Отель2_PL!$D$9:$T$9)</f>
        <v>0</v>
      </c>
      <c r="F27" s="1050">
        <f>SUMIF(Отель2_PL!$D$3:$T$3,F$3,Отель2_PL!$D$9:$T$9)</f>
        <v>0</v>
      </c>
      <c r="G27" s="1050">
        <f>SUMIF(Отель2_PL!$D$3:$T$3,G$3,Отель2_PL!$D$9:$T$9)</f>
        <v>0</v>
      </c>
      <c r="H27" s="1050">
        <f>SUMIF(Отель2_PL!$D$3:$T$3,H$3,Отель2_PL!$D$9:$T$9)</f>
        <v>0</v>
      </c>
      <c r="I27" s="1051">
        <f>SUMIF(Отель2_PL!$D$3:$T$3,I$3,Отель2_PL!$D$9:$T$9)</f>
        <v>0</v>
      </c>
      <c r="J27" s="1050">
        <f>SUMIF(Отель2_PL!$D$3:$T$3,J$3,Отель2_PL!$D$9:$T$9)</f>
        <v>0</v>
      </c>
      <c r="K27" s="1050">
        <f>SUMIF(Отель2_PL!$D$3:$T$3,K$3,Отель2_PL!$D$9:$T$9)</f>
        <v>0</v>
      </c>
      <c r="L27" s="1050">
        <f>SUMIF(Отель2_PL!$D$3:$T$3,L$3,Отель2_PL!$D$9:$T$9)</f>
        <v>0</v>
      </c>
      <c r="M27" s="1050">
        <f>SUMIF(Отель2_PL!$D$3:$T$3,M$3,Отель2_PL!$D$9:$T$9)</f>
        <v>0</v>
      </c>
      <c r="N27" s="1050">
        <f>SUMIF(Отель2_PL!$D$3:$T$3,N$3,Отель2_PL!$D$9:$T$9)</f>
        <v>0</v>
      </c>
      <c r="O27" s="1050">
        <f>SUMIF(Отель2_PL!$D$3:$T$3,O$3,Отель2_PL!$D$9:$T$9)</f>
        <v>0</v>
      </c>
      <c r="P27" s="1050">
        <f>SUMIF(Отель2_PL!$D$3:$T$3,P$3,Отель2_PL!$D$9:$T$9)</f>
        <v>0</v>
      </c>
      <c r="Q27" s="1050">
        <f>SUMIF(Отель2_PL!$D$3:$T$3,Q$3,Отель2_PL!$D$9:$T$9)</f>
        <v>0</v>
      </c>
      <c r="R27" s="1050">
        <f>SUMIF(Отель2_PL!$D$3:$T$3,R$3,Отель2_PL!$D$9:$T$9)</f>
        <v>0</v>
      </c>
      <c r="S27" s="1050">
        <f>SUMIF(Отель2_PL!$D$3:$T$3,S$3,Отель2_PL!$D$9:$T$9)</f>
        <v>0</v>
      </c>
      <c r="T27" s="1050">
        <f>SUMIF(Отель2_PL!$D$3:$T$3,T$3,Отель2_PL!$D$9:$T$9)</f>
        <v>0</v>
      </c>
      <c r="AO27" s="541"/>
      <c r="AP27" s="541"/>
      <c r="AQ27" s="541"/>
      <c r="AR27" s="541"/>
      <c r="AS27" s="541"/>
      <c r="AT27" s="541"/>
      <c r="AU27" s="541"/>
      <c r="AV27" s="541"/>
      <c r="AW27" s="541"/>
      <c r="AX27" s="541"/>
      <c r="AY27" s="541"/>
      <c r="AZ27" s="541"/>
      <c r="BA27" s="541"/>
      <c r="BB27" s="541"/>
      <c r="BC27" s="541"/>
      <c r="BD27" s="541"/>
      <c r="BE27" s="541"/>
    </row>
    <row r="28" spans="1:57" hidden="1" outlineLevel="2">
      <c r="A28" s="509"/>
      <c r="B28" s="509"/>
      <c r="C28" s="1047" t="str">
        <f t="shared" si="11"/>
        <v>Хостел в составе МФЦ</v>
      </c>
      <c r="D28" s="1050">
        <f>SUMIF(Хостел_PL!$D$3:$T$3,D$3,Хостел_PL!$D$9:$T$9)</f>
        <v>7209.0561017357868</v>
      </c>
      <c r="E28" s="1050">
        <f>SUMIF(Хостел_PL!$D$3:$T$3,E$3,Хостел_PL!$D$9:$T$9)</f>
        <v>21039.40880434783</v>
      </c>
      <c r="F28" s="1050">
        <f>SUMIF(Хостел_PL!$D$3:$T$3,F$3,Хостел_PL!$D$9:$T$9)</f>
        <v>22277.021086956527</v>
      </c>
      <c r="G28" s="1050">
        <f>SUMIF(Хостел_PL!$D$3:$T$3,G$3,Хостел_PL!$D$9:$T$9)</f>
        <v>23579.057022632522</v>
      </c>
      <c r="H28" s="1050">
        <f>SUMIF(Хостел_PL!$D$3:$T$3,H$3,Хостел_PL!$D$9:$T$9)</f>
        <v>24752.245652173915</v>
      </c>
      <c r="I28" s="1051">
        <f>SUMIF(Хостел_PL!$D$3:$T$3,I$3,Хостел_PL!$D$9:$T$9)</f>
        <v>24752.245652173915</v>
      </c>
      <c r="J28" s="1050">
        <f>SUMIF(Хостел_PL!$D$3:$T$3,J$3,Хостел_PL!$D$9:$T$9)</f>
        <v>24752.245652173915</v>
      </c>
      <c r="K28" s="1050">
        <f>SUMIF(Хостел_PL!$D$3:$T$3,K$3,Хостел_PL!$D$9:$T$9)</f>
        <v>24820.060023823709</v>
      </c>
      <c r="L28" s="1050">
        <f>SUMIF(Хостел_PL!$D$3:$T$3,L$3,Хостел_PL!$D$9:$T$9)</f>
        <v>24752.245652173915</v>
      </c>
      <c r="M28" s="1050">
        <f>SUMIF(Хостел_PL!$D$3:$T$3,M$3,Хостел_PL!$D$9:$T$9)</f>
        <v>24752.245652173915</v>
      </c>
      <c r="N28" s="1050">
        <f>SUMIF(Хостел_PL!$D$3:$T$3,N$3,Хостел_PL!$D$9:$T$9)</f>
        <v>24752.245652173915</v>
      </c>
      <c r="O28" s="1050">
        <f>SUMIF(Хостел_PL!$D$3:$T$3,O$3,Хостел_PL!$D$9:$T$9)</f>
        <v>24820.060023823709</v>
      </c>
      <c r="P28" s="1050">
        <f>SUMIF(Хостел_PL!$D$3:$T$3,P$3,Хостел_PL!$D$9:$T$9)</f>
        <v>24752.245652173915</v>
      </c>
      <c r="Q28" s="1050">
        <f>SUMIF(Хостел_PL!$D$3:$T$3,Q$3,Хостел_PL!$D$9:$T$9)</f>
        <v>24752.245652173915</v>
      </c>
      <c r="R28" s="1050">
        <f>SUMIF(Хостел_PL!$D$3:$T$3,R$3,Хостел_PL!$D$9:$T$9)</f>
        <v>24752.245652173915</v>
      </c>
      <c r="S28" s="1050">
        <f>SUMIF(Хостел_PL!$D$3:$T$3,S$3,Хостел_PL!$D$9:$T$9)</f>
        <v>24820.060023823709</v>
      </c>
      <c r="T28" s="1050">
        <f>SUMIF(Хостел_PL!$D$3:$T$3,T$3,Хостел_PL!$D$9:$T$9)</f>
        <v>24752.245652173915</v>
      </c>
      <c r="AO28" s="541"/>
      <c r="AP28" s="541"/>
      <c r="AQ28" s="541"/>
      <c r="AR28" s="541"/>
      <c r="AS28" s="541"/>
      <c r="AT28" s="541"/>
      <c r="AU28" s="541"/>
      <c r="AV28" s="541"/>
      <c r="AW28" s="541"/>
      <c r="AX28" s="541"/>
      <c r="AY28" s="541"/>
      <c r="AZ28" s="541"/>
      <c r="BA28" s="541"/>
      <c r="BB28" s="541"/>
      <c r="BC28" s="541"/>
      <c r="BD28" s="541"/>
      <c r="BE28" s="541"/>
    </row>
    <row r="29" spans="1:57" hidden="1" outlineLevel="2">
      <c r="A29" s="509"/>
      <c r="B29" s="509"/>
      <c r="C29" s="1047" t="str">
        <f t="shared" si="11"/>
        <v>Шале</v>
      </c>
      <c r="D29" s="1051">
        <f>SUMIF(Шале_PL!$D$3:$T$3,D$3,Шале_PL!$D$9:$T$9)</f>
        <v>0</v>
      </c>
      <c r="E29" s="1051">
        <f>SUMIF(Шале_PL!$D$3:$T$3,E$3,Шале_PL!$D$9:$T$9)</f>
        <v>393.19457888143825</v>
      </c>
      <c r="F29" s="1050">
        <f>SUMIF(Шале_PL!$D$3:$T$3,F$3,Шале_PL!$D$9:$T$9)</f>
        <v>1681.357954545455</v>
      </c>
      <c r="G29" s="1050">
        <f>SUMIF(Шале_PL!$D$3:$T$3,G$3,Шале_PL!$D$9:$T$9)</f>
        <v>1785.1387920298885</v>
      </c>
      <c r="H29" s="1050">
        <f>SUMIF(Шале_PL!$D$3:$T$3,H$3,Шале_PL!$D$9:$T$9)</f>
        <v>1879.1647727272732</v>
      </c>
      <c r="I29" s="1051">
        <f>SUMIF(Шале_PL!$D$3:$T$3,I$3,Шале_PL!$D$9:$T$9)</f>
        <v>1978.0681818181824</v>
      </c>
      <c r="J29" s="1050">
        <f>SUMIF(Шале_PL!$D$3:$T$3,J$3,Шале_PL!$D$9:$T$9)</f>
        <v>1978.0681818181824</v>
      </c>
      <c r="K29" s="1050">
        <f>SUMIF(Шале_PL!$D$3:$T$3,K$3,Шале_PL!$D$9:$T$9)</f>
        <v>1983.487546699876</v>
      </c>
      <c r="L29" s="1050">
        <f>SUMIF(Шале_PL!$D$3:$T$3,L$3,Шале_PL!$D$9:$T$9)</f>
        <v>1978.0681818181824</v>
      </c>
      <c r="M29" s="1050">
        <f>SUMIF(Шале_PL!$D$3:$T$3,M$3,Шале_PL!$D$9:$T$9)</f>
        <v>1978.0681818181824</v>
      </c>
      <c r="N29" s="1050">
        <f>SUMIF(Шале_PL!$D$3:$T$3,N$3,Шале_PL!$D$9:$T$9)</f>
        <v>1978.0681818181824</v>
      </c>
      <c r="O29" s="1050">
        <f>SUMIF(Шале_PL!$D$3:$T$3,O$3,Шале_PL!$D$9:$T$9)</f>
        <v>1983.487546699876</v>
      </c>
      <c r="P29" s="1050">
        <f>SUMIF(Шале_PL!$D$3:$T$3,P$3,Шале_PL!$D$9:$T$9)</f>
        <v>1978.0681818181824</v>
      </c>
      <c r="Q29" s="1050">
        <f>SUMIF(Шале_PL!$D$3:$T$3,Q$3,Шале_PL!$D$9:$T$9)</f>
        <v>1978.0681818181824</v>
      </c>
      <c r="R29" s="1050">
        <f>SUMIF(Шале_PL!$D$3:$T$3,R$3,Шале_PL!$D$9:$T$9)</f>
        <v>1978.0681818181824</v>
      </c>
      <c r="S29" s="1050">
        <f>SUMIF(Шале_PL!$D$3:$T$3,S$3,Шале_PL!$D$9:$T$9)</f>
        <v>1983.487546699876</v>
      </c>
      <c r="T29" s="1050">
        <f>SUMIF(Шале_PL!$D$3:$T$3,T$3,Шале_PL!$D$9:$T$9)</f>
        <v>1978.0681818181824</v>
      </c>
      <c r="AO29" s="541"/>
      <c r="AP29" s="541"/>
      <c r="AQ29" s="541"/>
      <c r="AR29" s="541"/>
      <c r="AS29" s="541"/>
      <c r="AT29" s="541"/>
      <c r="AU29" s="541"/>
      <c r="AV29" s="541"/>
      <c r="AW29" s="541"/>
      <c r="AX29" s="541"/>
      <c r="AY29" s="541"/>
      <c r="AZ29" s="541"/>
      <c r="BA29" s="541"/>
      <c r="BB29" s="541"/>
      <c r="BC29" s="541"/>
      <c r="BD29" s="541"/>
      <c r="BE29" s="541"/>
    </row>
    <row r="30" spans="1:57" hidden="1" outlineLevel="2">
      <c r="A30" s="509"/>
      <c r="B30" s="509"/>
      <c r="C30" s="1625" t="str">
        <f t="shared" si="11"/>
        <v>Туристские резиденции</v>
      </c>
      <c r="D30" s="1142">
        <f>SUMIF(Резиденции_PL!$D$3:$V$3,D$3,Резиденции_PL!$D$9:$V$9)</f>
        <v>31416.530026761862</v>
      </c>
      <c r="E30" s="1142">
        <f>SUMIF(Резиденции_PL!$D$3:$V$3,E$3,Резиденции_PL!$D$9:$V$9)</f>
        <v>80199.726630434787</v>
      </c>
      <c r="F30" s="1142">
        <f>SUMIF(Резиденции_PL!$D$3:$V$3,F$3,Резиденции_PL!$D$9:$V$9)</f>
        <v>84917.35760869566</v>
      </c>
      <c r="G30" s="1142">
        <f>SUMIF(Резиденции_PL!$D$3:$V$3,G$3,Резиденции_PL!$D$9:$V$9)</f>
        <v>89880.563898153676</v>
      </c>
      <c r="H30" s="1142">
        <f>SUMIF(Резиденции_PL!$D$3:$V$3,H$3,Резиденции_PL!$D$9:$V$9)</f>
        <v>94352.619565217406</v>
      </c>
      <c r="I30" s="1142">
        <f>SUMIF(Резиденции_PL!$D$3:$V$3,I$3,Резиденции_PL!$D$9:$V$9)</f>
        <v>94352.619565217406</v>
      </c>
      <c r="J30" s="1142">
        <f>SUMIF(Резиденции_PL!$D$3:$V$3,J$3,Резиденции_PL!$D$9:$V$9)</f>
        <v>94352.619565217406</v>
      </c>
      <c r="K30" s="1142">
        <f>SUMIF(Резиденции_PL!$D$3:$V$3,K$3,Резиденции_PL!$D$9:$V$9)</f>
        <v>94611.119892793344</v>
      </c>
      <c r="L30" s="1142">
        <f>SUMIF(Резиденции_PL!$D$3:$V$3,L$3,Резиденции_PL!$D$9:$V$9)</f>
        <v>94352.619565217406</v>
      </c>
      <c r="M30" s="1142">
        <f>SUMIF(Резиденции_PL!$D$3:$V$3,M$3,Резиденции_PL!$D$9:$V$9)</f>
        <v>94352.619565217406</v>
      </c>
      <c r="N30" s="1142">
        <f>SUMIF(Резиденции_PL!$D$3:$V$3,N$3,Резиденции_PL!$D$9:$V$9)</f>
        <v>94352.619565217406</v>
      </c>
      <c r="O30" s="1142">
        <f>SUMIF(Резиденции_PL!$D$3:$V$3,O$3,Резиденции_PL!$D$9:$V$9)</f>
        <v>94611.119892793344</v>
      </c>
      <c r="P30" s="1142">
        <f>SUMIF(Резиденции_PL!$D$3:$V$3,P$3,Резиденции_PL!$D$9:$V$9)</f>
        <v>94352.619565217406</v>
      </c>
      <c r="Q30" s="1142">
        <f>SUMIF(Резиденции_PL!$D$3:$V$3,Q$3,Резиденции_PL!$D$9:$V$9)</f>
        <v>94352.619565217406</v>
      </c>
      <c r="R30" s="1142">
        <f>SUMIF(Резиденции_PL!$D$3:$V$3,R$3,Резиденции_PL!$D$9:$V$9)</f>
        <v>94352.619565217406</v>
      </c>
      <c r="S30" s="1142">
        <f>SUMIF(Резиденции_PL!$D$3:$V$3,S$3,Резиденции_PL!$D$9:$V$9)</f>
        <v>94611.119892793344</v>
      </c>
      <c r="T30" s="1142">
        <f>SUMIF(Резиденции_PL!$D$3:$V$3,T$3,Резиденции_PL!$D$9:$V$9)</f>
        <v>94352.619565217406</v>
      </c>
      <c r="AO30" s="541"/>
      <c r="AP30" s="541"/>
      <c r="AQ30" s="541"/>
      <c r="AR30" s="541"/>
      <c r="AS30" s="541"/>
      <c r="AT30" s="541"/>
      <c r="AU30" s="541"/>
      <c r="AV30" s="541"/>
      <c r="AW30" s="541"/>
      <c r="AX30" s="541"/>
      <c r="AY30" s="541"/>
      <c r="AZ30" s="541"/>
      <c r="BA30" s="541"/>
      <c r="BB30" s="541"/>
      <c r="BC30" s="541"/>
      <c r="BD30" s="541"/>
      <c r="BE30" s="541"/>
    </row>
    <row r="31" spans="1:57" outlineLevel="1" collapsed="1">
      <c r="A31" s="509"/>
      <c r="B31" s="509"/>
      <c r="C31" s="1049" t="s">
        <v>14</v>
      </c>
      <c r="D31" s="1053">
        <f>D23/D15</f>
        <v>0.43479780589042699</v>
      </c>
      <c r="E31" s="1053">
        <f t="shared" ref="E31:T31" si="12">E23/E15</f>
        <v>0.54825250354846389</v>
      </c>
      <c r="F31" s="1053">
        <f t="shared" si="12"/>
        <v>0.57268568181218182</v>
      </c>
      <c r="G31" s="1053">
        <f t="shared" si="12"/>
        <v>0.60502168089563213</v>
      </c>
      <c r="H31" s="1053">
        <f t="shared" si="12"/>
        <v>0.63735767997908266</v>
      </c>
      <c r="I31" s="1053">
        <f t="shared" si="12"/>
        <v>0.64671998166900768</v>
      </c>
      <c r="J31" s="1053">
        <f t="shared" si="12"/>
        <v>0.64671998166900768</v>
      </c>
      <c r="K31" s="1053">
        <f t="shared" si="12"/>
        <v>0.64671998166900779</v>
      </c>
      <c r="L31" s="1053">
        <f t="shared" si="12"/>
        <v>0.64671998166900768</v>
      </c>
      <c r="M31" s="1053">
        <f t="shared" si="12"/>
        <v>0.64671998166900768</v>
      </c>
      <c r="N31" s="1053">
        <f t="shared" si="12"/>
        <v>0.64671998166900768</v>
      </c>
      <c r="O31" s="1053">
        <f t="shared" si="12"/>
        <v>0.64671998166900779</v>
      </c>
      <c r="P31" s="1053">
        <f t="shared" si="12"/>
        <v>0.64671998166900768</v>
      </c>
      <c r="Q31" s="1053">
        <f t="shared" si="12"/>
        <v>0.64671998166900768</v>
      </c>
      <c r="R31" s="1053">
        <f t="shared" si="12"/>
        <v>0.64671998166900768</v>
      </c>
      <c r="S31" s="1053">
        <f t="shared" si="12"/>
        <v>0.64671998166900779</v>
      </c>
      <c r="T31" s="1053">
        <f t="shared" si="12"/>
        <v>0.64671998166900768</v>
      </c>
      <c r="V31" s="543"/>
      <c r="W31" s="544" t="str">
        <f t="shared" ref="W31:AL31" si="13">ROUND((E31-D31),2)*100 &amp; "пп."</f>
        <v>11пп.</v>
      </c>
      <c r="X31" s="544" t="str">
        <f t="shared" si="13"/>
        <v>2пп.</v>
      </c>
      <c r="Y31" s="544" t="str">
        <f t="shared" si="13"/>
        <v>3пп.</v>
      </c>
      <c r="Z31" s="544" t="str">
        <f t="shared" si="13"/>
        <v>3пп.</v>
      </c>
      <c r="AA31" s="544" t="str">
        <f t="shared" si="13"/>
        <v>1пп.</v>
      </c>
      <c r="AB31" s="544" t="str">
        <f t="shared" si="13"/>
        <v>0пп.</v>
      </c>
      <c r="AC31" s="544" t="str">
        <f t="shared" si="13"/>
        <v>0пп.</v>
      </c>
      <c r="AD31" s="544" t="str">
        <f t="shared" si="13"/>
        <v>0пп.</v>
      </c>
      <c r="AE31" s="544" t="str">
        <f t="shared" si="13"/>
        <v>0пп.</v>
      </c>
      <c r="AF31" s="544" t="str">
        <f t="shared" si="13"/>
        <v>0пп.</v>
      </c>
      <c r="AG31" s="544" t="str">
        <f t="shared" si="13"/>
        <v>0пп.</v>
      </c>
      <c r="AH31" s="544" t="str">
        <f t="shared" si="13"/>
        <v>0пп.</v>
      </c>
      <c r="AI31" s="544" t="str">
        <f t="shared" si="13"/>
        <v>0пп.</v>
      </c>
      <c r="AJ31" s="544" t="str">
        <f t="shared" si="13"/>
        <v>0пп.</v>
      </c>
      <c r="AK31" s="544" t="str">
        <f t="shared" si="13"/>
        <v>0пп.</v>
      </c>
      <c r="AL31" s="544" t="str">
        <f t="shared" si="13"/>
        <v>0пп.</v>
      </c>
    </row>
    <row r="32" spans="1:57">
      <c r="A32" s="509"/>
      <c r="B32" s="509"/>
      <c r="C32" s="547" t="s">
        <v>31</v>
      </c>
      <c r="D32" s="1035">
        <f>SUM(D33:D39)</f>
        <v>379545157.91609192</v>
      </c>
      <c r="E32" s="548">
        <f t="shared" ref="E32:T32" si="14">SUM(E33:E39)</f>
        <v>1475248659.0880458</v>
      </c>
      <c r="F32" s="548">
        <f t="shared" si="14"/>
        <v>2163243526.2926168</v>
      </c>
      <c r="G32" s="548">
        <f>SUM(G33:G39)</f>
        <v>2224763872.2515211</v>
      </c>
      <c r="H32" s="548">
        <f t="shared" si="14"/>
        <v>2419357667.3921738</v>
      </c>
      <c r="I32" s="548">
        <f t="shared" si="14"/>
        <v>2592232152.0335412</v>
      </c>
      <c r="J32" s="548">
        <f t="shared" si="14"/>
        <v>2695921438.1148825</v>
      </c>
      <c r="K32" s="548">
        <f t="shared" si="14"/>
        <v>2811439825.2165728</v>
      </c>
      <c r="L32" s="548">
        <f t="shared" si="14"/>
        <v>2915908627.4650574</v>
      </c>
      <c r="M32" s="548">
        <f t="shared" si="14"/>
        <v>3032544972.5636597</v>
      </c>
      <c r="N32" s="548">
        <f t="shared" si="14"/>
        <v>3153846771.4662066</v>
      </c>
      <c r="O32" s="548">
        <f t="shared" si="14"/>
        <v>3288986945.4545116</v>
      </c>
      <c r="P32" s="548">
        <f t="shared" si="14"/>
        <v>3411200668.017849</v>
      </c>
      <c r="Q32" s="548">
        <f t="shared" si="14"/>
        <v>3547648694.7385631</v>
      </c>
      <c r="R32" s="548">
        <f t="shared" si="14"/>
        <v>3689554642.5281062</v>
      </c>
      <c r="S32" s="548">
        <f t="shared" si="14"/>
        <v>3847649531.8682146</v>
      </c>
      <c r="T32" s="548">
        <f t="shared" si="14"/>
        <v>3990622301.3584003</v>
      </c>
      <c r="V32" s="549"/>
      <c r="W32" s="549"/>
      <c r="X32" s="549"/>
      <c r="Y32" s="549"/>
      <c r="Z32" s="549"/>
      <c r="AO32" s="548">
        <f t="shared" ref="AO32:BE32" si="15">D32/D23</f>
        <v>7343.8833577766372</v>
      </c>
      <c r="AP32" s="548">
        <f t="shared" si="15"/>
        <v>9258.8301644906569</v>
      </c>
      <c r="AQ32" s="548">
        <f t="shared" si="15"/>
        <v>10962.869108656394</v>
      </c>
      <c r="AR32" s="548">
        <f t="shared" si="15"/>
        <v>10642.898146089294</v>
      </c>
      <c r="AS32" s="548">
        <f t="shared" si="15"/>
        <v>11016.711976221901</v>
      </c>
      <c r="AT32" s="548">
        <f t="shared" si="15"/>
        <v>11633.027498352714</v>
      </c>
      <c r="AU32" s="548">
        <f t="shared" si="15"/>
        <v>12098.348598286821</v>
      </c>
      <c r="AV32" s="548">
        <f t="shared" si="15"/>
        <v>12582.282542218292</v>
      </c>
      <c r="AW32" s="548">
        <f t="shared" si="15"/>
        <v>13085.573843907026</v>
      </c>
      <c r="AX32" s="548">
        <f t="shared" si="15"/>
        <v>13608.996797663309</v>
      </c>
      <c r="AY32" s="548">
        <f t="shared" si="15"/>
        <v>14153.356669569843</v>
      </c>
      <c r="AZ32" s="548">
        <f t="shared" si="15"/>
        <v>14719.490936352631</v>
      </c>
      <c r="BA32" s="548">
        <f t="shared" si="15"/>
        <v>15308.270573806742</v>
      </c>
      <c r="BB32" s="548">
        <f t="shared" si="15"/>
        <v>15920.601396759012</v>
      </c>
      <c r="BC32" s="548">
        <f t="shared" si="15"/>
        <v>16557.425452629373</v>
      </c>
      <c r="BD32" s="548">
        <f t="shared" si="15"/>
        <v>17219.722470734545</v>
      </c>
      <c r="BE32" s="1035">
        <f t="shared" si="15"/>
        <v>17908.511369563934</v>
      </c>
    </row>
    <row r="33" spans="1:38" outlineLevel="1">
      <c r="A33" s="509"/>
      <c r="B33" s="509"/>
      <c r="C33" s="1047" t="str">
        <f t="shared" ref="C33:C39" si="16">C24</f>
        <v>Гостиница 5*</v>
      </c>
      <c r="D33" s="1051">
        <f>SUMIF(Отель5_PL!$D$3:$T$3,D$3,Отель5_PL!$D$12:$T$12)</f>
        <v>0</v>
      </c>
      <c r="E33" s="1050">
        <f>SUMIF(Отель5_PL!$D$3:$T$3,E$3,Отель5_PL!$D$12:$T$12)</f>
        <v>228229538.9524439</v>
      </c>
      <c r="F33" s="1051">
        <f>SUMIF(Отель5_PL!$D$3:$T$3,F$3,Отель5_PL!$D$12:$T$12)</f>
        <v>556527173.15704465</v>
      </c>
      <c r="G33" s="1050">
        <f>SUMIF(Отель5_PL!$D$3:$T$3,G$3,Отель5_PL!$D$12:$T$12)</f>
        <v>637427055.48309934</v>
      </c>
      <c r="H33" s="1050">
        <f>SUMIF(Отель5_PL!$D$3:$T$3,H$3,Отель5_PL!$D$12:$T$12)</f>
        <v>688344113.01064086</v>
      </c>
      <c r="I33" s="1050">
        <f>SUMIF(Отель5_PL!$D$3:$T$3,I$3,Отель5_PL!$D$12:$T$12)</f>
        <v>748131144.70616293</v>
      </c>
      <c r="J33" s="1050">
        <f>SUMIF(Отель5_PL!$D$3:$T$3,J$3,Отель5_PL!$D$12:$T$12)</f>
        <v>778056390.49440932</v>
      </c>
      <c r="K33" s="1050">
        <f>SUMIF(Отель5_PL!$D$3:$T$3,K$3,Отель5_PL!$D$12:$T$12)</f>
        <v>811395573.9117589</v>
      </c>
      <c r="L33" s="1050">
        <f>SUMIF(Отель5_PL!$D$3:$T$3,L$3,Отель5_PL!$D$12:$T$12)</f>
        <v>841545791.95875335</v>
      </c>
      <c r="M33" s="1050">
        <f>SUMIF(Отель5_PL!$D$3:$T$3,M$3,Отель5_PL!$D$12:$T$12)</f>
        <v>875207623.63710344</v>
      </c>
      <c r="N33" s="1050">
        <f>SUMIF(Отель5_PL!$D$3:$T$3,N$3,Отель5_PL!$D$12:$T$12)</f>
        <v>910215928.58258772</v>
      </c>
      <c r="O33" s="1050">
        <f>SUMIF(Отель5_PL!$D$3:$T$3,O$3,Отель5_PL!$D$12:$T$12)</f>
        <v>949218057.68678379</v>
      </c>
      <c r="P33" s="1050">
        <f>SUMIF(Отель5_PL!$D$3:$T$3,P$3,Отель5_PL!$D$12:$T$12)</f>
        <v>984489548.35492694</v>
      </c>
      <c r="Q33" s="1050">
        <f>SUMIF(Отель5_PL!$D$3:$T$3,Q$3,Отель5_PL!$D$12:$T$12)</f>
        <v>1023869130.2891239</v>
      </c>
      <c r="R33" s="1050">
        <f>SUMIF(Отель5_PL!$D$3:$T$3,R$3,Отель5_PL!$D$12:$T$12)</f>
        <v>1064823895.5006891</v>
      </c>
      <c r="S33" s="1050">
        <f>SUMIF(Отель5_PL!$D$3:$T$3,S$3,Отель5_PL!$D$12:$T$12)</f>
        <v>1110450870.0914581</v>
      </c>
      <c r="T33" s="1050">
        <f>SUMIF(Отель5_PL!$D$3:$T$3,T$3,Отель5_PL!$D$12:$T$12)</f>
        <v>1151713525.3735454</v>
      </c>
      <c r="V33" s="549"/>
      <c r="W33" s="549"/>
      <c r="X33" s="549"/>
      <c r="Y33" s="549"/>
      <c r="Z33" s="549"/>
    </row>
    <row r="34" spans="1:38" outlineLevel="1">
      <c r="A34" s="509"/>
      <c r="B34" s="509"/>
      <c r="C34" s="1047" t="str">
        <f t="shared" si="16"/>
        <v>Гостиница 4*</v>
      </c>
      <c r="D34" s="1051">
        <f>SUMIF(Отель4_PL!$D$3:$T$3,D$3,Отель4_PL!$D$12:$T$12)</f>
        <v>0</v>
      </c>
      <c r="E34" s="1050">
        <f>SUMIF(Отель4_PL!$D$3:$T$3,E$3,Отель4_PL!$D$12:$T$12)</f>
        <v>172280200.27345532</v>
      </c>
      <c r="F34" s="1051">
        <f>SUMIF(Отель4_PL!$D$3:$T$3,F$3,Отель4_PL!$D$12:$T$12)</f>
        <v>436336816.3410821</v>
      </c>
      <c r="G34" s="1050">
        <f>SUMIF(Отель4_PL!$D$3:$T$3,G$3,Отель4_PL!$D$12:$T$12)</f>
        <v>504300907.35345399</v>
      </c>
      <c r="H34" s="1050">
        <f>SUMIF(Отель4_PL!$D$3:$T$3,H$3,Отель4_PL!$D$12:$T$12)</f>
        <v>548969700.39646888</v>
      </c>
      <c r="I34" s="1050">
        <f>SUMIF(Отель4_PL!$D$3:$T$3,I$3,Отель4_PL!$D$12:$T$12)</f>
        <v>600977356.22350287</v>
      </c>
      <c r="J34" s="1050">
        <f>SUMIF(Отель4_PL!$D$3:$T$3,J$3,Отель4_PL!$D$12:$T$12)</f>
        <v>625016450.4724431</v>
      </c>
      <c r="K34" s="1050">
        <f>SUMIF(Отель4_PL!$D$3:$T$3,K$3,Отель4_PL!$D$12:$T$12)</f>
        <v>651797977.28172815</v>
      </c>
      <c r="L34" s="1050">
        <f>SUMIF(Отель4_PL!$D$3:$T$3,L$3,Отель4_PL!$D$12:$T$12)</f>
        <v>676017792.83099437</v>
      </c>
      <c r="M34" s="1050">
        <f>SUMIF(Отель4_PL!$D$3:$T$3,M$3,Отель4_PL!$D$12:$T$12)</f>
        <v>703058504.54423428</v>
      </c>
      <c r="N34" s="1050">
        <f>SUMIF(Отель4_PL!$D$3:$T$3,N$3,Отель4_PL!$D$12:$T$12)</f>
        <v>731180844.72600389</v>
      </c>
      <c r="O34" s="1050">
        <f>SUMIF(Отель4_PL!$D$3:$T$3,O$3,Отель4_PL!$D$12:$T$12)</f>
        <v>762511443.11371541</v>
      </c>
      <c r="P34" s="1050">
        <f>SUMIF(Отель4_PL!$D$3:$T$3,P$3,Отель4_PL!$D$12:$T$12)</f>
        <v>790845201.65564561</v>
      </c>
      <c r="Q34" s="1050">
        <f>SUMIF(Отель4_PL!$D$3:$T$3,Q$3,Отель4_PL!$D$12:$T$12)</f>
        <v>822479009.7218715</v>
      </c>
      <c r="R34" s="1050">
        <f>SUMIF(Отель4_PL!$D$3:$T$3,R$3,Отель4_PL!$D$12:$T$12)</f>
        <v>855378170.11074638</v>
      </c>
      <c r="S34" s="1050">
        <f>SUMIF(Отель4_PL!$D$3:$T$3,S$3,Отель4_PL!$D$12:$T$12)</f>
        <v>892030538.82453322</v>
      </c>
      <c r="T34" s="1050">
        <f>SUMIF(Отель4_PL!$D$3:$T$3,T$3,Отель4_PL!$D$12:$T$12)</f>
        <v>925177028.79178345</v>
      </c>
      <c r="V34" s="549"/>
      <c r="W34" s="549"/>
      <c r="X34" s="549"/>
      <c r="Y34" s="549"/>
      <c r="Z34" s="549"/>
    </row>
    <row r="35" spans="1:38" outlineLevel="1">
      <c r="A35" s="509"/>
      <c r="B35" s="509"/>
      <c r="C35" s="1047" t="str">
        <f t="shared" si="16"/>
        <v>Гостиница 3*</v>
      </c>
      <c r="D35" s="1051">
        <f>SUMIF(Отель3_PL!$D$3:$T$3,D$3,Отель3_PL!$D$12:$T$12)</f>
        <v>120609348.14760539</v>
      </c>
      <c r="E35" s="1050">
        <f>SUMIF(Отель3_PL!$D$3:$T$3,E$3,Отель3_PL!$D$12:$T$12)</f>
        <v>347320055.33002609</v>
      </c>
      <c r="F35" s="1051">
        <f>SUMIF(Отель3_PL!$D$3:$T$3,F$3,Отель3_PL!$D$12:$T$12)</f>
        <v>400142825.0537675</v>
      </c>
      <c r="G35" s="1050">
        <f>SUMIF(Отель3_PL!$D$3:$T$3,G$3,Отель3_PL!$D$12:$T$12)</f>
        <v>433736338.66865665</v>
      </c>
      <c r="H35" s="1050">
        <f>SUMIF(Отель3_PL!$D$3:$T$3,H$3,Отель3_PL!$D$12:$T$12)</f>
        <v>470588628.83115721</v>
      </c>
      <c r="I35" s="1050">
        <f>SUMIF(Отель3_PL!$D$3:$T$3,I$3,Отель3_PL!$D$12:$T$12)</f>
        <v>489412173.98440355</v>
      </c>
      <c r="J35" s="1050">
        <f>SUMIF(Отель3_PL!$D$3:$T$3,J$3,Отель3_PL!$D$12:$T$12)</f>
        <v>508988660.94377971</v>
      </c>
      <c r="K35" s="1050">
        <f>SUMIF(Отель3_PL!$D$3:$T$3,K$3,Отель3_PL!$D$12:$T$12)</f>
        <v>530798476.44285017</v>
      </c>
      <c r="L35" s="1050">
        <f>SUMIF(Отель3_PL!$D$3:$T$3,L$3,Отель3_PL!$D$12:$T$12)</f>
        <v>550522135.67679226</v>
      </c>
      <c r="M35" s="1050">
        <f>SUMIF(Отель3_PL!$D$3:$T$3,M$3,Отель3_PL!$D$12:$T$12)</f>
        <v>572543021.10386395</v>
      </c>
      <c r="N35" s="1050">
        <f>SUMIF(Отель3_PL!$D$3:$T$3,N$3,Отель3_PL!$D$12:$T$12)</f>
        <v>595444741.94801855</v>
      </c>
      <c r="O35" s="1050">
        <f>SUMIF(Отель3_PL!$D$3:$T$3,O$3,Отель3_PL!$D$12:$T$12)</f>
        <v>620959141.30162692</v>
      </c>
      <c r="P35" s="1050">
        <f>SUMIF(Отель3_PL!$D$3:$T$3,P$3,Отель3_PL!$D$12:$T$12)</f>
        <v>644033032.89097691</v>
      </c>
      <c r="Q35" s="1050">
        <f>SUMIF(Отель3_PL!$D$3:$T$3,Q$3,Отель3_PL!$D$12:$T$12)</f>
        <v>669794354.20661592</v>
      </c>
      <c r="R35" s="1050">
        <f>SUMIF(Отель3_PL!$D$3:$T$3,R$3,Отель3_PL!$D$12:$T$12)</f>
        <v>696586128.37488067</v>
      </c>
      <c r="S35" s="1050">
        <f>SUMIF(Отель3_PL!$D$3:$T$3,S$3,Отель3_PL!$D$12:$T$12)</f>
        <v>726434366.86195779</v>
      </c>
      <c r="T35" s="1050">
        <f>SUMIF(Отель3_PL!$D$3:$T$3,T$3,Отель3_PL!$D$12:$T$12)</f>
        <v>753427556.45027113</v>
      </c>
      <c r="V35" s="549"/>
      <c r="W35" s="549"/>
      <c r="X35" s="549"/>
      <c r="Y35" s="549"/>
      <c r="Z35" s="549"/>
    </row>
    <row r="36" spans="1:38" hidden="1" outlineLevel="2">
      <c r="A36" s="509"/>
      <c r="B36" s="509"/>
      <c r="C36" s="1047" t="str">
        <f t="shared" si="16"/>
        <v>Гостиница 2*</v>
      </c>
      <c r="D36" s="1051">
        <f>SUMIF(Отель2_PL!$D$3:$T$3,D$3,Отель2_PL!$D$12:$T$12)</f>
        <v>0</v>
      </c>
      <c r="E36" s="1050">
        <f>SUMIF(Отель2_PL!$D$3:$T$3,E$3,Отель2_PL!$D$12:$T$12)</f>
        <v>0</v>
      </c>
      <c r="F36" s="1051">
        <f>SUMIF(Отель2_PL!$D$3:$T$3,F$3,Отель2_PL!$D$12:$T$12)</f>
        <v>0</v>
      </c>
      <c r="G36" s="1050">
        <f>SUMIF(Отель2_PL!$D$3:$T$3,G$3,Отель2_PL!$D$12:$T$12)</f>
        <v>0</v>
      </c>
      <c r="H36" s="1050">
        <f>SUMIF(Отель2_PL!$D$3:$T$3,H$3,Отель2_PL!$D$12:$T$12)</f>
        <v>0</v>
      </c>
      <c r="I36" s="1050">
        <f>SUMIF(Отель2_PL!$D$3:$T$3,I$3,Отель2_PL!$D$12:$T$12)</f>
        <v>0</v>
      </c>
      <c r="J36" s="1050">
        <f>SUMIF(Отель2_PL!$D$3:$T$3,J$3,Отель2_PL!$D$12:$T$12)</f>
        <v>0</v>
      </c>
      <c r="K36" s="1050">
        <f>SUMIF(Отель2_PL!$D$3:$T$3,K$3,Отель2_PL!$D$12:$T$12)</f>
        <v>0</v>
      </c>
      <c r="L36" s="1050">
        <f>SUMIF(Отель2_PL!$D$3:$T$3,L$3,Отель2_PL!$D$12:$T$12)</f>
        <v>0</v>
      </c>
      <c r="M36" s="1050">
        <f>SUMIF(Отель2_PL!$D$3:$T$3,M$3,Отель2_PL!$D$12:$T$12)</f>
        <v>0</v>
      </c>
      <c r="N36" s="1050">
        <f>SUMIF(Отель2_PL!$D$3:$T$3,N$3,Отель2_PL!$D$12:$T$12)</f>
        <v>0</v>
      </c>
      <c r="O36" s="1050">
        <f>SUMIF(Отель2_PL!$D$3:$T$3,O$3,Отель2_PL!$D$12:$T$12)</f>
        <v>0</v>
      </c>
      <c r="P36" s="1050">
        <f>SUMIF(Отель2_PL!$D$3:$T$3,P$3,Отель2_PL!$D$12:$T$12)</f>
        <v>0</v>
      </c>
      <c r="Q36" s="1050">
        <f>SUMIF(Отель2_PL!$D$3:$T$3,Q$3,Отель2_PL!$D$12:$T$12)</f>
        <v>0</v>
      </c>
      <c r="R36" s="1050">
        <f>SUMIF(Отель2_PL!$D$3:$T$3,R$3,Отель2_PL!$D$12:$T$12)</f>
        <v>0</v>
      </c>
      <c r="S36" s="1050">
        <f>SUMIF(Отель2_PL!$D$3:$T$3,S$3,Отель2_PL!$D$12:$T$12)</f>
        <v>0</v>
      </c>
      <c r="T36" s="1050">
        <f>SUMIF(Отель2_PL!$D$3:$T$3,T$3,Отель2_PL!$D$12:$T$12)</f>
        <v>0</v>
      </c>
      <c r="V36" s="549"/>
      <c r="W36" s="549"/>
      <c r="X36" s="549"/>
      <c r="Y36" s="549"/>
      <c r="Z36" s="549"/>
    </row>
    <row r="37" spans="1:38" outlineLevel="1" collapsed="1">
      <c r="A37" s="509"/>
      <c r="B37" s="509"/>
      <c r="C37" s="1047" t="str">
        <f t="shared" si="16"/>
        <v>Хостел в составе МФЦ</v>
      </c>
      <c r="D37" s="1051">
        <f>SUMIF(Хостел_PL!$D$3:$T$3,D$3,Хостел_PL!$D$12:$T$12)</f>
        <v>34135304.280458957</v>
      </c>
      <c r="E37" s="1050">
        <f>SUMIF(Хостел_PL!$D$3:$T$3,E$3,Хостел_PL!$D$12:$T$12)</f>
        <v>109956092.74458371</v>
      </c>
      <c r="F37" s="1051">
        <f>SUMIF(Хостел_PL!$D$3:$T$3,F$3,Хостел_PL!$D$12:$T$12)</f>
        <v>129153132.93669695</v>
      </c>
      <c r="G37" s="1050">
        <f>SUMIF(Хостел_PL!$D$3:$T$3,G$3,Хостел_PL!$D$12:$T$12)</f>
        <v>150332745.58110383</v>
      </c>
      <c r="H37" s="1050">
        <f>SUMIF(Хостел_PL!$D$3:$T$3,H$3,Хостел_PL!$D$12:$T$12)</f>
        <v>173779557.09055579</v>
      </c>
      <c r="I37" s="1050">
        <f>SUMIF(Хостел_PL!$D$3:$T$3,I$3,Хостел_PL!$D$12:$T$12)</f>
        <v>180730739.37417805</v>
      </c>
      <c r="J37" s="1050">
        <f>SUMIF(Хостел_PL!$D$3:$T$3,J$3,Хостел_PL!$D$12:$T$12)</f>
        <v>187959968.94914514</v>
      </c>
      <c r="K37" s="1050">
        <f>SUMIF(Хостел_PL!$D$3:$T$3,K$3,Хостел_PL!$D$12:$T$12)</f>
        <v>196013924.87891129</v>
      </c>
      <c r="L37" s="1050">
        <f>SUMIF(Хостел_PL!$D$3:$T$3,L$3,Хостел_PL!$D$12:$T$12)</f>
        <v>203297502.41539544</v>
      </c>
      <c r="M37" s="1050">
        <f>SUMIF(Хостел_PL!$D$3:$T$3,M$3,Хостел_PL!$D$12:$T$12)</f>
        <v>211429402.51201126</v>
      </c>
      <c r="N37" s="1050">
        <f>SUMIF(Хостел_PL!$D$3:$T$3,N$3,Хостел_PL!$D$12:$T$12)</f>
        <v>219886578.61249173</v>
      </c>
      <c r="O37" s="1050">
        <f>SUMIF(Хостел_PL!$D$3:$T$3,O$3,Хостел_PL!$D$12:$T$12)</f>
        <v>229308567.8987914</v>
      </c>
      <c r="P37" s="1050">
        <f>SUMIF(Хостел_PL!$D$3:$T$3,P$3,Хостел_PL!$D$12:$T$12)</f>
        <v>237829323.42727107</v>
      </c>
      <c r="Q37" s="1050">
        <f>SUMIF(Хостел_PL!$D$3:$T$3,Q$3,Хостел_PL!$D$12:$T$12)</f>
        <v>247342496.36436194</v>
      </c>
      <c r="R37" s="1050">
        <f>SUMIF(Хостел_PL!$D$3:$T$3,R$3,Хостел_PL!$D$12:$T$12)</f>
        <v>257236196.21893638</v>
      </c>
      <c r="S37" s="1050">
        <f>SUMIF(Хостел_PL!$D$3:$T$3,S$3,Хостел_PL!$D$12:$T$12)</f>
        <v>268258591.03774235</v>
      </c>
      <c r="T37" s="1050">
        <f>SUMIF(Хостел_PL!$D$3:$T$3,T$3,Хостел_PL!$D$12:$T$12)</f>
        <v>278226669.83040166</v>
      </c>
      <c r="V37" s="549"/>
      <c r="W37" s="549"/>
      <c r="X37" s="549"/>
      <c r="Y37" s="549"/>
      <c r="Z37" s="549"/>
    </row>
    <row r="38" spans="1:38" outlineLevel="1">
      <c r="A38" s="509"/>
      <c r="B38" s="509"/>
      <c r="C38" s="1047" t="str">
        <f t="shared" si="16"/>
        <v>Шале</v>
      </c>
      <c r="D38" s="1051">
        <f>SUMIF(Шале_PL!$D$3:$T$3,D$3,Шале_PL!$D$12:$T$12)</f>
        <v>0</v>
      </c>
      <c r="E38" s="1050">
        <f>SUMIF(Шале_PL!$D$3:$T$3,E$3,Шале_PL!$D$12:$T$12)</f>
        <v>41864495.25108847</v>
      </c>
      <c r="F38" s="1051">
        <f>SUMIF(Шале_PL!$D$3:$T$3,F$3,Шале_PL!$D$12:$T$12)</f>
        <v>207141418.93619078</v>
      </c>
      <c r="G38" s="1050">
        <f>SUMIF(Шале_PL!$D$3:$T$3,G$3,Шале_PL!$D$12:$T$12)</f>
        <v>239667927.04807597</v>
      </c>
      <c r="H38" s="1050">
        <f>SUMIF(Шале_PL!$D$3:$T$3,H$3,Шале_PL!$D$12:$T$12)</f>
        <v>261664407.83288902</v>
      </c>
      <c r="I38" s="1050">
        <f>SUMIF(Шале_PL!$D$3:$T$3,I$3,Шале_PL!$D$12:$T$12)</f>
        <v>285929027.10561317</v>
      </c>
      <c r="J38" s="1050">
        <f>SUMIF(Шале_PL!$D$3:$T$3,J$3,Шале_PL!$D$12:$T$12)</f>
        <v>297366188.18983763</v>
      </c>
      <c r="K38" s="1050">
        <f>SUMIF(Шале_PL!$D$3:$T$3,K$3,Шале_PL!$D$12:$T$12)</f>
        <v>310108125.67830092</v>
      </c>
      <c r="L38" s="1050">
        <f>SUMIF(Шале_PL!$D$3:$T$3,L$3,Шале_PL!$D$12:$T$12)</f>
        <v>321631269.14612842</v>
      </c>
      <c r="M38" s="1050">
        <f>SUMIF(Шале_PL!$D$3:$T$3,M$3,Шале_PL!$D$12:$T$12)</f>
        <v>334496519.91197366</v>
      </c>
      <c r="N38" s="1050">
        <f>SUMIF(Шале_PL!$D$3:$T$3,N$3,Шале_PL!$D$12:$T$12)</f>
        <v>347876380.70845264</v>
      </c>
      <c r="O38" s="1050">
        <f>SUMIF(Шале_PL!$D$3:$T$3,O$3,Шале_PL!$D$12:$T$12)</f>
        <v>362782645.35031611</v>
      </c>
      <c r="P38" s="1050">
        <f>SUMIF(Шале_PL!$D$3:$T$3,P$3,Шале_PL!$D$12:$T$12)</f>
        <v>376263093.37426227</v>
      </c>
      <c r="Q38" s="1050">
        <f>SUMIF(Шале_PL!$D$3:$T$3,Q$3,Шале_PL!$D$12:$T$12)</f>
        <v>391313617.10923284</v>
      </c>
      <c r="R38" s="1050">
        <f>SUMIF(Шале_PL!$D$3:$T$3,R$3,Шале_PL!$D$12:$T$12)</f>
        <v>406966161.79360211</v>
      </c>
      <c r="S38" s="1050">
        <f>SUMIF(Шале_PL!$D$3:$T$3,S$3,Шале_PL!$D$12:$T$12)</f>
        <v>424404383.08251166</v>
      </c>
      <c r="T38" s="1050">
        <f>SUMIF(Шале_PL!$D$3:$T$3,T$3,Шале_PL!$D$12:$T$12)</f>
        <v>440174600.59596014</v>
      </c>
      <c r="V38" s="549"/>
      <c r="W38" s="549"/>
      <c r="X38" s="549"/>
      <c r="Y38" s="549"/>
      <c r="Z38" s="549"/>
    </row>
    <row r="39" spans="1:38" outlineLevel="1">
      <c r="A39" s="509"/>
      <c r="B39" s="1141" t="s">
        <v>214</v>
      </c>
      <c r="C39" s="1625" t="str">
        <f t="shared" si="16"/>
        <v>Туристские резиденции</v>
      </c>
      <c r="D39" s="1142">
        <f>SUMIF(Резиденции_PL!$D$53:$V$53,D$3,Резиденции_PL!$D$79:$V$79)+SUMIF(Резиденции_PL!$D$53:$V$53,D$3,Резиденции_PL!$D$87:$V$87)</f>
        <v>224800505.4880276</v>
      </c>
      <c r="E39" s="1142">
        <f>SUMIF(Резиденции_PL!$D$53:$V$53,E$3,Резиденции_PL!$D$79:$V$79)+SUMIF(Резиденции_PL!$D$53:$V$53,E$3,Резиденции_PL!$D$87:$V$87)</f>
        <v>575598276.53644824</v>
      </c>
      <c r="F39" s="1142">
        <f>SUMIF(Резиденции_PL!$D$53:$V$53,F$3,Резиденции_PL!$D$79:$V$79)+SUMIF(Резиденции_PL!$D$53:$V$53,F$3,Резиденции_PL!$D$87:$V$87)</f>
        <v>433942159.86783463</v>
      </c>
      <c r="G39" s="1142">
        <f>SUMIF(Резиденции_PL!$D$53:$V$53,G$3,Резиденции_PL!$D$79:$V$79)+SUMIF(Резиденции_PL!$D$53:$V$53,G$3,Резиденции_PL!$D$87:$V$87)</f>
        <v>259298898.11713171</v>
      </c>
      <c r="H39" s="1142">
        <f>SUMIF(Резиденции_PL!$D$53:$V$53,H$3,Резиденции_PL!$D$79:$V$79)+SUMIF(Резиденции_PL!$D$53:$V$53,H$3,Резиденции_PL!$D$87:$V$87)</f>
        <v>276011260.23046196</v>
      </c>
      <c r="I39" s="1142">
        <f>SUMIF(Резиденции_PL!$D$53:$V$53,I$3,Резиденции_PL!$D$79:$V$79)+SUMIF(Резиденции_PL!$D$53:$V$53,I$3,Резиденции_PL!$D$87:$V$87)</f>
        <v>287051710.6396805</v>
      </c>
      <c r="J39" s="1142">
        <f>SUMIF(Резиденции_PL!$D$53:$V$53,J$3,Резиденции_PL!$D$79:$V$79)+SUMIF(Резиденции_PL!$D$53:$V$53,J$3,Резиденции_PL!$D$87:$V$87)</f>
        <v>298533779.06526774</v>
      </c>
      <c r="K39" s="1142">
        <f>SUMIF(Резиденции_PL!$D$53:$V$53,K$3,Резиденции_PL!$D$79:$V$79)+SUMIF(Резиденции_PL!$D$53:$V$53,K$3,Резиденции_PL!$D$87:$V$87)</f>
        <v>311325747.02302331</v>
      </c>
      <c r="L39" s="1142">
        <f>SUMIF(Резиденции_PL!$D$53:$V$53,L$3,Резиденции_PL!$D$79:$V$79)+SUMIF(Резиденции_PL!$D$53:$V$53,L$3,Резиденции_PL!$D$87:$V$87)</f>
        <v>322894135.4369936</v>
      </c>
      <c r="M39" s="1142">
        <f>SUMIF(Резиденции_PL!$D$53:$V$53,M$3,Резиденции_PL!$D$79:$V$79)+SUMIF(Резиденции_PL!$D$53:$V$53,M$3,Резиденции_PL!$D$87:$V$87)</f>
        <v>335809900.85447335</v>
      </c>
      <c r="N39" s="1142">
        <f>SUMIF(Резиденции_PL!$D$53:$V$53,N$3,Резиденции_PL!$D$79:$V$79)+SUMIF(Резиденции_PL!$D$53:$V$53,N$3,Резиденции_PL!$D$87:$V$87)</f>
        <v>349242296.88865232</v>
      </c>
      <c r="O39" s="1142">
        <f>SUMIF(Резиденции_PL!$D$53:$V$53,O$3,Резиденции_PL!$D$79:$V$79)+SUMIF(Резиденции_PL!$D$53:$V$53,O$3,Резиденции_PL!$D$87:$V$87)</f>
        <v>364207090.1032784</v>
      </c>
      <c r="P39" s="1142">
        <f>SUMIF(Резиденции_PL!$D$53:$V$53,P$3,Резиденции_PL!$D$79:$V$79)+SUMIF(Резиденции_PL!$D$53:$V$53,P$3,Резиденции_PL!$D$87:$V$87)</f>
        <v>377740468.31476635</v>
      </c>
      <c r="Q39" s="1142">
        <f>SUMIF(Резиденции_PL!$D$53:$V$53,Q$3,Резиденции_PL!$D$79:$V$79)+SUMIF(Резиденции_PL!$D$53:$V$53,Q$3,Резиденции_PL!$D$87:$V$87)</f>
        <v>392850087.04735702</v>
      </c>
      <c r="R39" s="1142">
        <f>SUMIF(Резиденции_PL!$D$53:$V$53,R$3,Резиденции_PL!$D$79:$V$79)+SUMIF(Резиденции_PL!$D$53:$V$53,R$3,Резиденции_PL!$D$87:$V$87)</f>
        <v>408564090.5292514</v>
      </c>
      <c r="S39" s="1142">
        <f>SUMIF(Резиденции_PL!$D$53:$V$53,S$3,Резиденции_PL!$D$79:$V$79)+SUMIF(Резиденции_PL!$D$53:$V$53,S$3,Резиденции_PL!$D$87:$V$87)</f>
        <v>426070781.97001159</v>
      </c>
      <c r="T39" s="1142">
        <f>SUMIF(Резиденции_PL!$D$53:$V$53,T$3,Резиденции_PL!$D$79:$V$79)+SUMIF(Резиденции_PL!$D$53:$V$53,T$3,Резиденции_PL!$D$87:$V$87)</f>
        <v>441902920.31643832</v>
      </c>
      <c r="V39" s="549"/>
      <c r="W39" s="549"/>
      <c r="X39" s="549"/>
      <c r="Y39" s="549"/>
      <c r="Z39" s="549"/>
    </row>
    <row r="40" spans="1:38">
      <c r="A40" s="509"/>
      <c r="B40" s="509"/>
      <c r="C40" s="547" t="s">
        <v>35</v>
      </c>
      <c r="D40" s="548">
        <f>SUM(D41:D47)</f>
        <v>145190005.45898521</v>
      </c>
      <c r="E40" s="548">
        <f t="shared" ref="E40:T40" si="17">SUM(E41:E47)</f>
        <v>584148711.29891515</v>
      </c>
      <c r="F40" s="548">
        <f t="shared" si="17"/>
        <v>870348341.1747359</v>
      </c>
      <c r="G40" s="548">
        <f>SUM(G41:G47)</f>
        <v>899484011.7823689</v>
      </c>
      <c r="H40" s="548">
        <f>SUM(H41:H47)</f>
        <v>942516655.62617826</v>
      </c>
      <c r="I40" s="548">
        <f t="shared" si="17"/>
        <v>987417922.6020751</v>
      </c>
      <c r="J40" s="548">
        <f t="shared" si="17"/>
        <v>1026914639.5061582</v>
      </c>
      <c r="K40" s="548">
        <f t="shared" si="17"/>
        <v>1070917228.4428058</v>
      </c>
      <c r="L40" s="548">
        <f t="shared" si="17"/>
        <v>1110710874.0898609</v>
      </c>
      <c r="M40" s="548">
        <f t="shared" si="17"/>
        <v>1155139309.0534556</v>
      </c>
      <c r="N40" s="548">
        <f t="shared" si="17"/>
        <v>1201344881.4155939</v>
      </c>
      <c r="O40" s="548">
        <f t="shared" si="17"/>
        <v>1252821686.7452922</v>
      </c>
      <c r="P40" s="548">
        <f t="shared" si="17"/>
        <v>1299374623.7391064</v>
      </c>
      <c r="Q40" s="548">
        <f t="shared" si="17"/>
        <v>1351349608.6886704</v>
      </c>
      <c r="R40" s="548">
        <f t="shared" si="17"/>
        <v>1405403593.0362172</v>
      </c>
      <c r="S40" s="548">
        <f t="shared" si="17"/>
        <v>1465624174.3926187</v>
      </c>
      <c r="T40" s="548">
        <f t="shared" si="17"/>
        <v>1520084526.2279732</v>
      </c>
      <c r="V40" s="573">
        <f t="shared" ref="V40:AL40" si="18">D40/D32</f>
        <v>0.38253684029630841</v>
      </c>
      <c r="W40" s="573">
        <f t="shared" si="18"/>
        <v>0.39596627165214182</v>
      </c>
      <c r="X40" s="573">
        <f t="shared" si="18"/>
        <v>0.40233488767968045</v>
      </c>
      <c r="Y40" s="573">
        <f t="shared" si="18"/>
        <v>0.40430538404602318</v>
      </c>
      <c r="Z40" s="573">
        <f t="shared" si="18"/>
        <v>0.38957309550766722</v>
      </c>
      <c r="AA40" s="573">
        <f t="shared" si="18"/>
        <v>0.38091415609804485</v>
      </c>
      <c r="AB40" s="573">
        <f t="shared" si="18"/>
        <v>0.38091415609804496</v>
      </c>
      <c r="AC40" s="573">
        <f t="shared" si="18"/>
        <v>0.38091415609804491</v>
      </c>
      <c r="AD40" s="573">
        <f t="shared" si="18"/>
        <v>0.38091415609804496</v>
      </c>
      <c r="AE40" s="573">
        <f t="shared" si="18"/>
        <v>0.38091415609804502</v>
      </c>
      <c r="AF40" s="573">
        <f t="shared" si="18"/>
        <v>0.38091415609804502</v>
      </c>
      <c r="AG40" s="573">
        <f t="shared" si="18"/>
        <v>0.38091415609804502</v>
      </c>
      <c r="AH40" s="573">
        <f t="shared" si="18"/>
        <v>0.38091415609804502</v>
      </c>
      <c r="AI40" s="573">
        <f t="shared" si="18"/>
        <v>0.38091415609804496</v>
      </c>
      <c r="AJ40" s="573">
        <f t="shared" si="18"/>
        <v>0.38091415609804485</v>
      </c>
      <c r="AK40" s="573">
        <f t="shared" si="18"/>
        <v>0.38091415609804496</v>
      </c>
      <c r="AL40" s="573">
        <f t="shared" si="18"/>
        <v>0.38091415609804496</v>
      </c>
    </row>
    <row r="41" spans="1:38" hidden="1" outlineLevel="1">
      <c r="A41" s="509"/>
      <c r="B41" s="509"/>
      <c r="C41" s="1047" t="str">
        <f t="shared" ref="C41:C47" si="19">C33</f>
        <v>Гостиница 5*</v>
      </c>
      <c r="D41" s="1051">
        <f>SUMIF(Отель5_PL!$D$3:$T$3,D$3,Отель5_PL!$D$46:$T$46)</f>
        <v>0</v>
      </c>
      <c r="E41" s="1050">
        <f>SUMIF(Отель5_PL!$D$3:$T$3,E$3,Отель5_PL!$D$46:$T$46)</f>
        <v>118307442.77958822</v>
      </c>
      <c r="F41" s="1051">
        <f>SUMIF(Отель5_PL!$D$3:$T$3,F$3,Отель5_PL!$D$46:$T$46)</f>
        <v>267525871.39219844</v>
      </c>
      <c r="G41" s="1050">
        <f>SUMIF(Отель5_PL!$D$3:$T$3,G$3,Отель5_PL!$D$46:$T$46)</f>
        <v>288750666.42130566</v>
      </c>
      <c r="H41" s="1050">
        <f>SUMIF(Отель5_PL!$D$3:$T$3,H$3,Отель5_PL!$D$46:$T$46)</f>
        <v>301810202.17048359</v>
      </c>
      <c r="I41" s="1050">
        <f>SUMIF(Отель5_PL!$D$3:$T$3,I$3,Отель5_PL!$D$46:$T$46)</f>
        <v>317693943.83593965</v>
      </c>
      <c r="J41" s="1050">
        <f>SUMIF(Отель5_PL!$D$3:$T$3,J$3,Отель5_PL!$D$46:$T$46)</f>
        <v>330401701.58937728</v>
      </c>
      <c r="K41" s="1050">
        <f>SUMIF(Отель5_PL!$D$3:$T$3,K$3,Отель5_PL!$D$46:$T$46)</f>
        <v>344559188.19994676</v>
      </c>
      <c r="L41" s="1050">
        <f>SUMIF(Отель5_PL!$D$3:$T$3,L$3,Отель5_PL!$D$46:$T$46)</f>
        <v>357362480.43907052</v>
      </c>
      <c r="M41" s="1050">
        <f>SUMIF(Отель5_PL!$D$3:$T$3,M$3,Отель5_PL!$D$46:$T$46)</f>
        <v>371656979.65663338</v>
      </c>
      <c r="N41" s="1050">
        <f>SUMIF(Отель5_PL!$D$3:$T$3,N$3,Отель5_PL!$D$46:$T$46)</f>
        <v>386523258.84289873</v>
      </c>
      <c r="O41" s="1050">
        <f>SUMIF(Отель5_PL!$D$3:$T$3,O$3,Отель5_PL!$D$46:$T$46)</f>
        <v>403085515.74235874</v>
      </c>
      <c r="P41" s="1050">
        <f>SUMIF(Отель5_PL!$D$3:$T$3,P$3,Отель5_PL!$D$46:$T$46)</f>
        <v>418063556.76447922</v>
      </c>
      <c r="Q41" s="1050">
        <f>SUMIF(Отель5_PL!$D$3:$T$3,Q$3,Отель5_PL!$D$46:$T$46)</f>
        <v>434786099.03505838</v>
      </c>
      <c r="R41" s="1050">
        <f>SUMIF(Отель5_PL!$D$3:$T$3,R$3,Отель5_PL!$D$46:$T$46)</f>
        <v>452177542.99646074</v>
      </c>
      <c r="S41" s="1050">
        <f>SUMIF(Отель5_PL!$D$3:$T$3,S$3,Отель5_PL!$D$46:$T$46)</f>
        <v>471553041.00321329</v>
      </c>
      <c r="T41" s="1050">
        <f>SUMIF(Отель5_PL!$D$3:$T$3,T$3,Отель5_PL!$D$46:$T$46)</f>
        <v>489075230.5049721</v>
      </c>
      <c r="V41" s="573"/>
      <c r="W41" s="573"/>
      <c r="X41" s="573"/>
      <c r="Y41" s="573"/>
      <c r="Z41" s="573"/>
      <c r="AA41" s="573"/>
      <c r="AB41" s="573"/>
      <c r="AC41" s="573"/>
      <c r="AD41" s="573"/>
      <c r="AE41" s="573"/>
      <c r="AF41" s="573"/>
      <c r="AG41" s="573"/>
      <c r="AH41" s="573"/>
      <c r="AI41" s="573"/>
      <c r="AJ41" s="573"/>
      <c r="AK41" s="573"/>
      <c r="AL41" s="573"/>
    </row>
    <row r="42" spans="1:38" hidden="1" outlineLevel="1">
      <c r="A42" s="509"/>
      <c r="B42" s="509"/>
      <c r="C42" s="1047" t="str">
        <f t="shared" si="19"/>
        <v>Гостиница 4*</v>
      </c>
      <c r="D42" s="1050">
        <f>SUMIF(Отель4_PL!$D$3:$T$3,D$3,Отель4_PL!$D$46:$T$46)</f>
        <v>0</v>
      </c>
      <c r="E42" s="1050">
        <f>SUMIF(Отель4_PL!$D$3:$T$3,E$3,Отель4_PL!$D$46:$T$46)</f>
        <v>84081078.241535813</v>
      </c>
      <c r="F42" s="1051">
        <f>SUMIF(Отель4_PL!$D$3:$T$3,F$3,Отель4_PL!$D$46:$T$46)</f>
        <v>195295607.77471691</v>
      </c>
      <c r="G42" s="1050">
        <f>SUMIF(Отель4_PL!$D$3:$T$3,G$3,Отель4_PL!$D$46:$T$46)</f>
        <v>212921101.51266658</v>
      </c>
      <c r="H42" s="1050">
        <f>SUMIF(Отель4_PL!$D$3:$T$3,H$3,Отель4_PL!$D$46:$T$46)</f>
        <v>223476332.92990434</v>
      </c>
      <c r="I42" s="1050">
        <f>SUMIF(Отель4_PL!$D$3:$T$3,I$3,Отель4_PL!$D$46:$T$46)</f>
        <v>236109994.6832619</v>
      </c>
      <c r="J42" s="1050">
        <f>SUMIF(Отель4_PL!$D$3:$T$3,J$3,Отель4_PL!$D$46:$T$46)</f>
        <v>245554394.47059241</v>
      </c>
      <c r="K42" s="1050">
        <f>SUMIF(Отель4_PL!$D$3:$T$3,K$3,Отель4_PL!$D$46:$T$46)</f>
        <v>256076232.08571595</v>
      </c>
      <c r="L42" s="1050">
        <f>SUMIF(Отель4_PL!$D$3:$T$3,L$3,Отель4_PL!$D$46:$T$46)</f>
        <v>265591633.05939278</v>
      </c>
      <c r="M42" s="1050">
        <f>SUMIF(Отель4_PL!$D$3:$T$3,M$3,Отель4_PL!$D$46:$T$46)</f>
        <v>276215298.38176847</v>
      </c>
      <c r="N42" s="1050">
        <f>SUMIF(Отель4_PL!$D$3:$T$3,N$3,Отель4_PL!$D$46:$T$46)</f>
        <v>287263910.31703925</v>
      </c>
      <c r="O42" s="1050">
        <f>SUMIF(Отель4_PL!$D$3:$T$3,O$3,Отель4_PL!$D$46:$T$46)</f>
        <v>299572972.11802149</v>
      </c>
      <c r="P42" s="1050">
        <f>SUMIF(Отель4_PL!$D$3:$T$3,P$3,Отель4_PL!$D$46:$T$46)</f>
        <v>310704645.39890969</v>
      </c>
      <c r="Q42" s="1050">
        <f>SUMIF(Отель4_PL!$D$3:$T$3,Q$3,Отель4_PL!$D$46:$T$46)</f>
        <v>323132831.21486604</v>
      </c>
      <c r="R42" s="1050">
        <f>SUMIF(Отель4_PL!$D$3:$T$3,R$3,Отель4_PL!$D$46:$T$46)</f>
        <v>336058144.46346074</v>
      </c>
      <c r="S42" s="1050">
        <f>SUMIF(Отель4_PL!$D$3:$T$3,S$3,Отель4_PL!$D$46:$T$46)</f>
        <v>350458005.77690887</v>
      </c>
      <c r="T42" s="1050">
        <f>SUMIF(Отель4_PL!$D$3:$T$3,T$3,Отель4_PL!$D$46:$T$46)</f>
        <v>363480489.05167919</v>
      </c>
      <c r="V42" s="573"/>
      <c r="W42" s="573"/>
      <c r="X42" s="573"/>
      <c r="Y42" s="573"/>
      <c r="Z42" s="573"/>
      <c r="AA42" s="573"/>
      <c r="AB42" s="573"/>
      <c r="AC42" s="573"/>
      <c r="AD42" s="573"/>
      <c r="AE42" s="573"/>
      <c r="AF42" s="573"/>
      <c r="AG42" s="573"/>
      <c r="AH42" s="573"/>
      <c r="AI42" s="573"/>
      <c r="AJ42" s="573"/>
      <c r="AK42" s="573"/>
      <c r="AL42" s="573"/>
    </row>
    <row r="43" spans="1:38" hidden="1" outlineLevel="1">
      <c r="A43" s="509"/>
      <c r="B43" s="509"/>
      <c r="C43" s="1047" t="str">
        <f t="shared" si="19"/>
        <v>Гостиница 3*</v>
      </c>
      <c r="D43" s="1050">
        <f>SUMIF(Отель3_PL!$D$3:$T$3,D$3,Отель3_PL!$D$46:$T$46)</f>
        <v>54796549.97094056</v>
      </c>
      <c r="E43" s="1050">
        <f>SUMIF(Отель3_PL!$D$3:$T$3,E$3,Отель3_PL!$D$46:$T$46)</f>
        <v>145727832.30164397</v>
      </c>
      <c r="F43" s="1051">
        <f>SUMIF(Отель3_PL!$D$3:$T$3,F$3,Отель3_PL!$D$46:$T$46)</f>
        <v>159710284.0997079</v>
      </c>
      <c r="G43" s="1050">
        <f>SUMIF(Отель3_PL!$D$3:$T$3,G$3,Отель3_PL!$D$46:$T$46)</f>
        <v>167536623.09028515</v>
      </c>
      <c r="H43" s="1050">
        <f>SUMIF(Отель3_PL!$D$3:$T$3,H$3,Отель3_PL!$D$46:$T$46)</f>
        <v>175858764.19568205</v>
      </c>
      <c r="I43" s="1050">
        <f>SUMIF(Отель3_PL!$D$3:$T$3,I$3,Отель3_PL!$D$46:$T$46)</f>
        <v>182893114.76350933</v>
      </c>
      <c r="J43" s="1050">
        <f>SUMIF(Отель3_PL!$D$3:$T$3,J$3,Отель3_PL!$D$46:$T$46)</f>
        <v>190208839.35404971</v>
      </c>
      <c r="K43" s="1050">
        <f>SUMIF(Отель3_PL!$D$3:$T$3,K$3,Отель3_PL!$D$46:$T$46)</f>
        <v>198359157.8403438</v>
      </c>
      <c r="L43" s="1050">
        <f>SUMIF(Отель3_PL!$D$3:$T$3,L$3,Отель3_PL!$D$46:$T$46)</f>
        <v>205729880.64534023</v>
      </c>
      <c r="M43" s="1050">
        <f>SUMIF(Отель3_PL!$D$3:$T$3,M$3,Отель3_PL!$D$46:$T$46)</f>
        <v>213959075.87115383</v>
      </c>
      <c r="N43" s="1050">
        <f>SUMIF(Отель3_PL!$D$3:$T$3,N$3,Отель3_PL!$D$46:$T$46)</f>
        <v>222517438.90600002</v>
      </c>
      <c r="O43" s="1050">
        <f>SUMIF(Отель3_PL!$D$3:$T$3,O$3,Отель3_PL!$D$46:$T$46)</f>
        <v>232052158.75391743</v>
      </c>
      <c r="P43" s="1050">
        <f>SUMIF(Отель3_PL!$D$3:$T$3,P$3,Отель3_PL!$D$46:$T$46)</f>
        <v>240674861.92072964</v>
      </c>
      <c r="Q43" s="1050">
        <f>SUMIF(Отель3_PL!$D$3:$T$3,Q$3,Отель3_PL!$D$46:$T$46)</f>
        <v>250301856.39755881</v>
      </c>
      <c r="R43" s="1050">
        <f>SUMIF(Отель3_PL!$D$3:$T$3,R$3,Отель3_PL!$D$46:$T$46)</f>
        <v>260313930.65346116</v>
      </c>
      <c r="S43" s="1050">
        <f>SUMIF(Отель3_PL!$D$3:$T$3,S$3,Отель3_PL!$D$46:$T$46)</f>
        <v>271468204.28474927</v>
      </c>
      <c r="T43" s="1050">
        <f>SUMIF(Отель3_PL!$D$3:$T$3,T$3,Отель3_PL!$D$46:$T$46)</f>
        <v>281555547.39478362</v>
      </c>
      <c r="V43" s="573"/>
      <c r="W43" s="573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3"/>
      <c r="AJ43" s="573"/>
      <c r="AK43" s="573"/>
      <c r="AL43" s="573"/>
    </row>
    <row r="44" spans="1:38" hidden="1" outlineLevel="2">
      <c r="A44" s="509"/>
      <c r="B44" s="509"/>
      <c r="C44" s="1047" t="str">
        <f t="shared" si="19"/>
        <v>Гостиница 2*</v>
      </c>
      <c r="D44" s="1050">
        <f>SUMIF(Отель2_PL!$D$3:$T$3,D$3,Отель2_PL!$D$46:$T$46)</f>
        <v>0</v>
      </c>
      <c r="E44" s="1050">
        <f>SUMIF(Отель2_PL!$D$3:$T$3,E$3,Отель2_PL!$D$46:$T$46)</f>
        <v>0</v>
      </c>
      <c r="F44" s="1051">
        <f>SUMIF(Отель2_PL!$D$3:$T$3,F$3,Отель2_PL!$D$46:$T$46)</f>
        <v>0</v>
      </c>
      <c r="G44" s="1050">
        <f>SUMIF(Отель2_PL!$D$3:$T$3,G$3,Отель2_PL!$D$46:$T$46)</f>
        <v>0</v>
      </c>
      <c r="H44" s="1050">
        <f>SUMIF(Отель2_PL!$D$3:$T$3,H$3,Отель2_PL!$D$46:$T$46)</f>
        <v>0</v>
      </c>
      <c r="I44" s="1050">
        <f>SUMIF(Отель2_PL!$D$3:$T$3,I$3,Отель2_PL!$D$46:$T$46)</f>
        <v>0</v>
      </c>
      <c r="J44" s="1050">
        <f>SUMIF(Отель2_PL!$D$3:$T$3,J$3,Отель2_PL!$D$46:$T$46)</f>
        <v>0</v>
      </c>
      <c r="K44" s="1050">
        <f>SUMIF(Отель2_PL!$D$3:$T$3,K$3,Отель2_PL!$D$46:$T$46)</f>
        <v>0</v>
      </c>
      <c r="L44" s="1050">
        <f>SUMIF(Отель2_PL!$D$3:$T$3,L$3,Отель2_PL!$D$46:$T$46)</f>
        <v>0</v>
      </c>
      <c r="M44" s="1050">
        <f>SUMIF(Отель2_PL!$D$3:$T$3,M$3,Отель2_PL!$D$46:$T$46)</f>
        <v>0</v>
      </c>
      <c r="N44" s="1050">
        <f>SUMIF(Отель2_PL!$D$3:$T$3,N$3,Отель2_PL!$D$46:$T$46)</f>
        <v>0</v>
      </c>
      <c r="O44" s="1050">
        <f>SUMIF(Отель2_PL!$D$3:$T$3,O$3,Отель2_PL!$D$46:$T$46)</f>
        <v>0</v>
      </c>
      <c r="P44" s="1050">
        <f>SUMIF(Отель2_PL!$D$3:$T$3,P$3,Отель2_PL!$D$46:$T$46)</f>
        <v>0</v>
      </c>
      <c r="Q44" s="1050">
        <f>SUMIF(Отель2_PL!$D$3:$T$3,Q$3,Отель2_PL!$D$46:$T$46)</f>
        <v>0</v>
      </c>
      <c r="R44" s="1050">
        <f>SUMIF(Отель2_PL!$D$3:$T$3,R$3,Отель2_PL!$D$46:$T$46)</f>
        <v>0</v>
      </c>
      <c r="S44" s="1050">
        <f>SUMIF(Отель2_PL!$D$3:$T$3,S$3,Отель2_PL!$D$46:$T$46)</f>
        <v>0</v>
      </c>
      <c r="T44" s="1050">
        <f>SUMIF(Отель2_PL!$D$3:$T$3,T$3,Отель2_PL!$D$46:$T$46)</f>
        <v>0</v>
      </c>
      <c r="V44" s="573"/>
      <c r="W44" s="573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3"/>
      <c r="AJ44" s="573"/>
      <c r="AK44" s="573"/>
      <c r="AL44" s="573"/>
    </row>
    <row r="45" spans="1:38" hidden="1" outlineLevel="1" collapsed="1">
      <c r="A45" s="509"/>
      <c r="B45" s="509"/>
      <c r="C45" s="1047" t="str">
        <f t="shared" si="19"/>
        <v>Хостел в составе МФЦ</v>
      </c>
      <c r="D45" s="1050">
        <f>SUMIF(Хостел_PL!$D$3:$T$3,D$3,Хостел_PL!$D$46:$T$46)</f>
        <v>9341907.7418338768</v>
      </c>
      <c r="E45" s="1050">
        <f>SUMIF(Хостел_PL!$D$3:$T$3,E$3,Хостел_PL!$D$46:$T$46)</f>
        <v>26361798.212267231</v>
      </c>
      <c r="F45" s="1051">
        <f>SUMIF(Хостел_PL!$D$3:$T$3,F$3,Хостел_PL!$D$46:$T$46)</f>
        <v>27175819.184148155</v>
      </c>
      <c r="G45" s="1050">
        <f>SUMIF(Хостел_PL!$D$3:$T$3,G$3,Хостел_PL!$D$46:$T$46)</f>
        <v>28097616.193326559</v>
      </c>
      <c r="H45" s="1050">
        <f>SUMIF(Хостел_PL!$D$3:$T$3,H$3,Хостел_PL!$D$46:$T$46)</f>
        <v>28514348.535968699</v>
      </c>
      <c r="I45" s="1050">
        <f>SUMIF(Хостел_PL!$D$3:$T$3,I$3,Хостел_PL!$D$46:$T$46)</f>
        <v>29654922.477407452</v>
      </c>
      <c r="J45" s="1050">
        <f>SUMIF(Хостел_PL!$D$3:$T$3,J$3,Хостел_PL!$D$46:$T$46)</f>
        <v>30841119.376503747</v>
      </c>
      <c r="K45" s="1050">
        <f>SUMIF(Хостел_PL!$D$3:$T$3,K$3,Хостел_PL!$D$46:$T$46)</f>
        <v>32162640.217732571</v>
      </c>
      <c r="L45" s="1050">
        <f>SUMIF(Хостел_PL!$D$3:$T$3,L$3,Хостел_PL!$D$46:$T$46)</f>
        <v>33357754.717626456</v>
      </c>
      <c r="M45" s="1050">
        <f>SUMIF(Хостел_PL!$D$3:$T$3,M$3,Хостел_PL!$D$46:$T$46)</f>
        <v>34692064.906331509</v>
      </c>
      <c r="N45" s="1050">
        <f>SUMIF(Хостел_PL!$D$3:$T$3,N$3,Хостел_PL!$D$46:$T$46)</f>
        <v>36079747.502584778</v>
      </c>
      <c r="O45" s="1050">
        <f>SUMIF(Хостел_PL!$D$3:$T$3,O$3,Хостел_PL!$D$46:$T$46)</f>
        <v>37625739.970914721</v>
      </c>
      <c r="P45" s="1050">
        <f>SUMIF(Хостел_PL!$D$3:$T$3,P$3,Хостел_PL!$D$46:$T$46)</f>
        <v>39023854.898795694</v>
      </c>
      <c r="Q45" s="1050">
        <f>SUMIF(Хостел_PL!$D$3:$T$3,Q$3,Хостел_PL!$D$46:$T$46)</f>
        <v>40584809.094747528</v>
      </c>
      <c r="R45" s="1050">
        <f>SUMIF(Хостел_PL!$D$3:$T$3,R$3,Хостел_PL!$D$46:$T$46)</f>
        <v>42208201.45853743</v>
      </c>
      <c r="S45" s="1050">
        <f>SUMIF(Хостел_PL!$D$3:$T$3,S$3,Хостел_PL!$D$46:$T$46)</f>
        <v>44016793.981308743</v>
      </c>
      <c r="T45" s="1050">
        <f>SUMIF(Хостел_PL!$D$3:$T$3,T$3,Хостел_PL!$D$46:$T$46)</f>
        <v>45652390.697554089</v>
      </c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3"/>
      <c r="AK45" s="573"/>
      <c r="AL45" s="573"/>
    </row>
    <row r="46" spans="1:38" hidden="1" outlineLevel="1">
      <c r="A46" s="509"/>
      <c r="B46" s="509"/>
      <c r="C46" s="1047" t="str">
        <f t="shared" si="19"/>
        <v>Шале</v>
      </c>
      <c r="D46" s="1051">
        <f>SUMIF(Шале_PL!$D$3:$T$3,D$3,Шале_PL!$D$46:$T$46)</f>
        <v>0</v>
      </c>
      <c r="E46" s="1050">
        <f>SUMIF(Шале_PL!$D$3:$T$3,E$3,Шале_PL!$D$46:$T$46)</f>
        <v>13235509.578699457</v>
      </c>
      <c r="F46" s="1051">
        <f>SUMIF(Шале_PL!$D$3:$T$3,F$3,Шале_PL!$D$46:$T$46)</f>
        <v>57419545.226508416</v>
      </c>
      <c r="G46" s="1050">
        <f>SUMIF(Шале_PL!$D$3:$T$3,G$3,Шале_PL!$D$46:$T$46)</f>
        <v>60860105.090948112</v>
      </c>
      <c r="H46" s="1050">
        <f>SUMIF(Шале_PL!$D$3:$T$3,H$3,Шале_PL!$D$46:$T$46)</f>
        <v>63315522.443635508</v>
      </c>
      <c r="I46" s="1050">
        <f>SUMIF(Шале_PL!$D$3:$T$3,I$3,Шале_PL!$D$46:$T$46)</f>
        <v>65542802.077432565</v>
      </c>
      <c r="J46" s="1050">
        <f>SUMIF(Шале_PL!$D$3:$T$3,J$3,Шале_PL!$D$46:$T$46)</f>
        <v>68164514.160529867</v>
      </c>
      <c r="K46" s="1050">
        <f>SUMIF(Шале_PL!$D$3:$T$3,K$3,Шале_PL!$D$46:$T$46)</f>
        <v>71085316.904285178</v>
      </c>
      <c r="L46" s="1050">
        <f>SUMIF(Шале_PL!$D$3:$T$3,L$3,Шале_PL!$D$46:$T$46)</f>
        <v>73726738.516029119</v>
      </c>
      <c r="M46" s="1050">
        <f>SUMIF(Шале_PL!$D$3:$T$3,M$3,Шале_PL!$D$46:$T$46)</f>
        <v>76675808.056670278</v>
      </c>
      <c r="N46" s="1050">
        <f>SUMIF(Шале_PL!$D$3:$T$3,N$3,Шале_PL!$D$46:$T$46)</f>
        <v>79742840.378937095</v>
      </c>
      <c r="O46" s="1050">
        <f>SUMIF(Шале_PL!$D$3:$T$3,O$3,Шале_PL!$D$46:$T$46)</f>
        <v>83159766.470790729</v>
      </c>
      <c r="P46" s="1050">
        <f>SUMIF(Шале_PL!$D$3:$T$3,P$3,Шале_PL!$D$46:$T$46)</f>
        <v>86249856.153858364</v>
      </c>
      <c r="Q46" s="1050">
        <f>SUMIF(Шале_PL!$D$3:$T$3,Q$3,Шале_PL!$D$46:$T$46)</f>
        <v>89699850.400012717</v>
      </c>
      <c r="R46" s="1050">
        <f>SUMIF(Шале_PL!$D$3:$T$3,R$3,Шале_PL!$D$46:$T$46)</f>
        <v>93287844.416013211</v>
      </c>
      <c r="S46" s="1050">
        <f>SUMIF(Шале_PL!$D$3:$T$3,S$3,Шале_PL!$D$46:$T$46)</f>
        <v>97285164.653455555</v>
      </c>
      <c r="T46" s="1050">
        <f>SUMIF(Шале_PL!$D$3:$T$3,T$3,Шале_PL!$D$46:$T$46)</f>
        <v>100900132.5203599</v>
      </c>
      <c r="V46" s="573"/>
      <c r="W46" s="573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3"/>
      <c r="AJ46" s="573"/>
      <c r="AK46" s="573"/>
      <c r="AL46" s="573"/>
    </row>
    <row r="47" spans="1:38" hidden="1" outlineLevel="1">
      <c r="A47" s="509"/>
      <c r="B47" s="1141" t="s">
        <v>214</v>
      </c>
      <c r="C47" s="1047" t="str">
        <f t="shared" si="19"/>
        <v>Туристские резиденции</v>
      </c>
      <c r="D47" s="1142">
        <f>SUMIF(Резиденции_PL!$D$53:$V$53,D$3,Резиденции_PL!$D$79:$V$79)-SUMIF(Резиденции_PL!$D$53:$V$53,D$3,Резиденции_PL!$D$84:$V$84)</f>
        <v>81051547.746210754</v>
      </c>
      <c r="E47" s="1142">
        <f>SUMIF(Резиденции_PL!$D$53:$V$53,E$3,Резиденции_PL!$D$79:$V$79)-SUMIF(Резиденции_PL!$D$53:$V$53,E$3,Резиденции_PL!$D$84:$V$84)</f>
        <v>196435050.18518054</v>
      </c>
      <c r="F47" s="1142">
        <f>SUMIF(Резиденции_PL!$D$53:$V$53,F$3,Резиденции_PL!$D$79:$V$79)-SUMIF(Резиденции_PL!$D$53:$V$53,F$3,Резиденции_PL!$D$84:$V$84)</f>
        <v>163221213.49745607</v>
      </c>
      <c r="G47" s="1142">
        <f>SUMIF(Резиденции_PL!$D$53:$V$53,G$3,Резиденции_PL!$D$79:$V$79)-SUMIF(Резиденции_PL!$D$53:$V$53,G$3,Резиденции_PL!$D$84:$V$84)</f>
        <v>141317899.47383678</v>
      </c>
      <c r="H47" s="1142">
        <f>SUMIF(Резиденции_PL!$D$53:$V$53,H$3,Резиденции_PL!$D$79:$V$79)-SUMIF(Резиденции_PL!$D$53:$V$53,H$3,Резиденции_PL!$D$84:$V$84)</f>
        <v>149541485.35050413</v>
      </c>
      <c r="I47" s="1142">
        <f>SUMIF(Резиденции_PL!$D$53:$V$53,I$3,Резиденции_PL!$D$79:$V$79)-SUMIF(Резиденции_PL!$D$53:$V$53,I$3,Резиденции_PL!$D$84:$V$84)</f>
        <v>155523144.76452431</v>
      </c>
      <c r="J47" s="1142">
        <f>SUMIF(Резиденции_PL!$D$53:$V$53,J$3,Резиденции_PL!$D$79:$V$79)-SUMIF(Резиденции_PL!$D$53:$V$53,J$3,Резиденции_PL!$D$84:$V$84)</f>
        <v>161744070.5551053</v>
      </c>
      <c r="K47" s="1142">
        <f>SUMIF(Резиденции_PL!$D$53:$V$53,K$3,Резиденции_PL!$D$79:$V$79)-SUMIF(Резиденции_PL!$D$53:$V$53,K$3,Резиденции_PL!$D$84:$V$84)</f>
        <v>168674693.1947816</v>
      </c>
      <c r="L47" s="1142">
        <f>SUMIF(Резиденции_PL!$D$53:$V$53,L$3,Резиденции_PL!$D$79:$V$79)-SUMIF(Резиденции_PL!$D$53:$V$53,L$3,Резиденции_PL!$D$84:$V$84)</f>
        <v>174942386.7124019</v>
      </c>
      <c r="M47" s="1142">
        <f>SUMIF(Резиденции_PL!$D$53:$V$53,M$3,Резиденции_PL!$D$79:$V$79)-SUMIF(Резиденции_PL!$D$53:$V$53,M$3,Резиденции_PL!$D$84:$V$84)</f>
        <v>181940082.18089798</v>
      </c>
      <c r="N47" s="1142">
        <f>SUMIF(Резиденции_PL!$D$53:$V$53,N$3,Резиденции_PL!$D$79:$V$79)-SUMIF(Резиденции_PL!$D$53:$V$53,N$3,Резиденции_PL!$D$84:$V$84)</f>
        <v>189217685.46813393</v>
      </c>
      <c r="O47" s="1142">
        <f>SUMIF(Резиденции_PL!$D$53:$V$53,O$3,Резиденции_PL!$D$79:$V$79)-SUMIF(Резиденции_PL!$D$53:$V$53,O$3,Резиденции_PL!$D$84:$V$84)</f>
        <v>197325533.68928906</v>
      </c>
      <c r="P47" s="1142">
        <f>SUMIF(Резиденции_PL!$D$53:$V$53,P$3,Резиденции_PL!$D$79:$V$79)-SUMIF(Резиденции_PL!$D$53:$V$53,P$3,Резиденции_PL!$D$84:$V$84)</f>
        <v>204657848.60233369</v>
      </c>
      <c r="Q47" s="1142">
        <f>SUMIF(Резиденции_PL!$D$53:$V$53,Q$3,Резиденции_PL!$D$79:$V$79)-SUMIF(Резиденции_PL!$D$53:$V$53,Q$3,Резиденции_PL!$D$84:$V$84)</f>
        <v>212844162.54642704</v>
      </c>
      <c r="R47" s="1142">
        <f>SUMIF(Резиденции_PL!$D$53:$V$53,R$3,Резиденции_PL!$D$79:$V$79)-SUMIF(Резиденции_PL!$D$53:$V$53,R$3,Резиденции_PL!$D$84:$V$84)</f>
        <v>221357929.04828414</v>
      </c>
      <c r="S47" s="1142">
        <f>SUMIF(Резиденции_PL!$D$53:$V$53,S$3,Резиденции_PL!$D$79:$V$79)-SUMIF(Резиденции_PL!$D$53:$V$53,S$3,Резиденции_PL!$D$84:$V$84)</f>
        <v>230842964.69298321</v>
      </c>
      <c r="T47" s="1142">
        <f>SUMIF(Резиденции_PL!$D$53:$V$53,T$3,Резиденции_PL!$D$79:$V$79)-SUMIF(Резиденции_PL!$D$53:$V$53,T$3,Резиденции_PL!$D$84:$V$84)</f>
        <v>239420736.05862412</v>
      </c>
      <c r="V47" s="549"/>
      <c r="W47" s="549"/>
      <c r="X47" s="549"/>
      <c r="Y47" s="549"/>
      <c r="Z47" s="549"/>
    </row>
    <row r="48" spans="1:38" collapsed="1">
      <c r="A48" s="509"/>
      <c r="B48" s="509"/>
      <c r="C48" s="547" t="s">
        <v>20</v>
      </c>
      <c r="D48" s="548">
        <f t="shared" ref="D48:T48" si="20">D32-D40</f>
        <v>234355152.45710671</v>
      </c>
      <c r="E48" s="548">
        <f>E32-E40</f>
        <v>891099947.78913069</v>
      </c>
      <c r="F48" s="548">
        <f t="shared" si="20"/>
        <v>1292895185.1178808</v>
      </c>
      <c r="G48" s="548">
        <f>G32-G40</f>
        <v>1325279860.4691522</v>
      </c>
      <c r="H48" s="548">
        <f t="shared" si="20"/>
        <v>1476841011.7659955</v>
      </c>
      <c r="I48" s="548">
        <f t="shared" si="20"/>
        <v>1604814229.4314661</v>
      </c>
      <c r="J48" s="548">
        <f t="shared" si="20"/>
        <v>1669006798.6087241</v>
      </c>
      <c r="K48" s="548">
        <f t="shared" si="20"/>
        <v>1740522596.773767</v>
      </c>
      <c r="L48" s="548">
        <f t="shared" si="20"/>
        <v>1805197753.3751965</v>
      </c>
      <c r="M48" s="548">
        <f t="shared" si="20"/>
        <v>1877405663.5102041</v>
      </c>
      <c r="N48" s="548">
        <f t="shared" si="20"/>
        <v>1952501890.0506127</v>
      </c>
      <c r="O48" s="548">
        <f t="shared" si="20"/>
        <v>2036165258.7092195</v>
      </c>
      <c r="P48" s="548">
        <f t="shared" si="20"/>
        <v>2111826044.2787426</v>
      </c>
      <c r="Q48" s="548">
        <f t="shared" si="20"/>
        <v>2196299086.0498924</v>
      </c>
      <c r="R48" s="548">
        <f t="shared" si="20"/>
        <v>2284151049.491889</v>
      </c>
      <c r="S48" s="548">
        <f t="shared" si="20"/>
        <v>2382025357.475596</v>
      </c>
      <c r="T48" s="548">
        <f t="shared" si="20"/>
        <v>2470537775.1304274</v>
      </c>
      <c r="V48" s="573">
        <f t="shared" ref="V48:AL48" si="21">D48/D32</f>
        <v>0.61746315970369159</v>
      </c>
      <c r="W48" s="573">
        <f t="shared" si="21"/>
        <v>0.60403372834785818</v>
      </c>
      <c r="X48" s="573">
        <f t="shared" si="21"/>
        <v>0.59766511232031949</v>
      </c>
      <c r="Y48" s="573">
        <f t="shared" si="21"/>
        <v>0.59569461595397677</v>
      </c>
      <c r="Z48" s="573">
        <f t="shared" si="21"/>
        <v>0.61042690449233283</v>
      </c>
      <c r="AA48" s="573">
        <f t="shared" si="21"/>
        <v>0.61908584390195509</v>
      </c>
      <c r="AB48" s="573">
        <f t="shared" si="21"/>
        <v>0.61908584390195498</v>
      </c>
      <c r="AC48" s="573">
        <f t="shared" si="21"/>
        <v>0.61908584390195509</v>
      </c>
      <c r="AD48" s="573">
        <f t="shared" si="21"/>
        <v>0.61908584390195498</v>
      </c>
      <c r="AE48" s="573">
        <f t="shared" si="21"/>
        <v>0.61908584390195498</v>
      </c>
      <c r="AF48" s="573">
        <f t="shared" si="21"/>
        <v>0.61908584390195498</v>
      </c>
      <c r="AG48" s="573">
        <f t="shared" si="21"/>
        <v>0.61908584390195498</v>
      </c>
      <c r="AH48" s="573">
        <f t="shared" si="21"/>
        <v>0.61908584390195498</v>
      </c>
      <c r="AI48" s="573">
        <f t="shared" si="21"/>
        <v>0.61908584390195498</v>
      </c>
      <c r="AJ48" s="573">
        <f t="shared" si="21"/>
        <v>0.61908584390195509</v>
      </c>
      <c r="AK48" s="573">
        <f t="shared" si="21"/>
        <v>0.61908584390195509</v>
      </c>
      <c r="AL48" s="573">
        <f t="shared" si="21"/>
        <v>0.61908584390195509</v>
      </c>
    </row>
    <row r="49" spans="2:38" ht="15" customHeight="1">
      <c r="B49" s="509"/>
      <c r="C49" s="550" t="s">
        <v>732</v>
      </c>
      <c r="D49" s="550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</row>
    <row r="50" spans="2:38" ht="15" customHeight="1">
      <c r="B50" s="509"/>
      <c r="C50" s="521" t="s">
        <v>30</v>
      </c>
      <c r="D50" s="556">
        <f t="shared" ref="D50:I50" si="22">D51+D52</f>
        <v>21487559.116695166</v>
      </c>
      <c r="E50" s="556">
        <f t="shared" si="22"/>
        <v>85668541.744016796</v>
      </c>
      <c r="F50" s="556">
        <f t="shared" si="22"/>
        <v>99143166.363977894</v>
      </c>
      <c r="G50" s="556">
        <f t="shared" si="22"/>
        <v>100176932.21548115</v>
      </c>
      <c r="H50" s="556">
        <f t="shared" si="22"/>
        <v>102979087.35392821</v>
      </c>
      <c r="I50" s="556">
        <f t="shared" si="22"/>
        <v>109643326.98039362</v>
      </c>
      <c r="J50" s="556">
        <f t="shared" ref="J50:T50" si="23">J51+J52</f>
        <v>118469792.91436437</v>
      </c>
      <c r="K50" s="556">
        <f t="shared" si="23"/>
        <v>123546142.39705114</v>
      </c>
      <c r="L50" s="556">
        <f t="shared" si="23"/>
        <v>128136928.01617654</v>
      </c>
      <c r="M50" s="556">
        <f t="shared" si="23"/>
        <v>133262405.13682359</v>
      </c>
      <c r="N50" s="556">
        <f t="shared" si="23"/>
        <v>138592901.34229654</v>
      </c>
      <c r="O50" s="556">
        <f t="shared" si="23"/>
        <v>144531512.23816919</v>
      </c>
      <c r="P50" s="556">
        <f t="shared" si="23"/>
        <v>149902082.09182793</v>
      </c>
      <c r="Q50" s="556">
        <f t="shared" si="23"/>
        <v>155898165.37550104</v>
      </c>
      <c r="R50" s="556">
        <f t="shared" si="23"/>
        <v>162134091.99052113</v>
      </c>
      <c r="S50" s="556">
        <f t="shared" si="23"/>
        <v>169081426.78156701</v>
      </c>
      <c r="T50" s="556">
        <f t="shared" si="23"/>
        <v>175364233.89694765</v>
      </c>
      <c r="V50" s="566">
        <f>D50/D$32</f>
        <v>5.6613972457647675E-2</v>
      </c>
      <c r="W50" s="566">
        <f t="shared" ref="W50:AL50" si="24">E50/E$32</f>
        <v>5.8070577604845616E-2</v>
      </c>
      <c r="X50" s="566">
        <f t="shared" si="24"/>
        <v>4.5830793047091749E-2</v>
      </c>
      <c r="Y50" s="566">
        <f t="shared" si="24"/>
        <v>4.5028118923065477E-2</v>
      </c>
      <c r="Z50" s="566">
        <f t="shared" si="24"/>
        <v>4.2564639673525161E-2</v>
      </c>
      <c r="AA50" s="566">
        <f t="shared" si="24"/>
        <v>4.2296877960710876E-2</v>
      </c>
      <c r="AB50" s="566">
        <f t="shared" si="24"/>
        <v>4.3944082063906181E-2</v>
      </c>
      <c r="AC50" s="566">
        <f t="shared" si="24"/>
        <v>4.3944082063906188E-2</v>
      </c>
      <c r="AD50" s="566">
        <f t="shared" si="24"/>
        <v>4.3944082063906188E-2</v>
      </c>
      <c r="AE50" s="566">
        <f t="shared" si="24"/>
        <v>4.3944082063906188E-2</v>
      </c>
      <c r="AF50" s="566">
        <f t="shared" si="24"/>
        <v>4.3944082063906181E-2</v>
      </c>
      <c r="AG50" s="566">
        <f t="shared" si="24"/>
        <v>4.3944082063906181E-2</v>
      </c>
      <c r="AH50" s="566">
        <f t="shared" si="24"/>
        <v>4.3944082063906174E-2</v>
      </c>
      <c r="AI50" s="566">
        <f t="shared" si="24"/>
        <v>4.3944082063906174E-2</v>
      </c>
      <c r="AJ50" s="566">
        <f t="shared" si="24"/>
        <v>4.3944082063906181E-2</v>
      </c>
      <c r="AK50" s="566">
        <f t="shared" si="24"/>
        <v>4.3944082063906174E-2</v>
      </c>
      <c r="AL50" s="566">
        <f t="shared" si="24"/>
        <v>4.3944082063906174E-2</v>
      </c>
    </row>
    <row r="51" spans="2:38" ht="15" customHeight="1">
      <c r="B51" s="131">
        <v>60000000</v>
      </c>
      <c r="C51" s="519" t="s">
        <v>25</v>
      </c>
      <c r="D51" s="201">
        <f t="shared" ref="D51:T51" si="25">$B$51*V1*D83*D6/365</f>
        <v>17692107.537534248</v>
      </c>
      <c r="E51" s="201">
        <f t="shared" si="25"/>
        <v>60589314.53952001</v>
      </c>
      <c r="F51" s="201">
        <f t="shared" si="25"/>
        <v>64531269.943296023</v>
      </c>
      <c r="G51" s="201">
        <f t="shared" si="25"/>
        <v>71255001.876211375</v>
      </c>
      <c r="H51" s="201">
        <f t="shared" si="25"/>
        <v>76366153.012614295</v>
      </c>
      <c r="I51" s="201">
        <f t="shared" si="25"/>
        <v>81128773.30802466</v>
      </c>
      <c r="J51" s="201">
        <f t="shared" si="25"/>
        <v>88814657.095100671</v>
      </c>
      <c r="K51" s="201">
        <f t="shared" si="25"/>
        <v>92620304.319668844</v>
      </c>
      <c r="L51" s="201">
        <f t="shared" si="25"/>
        <v>96061933.114060909</v>
      </c>
      <c r="M51" s="201">
        <f t="shared" si="25"/>
        <v>99904410.438623339</v>
      </c>
      <c r="N51" s="201">
        <f t="shared" si="25"/>
        <v>103900586.85616827</v>
      </c>
      <c r="O51" s="201">
        <f t="shared" si="25"/>
        <v>108352655.83816957</v>
      </c>
      <c r="P51" s="201">
        <f t="shared" si="25"/>
        <v>112378874.7436316</v>
      </c>
      <c r="Q51" s="201">
        <f t="shared" si="25"/>
        <v>116874029.73337686</v>
      </c>
      <c r="R51" s="201">
        <f t="shared" si="25"/>
        <v>121548990.92271195</v>
      </c>
      <c r="S51" s="201">
        <f t="shared" si="25"/>
        <v>126757281.93101664</v>
      </c>
      <c r="T51" s="201">
        <f t="shared" si="25"/>
        <v>131467388.58200525</v>
      </c>
      <c r="V51" s="1057">
        <f>D51/D$32</f>
        <v>4.661397245764768E-2</v>
      </c>
      <c r="W51" s="1057">
        <f t="shared" ref="W51:AL51" si="26">E51/E$32</f>
        <v>4.1070577604845608E-2</v>
      </c>
      <c r="X51" s="1057">
        <f t="shared" si="26"/>
        <v>2.9830793047091745E-2</v>
      </c>
      <c r="Y51" s="1057">
        <f t="shared" si="26"/>
        <v>3.2028118923065479E-2</v>
      </c>
      <c r="Z51" s="1057">
        <f t="shared" si="26"/>
        <v>3.1564639673525158E-2</v>
      </c>
      <c r="AA51" s="1057">
        <f t="shared" si="26"/>
        <v>3.1296877960710873E-2</v>
      </c>
      <c r="AB51" s="1057">
        <f t="shared" si="26"/>
        <v>3.2944082063906185E-2</v>
      </c>
      <c r="AC51" s="1057">
        <f t="shared" si="26"/>
        <v>3.2944082063906185E-2</v>
      </c>
      <c r="AD51" s="1057">
        <f t="shared" si="26"/>
        <v>3.2944082063906185E-2</v>
      </c>
      <c r="AE51" s="1057">
        <f t="shared" si="26"/>
        <v>3.2944082063906185E-2</v>
      </c>
      <c r="AF51" s="1057">
        <f t="shared" si="26"/>
        <v>3.2944082063906178E-2</v>
      </c>
      <c r="AG51" s="1057">
        <f t="shared" si="26"/>
        <v>3.2944082063906185E-2</v>
      </c>
      <c r="AH51" s="1057">
        <f t="shared" si="26"/>
        <v>3.2944082063906178E-2</v>
      </c>
      <c r="AI51" s="1057">
        <f t="shared" si="26"/>
        <v>3.2944082063906178E-2</v>
      </c>
      <c r="AJ51" s="1057">
        <f t="shared" si="26"/>
        <v>3.2944082063906178E-2</v>
      </c>
      <c r="AK51" s="1057">
        <f t="shared" si="26"/>
        <v>3.2944082063906172E-2</v>
      </c>
      <c r="AL51" s="1057">
        <f t="shared" si="26"/>
        <v>3.2944082063906172E-2</v>
      </c>
    </row>
    <row r="52" spans="2:38" ht="15" customHeight="1">
      <c r="B52" s="509"/>
      <c r="C52" s="519" t="s">
        <v>733</v>
      </c>
      <c r="D52" s="201">
        <f>V52*D32</f>
        <v>3795451.5791609194</v>
      </c>
      <c r="E52" s="201">
        <f t="shared" ref="E52:T52" si="27">W52*E32</f>
        <v>25079227.204496782</v>
      </c>
      <c r="F52" s="201">
        <f>X52*F32</f>
        <v>34611896.420681871</v>
      </c>
      <c r="G52" s="201">
        <f t="shared" si="27"/>
        <v>28921930.339269772</v>
      </c>
      <c r="H52" s="201">
        <f t="shared" si="27"/>
        <v>26612934.34131391</v>
      </c>
      <c r="I52" s="201">
        <f t="shared" si="27"/>
        <v>28514553.672368951</v>
      </c>
      <c r="J52" s="201">
        <f t="shared" si="27"/>
        <v>29655135.819263704</v>
      </c>
      <c r="K52" s="201">
        <f t="shared" si="27"/>
        <v>30925838.0773823</v>
      </c>
      <c r="L52" s="201">
        <f t="shared" si="27"/>
        <v>32074994.902115628</v>
      </c>
      <c r="M52" s="201">
        <f t="shared" si="27"/>
        <v>33357994.698200256</v>
      </c>
      <c r="N52" s="201">
        <f t="shared" si="27"/>
        <v>34692314.486128271</v>
      </c>
      <c r="O52" s="201">
        <f t="shared" si="27"/>
        <v>36178856.399999626</v>
      </c>
      <c r="P52" s="201">
        <f t="shared" si="27"/>
        <v>37523207.348196335</v>
      </c>
      <c r="Q52" s="201">
        <f t="shared" si="27"/>
        <v>39024135.642124191</v>
      </c>
      <c r="R52" s="201">
        <f t="shared" si="27"/>
        <v>40585101.067809165</v>
      </c>
      <c r="S52" s="201">
        <f t="shared" si="27"/>
        <v>42324144.850550361</v>
      </c>
      <c r="T52" s="201">
        <f t="shared" si="27"/>
        <v>43896845.314942405</v>
      </c>
      <c r="V52" s="113">
        <v>0.01</v>
      </c>
      <c r="W52" s="113">
        <v>1.7000000000000001E-2</v>
      </c>
      <c r="X52" s="113">
        <v>1.6E-2</v>
      </c>
      <c r="Y52" s="113">
        <v>1.2999999999999999E-2</v>
      </c>
      <c r="Z52" s="160">
        <v>1.0999999999999999E-2</v>
      </c>
      <c r="AA52" s="160">
        <v>1.0999999999999999E-2</v>
      </c>
      <c r="AB52" s="160">
        <v>1.0999999999999999E-2</v>
      </c>
      <c r="AC52" s="1057">
        <f t="shared" ref="AC52:AL52" si="28">AB52</f>
        <v>1.0999999999999999E-2</v>
      </c>
      <c r="AD52" s="1057">
        <f t="shared" si="28"/>
        <v>1.0999999999999999E-2</v>
      </c>
      <c r="AE52" s="1057">
        <f t="shared" si="28"/>
        <v>1.0999999999999999E-2</v>
      </c>
      <c r="AF52" s="1057">
        <f t="shared" si="28"/>
        <v>1.0999999999999999E-2</v>
      </c>
      <c r="AG52" s="1057">
        <f t="shared" si="28"/>
        <v>1.0999999999999999E-2</v>
      </c>
      <c r="AH52" s="1057">
        <f t="shared" si="28"/>
        <v>1.0999999999999999E-2</v>
      </c>
      <c r="AI52" s="1057">
        <f t="shared" si="28"/>
        <v>1.0999999999999999E-2</v>
      </c>
      <c r="AJ52" s="1057">
        <f t="shared" si="28"/>
        <v>1.0999999999999999E-2</v>
      </c>
      <c r="AK52" s="1057">
        <f t="shared" si="28"/>
        <v>1.0999999999999999E-2</v>
      </c>
      <c r="AL52" s="1057">
        <f t="shared" si="28"/>
        <v>1.0999999999999999E-2</v>
      </c>
    </row>
    <row r="53" spans="2:38" ht="15" customHeight="1">
      <c r="B53" s="509"/>
      <c r="C53" s="521" t="s">
        <v>21</v>
      </c>
      <c r="D53" s="556">
        <f>D54+D55+D56</f>
        <v>14629907.786030702</v>
      </c>
      <c r="E53" s="556">
        <f t="shared" ref="E53:T53" si="29">E54+E55+E56</f>
        <v>58202702.735071868</v>
      </c>
      <c r="F53" s="556">
        <f t="shared" si="29"/>
        <v>64640227.568995252</v>
      </c>
      <c r="G53" s="556">
        <f t="shared" si="29"/>
        <v>67359015.586856067</v>
      </c>
      <c r="H53" s="556">
        <f t="shared" si="29"/>
        <v>71999549.946915776</v>
      </c>
      <c r="I53" s="556">
        <f t="shared" si="29"/>
        <v>77535467.407061636</v>
      </c>
      <c r="J53" s="556">
        <f t="shared" si="29"/>
        <v>81377008.245803267</v>
      </c>
      <c r="K53" s="556">
        <f t="shared" si="29"/>
        <v>84863957.311459064</v>
      </c>
      <c r="L53" s="556">
        <f t="shared" si="29"/>
        <v>88017372.118660837</v>
      </c>
      <c r="M53" s="556">
        <f t="shared" si="29"/>
        <v>91538067.00340727</v>
      </c>
      <c r="N53" s="556">
        <f t="shared" si="29"/>
        <v>95199589.683543563</v>
      </c>
      <c r="O53" s="556">
        <f t="shared" si="29"/>
        <v>99278826.896284997</v>
      </c>
      <c r="P53" s="556">
        <f t="shared" si="29"/>
        <v>102967876.20172071</v>
      </c>
      <c r="Q53" s="556">
        <f t="shared" si="29"/>
        <v>107086591.24978957</v>
      </c>
      <c r="R53" s="556">
        <f t="shared" si="29"/>
        <v>111370054.89978117</v>
      </c>
      <c r="S53" s="556">
        <f t="shared" si="29"/>
        <v>116142185.47137725</v>
      </c>
      <c r="T53" s="556">
        <f t="shared" si="29"/>
        <v>120457851.3796033</v>
      </c>
      <c r="V53" s="566">
        <f t="shared" ref="V53:AE54" si="30">D53/D$32</f>
        <v>3.8545894950568739E-2</v>
      </c>
      <c r="W53" s="566">
        <f t="shared" si="30"/>
        <v>3.9452808430987509E-2</v>
      </c>
      <c r="X53" s="566">
        <f t="shared" si="30"/>
        <v>2.9881160758528265E-2</v>
      </c>
      <c r="Y53" s="566">
        <f t="shared" si="30"/>
        <v>3.0276928004358019E-2</v>
      </c>
      <c r="Z53" s="566">
        <f t="shared" si="30"/>
        <v>2.9759779183259047E-2</v>
      </c>
      <c r="AA53" s="566">
        <f t="shared" si="30"/>
        <v>2.9910695824923322E-2</v>
      </c>
      <c r="AB53" s="566">
        <f t="shared" si="30"/>
        <v>3.0185229842122539E-2</v>
      </c>
      <c r="AC53" s="566">
        <f t="shared" si="30"/>
        <v>3.0185229842122539E-2</v>
      </c>
      <c r="AD53" s="566">
        <f t="shared" si="30"/>
        <v>3.0185229842122543E-2</v>
      </c>
      <c r="AE53" s="566">
        <f t="shared" si="30"/>
        <v>3.0185229842122543E-2</v>
      </c>
      <c r="AF53" s="566">
        <f t="shared" ref="AF53:AL54" si="31">N53/N$32</f>
        <v>3.0185229842122539E-2</v>
      </c>
      <c r="AG53" s="566">
        <f t="shared" si="31"/>
        <v>3.0185229842122543E-2</v>
      </c>
      <c r="AH53" s="566">
        <f t="shared" si="31"/>
        <v>3.0185229842122539E-2</v>
      </c>
      <c r="AI53" s="566">
        <f t="shared" si="31"/>
        <v>3.0185229842122543E-2</v>
      </c>
      <c r="AJ53" s="566">
        <f t="shared" si="31"/>
        <v>3.0185229842122543E-2</v>
      </c>
      <c r="AK53" s="566">
        <f t="shared" si="31"/>
        <v>3.0185229842122539E-2</v>
      </c>
      <c r="AL53" s="566">
        <f t="shared" si="31"/>
        <v>3.0185229842122536E-2</v>
      </c>
    </row>
    <row r="54" spans="2:38" ht="15" customHeight="1">
      <c r="B54" s="279">
        <v>10000000</v>
      </c>
      <c r="C54" s="519" t="s">
        <v>25</v>
      </c>
      <c r="D54" s="201">
        <f t="shared" ref="D54:T54" si="32">$B$54*V1*D84*D6/365</f>
        <v>3243553.0485479459</v>
      </c>
      <c r="E54" s="201">
        <f t="shared" si="32"/>
        <v>10098219.089920003</v>
      </c>
      <c r="F54" s="201">
        <f t="shared" si="32"/>
        <v>10755211.657216003</v>
      </c>
      <c r="G54" s="201">
        <f t="shared" si="32"/>
        <v>11875833.646035228</v>
      </c>
      <c r="H54" s="201">
        <f t="shared" si="32"/>
        <v>12727692.16876905</v>
      </c>
      <c r="I54" s="201">
        <f t="shared" si="32"/>
        <v>13521462.218004109</v>
      </c>
      <c r="J54" s="208">
        <f t="shared" si="32"/>
        <v>14802442.849183446</v>
      </c>
      <c r="K54" s="201">
        <f t="shared" si="32"/>
        <v>15436717.386611471</v>
      </c>
      <c r="L54" s="201">
        <f t="shared" si="32"/>
        <v>16010322.185676817</v>
      </c>
      <c r="M54" s="201">
        <f t="shared" si="32"/>
        <v>16650735.07310389</v>
      </c>
      <c r="N54" s="201">
        <f t="shared" si="32"/>
        <v>17316764.476028048</v>
      </c>
      <c r="O54" s="201">
        <f t="shared" si="32"/>
        <v>18058775.973028261</v>
      </c>
      <c r="P54" s="201">
        <f t="shared" si="32"/>
        <v>18729812.457271934</v>
      </c>
      <c r="Q54" s="201">
        <f t="shared" si="32"/>
        <v>19479004.955562811</v>
      </c>
      <c r="R54" s="201">
        <f t="shared" si="32"/>
        <v>20258165.153785326</v>
      </c>
      <c r="S54" s="201">
        <f t="shared" si="32"/>
        <v>21126213.655169442</v>
      </c>
      <c r="T54" s="201">
        <f t="shared" si="32"/>
        <v>21911231.430334207</v>
      </c>
      <c r="V54" s="1057">
        <f t="shared" si="30"/>
        <v>8.5458949505687418E-3</v>
      </c>
      <c r="W54" s="1057">
        <f t="shared" si="30"/>
        <v>6.8450962674742695E-3</v>
      </c>
      <c r="X54" s="1057">
        <f t="shared" si="30"/>
        <v>4.9717988411819569E-3</v>
      </c>
      <c r="Y54" s="1057">
        <f t="shared" si="30"/>
        <v>5.338019820510913E-3</v>
      </c>
      <c r="Z54" s="1057">
        <f t="shared" si="30"/>
        <v>5.2607732789208602E-3</v>
      </c>
      <c r="AA54" s="1057">
        <f t="shared" si="30"/>
        <v>5.2161463267851454E-3</v>
      </c>
      <c r="AB54" s="1057">
        <f t="shared" si="30"/>
        <v>5.4906803439843648E-3</v>
      </c>
      <c r="AC54" s="1057">
        <f t="shared" si="30"/>
        <v>5.4906803439843639E-3</v>
      </c>
      <c r="AD54" s="1057">
        <f t="shared" si="30"/>
        <v>5.4906803439843639E-3</v>
      </c>
      <c r="AE54" s="1057">
        <f t="shared" si="30"/>
        <v>5.4906803439843648E-3</v>
      </c>
      <c r="AF54" s="1057">
        <f t="shared" si="31"/>
        <v>5.4906803439843639E-3</v>
      </c>
      <c r="AG54" s="1057">
        <f t="shared" si="31"/>
        <v>5.4906803439843639E-3</v>
      </c>
      <c r="AH54" s="1057">
        <f t="shared" si="31"/>
        <v>5.4906803439843631E-3</v>
      </c>
      <c r="AI54" s="1057">
        <f t="shared" si="31"/>
        <v>5.4906803439843631E-3</v>
      </c>
      <c r="AJ54" s="1057">
        <f t="shared" si="31"/>
        <v>5.4906803439843631E-3</v>
      </c>
      <c r="AK54" s="1057">
        <f t="shared" si="31"/>
        <v>5.4906803439843631E-3</v>
      </c>
      <c r="AL54" s="1057">
        <f t="shared" si="31"/>
        <v>5.4906803439843613E-3</v>
      </c>
    </row>
    <row r="55" spans="2:38" ht="15" customHeight="1">
      <c r="B55" s="509"/>
      <c r="C55" s="519" t="s">
        <v>734</v>
      </c>
      <c r="D55" s="208">
        <f t="shared" ref="D55:T55" si="33">V55*D32</f>
        <v>11386354.737482756</v>
      </c>
      <c r="E55" s="208">
        <f t="shared" si="33"/>
        <v>41306962.454465285</v>
      </c>
      <c r="F55" s="201">
        <f t="shared" si="33"/>
        <v>36775139.946974486</v>
      </c>
      <c r="G55" s="201">
        <f t="shared" si="33"/>
        <v>35596221.956024341</v>
      </c>
      <c r="H55" s="201">
        <f t="shared" si="33"/>
        <v>37500043.844578691</v>
      </c>
      <c r="I55" s="201">
        <f t="shared" si="33"/>
        <v>40179598.356519885</v>
      </c>
      <c r="J55" s="201">
        <f t="shared" si="33"/>
        <v>41786782.290780678</v>
      </c>
      <c r="K55" s="201">
        <f t="shared" si="33"/>
        <v>43577317.290856875</v>
      </c>
      <c r="L55" s="201">
        <f t="shared" si="33"/>
        <v>45196583.725708388</v>
      </c>
      <c r="M55" s="201">
        <f t="shared" si="33"/>
        <v>47004447.074736722</v>
      </c>
      <c r="N55" s="201">
        <f t="shared" si="33"/>
        <v>48884624.957726203</v>
      </c>
      <c r="O55" s="201">
        <f t="shared" si="33"/>
        <v>50979297.654544927</v>
      </c>
      <c r="P55" s="201">
        <f t="shared" si="33"/>
        <v>52873610.354276657</v>
      </c>
      <c r="Q55" s="201">
        <f t="shared" si="33"/>
        <v>54988554.768447727</v>
      </c>
      <c r="R55" s="201">
        <f t="shared" si="33"/>
        <v>57188096.959185645</v>
      </c>
      <c r="S55" s="201">
        <f t="shared" si="33"/>
        <v>59638567.743957326</v>
      </c>
      <c r="T55" s="201">
        <f t="shared" si="33"/>
        <v>61854645.671055205</v>
      </c>
      <c r="V55" s="160">
        <v>0.03</v>
      </c>
      <c r="W55" s="160">
        <v>2.8000000000000001E-2</v>
      </c>
      <c r="X55" s="160">
        <v>1.7000000000000001E-2</v>
      </c>
      <c r="Y55" s="160">
        <v>1.6E-2</v>
      </c>
      <c r="Z55" s="160">
        <v>1.55E-2</v>
      </c>
      <c r="AA55" s="160">
        <v>1.55E-2</v>
      </c>
      <c r="AB55" s="160">
        <v>1.55E-2</v>
      </c>
      <c r="AC55" s="1057">
        <f t="shared" ref="AC55:AL55" si="34">AB55</f>
        <v>1.55E-2</v>
      </c>
      <c r="AD55" s="1057">
        <f t="shared" si="34"/>
        <v>1.55E-2</v>
      </c>
      <c r="AE55" s="1057">
        <f t="shared" si="34"/>
        <v>1.55E-2</v>
      </c>
      <c r="AF55" s="1057">
        <f t="shared" si="34"/>
        <v>1.55E-2</v>
      </c>
      <c r="AG55" s="1057">
        <f t="shared" si="34"/>
        <v>1.55E-2</v>
      </c>
      <c r="AH55" s="1057">
        <f t="shared" si="34"/>
        <v>1.55E-2</v>
      </c>
      <c r="AI55" s="1057">
        <f t="shared" si="34"/>
        <v>1.55E-2</v>
      </c>
      <c r="AJ55" s="1057">
        <f t="shared" si="34"/>
        <v>1.55E-2</v>
      </c>
      <c r="AK55" s="1057">
        <f t="shared" si="34"/>
        <v>1.55E-2</v>
      </c>
      <c r="AL55" s="1057">
        <f t="shared" si="34"/>
        <v>1.55E-2</v>
      </c>
    </row>
    <row r="56" spans="2:38" ht="15" customHeight="1">
      <c r="B56" s="509"/>
      <c r="C56" s="519" t="str">
        <f>IF(Вводные!$D$41=2,СВОД_PL!C113,"")</f>
        <v>Выплаты оператору за маркетинг</v>
      </c>
      <c r="D56" s="208">
        <f>IF(Вводные!$D$41=2,D113,0)</f>
        <v>0</v>
      </c>
      <c r="E56" s="208">
        <f>IF(Вводные!$D$41=2,E113,0)</f>
        <v>6797521.1906865807</v>
      </c>
      <c r="F56" s="208">
        <f>IF(Вводные!$D$41=2,F113,0)</f>
        <v>17109875.964804765</v>
      </c>
      <c r="G56" s="208">
        <f>IF(Вводные!$D$41=2,G113,0)</f>
        <v>19886959.984796494</v>
      </c>
      <c r="H56" s="208">
        <f>IF(Вводные!$D$41=2,H113,0)</f>
        <v>21771813.933568038</v>
      </c>
      <c r="I56" s="208">
        <f>IF(Вводные!$D$41=2,I113,0)</f>
        <v>23834406.832537644</v>
      </c>
      <c r="J56" s="208">
        <f>IF(Вводные!$D$41=2,J113,0)</f>
        <v>24787783.105839148</v>
      </c>
      <c r="K56" s="208">
        <f>IF(Вводные!$D$41=2,K113,0)</f>
        <v>25849922.633990724</v>
      </c>
      <c r="L56" s="208">
        <f>IF(Вводные!$D$41=2,L113,0)</f>
        <v>26810466.207275629</v>
      </c>
      <c r="M56" s="208">
        <f>IF(Вводные!$D$41=2,M113,0)</f>
        <v>27882884.855566651</v>
      </c>
      <c r="N56" s="208">
        <f>IF(Вводные!$D$41=2,N113,0)</f>
        <v>28998200.24978932</v>
      </c>
      <c r="O56" s="208">
        <f>IF(Вводные!$D$41=2,O113,0)</f>
        <v>30240753.268711798</v>
      </c>
      <c r="P56" s="208">
        <f>IF(Вводные!$D$41=2,P113,0)</f>
        <v>31364453.390172131</v>
      </c>
      <c r="Q56" s="208">
        <f>IF(Вводные!$D$41=2,Q113,0)</f>
        <v>32619031.525779016</v>
      </c>
      <c r="R56" s="208">
        <f>IF(Вводные!$D$41=2,R113,0)</f>
        <v>33923792.786810182</v>
      </c>
      <c r="S56" s="208">
        <f>IF(Вводные!$D$41=2,S113,0)</f>
        <v>35377404.072250485</v>
      </c>
      <c r="T56" s="208">
        <f>IF(Вводные!$D$41=2,T113,0)</f>
        <v>36691974.278213896</v>
      </c>
      <c r="V56" s="1057">
        <f t="shared" ref="V56" si="35">D56/D$32</f>
        <v>0</v>
      </c>
      <c r="W56" s="1057">
        <f t="shared" ref="W56" si="36">E56/E$32</f>
        <v>4.6077121635132367E-3</v>
      </c>
      <c r="X56" s="1057">
        <f t="shared" ref="X56" si="37">F56/F$32</f>
        <v>7.9093619173463102E-3</v>
      </c>
      <c r="Y56" s="1057">
        <f t="shared" ref="Y56" si="38">G56/G$32</f>
        <v>8.9389081838471031E-3</v>
      </c>
      <c r="Z56" s="1057">
        <f t="shared" ref="Z56" si="39">H56/H$32</f>
        <v>8.9990059043381886E-3</v>
      </c>
      <c r="AA56" s="1057">
        <f t="shared" ref="AA56" si="40">I56/I$32</f>
        <v>9.1945494981381781E-3</v>
      </c>
      <c r="AB56" s="1057">
        <f t="shared" ref="AB56" si="41">J56/J$32</f>
        <v>9.1945494981381781E-3</v>
      </c>
      <c r="AC56" s="1057">
        <f t="shared" ref="AC56" si="42">K56/K$32</f>
        <v>9.1945494981381763E-3</v>
      </c>
      <c r="AD56" s="1057">
        <f t="shared" ref="AD56" si="43">L56/L$32</f>
        <v>9.1945494981381781E-3</v>
      </c>
      <c r="AE56" s="1057">
        <f t="shared" ref="AE56" si="44">M56/M$32</f>
        <v>9.1945494981381781E-3</v>
      </c>
      <c r="AF56" s="1057">
        <f t="shared" ref="AF56" si="45">N56/N$32</f>
        <v>9.1945494981381781E-3</v>
      </c>
      <c r="AG56" s="1057">
        <f t="shared" ref="AG56" si="46">O56/O$32</f>
        <v>9.1945494981381781E-3</v>
      </c>
      <c r="AH56" s="1057">
        <f t="shared" ref="AH56" si="47">P56/P$32</f>
        <v>9.1945494981381781E-3</v>
      </c>
      <c r="AI56" s="1057">
        <f t="shared" ref="AI56" si="48">Q56/Q$32</f>
        <v>9.1945494981381781E-3</v>
      </c>
      <c r="AJ56" s="1057">
        <f t="shared" ref="AJ56" si="49">R56/R$32</f>
        <v>9.1945494981381781E-3</v>
      </c>
      <c r="AK56" s="1057">
        <f t="shared" ref="AK56" si="50">S56/S$32</f>
        <v>9.1945494981381781E-3</v>
      </c>
      <c r="AL56" s="1057">
        <f t="shared" ref="AL56" si="51">T56/T$32</f>
        <v>9.1945494981381763E-3</v>
      </c>
    </row>
    <row r="57" spans="2:38" ht="15" customHeight="1">
      <c r="C57" s="521" t="s">
        <v>247</v>
      </c>
      <c r="D57" s="556">
        <f t="shared" ref="D57:T57" si="52">D86*D7*D6/365</f>
        <v>16408014.372460013</v>
      </c>
      <c r="E57" s="556">
        <f t="shared" si="52"/>
        <v>75152041.454796836</v>
      </c>
      <c r="F57" s="556">
        <f t="shared" si="52"/>
        <v>80916645.105211824</v>
      </c>
      <c r="G57" s="556">
        <f t="shared" si="52"/>
        <v>87260590.695801765</v>
      </c>
      <c r="H57" s="556">
        <f t="shared" si="52"/>
        <v>93486678.119374186</v>
      </c>
      <c r="I57" s="556">
        <f t="shared" si="52"/>
        <v>100329107.32640925</v>
      </c>
      <c r="J57" s="556">
        <f t="shared" si="52"/>
        <v>107569352.18501613</v>
      </c>
      <c r="K57" s="556">
        <f t="shared" si="52"/>
        <v>112178625.24850556</v>
      </c>
      <c r="L57" s="556">
        <f t="shared" si="52"/>
        <v>116347011.32331343</v>
      </c>
      <c r="M57" s="556">
        <f t="shared" si="52"/>
        <v>121000891.77624598</v>
      </c>
      <c r="N57" s="556">
        <f t="shared" si="52"/>
        <v>125840927.44729581</v>
      </c>
      <c r="O57" s="556">
        <f t="shared" si="52"/>
        <v>131233124.99599637</v>
      </c>
      <c r="P57" s="556">
        <f t="shared" si="52"/>
        <v>136109547.12699515</v>
      </c>
      <c r="Q57" s="556">
        <f t="shared" si="52"/>
        <v>141553929.01207495</v>
      </c>
      <c r="R57" s="556">
        <f t="shared" si="52"/>
        <v>147216086.17255798</v>
      </c>
      <c r="S57" s="556">
        <f t="shared" si="52"/>
        <v>153524194.63211629</v>
      </c>
      <c r="T57" s="556">
        <f t="shared" si="52"/>
        <v>159228918.80423871</v>
      </c>
      <c r="V57" s="566">
        <f t="shared" ref="V57:AE62" si="53">D57/D$32</f>
        <v>4.3230730336671616E-2</v>
      </c>
      <c r="W57" s="566">
        <f t="shared" si="53"/>
        <v>5.0941948661897822E-2</v>
      </c>
      <c r="X57" s="566">
        <f t="shared" si="53"/>
        <v>3.7405240844005844E-2</v>
      </c>
      <c r="Y57" s="566">
        <f t="shared" si="53"/>
        <v>3.922240548049339E-2</v>
      </c>
      <c r="Z57" s="566">
        <f t="shared" si="53"/>
        <v>3.8641115110583671E-2</v>
      </c>
      <c r="AA57" s="566">
        <f t="shared" si="53"/>
        <v>3.8703750837942343E-2</v>
      </c>
      <c r="AB57" s="566">
        <f t="shared" si="53"/>
        <v>3.9900774059734384E-2</v>
      </c>
      <c r="AC57" s="566">
        <f t="shared" si="53"/>
        <v>3.990077405973437E-2</v>
      </c>
      <c r="AD57" s="566">
        <f t="shared" si="53"/>
        <v>3.9900774059734377E-2</v>
      </c>
      <c r="AE57" s="566">
        <f t="shared" si="53"/>
        <v>3.9900774059734384E-2</v>
      </c>
      <c r="AF57" s="566">
        <f t="shared" ref="AF57:AL62" si="54">N57/N$32</f>
        <v>3.990077405973437E-2</v>
      </c>
      <c r="AG57" s="566">
        <f t="shared" si="54"/>
        <v>3.990077405973437E-2</v>
      </c>
      <c r="AH57" s="566">
        <f t="shared" si="54"/>
        <v>3.990077405973437E-2</v>
      </c>
      <c r="AI57" s="566">
        <f t="shared" si="54"/>
        <v>3.990077405973437E-2</v>
      </c>
      <c r="AJ57" s="566">
        <f t="shared" si="54"/>
        <v>3.990077405973437E-2</v>
      </c>
      <c r="AK57" s="566">
        <f t="shared" si="54"/>
        <v>3.9900774059734356E-2</v>
      </c>
      <c r="AL57" s="566">
        <f t="shared" si="54"/>
        <v>3.9900774059734363E-2</v>
      </c>
    </row>
    <row r="58" spans="2:38" ht="15" customHeight="1">
      <c r="B58" s="160">
        <v>0.45</v>
      </c>
      <c r="C58" s="519" t="s">
        <v>25</v>
      </c>
      <c r="D58" s="201">
        <f>$B$58*D57</f>
        <v>7383606.4676070064</v>
      </c>
      <c r="E58" s="201">
        <f t="shared" ref="E58:T58" si="55">$B$58*E57</f>
        <v>33818418.654658578</v>
      </c>
      <c r="F58" s="201">
        <f t="shared" si="55"/>
        <v>36412490.297345325</v>
      </c>
      <c r="G58" s="201">
        <f t="shared" si="55"/>
        <v>39267265.813110799</v>
      </c>
      <c r="H58" s="201">
        <f t="shared" si="55"/>
        <v>42069005.153718382</v>
      </c>
      <c r="I58" s="201">
        <f t="shared" si="55"/>
        <v>45148098.296884164</v>
      </c>
      <c r="J58" s="201">
        <f t="shared" si="55"/>
        <v>48406208.483257256</v>
      </c>
      <c r="K58" s="201">
        <f t="shared" si="55"/>
        <v>50480381.361827508</v>
      </c>
      <c r="L58" s="201">
        <f t="shared" si="55"/>
        <v>52356155.095491044</v>
      </c>
      <c r="M58" s="201">
        <f t="shared" si="55"/>
        <v>54450401.299310692</v>
      </c>
      <c r="N58" s="201">
        <f t="shared" si="55"/>
        <v>56628417.351283118</v>
      </c>
      <c r="O58" s="201">
        <f t="shared" si="55"/>
        <v>59054906.248198368</v>
      </c>
      <c r="P58" s="201">
        <f t="shared" si="55"/>
        <v>61249296.207147814</v>
      </c>
      <c r="Q58" s="201">
        <f t="shared" si="55"/>
        <v>63699268.055433728</v>
      </c>
      <c r="R58" s="201">
        <f t="shared" si="55"/>
        <v>66247238.777651094</v>
      </c>
      <c r="S58" s="201">
        <f t="shared" si="55"/>
        <v>69085887.584452331</v>
      </c>
      <c r="T58" s="201">
        <f t="shared" si="55"/>
        <v>71653013.461907417</v>
      </c>
      <c r="V58" s="1057">
        <f t="shared" si="53"/>
        <v>1.9453828651502227E-2</v>
      </c>
      <c r="W58" s="1057">
        <f t="shared" si="53"/>
        <v>2.2923876897854023E-2</v>
      </c>
      <c r="X58" s="1057">
        <f t="shared" si="53"/>
        <v>1.6832358379802632E-2</v>
      </c>
      <c r="Y58" s="1057">
        <f t="shared" si="53"/>
        <v>1.7650082466222027E-2</v>
      </c>
      <c r="Z58" s="1057">
        <f t="shared" si="53"/>
        <v>1.7388501799762649E-2</v>
      </c>
      <c r="AA58" s="1057">
        <f t="shared" si="53"/>
        <v>1.7416687877074056E-2</v>
      </c>
      <c r="AB58" s="1057">
        <f t="shared" si="53"/>
        <v>1.7955348326880474E-2</v>
      </c>
      <c r="AC58" s="1057">
        <f t="shared" si="53"/>
        <v>1.795534832688047E-2</v>
      </c>
      <c r="AD58" s="1057">
        <f t="shared" si="53"/>
        <v>1.795534832688047E-2</v>
      </c>
      <c r="AE58" s="1057">
        <f t="shared" si="53"/>
        <v>1.795534832688047E-2</v>
      </c>
      <c r="AF58" s="1057">
        <f t="shared" si="54"/>
        <v>1.7955348326880467E-2</v>
      </c>
      <c r="AG58" s="1057">
        <f t="shared" si="54"/>
        <v>1.7955348326880467E-2</v>
      </c>
      <c r="AH58" s="1057">
        <f t="shared" si="54"/>
        <v>1.7955348326880467E-2</v>
      </c>
      <c r="AI58" s="1057">
        <f t="shared" si="54"/>
        <v>1.7955348326880467E-2</v>
      </c>
      <c r="AJ58" s="1057">
        <f t="shared" si="54"/>
        <v>1.7955348326880467E-2</v>
      </c>
      <c r="AK58" s="1057">
        <f t="shared" si="54"/>
        <v>1.795534832688046E-2</v>
      </c>
      <c r="AL58" s="1057">
        <f t="shared" si="54"/>
        <v>1.7955348326880463E-2</v>
      </c>
    </row>
    <row r="59" spans="2:38" ht="15" customHeight="1">
      <c r="B59" s="160">
        <f>1-B58</f>
        <v>0.55000000000000004</v>
      </c>
      <c r="C59" s="519" t="s">
        <v>735</v>
      </c>
      <c r="D59" s="201">
        <f>$B$59*D57</f>
        <v>9024407.9048530087</v>
      </c>
      <c r="E59" s="201">
        <f t="shared" ref="E59:T59" si="56">$B$59*E57</f>
        <v>41333622.800138265</v>
      </c>
      <c r="F59" s="201">
        <f t="shared" si="56"/>
        <v>44504154.807866506</v>
      </c>
      <c r="G59" s="201">
        <f t="shared" si="56"/>
        <v>47993324.882690974</v>
      </c>
      <c r="H59" s="201">
        <f t="shared" si="56"/>
        <v>51417672.965655804</v>
      </c>
      <c r="I59" s="201">
        <f t="shared" si="56"/>
        <v>55181009.029525094</v>
      </c>
      <c r="J59" s="201">
        <f t="shared" si="56"/>
        <v>59163143.701758876</v>
      </c>
      <c r="K59" s="201">
        <f t="shared" si="56"/>
        <v>61698243.886678062</v>
      </c>
      <c r="L59" s="201">
        <f t="shared" si="56"/>
        <v>63990856.227822393</v>
      </c>
      <c r="M59" s="201">
        <f t="shared" si="56"/>
        <v>66550490.476935297</v>
      </c>
      <c r="N59" s="201">
        <f t="shared" si="56"/>
        <v>69212510.096012697</v>
      </c>
      <c r="O59" s="201">
        <f t="shared" si="56"/>
        <v>72178218.747798011</v>
      </c>
      <c r="P59" s="201">
        <f t="shared" si="56"/>
        <v>74860250.919847339</v>
      </c>
      <c r="Q59" s="201">
        <f t="shared" si="56"/>
        <v>77854660.956641227</v>
      </c>
      <c r="R59" s="201">
        <f t="shared" si="56"/>
        <v>80968847.394906893</v>
      </c>
      <c r="S59" s="201">
        <f t="shared" si="56"/>
        <v>84438307.047663972</v>
      </c>
      <c r="T59" s="201">
        <f t="shared" si="56"/>
        <v>87575905.34233129</v>
      </c>
      <c r="V59" s="1057">
        <f t="shared" si="53"/>
        <v>2.3776901685169393E-2</v>
      </c>
      <c r="W59" s="1057">
        <f t="shared" si="53"/>
        <v>2.8018071764043806E-2</v>
      </c>
      <c r="X59" s="1057">
        <f t="shared" si="53"/>
        <v>2.0572882464203215E-2</v>
      </c>
      <c r="Y59" s="1057">
        <f t="shared" si="53"/>
        <v>2.1572323014271366E-2</v>
      </c>
      <c r="Z59" s="1057">
        <f t="shared" si="53"/>
        <v>2.1252613310821018E-2</v>
      </c>
      <c r="AA59" s="1057">
        <f t="shared" si="53"/>
        <v>2.128706296086829E-2</v>
      </c>
      <c r="AB59" s="1057">
        <f t="shared" si="53"/>
        <v>2.1945425732853914E-2</v>
      </c>
      <c r="AC59" s="1057">
        <f t="shared" si="53"/>
        <v>2.1945425732853907E-2</v>
      </c>
      <c r="AD59" s="1057">
        <f t="shared" si="53"/>
        <v>2.1945425732853911E-2</v>
      </c>
      <c r="AE59" s="1057">
        <f t="shared" si="53"/>
        <v>2.1945425732853911E-2</v>
      </c>
      <c r="AF59" s="1057">
        <f t="shared" si="54"/>
        <v>2.1945425732853904E-2</v>
      </c>
      <c r="AG59" s="1057">
        <f t="shared" si="54"/>
        <v>2.1945425732853907E-2</v>
      </c>
      <c r="AH59" s="1057">
        <f t="shared" si="54"/>
        <v>2.1945425732853907E-2</v>
      </c>
      <c r="AI59" s="1057">
        <f t="shared" si="54"/>
        <v>2.1945425732853904E-2</v>
      </c>
      <c r="AJ59" s="1057">
        <f t="shared" si="54"/>
        <v>2.1945425732853904E-2</v>
      </c>
      <c r="AK59" s="1057">
        <f t="shared" si="54"/>
        <v>2.1945425732853897E-2</v>
      </c>
      <c r="AL59" s="1057">
        <f t="shared" si="54"/>
        <v>2.19454257328539E-2</v>
      </c>
    </row>
    <row r="60" spans="2:38" ht="15" customHeight="1">
      <c r="B60" s="509"/>
      <c r="C60" s="521" t="s">
        <v>736</v>
      </c>
      <c r="D60" s="556">
        <f t="shared" ref="D60:T60" si="57">D88*D7*D6/365</f>
        <v>11359394.56554924</v>
      </c>
      <c r="E60" s="556">
        <f t="shared" si="57"/>
        <v>52028336.39178241</v>
      </c>
      <c r="F60" s="556">
        <f t="shared" si="57"/>
        <v>56019215.842069723</v>
      </c>
      <c r="G60" s="556">
        <f t="shared" si="57"/>
        <v>60411178.174016602</v>
      </c>
      <c r="H60" s="556">
        <f t="shared" si="57"/>
        <v>64721546.39033597</v>
      </c>
      <c r="I60" s="556">
        <f t="shared" si="57"/>
        <v>69458612.764437169</v>
      </c>
      <c r="J60" s="556">
        <f t="shared" si="57"/>
        <v>74471089.974241912</v>
      </c>
      <c r="K60" s="556">
        <f t="shared" si="57"/>
        <v>77662125.17204231</v>
      </c>
      <c r="L60" s="556">
        <f t="shared" si="57"/>
        <v>80547930.916140065</v>
      </c>
      <c r="M60" s="556">
        <f t="shared" si="57"/>
        <v>83769848.152785674</v>
      </c>
      <c r="N60" s="556">
        <f t="shared" si="57"/>
        <v>87120642.078897089</v>
      </c>
      <c r="O60" s="556">
        <f t="shared" si="57"/>
        <v>90853701.920305163</v>
      </c>
      <c r="P60" s="556">
        <f t="shared" si="57"/>
        <v>94229686.472535104</v>
      </c>
      <c r="Q60" s="556">
        <f t="shared" si="57"/>
        <v>97998873.931436539</v>
      </c>
      <c r="R60" s="556">
        <f t="shared" si="57"/>
        <v>101918828.88869399</v>
      </c>
      <c r="S60" s="556">
        <f t="shared" si="57"/>
        <v>106285980.89915746</v>
      </c>
      <c r="T60" s="556">
        <f t="shared" si="57"/>
        <v>110235405.32601139</v>
      </c>
      <c r="V60" s="566">
        <f t="shared" si="53"/>
        <v>2.9928967156157268E-2</v>
      </c>
      <c r="W60" s="566">
        <f t="shared" si="53"/>
        <v>3.5267502919775408E-2</v>
      </c>
      <c r="X60" s="566">
        <f t="shared" si="53"/>
        <v>2.5895935968927124E-2</v>
      </c>
      <c r="Y60" s="566">
        <f t="shared" si="53"/>
        <v>2.7153973024956961E-2</v>
      </c>
      <c r="Z60" s="566">
        <f t="shared" si="53"/>
        <v>2.6751541230404078E-2</v>
      </c>
      <c r="AA60" s="566">
        <f t="shared" si="53"/>
        <v>2.6794904426267772E-2</v>
      </c>
      <c r="AB60" s="566">
        <f t="shared" si="53"/>
        <v>2.7623612810585337E-2</v>
      </c>
      <c r="AC60" s="566">
        <f t="shared" si="53"/>
        <v>2.7623612810585334E-2</v>
      </c>
      <c r="AD60" s="566">
        <f t="shared" si="53"/>
        <v>2.7623612810585337E-2</v>
      </c>
      <c r="AE60" s="566">
        <f t="shared" si="53"/>
        <v>2.7623612810585337E-2</v>
      </c>
      <c r="AF60" s="566">
        <f t="shared" si="54"/>
        <v>2.762361281058533E-2</v>
      </c>
      <c r="AG60" s="566">
        <f t="shared" si="54"/>
        <v>2.762361281058533E-2</v>
      </c>
      <c r="AH60" s="566">
        <f t="shared" si="54"/>
        <v>2.7623612810585334E-2</v>
      </c>
      <c r="AI60" s="566">
        <f t="shared" si="54"/>
        <v>2.7623612810585341E-2</v>
      </c>
      <c r="AJ60" s="566">
        <f t="shared" si="54"/>
        <v>2.7623612810585334E-2</v>
      </c>
      <c r="AK60" s="566">
        <f t="shared" si="54"/>
        <v>2.762361281058533E-2</v>
      </c>
      <c r="AL60" s="566">
        <f t="shared" si="54"/>
        <v>2.7623612810585323E-2</v>
      </c>
    </row>
    <row r="61" spans="2:38" ht="15" customHeight="1">
      <c r="B61" s="509"/>
      <c r="C61" s="547" t="s">
        <v>732</v>
      </c>
      <c r="D61" s="548">
        <f t="shared" ref="D61:T61" si="58">D60+D57+D53+D50</f>
        <v>63884875.840735123</v>
      </c>
      <c r="E61" s="548">
        <f t="shared" si="58"/>
        <v>271051622.32566792</v>
      </c>
      <c r="F61" s="548">
        <f t="shared" si="58"/>
        <v>300719254.88025469</v>
      </c>
      <c r="G61" s="548">
        <f t="shared" si="58"/>
        <v>315207716.67215556</v>
      </c>
      <c r="H61" s="1035">
        <f t="shared" si="58"/>
        <v>333186861.81055415</v>
      </c>
      <c r="I61" s="548">
        <f t="shared" si="58"/>
        <v>356966514.47830164</v>
      </c>
      <c r="J61" s="548">
        <f t="shared" si="58"/>
        <v>381887243.3194257</v>
      </c>
      <c r="K61" s="548">
        <f t="shared" si="58"/>
        <v>398250850.12905806</v>
      </c>
      <c r="L61" s="548">
        <f t="shared" si="58"/>
        <v>413049242.37429088</v>
      </c>
      <c r="M61" s="548">
        <f t="shared" si="58"/>
        <v>429571212.06926256</v>
      </c>
      <c r="N61" s="548">
        <f t="shared" si="58"/>
        <v>446754060.55203301</v>
      </c>
      <c r="O61" s="548">
        <f t="shared" si="58"/>
        <v>465897166.05075574</v>
      </c>
      <c r="P61" s="548">
        <f t="shared" si="58"/>
        <v>483209191.89307886</v>
      </c>
      <c r="Q61" s="548">
        <f t="shared" si="58"/>
        <v>502537559.56880212</v>
      </c>
      <c r="R61" s="548">
        <f t="shared" si="58"/>
        <v>522639061.95155424</v>
      </c>
      <c r="S61" s="548">
        <f t="shared" si="58"/>
        <v>545033787.78421795</v>
      </c>
      <c r="T61" s="548">
        <f t="shared" si="58"/>
        <v>565286409.40680099</v>
      </c>
      <c r="V61" s="573">
        <f t="shared" si="53"/>
        <v>0.1683195649010453</v>
      </c>
      <c r="W61" s="573">
        <f t="shared" si="53"/>
        <v>0.18373283761750636</v>
      </c>
      <c r="X61" s="573">
        <f t="shared" si="53"/>
        <v>0.13901313061855297</v>
      </c>
      <c r="Y61" s="573">
        <f t="shared" si="53"/>
        <v>0.14168142543287385</v>
      </c>
      <c r="Z61" s="573">
        <f t="shared" si="53"/>
        <v>0.13771707519777196</v>
      </c>
      <c r="AA61" s="573">
        <f t="shared" si="53"/>
        <v>0.13770622904984431</v>
      </c>
      <c r="AB61" s="573">
        <f t="shared" si="53"/>
        <v>0.14165369877634845</v>
      </c>
      <c r="AC61" s="573">
        <f t="shared" si="53"/>
        <v>0.14165369877634842</v>
      </c>
      <c r="AD61" s="573">
        <f t="shared" si="53"/>
        <v>0.14165369877634845</v>
      </c>
      <c r="AE61" s="573">
        <f t="shared" si="53"/>
        <v>0.14165369877634845</v>
      </c>
      <c r="AF61" s="573">
        <f t="shared" si="54"/>
        <v>0.14165369877634842</v>
      </c>
      <c r="AG61" s="573">
        <f t="shared" si="54"/>
        <v>0.14165369877634842</v>
      </c>
      <c r="AH61" s="573">
        <f t="shared" si="54"/>
        <v>0.14165369877634842</v>
      </c>
      <c r="AI61" s="573">
        <f t="shared" si="54"/>
        <v>0.14165369877634842</v>
      </c>
      <c r="AJ61" s="573">
        <f t="shared" si="54"/>
        <v>0.14165369877634842</v>
      </c>
      <c r="AK61" s="573">
        <f t="shared" si="54"/>
        <v>0.1416536987763484</v>
      </c>
      <c r="AL61" s="573">
        <f t="shared" si="54"/>
        <v>0.14165369877634837</v>
      </c>
    </row>
    <row r="62" spans="2:38" ht="15" customHeight="1">
      <c r="B62" s="509"/>
      <c r="C62" s="547" t="s">
        <v>737</v>
      </c>
      <c r="D62" s="548">
        <f t="shared" ref="D62:T62" si="59">D48-D61</f>
        <v>170470276.61637157</v>
      </c>
      <c r="E62" s="548">
        <f t="shared" si="59"/>
        <v>620048325.46346283</v>
      </c>
      <c r="F62" s="548">
        <f t="shared" si="59"/>
        <v>992175930.23762608</v>
      </c>
      <c r="G62" s="548">
        <f t="shared" si="59"/>
        <v>1010072143.7969966</v>
      </c>
      <c r="H62" s="548">
        <f t="shared" si="59"/>
        <v>1143654149.9554415</v>
      </c>
      <c r="I62" s="548">
        <f t="shared" si="59"/>
        <v>1247847714.9531646</v>
      </c>
      <c r="J62" s="548">
        <f t="shared" si="59"/>
        <v>1287119555.2892985</v>
      </c>
      <c r="K62" s="548">
        <f t="shared" si="59"/>
        <v>1342271746.6447089</v>
      </c>
      <c r="L62" s="548">
        <f t="shared" si="59"/>
        <v>1392148511.0009055</v>
      </c>
      <c r="M62" s="548">
        <f t="shared" si="59"/>
        <v>1447834451.4409416</v>
      </c>
      <c r="N62" s="548">
        <f t="shared" si="59"/>
        <v>1505747829.4985797</v>
      </c>
      <c r="O62" s="548">
        <f t="shared" si="59"/>
        <v>1570268092.6584637</v>
      </c>
      <c r="P62" s="548">
        <f t="shared" si="59"/>
        <v>1628616852.3856637</v>
      </c>
      <c r="Q62" s="548">
        <f t="shared" si="59"/>
        <v>1693761526.4810903</v>
      </c>
      <c r="R62" s="548">
        <f t="shared" si="59"/>
        <v>1761511987.5403347</v>
      </c>
      <c r="S62" s="548">
        <f t="shared" si="59"/>
        <v>1836991569.6913781</v>
      </c>
      <c r="T62" s="548">
        <f t="shared" si="59"/>
        <v>1905251365.7236264</v>
      </c>
      <c r="U62" s="1893"/>
      <c r="V62" s="1893">
        <f t="shared" si="53"/>
        <v>0.44914359480264626</v>
      </c>
      <c r="W62" s="1893">
        <f t="shared" si="53"/>
        <v>0.42030089073035182</v>
      </c>
      <c r="X62" s="573">
        <f t="shared" si="53"/>
        <v>0.45865198170176646</v>
      </c>
      <c r="Y62" s="573">
        <f t="shared" si="53"/>
        <v>0.45401319052110295</v>
      </c>
      <c r="Z62" s="573">
        <f t="shared" si="53"/>
        <v>0.4727098292945609</v>
      </c>
      <c r="AA62" s="573">
        <f t="shared" si="53"/>
        <v>0.48137961485211089</v>
      </c>
      <c r="AB62" s="573">
        <f t="shared" si="53"/>
        <v>0.47743214512560656</v>
      </c>
      <c r="AC62" s="573">
        <f t="shared" si="53"/>
        <v>0.47743214512560661</v>
      </c>
      <c r="AD62" s="573">
        <f t="shared" si="53"/>
        <v>0.47743214512560656</v>
      </c>
      <c r="AE62" s="573">
        <f t="shared" si="53"/>
        <v>0.4774321451256065</v>
      </c>
      <c r="AF62" s="573">
        <f t="shared" si="54"/>
        <v>0.47743214512560661</v>
      </c>
      <c r="AG62" s="573">
        <f t="shared" si="54"/>
        <v>0.4774321451256065</v>
      </c>
      <c r="AH62" s="573">
        <f t="shared" si="54"/>
        <v>0.47743214512560656</v>
      </c>
      <c r="AI62" s="573">
        <f t="shared" si="54"/>
        <v>0.47743214512560656</v>
      </c>
      <c r="AJ62" s="573">
        <f t="shared" si="54"/>
        <v>0.47743214512560667</v>
      </c>
      <c r="AK62" s="573">
        <f t="shared" si="54"/>
        <v>0.47743214512560672</v>
      </c>
      <c r="AL62" s="573">
        <f t="shared" si="54"/>
        <v>0.47743214512560672</v>
      </c>
    </row>
    <row r="63" spans="2:38" ht="15" customHeight="1">
      <c r="C63" s="550" t="s">
        <v>741</v>
      </c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50"/>
      <c r="P63" s="550"/>
      <c r="Q63" s="550"/>
      <c r="R63" s="550"/>
      <c r="S63" s="550"/>
      <c r="T63" s="550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8"/>
      <c r="AF63" s="1058"/>
      <c r="AG63" s="1058"/>
      <c r="AH63" s="1058"/>
      <c r="AI63" s="1058"/>
      <c r="AJ63" s="1058"/>
      <c r="AK63" s="1058"/>
      <c r="AL63" s="1058"/>
    </row>
    <row r="64" spans="2:38" ht="15" customHeight="1">
      <c r="C64" s="1059" t="s">
        <v>4</v>
      </c>
      <c r="D64" s="201">
        <f>LOOKUP(D3,Земля!31:31,Земля!33:33)</f>
        <v>452358.97750852513</v>
      </c>
      <c r="E64" s="201">
        <f>LOOKUP(E3,Земля!31:31,Земля!33:33)</f>
        <v>465082.41457471345</v>
      </c>
      <c r="F64" s="201">
        <f>LOOKUP(F3,Земля!31:31,Земля!33:33)</f>
        <v>470089.68815230893</v>
      </c>
      <c r="G64" s="201">
        <f>LOOKUP(G3,Земля!31:31,Земля!33:33)</f>
        <v>467640.77113965858</v>
      </c>
      <c r="H64" s="201">
        <f>LOOKUP(H3,Земля!31:31,Земля!33:33)</f>
        <v>465221.15961036918</v>
      </c>
      <c r="I64" s="201">
        <f>LOOKUP(I3,Земля!31:31,Земля!33:33)</f>
        <v>465221.15961036918</v>
      </c>
      <c r="J64" s="201">
        <f>LOOKUP(J3,Земля!31:31,Земля!33:33)</f>
        <v>479726.66302369832</v>
      </c>
      <c r="K64" s="201">
        <f>LOOKUP(K3,Земля!31:31,Земля!33:33)</f>
        <v>489820.52503634233</v>
      </c>
      <c r="L64" s="201">
        <f>LOOKUP(L3,Земля!31:31,Земля!33:33)</f>
        <v>488482.21759088786</v>
      </c>
      <c r="M64" s="201">
        <f>LOOKUP(M3,Земля!31:31,Земля!33:33)</f>
        <v>488482.21759088786</v>
      </c>
      <c r="N64" s="201">
        <f>LOOKUP(N3,Земля!31:31,Земля!33:33)</f>
        <v>488482.21759088786</v>
      </c>
      <c r="O64" s="201">
        <f>LOOKUP(O3,Земля!31:31,Земля!33:33)</f>
        <v>505067.72764304676</v>
      </c>
      <c r="P64" s="201">
        <f>LOOKUP(P3,Земля!31:31,Земля!33:33)</f>
        <v>512906.32847043261</v>
      </c>
      <c r="Q64" s="201">
        <f>LOOKUP(Q3,Земля!31:31,Земля!33:33)</f>
        <v>512906.32847043261</v>
      </c>
      <c r="R64" s="201">
        <f>LOOKUP(R3,Земля!31:31,Земля!33:33)</f>
        <v>512906.32847043261</v>
      </c>
      <c r="S64" s="201">
        <f>LOOKUP(S3,Земля!31:31,Земля!33:33)</f>
        <v>514311.5512881598</v>
      </c>
      <c r="T64" s="201">
        <f>LOOKUP(T3,Земля!31:31,Земля!33:33)</f>
        <v>512906.32847043261</v>
      </c>
      <c r="V64" s="1057">
        <f t="shared" ref="V64:AE66" si="60">D64/D$32</f>
        <v>1.1918449440699505E-3</v>
      </c>
      <c r="W64" s="1057">
        <f t="shared" si="60"/>
        <v>3.1525696479006688E-4</v>
      </c>
      <c r="X64" s="1057">
        <f t="shared" si="60"/>
        <v>2.1730779842339443E-4</v>
      </c>
      <c r="Y64" s="1057">
        <f t="shared" si="60"/>
        <v>2.1019793469874781E-4</v>
      </c>
      <c r="Z64" s="1057">
        <f t="shared" si="60"/>
        <v>1.9229118781425618E-4</v>
      </c>
      <c r="AA64" s="1057">
        <f t="shared" si="60"/>
        <v>1.7946739810530273E-4</v>
      </c>
      <c r="AB64" s="1057">
        <f t="shared" si="60"/>
        <v>1.7794534226455285E-4</v>
      </c>
      <c r="AC64" s="1057">
        <f t="shared" si="60"/>
        <v>1.7422408285000735E-4</v>
      </c>
      <c r="AD64" s="1057">
        <f t="shared" si="60"/>
        <v>1.6752315658654553E-4</v>
      </c>
      <c r="AE64" s="1057">
        <f t="shared" si="60"/>
        <v>1.6107995825629377E-4</v>
      </c>
      <c r="AF64" s="1057">
        <f t="shared" ref="AF64:AL66" si="61">N64/N$32</f>
        <v>1.548845752464363E-4</v>
      </c>
      <c r="AG64" s="1057">
        <f t="shared" si="61"/>
        <v>1.535633117489466E-4</v>
      </c>
      <c r="AH64" s="1057">
        <f t="shared" si="61"/>
        <v>1.5035947116194364E-4</v>
      </c>
      <c r="AI64" s="1057">
        <f t="shared" si="61"/>
        <v>1.4457641457879194E-4</v>
      </c>
      <c r="AJ64" s="1057">
        <f t="shared" si="61"/>
        <v>1.3901578324883838E-4</v>
      </c>
      <c r="AK64" s="1057">
        <f t="shared" si="61"/>
        <v>1.3366902235465228E-4</v>
      </c>
      <c r="AL64" s="1057">
        <f t="shared" si="61"/>
        <v>1.2852790611024258E-4</v>
      </c>
    </row>
    <row r="65" spans="3:38" ht="15" customHeight="1">
      <c r="C65" s="1059" t="s">
        <v>742</v>
      </c>
      <c r="D65" s="208">
        <f>LOOKUP(D3,Амортизация!317:317,Амортизация!320:320)</f>
        <v>4216484.6882814895</v>
      </c>
      <c r="E65" s="201">
        <f>LOOKUP(E3,Амортизация!317:317,Амортизация!320:320)</f>
        <v>14838326.618974056</v>
      </c>
      <c r="F65" s="201">
        <f>LOOKUP(F3,Амортизация!317:317,Амортизация!320:320)</f>
        <v>14330487.354454646</v>
      </c>
      <c r="G65" s="201">
        <f>LOOKUP(G3,Амортизация!317:317,Амортизация!320:320)</f>
        <v>13822648.089935238</v>
      </c>
      <c r="H65" s="201">
        <f>LOOKUP(H3,Амортизация!317:317,Амортизация!320:320)</f>
        <v>13314808.825415829</v>
      </c>
      <c r="I65" s="201">
        <f>LOOKUP(I3,Амортизация!317:317,Амортизация!320:320)</f>
        <v>12806969.560896421</v>
      </c>
      <c r="J65" s="201">
        <f>LOOKUP(J3,Амортизация!317:317,Амортизация!320:320)</f>
        <v>12299130.296377011</v>
      </c>
      <c r="K65" s="201">
        <f>LOOKUP(K3,Амортизация!317:317,Амортизация!320:320)</f>
        <v>11791291.031857602</v>
      </c>
      <c r="L65" s="201">
        <f>LOOKUP(L3,Амортизация!317:317,Амортизация!320:320)</f>
        <v>11283451.767338194</v>
      </c>
      <c r="M65" s="201">
        <f>LOOKUP(M3,Амортизация!317:317,Амортизация!320:320)</f>
        <v>10775612.502818784</v>
      </c>
      <c r="N65" s="201">
        <f>LOOKUP(N3,Амортизация!317:317,Амортизация!320:320)</f>
        <v>10267773.238299374</v>
      </c>
      <c r="O65" s="201">
        <f>LOOKUP(O3,Амортизация!317:317,Амортизация!320:320)</f>
        <v>9759933.9737799652</v>
      </c>
      <c r="P65" s="201">
        <f>LOOKUP(P3,Амортизация!317:317,Амортизация!320:320)</f>
        <v>9252094.709260555</v>
      </c>
      <c r="Q65" s="201">
        <f>LOOKUP(Q3,Амортизация!317:317,Амортизация!320:320)</f>
        <v>8744255.4447411448</v>
      </c>
      <c r="R65" s="201">
        <f>LOOKUP(R3,Амортизация!317:317,Амортизация!320:320)</f>
        <v>8236416.1802217364</v>
      </c>
      <c r="S65" s="201">
        <f>LOOKUP(S3,Амортизация!317:317,Амортизация!320:320)</f>
        <v>7728576.9157023253</v>
      </c>
      <c r="T65" s="201">
        <f>LOOKUP(T3,Амортизация!317:317,Амортизация!320:320)</f>
        <v>7220737.651182916</v>
      </c>
      <c r="V65" s="1057">
        <f>D65/D$32</f>
        <v>1.1109309657465451E-2</v>
      </c>
      <c r="W65" s="1057">
        <f t="shared" si="60"/>
        <v>1.0058186819940348E-2</v>
      </c>
      <c r="X65" s="1057">
        <f t="shared" si="60"/>
        <v>6.6245372655820882E-3</v>
      </c>
      <c r="Y65" s="1057">
        <f t="shared" si="60"/>
        <v>6.21308547048022E-3</v>
      </c>
      <c r="Z65" s="1057">
        <f t="shared" si="60"/>
        <v>5.5034478799357786E-3</v>
      </c>
      <c r="AA65" s="1057">
        <f t="shared" si="60"/>
        <v>4.9405179820988156E-3</v>
      </c>
      <c r="AB65" s="1057">
        <f t="shared" si="60"/>
        <v>4.562124890767274E-3</v>
      </c>
      <c r="AC65" s="1057">
        <f t="shared" si="60"/>
        <v>4.1940399812573931E-3</v>
      </c>
      <c r="AD65" s="1057">
        <f t="shared" si="60"/>
        <v>3.8696177448973952E-3</v>
      </c>
      <c r="AE65" s="1057">
        <f t="shared" si="60"/>
        <v>3.5533232319088321E-3</v>
      </c>
      <c r="AF65" s="1057">
        <f t="shared" si="61"/>
        <v>3.2556347794683574E-3</v>
      </c>
      <c r="AG65" s="1057">
        <f t="shared" si="61"/>
        <v>2.9674590187317453E-3</v>
      </c>
      <c r="AH65" s="1057">
        <f t="shared" si="61"/>
        <v>2.7122692593270045E-3</v>
      </c>
      <c r="AI65" s="1057">
        <f t="shared" si="61"/>
        <v>2.4648030842821475E-3</v>
      </c>
      <c r="AJ65" s="1057">
        <f t="shared" si="61"/>
        <v>2.232360536223985E-3</v>
      </c>
      <c r="AK65" s="1057">
        <f t="shared" si="61"/>
        <v>2.0086488781502244E-3</v>
      </c>
      <c r="AL65" s="1057">
        <f t="shared" si="61"/>
        <v>1.8094264768492348E-3</v>
      </c>
    </row>
    <row r="66" spans="3:38" ht="15" customHeight="1">
      <c r="C66" s="1059" t="s">
        <v>22</v>
      </c>
      <c r="D66" s="208">
        <f>LOOKUP(D3,Амортизация!295:295,Амортизация!298:298)</f>
        <v>0</v>
      </c>
      <c r="E66" s="208">
        <f>LOOKUP(E3,Амортизация!295:295,Амортизация!298:298)</f>
        <v>0</v>
      </c>
      <c r="F66" s="208">
        <f>LOOKUP(F3,Амортизация!295:295,Амортизация!298:298)</f>
        <v>0</v>
      </c>
      <c r="G66" s="208">
        <f>LOOKUP(G3,Амортизация!295:295,Амортизация!298:298)</f>
        <v>0</v>
      </c>
      <c r="H66" s="208">
        <f>LOOKUP(H3,Амортизация!295:295,Амортизация!298:298)</f>
        <v>0</v>
      </c>
      <c r="I66" s="208">
        <f>LOOKUP(I3,Амортизация!295:295,Амортизация!298:298)</f>
        <v>0</v>
      </c>
      <c r="J66" s="208">
        <f>LOOKUP(J3,Амортизация!295:295,Амортизация!298:298)</f>
        <v>0</v>
      </c>
      <c r="K66" s="208">
        <f>LOOKUP(K3,Амортизация!295:295,Амортизация!298:298)</f>
        <v>0</v>
      </c>
      <c r="L66" s="208">
        <f>LOOKUP(L3,Амортизация!295:295,Амортизация!298:298)</f>
        <v>0</v>
      </c>
      <c r="M66" s="208">
        <f>LOOKUP(M3,Амортизация!295:295,Амортизация!298:298)</f>
        <v>0</v>
      </c>
      <c r="N66" s="208">
        <f>LOOKUP(N3,Амортизация!295:295,Амортизация!298:298)</f>
        <v>25155976.445340425</v>
      </c>
      <c r="O66" s="208">
        <f>LOOKUP(O3,Амортизация!295:295,Амортизация!298:298)</f>
        <v>88121911.733149081</v>
      </c>
      <c r="P66" s="208">
        <f>LOOKUP(P3,Амортизация!295:295,Амортизация!298:298)</f>
        <v>83652926.205378279</v>
      </c>
      <c r="Q66" s="208">
        <f>LOOKUP(Q3,Амортизация!295:295,Амортизация!298:298)</f>
        <v>79183940.677607477</v>
      </c>
      <c r="R66" s="208">
        <f>LOOKUP(R3,Амортизация!295:295,Амортизация!298:298)</f>
        <v>74714955.149836674</v>
      </c>
      <c r="S66" s="208">
        <f>LOOKUP(S3,Амортизация!295:295,Амортизация!298:298)</f>
        <v>70245969.622065872</v>
      </c>
      <c r="T66" s="208">
        <f>LOOKUP(T3,Амортизация!295:295,Амортизация!298:298)</f>
        <v>65776984.094295055</v>
      </c>
      <c r="V66" s="1057">
        <f t="shared" si="60"/>
        <v>0</v>
      </c>
      <c r="W66" s="1057">
        <f t="shared" si="60"/>
        <v>0</v>
      </c>
      <c r="X66" s="1057">
        <f t="shared" si="60"/>
        <v>0</v>
      </c>
      <c r="Y66" s="1057">
        <f t="shared" si="60"/>
        <v>0</v>
      </c>
      <c r="Z66" s="1057">
        <f t="shared" si="60"/>
        <v>0</v>
      </c>
      <c r="AA66" s="1057">
        <f t="shared" si="60"/>
        <v>0</v>
      </c>
      <c r="AB66" s="1057">
        <f t="shared" si="60"/>
        <v>0</v>
      </c>
      <c r="AC66" s="1057">
        <f t="shared" si="60"/>
        <v>0</v>
      </c>
      <c r="AD66" s="1057">
        <f t="shared" si="60"/>
        <v>0</v>
      </c>
      <c r="AE66" s="1057">
        <f t="shared" si="60"/>
        <v>0</v>
      </c>
      <c r="AF66" s="1057">
        <f t="shared" si="61"/>
        <v>7.9762836523746342E-3</v>
      </c>
      <c r="AG66" s="1057">
        <f t="shared" si="61"/>
        <v>2.6793025692891992E-2</v>
      </c>
      <c r="AH66" s="1057">
        <f t="shared" si="61"/>
        <v>2.4523015309441353E-2</v>
      </c>
      <c r="AI66" s="1057">
        <f t="shared" si="61"/>
        <v>2.232011889876339E-2</v>
      </c>
      <c r="AJ66" s="1057">
        <f t="shared" si="61"/>
        <v>2.025039940827154E-2</v>
      </c>
      <c r="AK66" s="1057">
        <f t="shared" si="61"/>
        <v>1.8256852408269669E-2</v>
      </c>
      <c r="AL66" s="1057">
        <f t="shared" si="61"/>
        <v>1.64828889148203E-2</v>
      </c>
    </row>
    <row r="67" spans="3:38" ht="15" customHeight="1">
      <c r="C67" s="1059" t="str">
        <f>IF(Вводные!$D$41=0,"Платежи оператору - не предусмотрены",IF(Вводные!$D$41=1,"Платежи оператору - базовый платеж",IF(Вводные!$D$41=2,СВОД_PL!C112)))</f>
        <v>Лицензионный платеж по франшизе</v>
      </c>
      <c r="D67" s="201">
        <f>IF(Вводные!$D$41=0,0,IF(Вводные!$D$41=1,V67*D32,IF(Вводные!$D$41=2,D112)))</f>
        <v>0</v>
      </c>
      <c r="E67" s="208">
        <f>IF(Вводные!$D$41=0,0,IF(Вводные!$D$41=1,W67*E32,IF(Вводные!$D$41=2,E112)))</f>
        <v>7930441.3891343446</v>
      </c>
      <c r="F67" s="201">
        <f>IF(Вводные!$D$41=0,0,IF(Вводные!$D$41=1,X67*F32,IF(Вводные!$D$41=2,F112)))</f>
        <v>19961521.958938893</v>
      </c>
      <c r="G67" s="201">
        <f>IF(Вводные!$D$41=0,0,IF(Вводные!$D$41=1,Y67*G32,IF(Вводные!$D$41=2,G112)))</f>
        <v>23201453.315595914</v>
      </c>
      <c r="H67" s="201">
        <f>IF(Вводные!$D$41=0,0,IF(Вводные!$D$41=1,Z67*H32,IF(Вводные!$D$41=2,H112)))</f>
        <v>25400449.589162715</v>
      </c>
      <c r="I67" s="201">
        <f>IF(Вводные!$D$41=0,0,IF(Вводные!$D$41=1,AA67*I32,IF(Вводные!$D$41=2,I112)))</f>
        <v>27806807.971293919</v>
      </c>
      <c r="J67" s="201">
        <f>IF(Вводные!$D$41=0,0,IF(Вводные!$D$41=1,AB67*J32,IF(Вводные!$D$41=2,J112)))</f>
        <v>28919080.290145677</v>
      </c>
      <c r="K67" s="201">
        <f>IF(Вводные!$D$41=0,0,IF(Вводные!$D$41=1,AC67*K32,IF(Вводные!$D$41=2,K112)))</f>
        <v>30158243.072989181</v>
      </c>
      <c r="L67" s="201">
        <f>IF(Вводные!$D$41=0,0,IF(Вводные!$D$41=1,AD67*L32,IF(Вводные!$D$41=2,L112)))</f>
        <v>31278877.241821568</v>
      </c>
      <c r="M67" s="201">
        <f>IF(Вводные!$D$41=0,0,IF(Вводные!$D$41=1,AE67*M32,IF(Вводные!$D$41=2,M112)))</f>
        <v>32530032.331494428</v>
      </c>
      <c r="N67" s="201">
        <f>IF(Вводные!$D$41=0,0,IF(Вводные!$D$41=1,AF67*N32,IF(Вводные!$D$41=2,N112)))</f>
        <v>33831233.624754213</v>
      </c>
      <c r="O67" s="201">
        <f>IF(Вводные!$D$41=0,0,IF(Вводные!$D$41=1,AG67*O32,IF(Вводные!$D$41=2,O112)))</f>
        <v>35280878.813497104</v>
      </c>
      <c r="P67" s="201">
        <f>IF(Вводные!$D$41=0,0,IF(Вводные!$D$41=1,AH67*P32,IF(Вводные!$D$41=2,P112)))</f>
        <v>36591862.288534157</v>
      </c>
      <c r="Q67" s="201">
        <f>IF(Вводные!$D$41=0,0,IF(Вводные!$D$41=1,AI67*Q32,IF(Вводные!$D$41=2,Q112)))</f>
        <v>38055536.780075528</v>
      </c>
      <c r="R67" s="201">
        <f>IF(Вводные!$D$41=0,0,IF(Вводные!$D$41=1,AJ67*R32,IF(Вводные!$D$41=2,R112)))</f>
        <v>39577758.251278549</v>
      </c>
      <c r="S67" s="201">
        <f>IF(Вводные!$D$41=0,0,IF(Вводные!$D$41=1,AK67*S32,IF(Вводные!$D$41=2,S112)))</f>
        <v>41273638.08429224</v>
      </c>
      <c r="T67" s="201">
        <f>IF(Вводные!$D$41=0,0,IF(Вводные!$D$41=1,AL67*T32,IF(Вводные!$D$41=2,T112)))</f>
        <v>42807303.324582882</v>
      </c>
      <c r="V67" s="113">
        <f>IF(Вводные!$D$41=1,2.8%,IF(Вводные!$D$41=2,D67/D$32,""))</f>
        <v>0</v>
      </c>
      <c r="W67" s="1057">
        <f>IF(Вводные!$D$41=1,2.8%,IF(Вводные!$D$41=2,E67/E$32,""))</f>
        <v>5.375664190765443E-3</v>
      </c>
      <c r="X67" s="1057">
        <f>IF(Вводные!$D$41=1,2.8%,IF(Вводные!$D$41=2,F67/F$32,""))</f>
        <v>9.2275889035706958E-3</v>
      </c>
      <c r="Y67" s="1057">
        <f>IF(Вводные!$D$41=1,2.8%,IF(Вводные!$D$41=2,G67/G$32,""))</f>
        <v>1.0428726214488289E-2</v>
      </c>
      <c r="Z67" s="1057">
        <f>IF(Вводные!$D$41=1,2.8%,IF(Вводные!$D$41=2,H67/H$32,""))</f>
        <v>1.0498840221727888E-2</v>
      </c>
      <c r="AA67" s="1057">
        <f>IF(Вводные!$D$41=1,2.8%,IF(Вводные!$D$41=2,I67/I$32,""))</f>
        <v>1.0726974414494541E-2</v>
      </c>
      <c r="AB67" s="1057">
        <f>IF(Вводные!$D$41=1,2.8%,IF(Вводные!$D$41=2,J67/J$32,""))</f>
        <v>1.0726974414494543E-2</v>
      </c>
      <c r="AC67" s="1057">
        <f>IF(Вводные!$D$41=1,2.8%,IF(Вводные!$D$41=2,K67/K$32,""))</f>
        <v>1.0726974414494541E-2</v>
      </c>
      <c r="AD67" s="1057">
        <f>IF(Вводные!$D$41=1,2.8%,IF(Вводные!$D$41=2,L67/L$32,""))</f>
        <v>1.0726974414494543E-2</v>
      </c>
      <c r="AE67" s="1057">
        <f>IF(Вводные!$D$41=1,2.8%,IF(Вводные!$D$41=2,M67/M$32,""))</f>
        <v>1.0726974414494541E-2</v>
      </c>
      <c r="AF67" s="1057">
        <f>IF(Вводные!$D$41=1,2.8%,IF(Вводные!$D$41=2,N67/N$32,""))</f>
        <v>1.0726974414494541E-2</v>
      </c>
      <c r="AG67" s="1057">
        <f>IF(Вводные!$D$41=1,2.8%,IF(Вводные!$D$41=2,O67/O$32,""))</f>
        <v>1.0726974414494543E-2</v>
      </c>
      <c r="AH67" s="1057">
        <f>IF(Вводные!$D$41=1,2.8%,IF(Вводные!$D$41=2,P67/P$32,""))</f>
        <v>1.0726974414494543E-2</v>
      </c>
      <c r="AI67" s="1057">
        <f>IF(Вводные!$D$41=1,2.8%,IF(Вводные!$D$41=2,Q67/Q$32,""))</f>
        <v>1.0726974414494543E-2</v>
      </c>
      <c r="AJ67" s="1057">
        <f>IF(Вводные!$D$41=1,2.8%,IF(Вводные!$D$41=2,R67/R$32,""))</f>
        <v>1.0726974414494541E-2</v>
      </c>
      <c r="AK67" s="1057">
        <f>IF(Вводные!$D$41=1,2.8%,IF(Вводные!$D$41=2,S67/S$32,""))</f>
        <v>1.0726974414494541E-2</v>
      </c>
      <c r="AL67" s="1057">
        <f>IF(Вводные!$D$41=1,2.8%,IF(Вводные!$D$41=2,T67/T$32,""))</f>
        <v>1.072697441449454E-2</v>
      </c>
    </row>
    <row r="68" spans="3:38" ht="15" hidden="1" customHeight="1" outlineLevel="1">
      <c r="C68" s="1771" t="str">
        <f>IF(Вводные!$D$41=0,"Платежи оператору - не предусмотрены",IF(Вводные!$D$41=1,"Платежи оператору - базовый платеж",IF(Вводные!$D$41=2,"")))</f>
        <v/>
      </c>
      <c r="D68" s="208">
        <f>IF(Вводные!$D$41=1,V68*(D62-D67),IF(OR(Вводные!$D$41=2,Вводные!$D$41=0),0,"Ошибка"))</f>
        <v>0</v>
      </c>
      <c r="E68" s="208">
        <f>IF(Вводные!$D$41=1,W68*(E62-E67),IF(OR(Вводные!$D$41=2,Вводные!$D$41=0),0,"Ошибка"))</f>
        <v>0</v>
      </c>
      <c r="F68" s="208">
        <f>IF(Вводные!$D$41=1,X68*(F62-F67),IF(OR(Вводные!$D$41=2,Вводные!$D$41=0),0,"Ошибка"))</f>
        <v>0</v>
      </c>
      <c r="G68" s="208">
        <f>IF(Вводные!$D$41=1,Y68*(G62-G67),IF(OR(Вводные!$D$41=2,Вводные!$D$41=0),0,"Ошибка"))</f>
        <v>0</v>
      </c>
      <c r="H68" s="208">
        <f>IF(Вводные!$D$41=1,Z68*(H62-H67),IF(OR(Вводные!$D$41=2,Вводные!$D$41=0),0,"Ошибка"))</f>
        <v>0</v>
      </c>
      <c r="I68" s="208">
        <f>IF(Вводные!$D$41=1,AA68*(I62-I67),IF(OR(Вводные!$D$41=2,Вводные!$D$41=0),0,"Ошибка"))</f>
        <v>0</v>
      </c>
      <c r="J68" s="208">
        <f>IF(Вводные!$D$41=1,AB68*(J62-J67),IF(OR(Вводные!$D$41=2,Вводные!$D$41=0),0,"Ошибка"))</f>
        <v>0</v>
      </c>
      <c r="K68" s="208">
        <f>IF(Вводные!$D$41=1,AC68*(K62-K67),IF(OR(Вводные!$D$41=2,Вводные!$D$41=0),0,"Ошибка"))</f>
        <v>0</v>
      </c>
      <c r="L68" s="208">
        <f>IF(Вводные!$D$41=1,AD68*(L62-L67),IF(OR(Вводные!$D$41=2,Вводные!$D$41=0),0,"Ошибка"))</f>
        <v>0</v>
      </c>
      <c r="M68" s="208">
        <f>IF(Вводные!$D$41=1,AE68*(M62-M67),IF(OR(Вводные!$D$41=2,Вводные!$D$41=0),0,"Ошибка"))</f>
        <v>0</v>
      </c>
      <c r="N68" s="208">
        <f>IF(Вводные!$D$41=1,AF68*(N62-N67),IF(OR(Вводные!$D$41=2,Вводные!$D$41=0),0,"Ошибка"))</f>
        <v>0</v>
      </c>
      <c r="O68" s="208">
        <f>IF(Вводные!$D$41=1,AG68*(O62-O67),IF(OR(Вводные!$D$41=2,Вводные!$D$41=0),0,"Ошибка"))</f>
        <v>0</v>
      </c>
      <c r="P68" s="208">
        <f>IF(Вводные!$D$41=1,AH68*(P62-P67),IF(OR(Вводные!$D$41=2,Вводные!$D$41=0),0,"Ошибка"))</f>
        <v>0</v>
      </c>
      <c r="Q68" s="208">
        <f>IF(Вводные!$D$41=1,AI68*(Q62-Q67),IF(OR(Вводные!$D$41=2,Вводные!$D$41=0),0,"Ошибка"))</f>
        <v>0</v>
      </c>
      <c r="R68" s="208">
        <f>IF(Вводные!$D$41=1,AJ68*(R62-R67),IF(OR(Вводные!$D$41=2,Вводные!$D$41=0),0,"Ошибка"))</f>
        <v>0</v>
      </c>
      <c r="S68" s="208">
        <f>IF(Вводные!$D$41=1,AK68*(S62-S67),IF(OR(Вводные!$D$41=2,Вводные!$D$41=0),0,"Ошибка"))</f>
        <v>0</v>
      </c>
      <c r="T68" s="208">
        <f>IF(Вводные!$D$41=1,AL68*(T62-T67),IF(OR(Вводные!$D$41=2,Вводные!$D$41=0),0,"Ошибка"))</f>
        <v>0</v>
      </c>
      <c r="V68" s="522">
        <f>IF(OR(Вводные!$D$41=2,Вводные!$D$41=0),0,IF(V62&lt;0,0,(IF(V62&lt;$W85,$X85,IF(AND(V62&gt;=$V86,V62&lt;$W86),$X86,IF(AND(V62&gt;=$V87,V62&lt;$W87),$X87,IF(V62&gt;=$V88,$X88,0)))))))</f>
        <v>0</v>
      </c>
      <c r="W68" s="522">
        <f>IF(OR(Вводные!$D$41=2,Вводные!$D$41=0),0,IF(W62&lt;0,0,(IF(W62&lt;$W85,$X85,IF(AND(W62&gt;=$V86,W62&lt;$W86),$X86,IF(AND(W62&gt;=$V87,W62&lt;$W87),$X87,IF(W62&gt;=$V88,$X88,0)))))))</f>
        <v>0</v>
      </c>
      <c r="X68" s="522">
        <f>IF(OR(Вводные!$D$41=2,Вводные!$D$41=0),0,IF(X62&lt;0,0,(IF(X62&lt;$W85,$X85,IF(AND(X62&gt;=$V86,X62&lt;$W86),$X86,IF(AND(X62&gt;=$V87,X62&lt;$W87),$X87,IF(X62&gt;=$V88,$X88,0)))))))</f>
        <v>0</v>
      </c>
      <c r="Y68" s="522">
        <f>IF(OR(Вводные!$D$41=2,Вводные!$D$41=0),0,IF(Y62&lt;0,0,(IF(Y62&lt;$W85,$X85,IF(AND(Y62&gt;=$V86,Y62&lt;$W86),$X86,IF(AND(Y62&gt;=$V87,Y62&lt;$W87),$X87,IF(Y62&gt;=$V88,$X88,0)))))))</f>
        <v>0</v>
      </c>
      <c r="Z68" s="522">
        <f>IF(OR(Вводные!$D$41=2,Вводные!$D$41=0),0,IF(Z62&lt;0,0,(IF(Z62&lt;$W85,$X85,IF(AND(Z62&gt;=$V86,Z62&lt;$W86),$X86,IF(AND(Z62&gt;=$V87,Z62&lt;$W87),$X87,IF(Z62&gt;=$V88,$X88,0)))))))</f>
        <v>0</v>
      </c>
      <c r="AA68" s="522">
        <f>IF(OR(Вводные!$D$41=2,Вводные!$D$41=0),0,IF(AA62&lt;0,0,(IF(AA62&lt;$W85,$X85,IF(AND(AA62&gt;=$V86,AA62&lt;$W86),$X86,IF(AND(AA62&gt;=$V87,AA62&lt;$W87),$X87,IF(AA62&gt;=$V88,$X88,0)))))))</f>
        <v>0</v>
      </c>
      <c r="AB68" s="522">
        <f>IF(OR(Вводные!$D$41=2,Вводные!$D$41=0),0,IF(AB62&lt;0,0,(IF(AB62&lt;$W85,$X85,IF(AND(AB62&gt;=$V86,AB62&lt;$W86),$X86,IF(AND(AB62&gt;=$V87,AB62&lt;$W87),$X87,IF(AB62&gt;=$V88,$X88,0)))))))</f>
        <v>0</v>
      </c>
      <c r="AC68" s="522">
        <f>IF(OR(Вводные!$D$41=2,Вводные!$D$41=0),0,IF(AC62&lt;0,0,(IF(AC62&lt;$W85,$X85,IF(AND(AC62&gt;=$V86,AC62&lt;$W86),$X86,IF(AND(AC62&gt;=$V87,AC62&lt;$W87),$X87,IF(AC62&gt;=$V88,$X88,0)))))))</f>
        <v>0</v>
      </c>
      <c r="AD68" s="522">
        <f>IF(OR(Вводные!$D$41=2,Вводные!$D$41=0),0,IF(AD62&lt;0,0,(IF(AD62&lt;$W85,$X85,IF(AND(AD62&gt;=$V86,AD62&lt;$W86),$X86,IF(AND(AD62&gt;=$V87,AD62&lt;$W87),$X87,IF(AD62&gt;=$V88,$X88,0)))))))</f>
        <v>0</v>
      </c>
      <c r="AE68" s="522">
        <f>IF(OR(Вводные!$D$41=2,Вводные!$D$41=0),0,IF(AE62&lt;0,0,(IF(AE62&lt;$W85,$X85,IF(AND(AE62&gt;=$V86,AE62&lt;$W86),$X86,IF(AND(AE62&gt;=$V87,AE62&lt;$W87),$X87,IF(AE62&gt;=$V88,$X88,0)))))))</f>
        <v>0</v>
      </c>
      <c r="AF68" s="522">
        <f>IF(OR(Вводные!$D$41=2,Вводные!$D$41=0),0,IF(AF62&lt;0,0,(IF(AF62&lt;$W85,$X85,IF(AND(AF62&gt;=$V86,AF62&lt;$W86),$X86,IF(AND(AF62&gt;=$V87,AF62&lt;$W87),$X87,IF(AF62&gt;=$V88,$X88,0)))))))</f>
        <v>0</v>
      </c>
      <c r="AG68" s="522">
        <f>IF(OR(Вводные!$D$41=2,Вводные!$D$41=0),0,IF(AG62&lt;0,0,(IF(AG62&lt;$W85,$X85,IF(AND(AG62&gt;=$V86,AG62&lt;$W86),$X86,IF(AND(AG62&gt;=$V87,AG62&lt;$W87),$X87,IF(AG62&gt;=$V88,$X88,0)))))))</f>
        <v>0</v>
      </c>
      <c r="AH68" s="522">
        <f>IF(OR(Вводные!$D$41=2,Вводные!$D$41=0),0,IF(AH62&lt;0,0,(IF(AH62&lt;$W85,$X85,IF(AND(AH62&gt;=$V86,AH62&lt;$W86),$X86,IF(AND(AH62&gt;=$V87,AH62&lt;$W87),$X87,IF(AH62&gt;=$V88,$X88,0)))))))</f>
        <v>0</v>
      </c>
      <c r="AI68" s="522">
        <f>IF(OR(Вводные!$D$41=2,Вводные!$D$41=0),0,IF(AI62&lt;0,0,(IF(AI62&lt;$W85,$X85,IF(AND(AI62&gt;=$V86,AI62&lt;$W86),$X86,IF(AND(AI62&gt;=$V87,AI62&lt;$W87),$X87,IF(AI62&gt;=$V88,$X88,0)))))))</f>
        <v>0</v>
      </c>
      <c r="AJ68" s="522">
        <f>IF(OR(Вводные!$D$41=2,Вводные!$D$41=0),0,IF(AJ62&lt;0,0,(IF(AJ62&lt;$W85,$X85,IF(AND(AJ62&gt;=$V86,AJ62&lt;$W86),$X86,IF(AND(AJ62&gt;=$V87,AJ62&lt;$W87),$X87,IF(AJ62&gt;=$V88,$X88,0)))))))</f>
        <v>0</v>
      </c>
      <c r="AK68" s="522">
        <f>IF(OR(Вводные!$D$41=2,Вводные!$D$41=0),0,IF(AK62&lt;0,0,(IF(AK62&lt;$W85,$X85,IF(AND(AK62&gt;=$V86,AK62&lt;$W86),$X86,IF(AND(AK62&gt;=$V87,AK62&lt;$W87),$X87,IF(AK62&gt;=$V88,$X88,0)))))))</f>
        <v>0</v>
      </c>
      <c r="AL68" s="522">
        <f>IF(OR(Вводные!$D$41=2,Вводные!$D$41=0),0,IF(AL62&lt;0,0,(IF(AL62&lt;$W85,$X85,IF(AND(AL62&gt;=$V86,AL62&lt;$W86),$X86,IF(AND(AL62&gt;=$V87,AL62&lt;$W87),$X87,IF(AL62&gt;=$V88,$X88,0)))))))</f>
        <v>0</v>
      </c>
    </row>
    <row r="69" spans="3:38" ht="15" customHeight="1" collapsed="1">
      <c r="C69" s="1059" t="s">
        <v>743</v>
      </c>
      <c r="D69" s="201">
        <f t="shared" ref="D69:T69" si="62">V69*D32</f>
        <v>7590903.1583218388</v>
      </c>
      <c r="E69" s="201">
        <f t="shared" si="62"/>
        <v>44257459.772641376</v>
      </c>
      <c r="F69" s="201">
        <f t="shared" si="62"/>
        <v>86529741.051704675</v>
      </c>
      <c r="G69" s="201">
        <f t="shared" si="62"/>
        <v>88990554.890060842</v>
      </c>
      <c r="H69" s="201">
        <f t="shared" si="62"/>
        <v>96774306.695686951</v>
      </c>
      <c r="I69" s="201">
        <f t="shared" si="62"/>
        <v>103689286.08134165</v>
      </c>
      <c r="J69" s="201">
        <f t="shared" si="62"/>
        <v>107836857.52459531</v>
      </c>
      <c r="K69" s="201">
        <f t="shared" si="62"/>
        <v>112457593.00866291</v>
      </c>
      <c r="L69" s="201">
        <f t="shared" si="62"/>
        <v>116636345.09860229</v>
      </c>
      <c r="M69" s="201">
        <f t="shared" si="62"/>
        <v>121301798.90254639</v>
      </c>
      <c r="N69" s="201">
        <f t="shared" si="62"/>
        <v>126153870.85864827</v>
      </c>
      <c r="O69" s="201">
        <f t="shared" si="62"/>
        <v>131559477.81818047</v>
      </c>
      <c r="P69" s="201">
        <f t="shared" si="62"/>
        <v>136448026.72071397</v>
      </c>
      <c r="Q69" s="201">
        <f t="shared" si="62"/>
        <v>141905947.78954253</v>
      </c>
      <c r="R69" s="201">
        <f t="shared" si="62"/>
        <v>147582185.70112425</v>
      </c>
      <c r="S69" s="201">
        <f t="shared" si="62"/>
        <v>153905981.2747286</v>
      </c>
      <c r="T69" s="201">
        <f t="shared" si="62"/>
        <v>159624892.05433601</v>
      </c>
      <c r="V69" s="113">
        <v>0.02</v>
      </c>
      <c r="W69" s="113">
        <v>0.03</v>
      </c>
      <c r="X69" s="113">
        <v>0.04</v>
      </c>
      <c r="Y69" s="113">
        <v>0.04</v>
      </c>
      <c r="Z69" s="113">
        <v>0.04</v>
      </c>
      <c r="AA69" s="113">
        <f>Z69</f>
        <v>0.04</v>
      </c>
      <c r="AB69" s="113">
        <f t="shared" ref="AB69:AL69" si="63">AA69</f>
        <v>0.04</v>
      </c>
      <c r="AC69" s="1057">
        <f t="shared" si="63"/>
        <v>0.04</v>
      </c>
      <c r="AD69" s="1057">
        <f t="shared" si="63"/>
        <v>0.04</v>
      </c>
      <c r="AE69" s="1057">
        <f t="shared" si="63"/>
        <v>0.04</v>
      </c>
      <c r="AF69" s="1057">
        <f t="shared" si="63"/>
        <v>0.04</v>
      </c>
      <c r="AG69" s="1057">
        <f t="shared" si="63"/>
        <v>0.04</v>
      </c>
      <c r="AH69" s="1057">
        <f t="shared" si="63"/>
        <v>0.04</v>
      </c>
      <c r="AI69" s="1057">
        <f t="shared" si="63"/>
        <v>0.04</v>
      </c>
      <c r="AJ69" s="1057">
        <f t="shared" si="63"/>
        <v>0.04</v>
      </c>
      <c r="AK69" s="1057">
        <f t="shared" si="63"/>
        <v>0.04</v>
      </c>
      <c r="AL69" s="1057">
        <f t="shared" si="63"/>
        <v>0.04</v>
      </c>
    </row>
    <row r="70" spans="3:38" ht="15" customHeight="1">
      <c r="C70" s="547" t="s">
        <v>741</v>
      </c>
      <c r="D70" s="548">
        <f>SUM(D64:D69)</f>
        <v>12259746.824111853</v>
      </c>
      <c r="E70" s="548">
        <f t="shared" ref="E70:T70" si="64">SUM(E64:E69)</f>
        <v>67491310.195324481</v>
      </c>
      <c r="F70" s="548">
        <f t="shared" si="64"/>
        <v>121291840.05325052</v>
      </c>
      <c r="G70" s="548">
        <f t="shared" si="64"/>
        <v>126482297.06673166</v>
      </c>
      <c r="H70" s="548">
        <f t="shared" si="64"/>
        <v>135954786.26987585</v>
      </c>
      <c r="I70" s="548">
        <f t="shared" si="64"/>
        <v>144768284.77314237</v>
      </c>
      <c r="J70" s="548">
        <f t="shared" si="64"/>
        <v>149534794.7741417</v>
      </c>
      <c r="K70" s="548">
        <f t="shared" si="64"/>
        <v>154896947.63854605</v>
      </c>
      <c r="L70" s="548">
        <f t="shared" si="64"/>
        <v>159687156.32535294</v>
      </c>
      <c r="M70" s="548">
        <f t="shared" si="64"/>
        <v>165095925.95445049</v>
      </c>
      <c r="N70" s="548">
        <f t="shared" si="64"/>
        <v>195897336.38463318</v>
      </c>
      <c r="O70" s="548">
        <f t="shared" si="64"/>
        <v>265227270.06624967</v>
      </c>
      <c r="P70" s="548">
        <f t="shared" si="64"/>
        <v>266457816.25235739</v>
      </c>
      <c r="Q70" s="548">
        <f t="shared" si="64"/>
        <v>268402587.02043712</v>
      </c>
      <c r="R70" s="548">
        <f t="shared" si="64"/>
        <v>270624221.61093163</v>
      </c>
      <c r="S70" s="548">
        <f t="shared" si="64"/>
        <v>273668477.4480772</v>
      </c>
      <c r="T70" s="548">
        <f t="shared" si="64"/>
        <v>275942823.45286727</v>
      </c>
      <c r="V70" s="573">
        <f t="shared" ref="V70:AE71" si="65">D70/D$32</f>
        <v>3.2301154601535403E-2</v>
      </c>
      <c r="W70" s="573">
        <f t="shared" si="65"/>
        <v>4.5749107975495855E-2</v>
      </c>
      <c r="X70" s="573">
        <f t="shared" si="65"/>
        <v>5.6069433967576181E-2</v>
      </c>
      <c r="Y70" s="573">
        <f t="shared" si="65"/>
        <v>5.6852009619667257E-2</v>
      </c>
      <c r="Z70" s="573">
        <f t="shared" si="65"/>
        <v>5.6194579289477915E-2</v>
      </c>
      <c r="AA70" s="573">
        <f t="shared" si="65"/>
        <v>5.5846959794698663E-2</v>
      </c>
      <c r="AB70" s="573">
        <f t="shared" si="65"/>
        <v>5.5467044647526373E-2</v>
      </c>
      <c r="AC70" s="573">
        <f t="shared" si="65"/>
        <v>5.5095238478601948E-2</v>
      </c>
      <c r="AD70" s="573">
        <f t="shared" si="65"/>
        <v>5.4764115315978482E-2</v>
      </c>
      <c r="AE70" s="573">
        <f t="shared" si="65"/>
        <v>5.4441377604659669E-2</v>
      </c>
      <c r="AF70" s="573">
        <f t="shared" ref="AF70:AL71" si="66">N70/N$32</f>
        <v>6.2113777421583978E-2</v>
      </c>
      <c r="AG70" s="573">
        <f t="shared" si="66"/>
        <v>8.0641022437867221E-2</v>
      </c>
      <c r="AH70" s="573">
        <f t="shared" si="66"/>
        <v>7.811261845442484E-2</v>
      </c>
      <c r="AI70" s="573">
        <f t="shared" si="66"/>
        <v>7.5656472812118875E-2</v>
      </c>
      <c r="AJ70" s="573">
        <f t="shared" si="66"/>
        <v>7.3348750142238905E-2</v>
      </c>
      <c r="AK70" s="573">
        <f t="shared" si="66"/>
        <v>7.1126144723269086E-2</v>
      </c>
      <c r="AL70" s="573">
        <f t="shared" si="66"/>
        <v>6.9147817712274309E-2</v>
      </c>
    </row>
    <row r="71" spans="3:38" ht="15" customHeight="1">
      <c r="C71" s="547" t="s">
        <v>744</v>
      </c>
      <c r="D71" s="1035">
        <f>D62-D70</f>
        <v>158210529.79225972</v>
      </c>
      <c r="E71" s="1035">
        <f t="shared" ref="E71:T71" si="67">E62-E70</f>
        <v>552557015.26813841</v>
      </c>
      <c r="F71" s="1035">
        <f t="shared" si="67"/>
        <v>870884090.18437552</v>
      </c>
      <c r="G71" s="548">
        <f t="shared" si="67"/>
        <v>883589846.7302649</v>
      </c>
      <c r="H71" s="548">
        <f t="shared" si="67"/>
        <v>1007699363.6855656</v>
      </c>
      <c r="I71" s="1035">
        <f t="shared" si="67"/>
        <v>1103079430.1800222</v>
      </c>
      <c r="J71" s="548">
        <f t="shared" si="67"/>
        <v>1137584760.5151567</v>
      </c>
      <c r="K71" s="548">
        <f t="shared" si="67"/>
        <v>1187374799.0061629</v>
      </c>
      <c r="L71" s="548">
        <f t="shared" si="67"/>
        <v>1232461354.6755526</v>
      </c>
      <c r="M71" s="548">
        <f t="shared" si="67"/>
        <v>1282738525.4864912</v>
      </c>
      <c r="N71" s="548">
        <f t="shared" si="67"/>
        <v>1309850493.1139464</v>
      </c>
      <c r="O71" s="548">
        <f t="shared" si="67"/>
        <v>1305040822.5922141</v>
      </c>
      <c r="P71" s="548">
        <f t="shared" si="67"/>
        <v>1362159036.1333063</v>
      </c>
      <c r="Q71" s="548">
        <f t="shared" si="67"/>
        <v>1425358939.4606533</v>
      </c>
      <c r="R71" s="548">
        <f t="shared" si="67"/>
        <v>1490887765.9294031</v>
      </c>
      <c r="S71" s="548">
        <f t="shared" si="67"/>
        <v>1563323092.2433009</v>
      </c>
      <c r="T71" s="548">
        <f t="shared" si="67"/>
        <v>1629308542.2707591</v>
      </c>
      <c r="V71" s="573">
        <f t="shared" si="65"/>
        <v>0.41684244020111083</v>
      </c>
      <c r="W71" s="573">
        <f t="shared" si="65"/>
        <v>0.37455178275485601</v>
      </c>
      <c r="X71" s="573">
        <f t="shared" si="65"/>
        <v>0.40258254773419028</v>
      </c>
      <c r="Y71" s="573">
        <f t="shared" si="65"/>
        <v>0.39716118090143565</v>
      </c>
      <c r="Z71" s="573">
        <f t="shared" si="65"/>
        <v>0.41651525000508294</v>
      </c>
      <c r="AA71" s="573">
        <f t="shared" si="65"/>
        <v>0.42553265505741222</v>
      </c>
      <c r="AB71" s="573">
        <f t="shared" si="65"/>
        <v>0.42196510047808017</v>
      </c>
      <c r="AC71" s="573">
        <f t="shared" si="65"/>
        <v>0.42233690664700468</v>
      </c>
      <c r="AD71" s="573">
        <f t="shared" si="65"/>
        <v>0.42266802980962809</v>
      </c>
      <c r="AE71" s="573">
        <f t="shared" si="65"/>
        <v>0.42299076752094689</v>
      </c>
      <c r="AF71" s="573">
        <f t="shared" si="66"/>
        <v>0.41531836770402258</v>
      </c>
      <c r="AG71" s="573">
        <f t="shared" si="66"/>
        <v>0.39679112268773931</v>
      </c>
      <c r="AH71" s="573">
        <f t="shared" si="66"/>
        <v>0.3993195266711817</v>
      </c>
      <c r="AI71" s="573">
        <f t="shared" si="66"/>
        <v>0.40177567231348771</v>
      </c>
      <c r="AJ71" s="573">
        <f t="shared" si="66"/>
        <v>0.40408339498336776</v>
      </c>
      <c r="AK71" s="573">
        <f t="shared" si="66"/>
        <v>0.40630600040233761</v>
      </c>
      <c r="AL71" s="573">
        <f t="shared" si="66"/>
        <v>0.40828432741333237</v>
      </c>
    </row>
    <row r="72" spans="3:38" ht="15" customHeight="1">
      <c r="C72" s="1854" t="s">
        <v>1286</v>
      </c>
      <c r="D72" s="201">
        <f>D71/D7</f>
        <v>606170.61223088019</v>
      </c>
      <c r="E72" s="201">
        <f t="shared" ref="E72:T72" si="68">E71/E7</f>
        <v>988474.08813620463</v>
      </c>
      <c r="F72" s="201">
        <f t="shared" si="68"/>
        <v>1557932.1827985251</v>
      </c>
      <c r="G72" s="201">
        <f t="shared" si="68"/>
        <v>1580661.6220577189</v>
      </c>
      <c r="H72" s="201">
        <f t="shared" si="68"/>
        <v>1802682.2248400101</v>
      </c>
      <c r="I72" s="201">
        <f t="shared" si="68"/>
        <v>1973308.4618605049</v>
      </c>
      <c r="J72" s="201">
        <f t="shared" si="68"/>
        <v>2035035.3497587778</v>
      </c>
      <c r="K72" s="201">
        <f t="shared" si="68"/>
        <v>2124105.1860575364</v>
      </c>
      <c r="L72" s="201">
        <f t="shared" si="68"/>
        <v>2204760.9207076076</v>
      </c>
      <c r="M72" s="201">
        <f t="shared" si="68"/>
        <v>2294702.1922835265</v>
      </c>
      <c r="N72" s="201">
        <f t="shared" si="68"/>
        <v>2343203.0288263801</v>
      </c>
      <c r="O72" s="201">
        <f t="shared" si="68"/>
        <v>2334598.9670701507</v>
      </c>
      <c r="P72" s="201">
        <f t="shared" si="68"/>
        <v>2436778.2399522471</v>
      </c>
      <c r="Q72" s="201">
        <f t="shared" si="68"/>
        <v>2549837.1010029577</v>
      </c>
      <c r="R72" s="201">
        <f t="shared" si="68"/>
        <v>2667062.1930758553</v>
      </c>
      <c r="S72" s="201">
        <f t="shared" si="68"/>
        <v>2796642.3832617188</v>
      </c>
      <c r="T72" s="201">
        <f t="shared" si="68"/>
        <v>2914684.3332213936</v>
      </c>
      <c r="V72" s="1137"/>
      <c r="W72" s="1137"/>
      <c r="X72" s="1137"/>
      <c r="Y72" s="1137"/>
      <c r="Z72" s="1137"/>
      <c r="AA72" s="1137"/>
      <c r="AB72" s="1137"/>
      <c r="AC72" s="1137"/>
      <c r="AD72" s="1137"/>
      <c r="AE72" s="1137"/>
      <c r="AF72" s="1137"/>
      <c r="AG72" s="1137"/>
      <c r="AH72" s="1137"/>
      <c r="AI72" s="1137"/>
      <c r="AJ72" s="1137"/>
      <c r="AK72" s="1137"/>
      <c r="AL72" s="1137"/>
    </row>
    <row r="73" spans="3:38" ht="15" customHeight="1">
      <c r="C73" s="1856" t="s">
        <v>1383</v>
      </c>
      <c r="D73" s="1855">
        <f>V71</f>
        <v>0.41684244020111083</v>
      </c>
      <c r="E73" s="1855">
        <f t="shared" ref="E73:T73" si="69">W71</f>
        <v>0.37455178275485601</v>
      </c>
      <c r="F73" s="1855">
        <f t="shared" si="69"/>
        <v>0.40258254773419028</v>
      </c>
      <c r="G73" s="1855">
        <f t="shared" si="69"/>
        <v>0.39716118090143565</v>
      </c>
      <c r="H73" s="1855">
        <f t="shared" si="69"/>
        <v>0.41651525000508294</v>
      </c>
      <c r="I73" s="1855">
        <f t="shared" si="69"/>
        <v>0.42553265505741222</v>
      </c>
      <c r="J73" s="1855">
        <f t="shared" si="69"/>
        <v>0.42196510047808017</v>
      </c>
      <c r="K73" s="1855">
        <f t="shared" si="69"/>
        <v>0.42233690664700468</v>
      </c>
      <c r="L73" s="1855">
        <f t="shared" si="69"/>
        <v>0.42266802980962809</v>
      </c>
      <c r="M73" s="1855">
        <f t="shared" si="69"/>
        <v>0.42299076752094689</v>
      </c>
      <c r="N73" s="1855">
        <f t="shared" si="69"/>
        <v>0.41531836770402258</v>
      </c>
      <c r="O73" s="1855">
        <f t="shared" si="69"/>
        <v>0.39679112268773931</v>
      </c>
      <c r="P73" s="1855">
        <f t="shared" si="69"/>
        <v>0.3993195266711817</v>
      </c>
      <c r="Q73" s="1855">
        <f t="shared" si="69"/>
        <v>0.40177567231348771</v>
      </c>
      <c r="R73" s="1855">
        <f t="shared" si="69"/>
        <v>0.40408339498336776</v>
      </c>
      <c r="S73" s="1855">
        <f t="shared" si="69"/>
        <v>0.40630600040233761</v>
      </c>
      <c r="T73" s="1855">
        <f t="shared" si="69"/>
        <v>0.40828432741333237</v>
      </c>
      <c r="V73" s="1137"/>
      <c r="W73" s="1137"/>
      <c r="X73" s="1137"/>
      <c r="Y73" s="1137"/>
      <c r="Z73" s="1137"/>
      <c r="AA73" s="1137"/>
      <c r="AB73" s="1137"/>
      <c r="AC73" s="1137"/>
      <c r="AD73" s="1137"/>
      <c r="AE73" s="1137"/>
      <c r="AF73" s="1137"/>
      <c r="AG73" s="1137"/>
      <c r="AH73" s="1137"/>
      <c r="AI73" s="1137"/>
      <c r="AJ73" s="1137"/>
      <c r="AK73" s="1137"/>
      <c r="AL73" s="1137"/>
    </row>
    <row r="74" spans="3:38" ht="15" customHeight="1">
      <c r="C74" s="1630"/>
      <c r="D74" s="1626"/>
      <c r="E74" s="1626"/>
      <c r="F74" s="1626"/>
      <c r="G74" s="1536"/>
      <c r="H74" s="1536"/>
      <c r="I74" s="1536"/>
      <c r="J74" s="1536"/>
      <c r="K74" s="1136"/>
      <c r="L74" s="1136"/>
      <c r="M74" s="1136"/>
      <c r="N74" s="1136"/>
      <c r="O74" s="1136"/>
      <c r="P74" s="1136"/>
      <c r="Q74" s="1136"/>
      <c r="R74" s="1136"/>
      <c r="S74" s="1136"/>
      <c r="T74" s="1136"/>
      <c r="V74" s="1137"/>
      <c r="W74" s="1137"/>
      <c r="X74" s="1137"/>
      <c r="Y74" s="1137"/>
      <c r="Z74" s="1137"/>
      <c r="AA74" s="1137"/>
      <c r="AB74" s="1137"/>
      <c r="AC74" s="1137"/>
      <c r="AD74" s="1137"/>
      <c r="AE74" s="1137"/>
      <c r="AF74" s="1137"/>
      <c r="AG74" s="1137"/>
      <c r="AH74" s="1137"/>
      <c r="AI74" s="1137"/>
      <c r="AJ74" s="1137"/>
      <c r="AK74" s="1137"/>
      <c r="AL74" s="1137"/>
    </row>
    <row r="75" spans="3:38" ht="15" customHeight="1">
      <c r="C75" s="1630"/>
      <c r="D75" s="1626"/>
      <c r="E75" s="1626"/>
      <c r="F75" s="1626"/>
      <c r="G75" s="1536"/>
      <c r="H75" s="1536"/>
      <c r="I75" s="1536"/>
      <c r="J75" s="1536"/>
      <c r="K75" s="1136"/>
      <c r="L75" s="1136"/>
      <c r="M75" s="1136"/>
      <c r="N75" s="1136"/>
      <c r="O75" s="1136"/>
      <c r="P75" s="1136"/>
      <c r="Q75" s="1136"/>
      <c r="R75" s="1136"/>
      <c r="S75" s="1136"/>
      <c r="T75" s="1136"/>
      <c r="V75" s="1137"/>
      <c r="W75" s="1137"/>
      <c r="X75" s="1137"/>
      <c r="Y75" s="1137"/>
      <c r="Z75" s="1137"/>
      <c r="AA75" s="1137"/>
      <c r="AB75" s="1137"/>
      <c r="AC75" s="1137"/>
      <c r="AD75" s="1137"/>
      <c r="AE75" s="1137"/>
      <c r="AF75" s="1137"/>
      <c r="AG75" s="1137"/>
      <c r="AH75" s="1137"/>
      <c r="AI75" s="1137"/>
      <c r="AJ75" s="1137"/>
      <c r="AK75" s="1137"/>
      <c r="AL75" s="1137"/>
    </row>
    <row r="76" spans="3:38" ht="15" customHeight="1">
      <c r="C76" s="1059" t="s">
        <v>907</v>
      </c>
      <c r="D76" s="160">
        <v>7.0000000000000007E-2</v>
      </c>
      <c r="F76" s="1536"/>
      <c r="G76" s="1536"/>
      <c r="H76" s="1536"/>
      <c r="I76" s="1536"/>
      <c r="J76" s="1536"/>
    </row>
    <row r="77" spans="3:38" ht="15" customHeight="1">
      <c r="C77" s="1118" t="s">
        <v>1283</v>
      </c>
      <c r="D77" s="1052"/>
      <c r="E77" s="1052"/>
      <c r="F77" s="1052"/>
      <c r="G77" s="1052">
        <f>(G71-(G39-G47))/$D$76</f>
        <v>10937269258.385284</v>
      </c>
      <c r="H77" s="1052">
        <f>(H71-(H39-H47))/$D$76</f>
        <v>12588994125.794395</v>
      </c>
      <c r="I77" s="1139">
        <f>(I71-(I39-I47))/$D$76</f>
        <v>13879298061.498085</v>
      </c>
      <c r="J77" s="1052">
        <f>(J71-(J39-J47))/$D$76</f>
        <v>14297072171.499916</v>
      </c>
    </row>
    <row r="78" spans="3:38" ht="15" customHeight="1">
      <c r="C78" s="1059" t="s">
        <v>1284</v>
      </c>
      <c r="D78" s="201"/>
      <c r="E78" s="201"/>
      <c r="F78" s="201"/>
      <c r="G78" s="201">
        <f>G77/G7</f>
        <v>19565776.848631993</v>
      </c>
      <c r="H78" s="201">
        <f>H77/H7</f>
        <v>22520561.942387111</v>
      </c>
      <c r="I78" s="201">
        <f>I77/I7</f>
        <v>24828797.963323943</v>
      </c>
      <c r="J78" s="201">
        <f>J77/J7</f>
        <v>25576157.730769079</v>
      </c>
    </row>
    <row r="79" spans="3:38" ht="15" customHeight="1">
      <c r="C79" s="1059" t="s">
        <v>1309</v>
      </c>
      <c r="D79" s="1652"/>
      <c r="E79" s="1139">
        <f>I77/1.04^4</f>
        <v>11864082151.51931</v>
      </c>
      <c r="F79" s="1536"/>
      <c r="G79" s="1536"/>
      <c r="H79" s="1536"/>
      <c r="I79" s="1536"/>
      <c r="J79" s="1536"/>
    </row>
    <row r="80" spans="3:38" ht="15" customHeight="1">
      <c r="D80" s="198"/>
      <c r="F80" s="1536"/>
      <c r="G80" s="1536"/>
      <c r="H80" s="1536"/>
      <c r="I80" s="1536"/>
      <c r="J80" s="1536"/>
    </row>
    <row r="81" spans="2:43" ht="15" customHeight="1">
      <c r="D81" s="198"/>
    </row>
    <row r="82" spans="2:43" ht="15" customHeight="1">
      <c r="C82" s="521" t="s">
        <v>738</v>
      </c>
      <c r="D82" s="1054">
        <f t="shared" ref="D82:T82" si="70">D3</f>
        <v>2025</v>
      </c>
      <c r="E82" s="1054">
        <f t="shared" si="70"/>
        <v>2026</v>
      </c>
      <c r="F82" s="1054">
        <f t="shared" si="70"/>
        <v>2027</v>
      </c>
      <c r="G82" s="1054">
        <f t="shared" si="70"/>
        <v>2028</v>
      </c>
      <c r="H82" s="1054">
        <f t="shared" si="70"/>
        <v>2029</v>
      </c>
      <c r="I82" s="1054">
        <f t="shared" si="70"/>
        <v>2030</v>
      </c>
      <c r="J82" s="1054">
        <f t="shared" si="70"/>
        <v>2031</v>
      </c>
      <c r="K82" s="1054">
        <f t="shared" si="70"/>
        <v>2032</v>
      </c>
      <c r="L82" s="1054">
        <f t="shared" si="70"/>
        <v>2033</v>
      </c>
      <c r="M82" s="1054">
        <f t="shared" si="70"/>
        <v>2034</v>
      </c>
      <c r="N82" s="1054">
        <f t="shared" si="70"/>
        <v>2035</v>
      </c>
      <c r="O82" s="1054">
        <f t="shared" si="70"/>
        <v>2036</v>
      </c>
      <c r="P82" s="1054">
        <f t="shared" si="70"/>
        <v>2037</v>
      </c>
      <c r="Q82" s="1054">
        <f t="shared" si="70"/>
        <v>2038</v>
      </c>
      <c r="R82" s="1054">
        <f t="shared" si="70"/>
        <v>2039</v>
      </c>
      <c r="S82" s="1054">
        <f t="shared" si="70"/>
        <v>2040</v>
      </c>
      <c r="T82" s="1054">
        <f t="shared" si="70"/>
        <v>2041</v>
      </c>
    </row>
    <row r="83" spans="2:43" ht="15" customHeight="1">
      <c r="C83" s="202" t="str">
        <f>C50</f>
        <v>Администрация и управление</v>
      </c>
      <c r="D83" s="160">
        <v>0.5</v>
      </c>
      <c r="E83" s="160">
        <v>0.83</v>
      </c>
      <c r="F83" s="160">
        <v>0.85</v>
      </c>
      <c r="G83" s="160">
        <v>0.9</v>
      </c>
      <c r="H83" s="160">
        <v>0.93</v>
      </c>
      <c r="I83" s="160">
        <v>0.95</v>
      </c>
      <c r="J83" s="160">
        <v>1</v>
      </c>
      <c r="K83" s="160">
        <f t="shared" ref="K83:T83" si="71">J83</f>
        <v>1</v>
      </c>
      <c r="L83" s="160">
        <f t="shared" si="71"/>
        <v>1</v>
      </c>
      <c r="M83" s="160">
        <f t="shared" si="71"/>
        <v>1</v>
      </c>
      <c r="N83" s="160">
        <f t="shared" si="71"/>
        <v>1</v>
      </c>
      <c r="O83" s="160">
        <f t="shared" si="71"/>
        <v>1</v>
      </c>
      <c r="P83" s="160">
        <f t="shared" si="71"/>
        <v>1</v>
      </c>
      <c r="Q83" s="160">
        <f t="shared" si="71"/>
        <v>1</v>
      </c>
      <c r="R83" s="160">
        <f t="shared" si="71"/>
        <v>1</v>
      </c>
      <c r="S83" s="160">
        <f t="shared" si="71"/>
        <v>1</v>
      </c>
      <c r="T83" s="160">
        <f t="shared" si="71"/>
        <v>1</v>
      </c>
      <c r="V83" s="1065" t="s">
        <v>1025</v>
      </c>
      <c r="AM83" s="534"/>
      <c r="AN83" s="534"/>
      <c r="AO83" s="534"/>
      <c r="AP83" s="534"/>
      <c r="AQ83" s="534"/>
    </row>
    <row r="84" spans="2:43" ht="25.5">
      <c r="C84" s="202" t="str">
        <f>C53</f>
        <v>Продажи и маркетинг</v>
      </c>
      <c r="D84" s="160">
        <v>0.55000000000000004</v>
      </c>
      <c r="E84" s="160">
        <v>0.83</v>
      </c>
      <c r="F84" s="160">
        <v>0.85</v>
      </c>
      <c r="G84" s="160">
        <v>0.9</v>
      </c>
      <c r="H84" s="160">
        <v>0.93</v>
      </c>
      <c r="I84" s="160">
        <v>0.95</v>
      </c>
      <c r="J84" s="160">
        <v>1</v>
      </c>
      <c r="K84" s="160">
        <f t="shared" ref="K84:T84" si="72">J84</f>
        <v>1</v>
      </c>
      <c r="L84" s="160">
        <f t="shared" si="72"/>
        <v>1</v>
      </c>
      <c r="M84" s="160">
        <f t="shared" si="72"/>
        <v>1</v>
      </c>
      <c r="N84" s="160">
        <f t="shared" si="72"/>
        <v>1</v>
      </c>
      <c r="O84" s="160">
        <f t="shared" si="72"/>
        <v>1</v>
      </c>
      <c r="P84" s="160">
        <f t="shared" si="72"/>
        <v>1</v>
      </c>
      <c r="Q84" s="160">
        <f t="shared" si="72"/>
        <v>1</v>
      </c>
      <c r="R84" s="160">
        <f t="shared" si="72"/>
        <v>1</v>
      </c>
      <c r="S84" s="160">
        <f t="shared" si="72"/>
        <v>1</v>
      </c>
      <c r="T84" s="160">
        <f t="shared" si="72"/>
        <v>1</v>
      </c>
      <c r="V84" s="1404" t="s">
        <v>1026</v>
      </c>
      <c r="W84" s="1404" t="s">
        <v>1027</v>
      </c>
      <c r="X84" s="1404" t="s">
        <v>1028</v>
      </c>
      <c r="AM84" s="534"/>
      <c r="AN84" s="534"/>
      <c r="AO84" s="534"/>
      <c r="AP84" s="534"/>
      <c r="AQ84" s="534"/>
    </row>
    <row r="85" spans="2:43" ht="15" customHeight="1">
      <c r="C85" s="202" t="str">
        <f>C57</f>
        <v>Текущий ремонт и эксплуатация</v>
      </c>
      <c r="D85" s="160">
        <v>0.82</v>
      </c>
      <c r="E85" s="160">
        <v>0.85</v>
      </c>
      <c r="F85" s="160">
        <v>0.88</v>
      </c>
      <c r="G85" s="160">
        <v>0.90999999999999992</v>
      </c>
      <c r="H85" s="160">
        <v>0.94</v>
      </c>
      <c r="I85" s="160">
        <v>0.97</v>
      </c>
      <c r="J85" s="160">
        <v>1</v>
      </c>
      <c r="K85" s="160">
        <f t="shared" ref="K85:T85" si="73">J85</f>
        <v>1</v>
      </c>
      <c r="L85" s="160">
        <f t="shared" si="73"/>
        <v>1</v>
      </c>
      <c r="M85" s="160">
        <f t="shared" si="73"/>
        <v>1</v>
      </c>
      <c r="N85" s="160">
        <f t="shared" si="73"/>
        <v>1</v>
      </c>
      <c r="O85" s="160">
        <f t="shared" si="73"/>
        <v>1</v>
      </c>
      <c r="P85" s="160">
        <f t="shared" si="73"/>
        <v>1</v>
      </c>
      <c r="Q85" s="160">
        <f t="shared" si="73"/>
        <v>1</v>
      </c>
      <c r="R85" s="160">
        <f t="shared" si="73"/>
        <v>1</v>
      </c>
      <c r="S85" s="160">
        <f t="shared" si="73"/>
        <v>1</v>
      </c>
      <c r="T85" s="160">
        <f t="shared" si="73"/>
        <v>1</v>
      </c>
      <c r="V85" s="113"/>
      <c r="W85" s="113">
        <v>0.25</v>
      </c>
      <c r="X85" s="113">
        <v>0.06</v>
      </c>
      <c r="AM85" s="534"/>
      <c r="AN85" s="534"/>
      <c r="AO85" s="534"/>
      <c r="AP85" s="534"/>
      <c r="AQ85" s="534"/>
    </row>
    <row r="86" spans="2:43" ht="15" customHeight="1">
      <c r="B86" s="131">
        <v>130000</v>
      </c>
      <c r="C86" s="519" t="s">
        <v>739</v>
      </c>
      <c r="D86" s="201">
        <f t="shared" ref="D86:T86" si="74">$B$86*V1*D85</f>
        <v>124706.92249600001</v>
      </c>
      <c r="E86" s="201">
        <f t="shared" si="74"/>
        <v>134440.14571520005</v>
      </c>
      <c r="F86" s="201">
        <f t="shared" si="74"/>
        <v>144752.49571594244</v>
      </c>
      <c r="G86" s="201">
        <f t="shared" si="74"/>
        <v>155674.72948359992</v>
      </c>
      <c r="H86" s="201">
        <f t="shared" si="74"/>
        <v>167239.13795952449</v>
      </c>
      <c r="I86" s="201">
        <f t="shared" si="74"/>
        <v>179479.61954634928</v>
      </c>
      <c r="J86" s="201">
        <f t="shared" si="74"/>
        <v>192431.7570393848</v>
      </c>
      <c r="K86" s="201">
        <f t="shared" si="74"/>
        <v>200129.02732096022</v>
      </c>
      <c r="L86" s="201">
        <f t="shared" si="74"/>
        <v>208134.18841379863</v>
      </c>
      <c r="M86" s="201">
        <f t="shared" si="74"/>
        <v>216459.55595035056</v>
      </c>
      <c r="N86" s="201">
        <f t="shared" si="74"/>
        <v>225117.93818836458</v>
      </c>
      <c r="O86" s="201">
        <f t="shared" si="74"/>
        <v>234122.65571589916</v>
      </c>
      <c r="P86" s="201">
        <f t="shared" si="74"/>
        <v>243487.56194453515</v>
      </c>
      <c r="Q86" s="201">
        <f t="shared" si="74"/>
        <v>253227.06442231656</v>
      </c>
      <c r="R86" s="201">
        <f t="shared" si="74"/>
        <v>263356.14699920925</v>
      </c>
      <c r="S86" s="201">
        <f t="shared" si="74"/>
        <v>273890.39287917758</v>
      </c>
      <c r="T86" s="201">
        <f t="shared" si="74"/>
        <v>284846.00859434472</v>
      </c>
      <c r="V86" s="113">
        <v>0.25</v>
      </c>
      <c r="W86" s="113">
        <v>0.35</v>
      </c>
      <c r="X86" s="113">
        <v>7.0000000000000007E-2</v>
      </c>
      <c r="AM86" s="534"/>
      <c r="AN86" s="534"/>
      <c r="AO86" s="534"/>
      <c r="AP86" s="534"/>
      <c r="AQ86" s="534"/>
    </row>
    <row r="87" spans="2:43" ht="15" customHeight="1">
      <c r="C87" s="202" t="str">
        <f>C60</f>
        <v>Коммунальные затраты</v>
      </c>
      <c r="D87" s="160">
        <v>0.82</v>
      </c>
      <c r="E87" s="160">
        <v>0.85</v>
      </c>
      <c r="F87" s="160">
        <v>0.88</v>
      </c>
      <c r="G87" s="160">
        <v>0.90999999999999992</v>
      </c>
      <c r="H87" s="160">
        <v>0.94</v>
      </c>
      <c r="I87" s="160">
        <v>0.97</v>
      </c>
      <c r="J87" s="160">
        <v>1</v>
      </c>
      <c r="K87" s="160">
        <f t="shared" ref="K87:T87" si="75">J87</f>
        <v>1</v>
      </c>
      <c r="L87" s="160">
        <f t="shared" si="75"/>
        <v>1</v>
      </c>
      <c r="M87" s="160">
        <f t="shared" si="75"/>
        <v>1</v>
      </c>
      <c r="N87" s="160">
        <f t="shared" si="75"/>
        <v>1</v>
      </c>
      <c r="O87" s="160">
        <f t="shared" si="75"/>
        <v>1</v>
      </c>
      <c r="P87" s="160">
        <f t="shared" si="75"/>
        <v>1</v>
      </c>
      <c r="Q87" s="160">
        <f t="shared" si="75"/>
        <v>1</v>
      </c>
      <c r="R87" s="160">
        <f t="shared" si="75"/>
        <v>1</v>
      </c>
      <c r="S87" s="160">
        <f t="shared" si="75"/>
        <v>1</v>
      </c>
      <c r="T87" s="160">
        <f t="shared" si="75"/>
        <v>1</v>
      </c>
      <c r="V87" s="113">
        <v>0.35</v>
      </c>
      <c r="W87" s="113">
        <v>0.45</v>
      </c>
      <c r="X87" s="113">
        <v>0.08</v>
      </c>
      <c r="AM87" s="534"/>
      <c r="AN87" s="534"/>
      <c r="AO87" s="534"/>
      <c r="AP87" s="534"/>
      <c r="AQ87" s="534"/>
    </row>
    <row r="88" spans="2:43" ht="15" customHeight="1">
      <c r="B88" s="131">
        <v>90000</v>
      </c>
      <c r="C88" s="519" t="s">
        <v>739</v>
      </c>
      <c r="D88" s="201">
        <f t="shared" ref="D88:T88" si="76">$B$88*V1*D87</f>
        <v>86335.561728000015</v>
      </c>
      <c r="E88" s="201">
        <f t="shared" si="76"/>
        <v>93073.947033600023</v>
      </c>
      <c r="F88" s="201">
        <f t="shared" si="76"/>
        <v>100213.26626488323</v>
      </c>
      <c r="G88" s="201">
        <f t="shared" si="76"/>
        <v>107774.81271941533</v>
      </c>
      <c r="H88" s="201">
        <f t="shared" si="76"/>
        <v>115780.94166428618</v>
      </c>
      <c r="I88" s="201">
        <f t="shared" si="76"/>
        <v>124255.12122439565</v>
      </c>
      <c r="J88" s="201">
        <f t="shared" si="76"/>
        <v>133221.98564265101</v>
      </c>
      <c r="K88" s="201">
        <f t="shared" si="76"/>
        <v>138550.86506835706</v>
      </c>
      <c r="L88" s="201">
        <f t="shared" si="76"/>
        <v>144092.89967109135</v>
      </c>
      <c r="M88" s="201">
        <f t="shared" si="76"/>
        <v>149856.61565793501</v>
      </c>
      <c r="N88" s="201">
        <f t="shared" si="76"/>
        <v>155850.8802842524</v>
      </c>
      <c r="O88" s="201">
        <f t="shared" si="76"/>
        <v>162084.9154956225</v>
      </c>
      <c r="P88" s="201">
        <f t="shared" si="76"/>
        <v>168568.31211544742</v>
      </c>
      <c r="Q88" s="201">
        <f t="shared" si="76"/>
        <v>175311.04460006533</v>
      </c>
      <c r="R88" s="201">
        <f t="shared" si="76"/>
        <v>182323.48638406795</v>
      </c>
      <c r="S88" s="201">
        <f t="shared" si="76"/>
        <v>189616.42583943065</v>
      </c>
      <c r="T88" s="201">
        <f t="shared" si="76"/>
        <v>197201.08287300786</v>
      </c>
      <c r="V88" s="113">
        <v>0.45</v>
      </c>
      <c r="W88" s="113"/>
      <c r="X88" s="113">
        <v>0.09</v>
      </c>
      <c r="AM88" s="534"/>
      <c r="AN88" s="534"/>
      <c r="AO88" s="534"/>
      <c r="AP88" s="534"/>
      <c r="AQ88" s="534"/>
    </row>
    <row r="89" spans="2:43" ht="15" customHeight="1">
      <c r="D89" s="197"/>
      <c r="AM89" s="534"/>
      <c r="AN89" s="534"/>
      <c r="AO89" s="534"/>
      <c r="AP89" s="534"/>
      <c r="AQ89" s="534"/>
    </row>
    <row r="90" spans="2:43" ht="15" customHeight="1">
      <c r="C90" s="1055" t="s">
        <v>740</v>
      </c>
      <c r="D90" s="198"/>
      <c r="E90" s="534"/>
      <c r="F90" s="534"/>
      <c r="G90" s="534"/>
      <c r="H90" s="534"/>
      <c r="I90" s="534"/>
      <c r="J90" s="534"/>
      <c r="K90" s="534"/>
      <c r="L90" s="534"/>
      <c r="M90" s="534"/>
      <c r="N90" s="534"/>
      <c r="O90" s="534"/>
      <c r="P90" s="534"/>
      <c r="Q90" s="534"/>
      <c r="R90" s="534"/>
      <c r="S90" s="534"/>
      <c r="T90" s="534"/>
    </row>
    <row r="91" spans="2:43" ht="15" customHeight="1">
      <c r="C91" s="521" t="str">
        <f>C50</f>
        <v>Администрация и управление</v>
      </c>
      <c r="D91" s="556">
        <f t="shared" ref="D91:T91" si="77">D50/V1</f>
        <v>18367655.587950017</v>
      </c>
      <c r="E91" s="556">
        <f t="shared" si="77"/>
        <v>70413296.655952454</v>
      </c>
      <c r="F91" s="556">
        <f t="shared" si="77"/>
        <v>78354284.504332125</v>
      </c>
      <c r="G91" s="556">
        <f t="shared" si="77"/>
        <v>76126235.262479737</v>
      </c>
      <c r="H91" s="556">
        <f t="shared" si="77"/>
        <v>75245810.449559003</v>
      </c>
      <c r="I91" s="556">
        <f t="shared" si="77"/>
        <v>77033947.181157067</v>
      </c>
      <c r="J91" s="556">
        <f t="shared" si="77"/>
        <v>80033947.181157038</v>
      </c>
      <c r="K91" s="556">
        <f t="shared" si="77"/>
        <v>80253218.269324616</v>
      </c>
      <c r="L91" s="556">
        <f t="shared" si="77"/>
        <v>80033947.181157053</v>
      </c>
      <c r="M91" s="556">
        <f t="shared" si="77"/>
        <v>80033947.181157053</v>
      </c>
      <c r="N91" s="556">
        <f t="shared" si="77"/>
        <v>80033947.181157053</v>
      </c>
      <c r="O91" s="556">
        <f t="shared" si="77"/>
        <v>80253218.269324616</v>
      </c>
      <c r="P91" s="556">
        <f t="shared" si="77"/>
        <v>80033947.181157053</v>
      </c>
      <c r="Q91" s="556">
        <f t="shared" si="77"/>
        <v>80033947.181157038</v>
      </c>
      <c r="R91" s="556">
        <f t="shared" si="77"/>
        <v>80033947.181157067</v>
      </c>
      <c r="S91" s="556">
        <f t="shared" si="77"/>
        <v>80253218.269324616</v>
      </c>
      <c r="T91" s="556">
        <f t="shared" si="77"/>
        <v>80033947.181157067</v>
      </c>
    </row>
    <row r="92" spans="2:43" ht="15" customHeight="1">
      <c r="C92" s="519" t="s">
        <v>25</v>
      </c>
      <c r="D92" s="201">
        <f t="shared" ref="D92:T92" si="78">D51/V1</f>
        <v>15123287.671232875</v>
      </c>
      <c r="E92" s="201">
        <f t="shared" si="78"/>
        <v>49799999.999999993</v>
      </c>
      <c r="F92" s="201">
        <f t="shared" si="78"/>
        <v>51000000</v>
      </c>
      <c r="G92" s="201">
        <f t="shared" si="78"/>
        <v>54147945.205479451</v>
      </c>
      <c r="H92" s="201">
        <f t="shared" si="78"/>
        <v>55800000</v>
      </c>
      <c r="I92" s="201">
        <f t="shared" si="78"/>
        <v>57000000</v>
      </c>
      <c r="J92" s="201">
        <f t="shared" si="78"/>
        <v>60000000</v>
      </c>
      <c r="K92" s="201">
        <f t="shared" si="78"/>
        <v>60164383.561643846</v>
      </c>
      <c r="L92" s="201">
        <f t="shared" si="78"/>
        <v>60000000</v>
      </c>
      <c r="M92" s="201">
        <f t="shared" si="78"/>
        <v>60000000</v>
      </c>
      <c r="N92" s="201">
        <f t="shared" si="78"/>
        <v>60000000</v>
      </c>
      <c r="O92" s="201">
        <f t="shared" si="78"/>
        <v>60164383.561643839</v>
      </c>
      <c r="P92" s="201">
        <f t="shared" si="78"/>
        <v>59999999.999999993</v>
      </c>
      <c r="Q92" s="201">
        <f t="shared" si="78"/>
        <v>59999999.999999993</v>
      </c>
      <c r="R92" s="201">
        <f t="shared" si="78"/>
        <v>60000000</v>
      </c>
      <c r="S92" s="201">
        <f t="shared" si="78"/>
        <v>60164383.561643831</v>
      </c>
      <c r="T92" s="201">
        <f t="shared" si="78"/>
        <v>60000000</v>
      </c>
    </row>
    <row r="93" spans="2:43" ht="15" customHeight="1">
      <c r="C93" s="519" t="s">
        <v>731</v>
      </c>
      <c r="D93" s="201">
        <f t="shared" ref="D93:T93" si="79">D52/V1</f>
        <v>3244367.9167171447</v>
      </c>
      <c r="E93" s="201">
        <f t="shared" si="79"/>
        <v>20613296.655952461</v>
      </c>
      <c r="F93" s="201">
        <f t="shared" si="79"/>
        <v>27354284.504332121</v>
      </c>
      <c r="G93" s="201">
        <f t="shared" si="79"/>
        <v>21978290.057000291</v>
      </c>
      <c r="H93" s="201">
        <f t="shared" si="79"/>
        <v>19445810.449558996</v>
      </c>
      <c r="I93" s="201">
        <f t="shared" si="79"/>
        <v>20033947.181157053</v>
      </c>
      <c r="J93" s="201">
        <f t="shared" si="79"/>
        <v>20033947.181157053</v>
      </c>
      <c r="K93" s="201">
        <f t="shared" si="79"/>
        <v>20088834.707680773</v>
      </c>
      <c r="L93" s="201">
        <f t="shared" si="79"/>
        <v>20033947.181157053</v>
      </c>
      <c r="M93" s="201">
        <f t="shared" si="79"/>
        <v>20033947.181157053</v>
      </c>
      <c r="N93" s="201">
        <f t="shared" si="79"/>
        <v>20033947.181157056</v>
      </c>
      <c r="O93" s="201">
        <f t="shared" si="79"/>
        <v>20088834.707680773</v>
      </c>
      <c r="P93" s="201">
        <f t="shared" si="79"/>
        <v>20033947.181157053</v>
      </c>
      <c r="Q93" s="201">
        <f t="shared" si="79"/>
        <v>20033947.181157053</v>
      </c>
      <c r="R93" s="201">
        <f t="shared" si="79"/>
        <v>20033947.181157056</v>
      </c>
      <c r="S93" s="201">
        <f t="shared" si="79"/>
        <v>20088834.707680777</v>
      </c>
      <c r="T93" s="201">
        <f t="shared" si="79"/>
        <v>20033947.181157064</v>
      </c>
    </row>
    <row r="94" spans="2:43" ht="15" customHeight="1">
      <c r="C94" s="519" t="s">
        <v>739</v>
      </c>
      <c r="D94" s="201">
        <f t="shared" ref="D94:T94" si="80">D91/D7/D6*365</f>
        <v>139600.91390974837</v>
      </c>
      <c r="E94" s="201">
        <f t="shared" si="80"/>
        <v>125962.96360635501</v>
      </c>
      <c r="F94" s="201">
        <f t="shared" si="80"/>
        <v>140168.66637626497</v>
      </c>
      <c r="G94" s="201">
        <f t="shared" si="80"/>
        <v>135810.80515951154</v>
      </c>
      <c r="H94" s="201">
        <f t="shared" si="80"/>
        <v>134607.88989187658</v>
      </c>
      <c r="I94" s="201">
        <f t="shared" si="80"/>
        <v>137806.70336521836</v>
      </c>
      <c r="J94" s="201">
        <f t="shared" si="80"/>
        <v>143173.42966217716</v>
      </c>
      <c r="K94" s="201">
        <f t="shared" si="80"/>
        <v>143173.42966217722</v>
      </c>
      <c r="L94" s="201">
        <f t="shared" si="80"/>
        <v>143173.42966217719</v>
      </c>
      <c r="M94" s="201">
        <f t="shared" si="80"/>
        <v>143173.42966217719</v>
      </c>
      <c r="N94" s="201">
        <f t="shared" si="80"/>
        <v>143173.42966217719</v>
      </c>
      <c r="O94" s="201">
        <f t="shared" si="80"/>
        <v>143173.42966217722</v>
      </c>
      <c r="P94" s="201">
        <f t="shared" si="80"/>
        <v>143173.42966217719</v>
      </c>
      <c r="Q94" s="201">
        <f t="shared" si="80"/>
        <v>143173.42966217716</v>
      </c>
      <c r="R94" s="201">
        <f t="shared" si="80"/>
        <v>143173.42966217722</v>
      </c>
      <c r="S94" s="201">
        <f t="shared" si="80"/>
        <v>143173.42966217722</v>
      </c>
      <c r="T94" s="201">
        <f t="shared" si="80"/>
        <v>143173.42966217722</v>
      </c>
    </row>
    <row r="95" spans="2:43" ht="15" customHeight="1">
      <c r="C95" s="521" t="str">
        <f>C53</f>
        <v>Продажи и маркетинг</v>
      </c>
      <c r="D95" s="556">
        <f t="shared" ref="D95:T95" si="81">D53/V1</f>
        <v>12505706.489877461</v>
      </c>
      <c r="E95" s="556">
        <f t="shared" si="81"/>
        <v>47838379.064612217</v>
      </c>
      <c r="F95" s="556">
        <f t="shared" si="81"/>
        <v>51086110.794279173</v>
      </c>
      <c r="G95" s="556">
        <f t="shared" si="81"/>
        <v>51187315.824207351</v>
      </c>
      <c r="H95" s="556">
        <f t="shared" si="81"/>
        <v>52609365.910762459</v>
      </c>
      <c r="I95" s="556">
        <f t="shared" si="81"/>
        <v>54475390.937106244</v>
      </c>
      <c r="J95" s="556">
        <f t="shared" si="81"/>
        <v>54975390.937106237</v>
      </c>
      <c r="K95" s="556">
        <f t="shared" si="81"/>
        <v>55126008.446522973</v>
      </c>
      <c r="L95" s="556">
        <f t="shared" si="81"/>
        <v>54975390.937106244</v>
      </c>
      <c r="M95" s="556">
        <f t="shared" si="81"/>
        <v>54975390.937106244</v>
      </c>
      <c r="N95" s="556">
        <f t="shared" si="81"/>
        <v>54975390.937106244</v>
      </c>
      <c r="O95" s="556">
        <f t="shared" si="81"/>
        <v>55126008.446522981</v>
      </c>
      <c r="P95" s="556">
        <f t="shared" si="81"/>
        <v>54975390.937106244</v>
      </c>
      <c r="Q95" s="556">
        <f t="shared" si="81"/>
        <v>54975390.937106252</v>
      </c>
      <c r="R95" s="556">
        <f t="shared" si="81"/>
        <v>54975390.937106259</v>
      </c>
      <c r="S95" s="556">
        <f t="shared" si="81"/>
        <v>55126008.446522981</v>
      </c>
      <c r="T95" s="556">
        <f t="shared" si="81"/>
        <v>54975390.937106259</v>
      </c>
    </row>
    <row r="96" spans="2:43" ht="15" customHeight="1">
      <c r="C96" s="519" t="s">
        <v>25</v>
      </c>
      <c r="D96" s="201">
        <f t="shared" ref="D96:T96" si="82">D54/V1</f>
        <v>2772602.7397260275</v>
      </c>
      <c r="E96" s="201">
        <f t="shared" si="82"/>
        <v>8300000</v>
      </c>
      <c r="F96" s="201">
        <f t="shared" si="82"/>
        <v>8500000</v>
      </c>
      <c r="G96" s="201">
        <f t="shared" si="82"/>
        <v>9024657.5342465751</v>
      </c>
      <c r="H96" s="201">
        <f t="shared" si="82"/>
        <v>9300000</v>
      </c>
      <c r="I96" s="201">
        <f t="shared" si="82"/>
        <v>9500000</v>
      </c>
      <c r="J96" s="201">
        <f t="shared" si="82"/>
        <v>10000000</v>
      </c>
      <c r="K96" s="201">
        <f t="shared" si="82"/>
        <v>10027397.260273973</v>
      </c>
      <c r="L96" s="201">
        <f t="shared" si="82"/>
        <v>10000000</v>
      </c>
      <c r="M96" s="201">
        <f t="shared" si="82"/>
        <v>10000000</v>
      </c>
      <c r="N96" s="201">
        <f t="shared" si="82"/>
        <v>10000000</v>
      </c>
      <c r="O96" s="201">
        <f t="shared" si="82"/>
        <v>10027397.260273973</v>
      </c>
      <c r="P96" s="201">
        <f t="shared" si="82"/>
        <v>10000000</v>
      </c>
      <c r="Q96" s="201">
        <f t="shared" si="82"/>
        <v>10000000</v>
      </c>
      <c r="R96" s="201">
        <f t="shared" si="82"/>
        <v>10000000</v>
      </c>
      <c r="S96" s="201">
        <f t="shared" si="82"/>
        <v>10027397.260273973</v>
      </c>
      <c r="T96" s="201">
        <f t="shared" si="82"/>
        <v>10000000</v>
      </c>
    </row>
    <row r="97" spans="2:21" ht="15" customHeight="1">
      <c r="C97" s="519" t="s">
        <v>731</v>
      </c>
      <c r="D97" s="208">
        <f t="shared" ref="D97:T97" si="83">D55/V1</f>
        <v>9733103.7501514331</v>
      </c>
      <c r="E97" s="208">
        <f t="shared" si="83"/>
        <v>33951312.139215812</v>
      </c>
      <c r="F97" s="201">
        <f t="shared" si="83"/>
        <v>29063927.285852876</v>
      </c>
      <c r="G97" s="201">
        <f t="shared" si="83"/>
        <v>27050203.147077285</v>
      </c>
      <c r="H97" s="201">
        <f t="shared" si="83"/>
        <v>27400914.724378582</v>
      </c>
      <c r="I97" s="201">
        <f t="shared" si="83"/>
        <v>28229652.846175849</v>
      </c>
      <c r="J97" s="201">
        <f t="shared" si="83"/>
        <v>28229652.846175846</v>
      </c>
      <c r="K97" s="201">
        <f t="shared" si="83"/>
        <v>28306994.360822905</v>
      </c>
      <c r="L97" s="201">
        <f t="shared" si="83"/>
        <v>28229652.846175846</v>
      </c>
      <c r="M97" s="201">
        <f t="shared" si="83"/>
        <v>28229652.846175846</v>
      </c>
      <c r="N97" s="201">
        <f t="shared" si="83"/>
        <v>28229652.846175853</v>
      </c>
      <c r="O97" s="201">
        <f t="shared" si="83"/>
        <v>28306994.360822905</v>
      </c>
      <c r="P97" s="201">
        <f t="shared" si="83"/>
        <v>28229652.846175849</v>
      </c>
      <c r="Q97" s="201">
        <f t="shared" si="83"/>
        <v>28229652.846175849</v>
      </c>
      <c r="R97" s="201">
        <f t="shared" si="83"/>
        <v>28229652.846175853</v>
      </c>
      <c r="S97" s="201">
        <f t="shared" si="83"/>
        <v>28306994.360822912</v>
      </c>
      <c r="T97" s="201">
        <f t="shared" si="83"/>
        <v>28229652.846175861</v>
      </c>
    </row>
    <row r="98" spans="2:21" ht="15" customHeight="1">
      <c r="C98" s="519" t="s">
        <v>739</v>
      </c>
      <c r="D98" s="201">
        <f t="shared" ref="D98:T98" si="84">D95/D7/D6*365</f>
        <v>95047.952457214589</v>
      </c>
      <c r="E98" s="201">
        <f t="shared" si="84"/>
        <v>85578.49564331345</v>
      </c>
      <c r="F98" s="201">
        <f t="shared" si="84"/>
        <v>91388.391403003887</v>
      </c>
      <c r="G98" s="201">
        <f t="shared" si="84"/>
        <v>91319.248246946067</v>
      </c>
      <c r="H98" s="201">
        <f t="shared" si="84"/>
        <v>94113.355833206544</v>
      </c>
      <c r="I98" s="201">
        <f t="shared" si="84"/>
        <v>97451.504359760715</v>
      </c>
      <c r="J98" s="201">
        <f t="shared" si="84"/>
        <v>98345.958742587187</v>
      </c>
      <c r="K98" s="201">
        <f t="shared" si="84"/>
        <v>98345.958742587187</v>
      </c>
      <c r="L98" s="201">
        <f t="shared" si="84"/>
        <v>98345.958742587201</v>
      </c>
      <c r="M98" s="201">
        <f t="shared" si="84"/>
        <v>98345.958742587201</v>
      </c>
      <c r="N98" s="201">
        <f t="shared" si="84"/>
        <v>98345.958742587201</v>
      </c>
      <c r="O98" s="201">
        <f t="shared" si="84"/>
        <v>98345.958742587201</v>
      </c>
      <c r="P98" s="201">
        <f t="shared" si="84"/>
        <v>98345.958742587201</v>
      </c>
      <c r="Q98" s="201">
        <f t="shared" si="84"/>
        <v>98345.958742587201</v>
      </c>
      <c r="R98" s="201">
        <f t="shared" si="84"/>
        <v>98345.958742587231</v>
      </c>
      <c r="S98" s="201">
        <f t="shared" si="84"/>
        <v>98345.958742587201</v>
      </c>
      <c r="T98" s="201">
        <f t="shared" si="84"/>
        <v>98345.958742587231</v>
      </c>
    </row>
    <row r="99" spans="2:21" ht="15" customHeight="1">
      <c r="C99" s="521" t="str">
        <f>C57</f>
        <v>Текущий ремонт и эксплуатация</v>
      </c>
      <c r="D99" s="556">
        <f t="shared" ref="D99:T99" si="85">D57/V1</f>
        <v>14025639.452054793</v>
      </c>
      <c r="E99" s="556">
        <f t="shared" si="85"/>
        <v>61769500.000000015</v>
      </c>
      <c r="F99" s="556">
        <f t="shared" si="85"/>
        <v>63949600</v>
      </c>
      <c r="G99" s="556">
        <f t="shared" si="85"/>
        <v>66310877.260273971</v>
      </c>
      <c r="H99" s="556">
        <f t="shared" si="85"/>
        <v>68309800</v>
      </c>
      <c r="I99" s="556">
        <f t="shared" si="85"/>
        <v>70489900</v>
      </c>
      <c r="J99" s="556">
        <f t="shared" si="85"/>
        <v>72670000.000000015</v>
      </c>
      <c r="K99" s="556">
        <f t="shared" si="85"/>
        <v>72869095.89041096</v>
      </c>
      <c r="L99" s="556">
        <f t="shared" si="85"/>
        <v>72670000</v>
      </c>
      <c r="M99" s="556">
        <f t="shared" si="85"/>
        <v>72670000</v>
      </c>
      <c r="N99" s="556">
        <f t="shared" si="85"/>
        <v>72670000</v>
      </c>
      <c r="O99" s="556">
        <f t="shared" si="85"/>
        <v>72869095.89041096</v>
      </c>
      <c r="P99" s="556">
        <f t="shared" si="85"/>
        <v>72670000</v>
      </c>
      <c r="Q99" s="556">
        <f t="shared" si="85"/>
        <v>72669999.999999985</v>
      </c>
      <c r="R99" s="556">
        <f t="shared" si="85"/>
        <v>72670000.000000015</v>
      </c>
      <c r="S99" s="556">
        <f t="shared" si="85"/>
        <v>72869095.890410945</v>
      </c>
      <c r="T99" s="556">
        <f t="shared" si="85"/>
        <v>72670000</v>
      </c>
    </row>
    <row r="100" spans="2:21" ht="15" customHeight="1">
      <c r="C100" s="519" t="s">
        <v>25</v>
      </c>
      <c r="D100" s="201">
        <f t="shared" ref="D100:T100" si="86">D58/V1</f>
        <v>6311537.7534246575</v>
      </c>
      <c r="E100" s="201">
        <f t="shared" si="86"/>
        <v>27796275.000000007</v>
      </c>
      <c r="F100" s="201">
        <f t="shared" si="86"/>
        <v>28777320.000000004</v>
      </c>
      <c r="G100" s="201">
        <f t="shared" si="86"/>
        <v>29839894.767123293</v>
      </c>
      <c r="H100" s="201">
        <f t="shared" si="86"/>
        <v>30739409.999999996</v>
      </c>
      <c r="I100" s="201">
        <f t="shared" si="86"/>
        <v>31720455</v>
      </c>
      <c r="J100" s="201">
        <f t="shared" si="86"/>
        <v>32701500.000000007</v>
      </c>
      <c r="K100" s="201">
        <f t="shared" si="86"/>
        <v>32791093.150684934</v>
      </c>
      <c r="L100" s="201">
        <f t="shared" si="86"/>
        <v>32701500</v>
      </c>
      <c r="M100" s="201">
        <f t="shared" si="86"/>
        <v>32701500.000000004</v>
      </c>
      <c r="N100" s="201">
        <f t="shared" si="86"/>
        <v>32701500.000000004</v>
      </c>
      <c r="O100" s="201">
        <f t="shared" si="86"/>
        <v>32791093.15068493</v>
      </c>
      <c r="P100" s="201">
        <f t="shared" si="86"/>
        <v>32701499.999999996</v>
      </c>
      <c r="Q100" s="201">
        <f t="shared" si="86"/>
        <v>32701499.999999996</v>
      </c>
      <c r="R100" s="201">
        <f t="shared" si="86"/>
        <v>32701500.000000004</v>
      </c>
      <c r="S100" s="201">
        <f t="shared" si="86"/>
        <v>32791093.150684923</v>
      </c>
      <c r="T100" s="201">
        <f t="shared" si="86"/>
        <v>32701500.000000004</v>
      </c>
    </row>
    <row r="101" spans="2:21" ht="15" customHeight="1">
      <c r="C101" s="519" t="s">
        <v>731</v>
      </c>
      <c r="D101" s="201">
        <f t="shared" ref="D101:T101" si="87">D59/V1</f>
        <v>7714101.6986301383</v>
      </c>
      <c r="E101" s="201">
        <f t="shared" si="87"/>
        <v>33973225.000000007</v>
      </c>
      <c r="F101" s="201">
        <f t="shared" si="87"/>
        <v>35172280</v>
      </c>
      <c r="G101" s="201">
        <f t="shared" si="87"/>
        <v>36470982.493150689</v>
      </c>
      <c r="H101" s="201">
        <f t="shared" si="87"/>
        <v>37570390</v>
      </c>
      <c r="I101" s="201">
        <f t="shared" si="87"/>
        <v>38769445.000000007</v>
      </c>
      <c r="J101" s="201">
        <f t="shared" si="87"/>
        <v>39968500.000000015</v>
      </c>
      <c r="K101" s="201">
        <f t="shared" si="87"/>
        <v>40078002.739726029</v>
      </c>
      <c r="L101" s="201">
        <f t="shared" si="87"/>
        <v>39968500</v>
      </c>
      <c r="M101" s="201">
        <f t="shared" si="87"/>
        <v>39968500.000000007</v>
      </c>
      <c r="N101" s="201">
        <f t="shared" si="87"/>
        <v>39968500</v>
      </c>
      <c r="O101" s="201">
        <f t="shared" si="87"/>
        <v>40078002.739726029</v>
      </c>
      <c r="P101" s="201">
        <f t="shared" si="87"/>
        <v>39968500</v>
      </c>
      <c r="Q101" s="201">
        <f t="shared" si="87"/>
        <v>39968500</v>
      </c>
      <c r="R101" s="201">
        <f t="shared" si="87"/>
        <v>39968500.000000007</v>
      </c>
      <c r="S101" s="201">
        <f t="shared" si="87"/>
        <v>40078002.739726022</v>
      </c>
      <c r="T101" s="201">
        <f t="shared" si="87"/>
        <v>39968500.000000007</v>
      </c>
    </row>
    <row r="102" spans="2:21" ht="15" customHeight="1">
      <c r="C102" s="519" t="s">
        <v>739</v>
      </c>
      <c r="D102" s="201">
        <f t="shared" ref="D102:T102" si="88">D99/D7/D6*365</f>
        <v>106599.99999999999</v>
      </c>
      <c r="E102" s="201">
        <f t="shared" si="88"/>
        <v>110500.00000000003</v>
      </c>
      <c r="F102" s="201">
        <f t="shared" si="88"/>
        <v>114400</v>
      </c>
      <c r="G102" s="201">
        <f t="shared" si="88"/>
        <v>118300</v>
      </c>
      <c r="H102" s="201">
        <f t="shared" si="88"/>
        <v>122199.99999999999</v>
      </c>
      <c r="I102" s="201">
        <f t="shared" si="88"/>
        <v>126100</v>
      </c>
      <c r="J102" s="201">
        <f t="shared" si="88"/>
        <v>130000.00000000001</v>
      </c>
      <c r="K102" s="201">
        <f t="shared" si="88"/>
        <v>130000</v>
      </c>
      <c r="L102" s="201">
        <f t="shared" si="88"/>
        <v>130000</v>
      </c>
      <c r="M102" s="201">
        <f t="shared" si="88"/>
        <v>130000</v>
      </c>
      <c r="N102" s="201">
        <f t="shared" si="88"/>
        <v>130000</v>
      </c>
      <c r="O102" s="201">
        <f t="shared" si="88"/>
        <v>130000</v>
      </c>
      <c r="P102" s="201">
        <f t="shared" si="88"/>
        <v>130000</v>
      </c>
      <c r="Q102" s="201">
        <f t="shared" si="88"/>
        <v>129999.99999999997</v>
      </c>
      <c r="R102" s="201">
        <f t="shared" si="88"/>
        <v>130000.00000000001</v>
      </c>
      <c r="S102" s="201">
        <f t="shared" si="88"/>
        <v>129999.99999999997</v>
      </c>
      <c r="T102" s="201">
        <f t="shared" si="88"/>
        <v>130000</v>
      </c>
    </row>
    <row r="103" spans="2:21" ht="15" customHeight="1">
      <c r="C103" s="521" t="str">
        <f>C60</f>
        <v>Коммунальные затраты</v>
      </c>
      <c r="D103" s="556">
        <f t="shared" ref="D103:T103" si="89">D60/V1</f>
        <v>9710058.0821917802</v>
      </c>
      <c r="E103" s="556">
        <f t="shared" si="89"/>
        <v>42763500</v>
      </c>
      <c r="F103" s="556">
        <f t="shared" si="89"/>
        <v>44272800</v>
      </c>
      <c r="G103" s="556">
        <f t="shared" si="89"/>
        <v>45907530.410958901</v>
      </c>
      <c r="H103" s="556">
        <f t="shared" si="89"/>
        <v>47291399.999999993</v>
      </c>
      <c r="I103" s="556">
        <f t="shared" si="89"/>
        <v>48800700</v>
      </c>
      <c r="J103" s="556">
        <f t="shared" si="89"/>
        <v>50310000</v>
      </c>
      <c r="K103" s="556">
        <f t="shared" si="89"/>
        <v>50447835.616438352</v>
      </c>
      <c r="L103" s="556">
        <f t="shared" si="89"/>
        <v>50310000</v>
      </c>
      <c r="M103" s="556">
        <f t="shared" si="89"/>
        <v>50310000</v>
      </c>
      <c r="N103" s="556">
        <f t="shared" si="89"/>
        <v>50309999.999999993</v>
      </c>
      <c r="O103" s="556">
        <f t="shared" si="89"/>
        <v>50447835.616438344</v>
      </c>
      <c r="P103" s="556">
        <f t="shared" si="89"/>
        <v>50310000</v>
      </c>
      <c r="Q103" s="556">
        <f t="shared" si="89"/>
        <v>50310000.000000015</v>
      </c>
      <c r="R103" s="556">
        <f t="shared" si="89"/>
        <v>50310000.000000007</v>
      </c>
      <c r="S103" s="556">
        <f t="shared" si="89"/>
        <v>50447835.616438359</v>
      </c>
      <c r="T103" s="556">
        <f t="shared" si="89"/>
        <v>50309999.999999993</v>
      </c>
    </row>
    <row r="104" spans="2:21" ht="15" customHeight="1">
      <c r="C104" s="519" t="str">
        <f>C103</f>
        <v>Коммунальные затраты</v>
      </c>
      <c r="D104" s="201">
        <f t="shared" ref="D104:T104" si="90">D103/D7/D6*365</f>
        <v>73799.999999999985</v>
      </c>
      <c r="E104" s="201">
        <f t="shared" si="90"/>
        <v>76500</v>
      </c>
      <c r="F104" s="201">
        <f t="shared" si="90"/>
        <v>79200</v>
      </c>
      <c r="G104" s="201">
        <f t="shared" si="90"/>
        <v>81900</v>
      </c>
      <c r="H104" s="201">
        <f t="shared" si="90"/>
        <v>84599.999999999985</v>
      </c>
      <c r="I104" s="201">
        <f t="shared" si="90"/>
        <v>87300</v>
      </c>
      <c r="J104" s="201">
        <f t="shared" si="90"/>
        <v>90000</v>
      </c>
      <c r="K104" s="201">
        <f t="shared" si="90"/>
        <v>90000</v>
      </c>
      <c r="L104" s="201">
        <f t="shared" si="90"/>
        <v>90000</v>
      </c>
      <c r="M104" s="201">
        <f t="shared" si="90"/>
        <v>90000</v>
      </c>
      <c r="N104" s="201">
        <f t="shared" si="90"/>
        <v>89999.999999999985</v>
      </c>
      <c r="O104" s="201">
        <f t="shared" si="90"/>
        <v>89999.999999999971</v>
      </c>
      <c r="P104" s="201">
        <f t="shared" si="90"/>
        <v>90000</v>
      </c>
      <c r="Q104" s="201">
        <f t="shared" si="90"/>
        <v>90000.000000000029</v>
      </c>
      <c r="R104" s="201">
        <f t="shared" si="90"/>
        <v>90000.000000000015</v>
      </c>
      <c r="S104" s="201">
        <f t="shared" si="90"/>
        <v>90000</v>
      </c>
      <c r="T104" s="201">
        <f t="shared" si="90"/>
        <v>89999.999999999985</v>
      </c>
    </row>
    <row r="108" spans="2:21" ht="15" customHeight="1">
      <c r="C108" s="536" t="s">
        <v>1345</v>
      </c>
      <c r="D108" s="1764">
        <f>D3</f>
        <v>2025</v>
      </c>
      <c r="E108" s="1764">
        <f t="shared" ref="E108:T108" si="91">E3</f>
        <v>2026</v>
      </c>
      <c r="F108" s="1764">
        <f t="shared" si="91"/>
        <v>2027</v>
      </c>
      <c r="G108" s="1764">
        <f t="shared" si="91"/>
        <v>2028</v>
      </c>
      <c r="H108" s="1764">
        <f t="shared" si="91"/>
        <v>2029</v>
      </c>
      <c r="I108" s="1764">
        <f t="shared" si="91"/>
        <v>2030</v>
      </c>
      <c r="J108" s="1764">
        <f t="shared" si="91"/>
        <v>2031</v>
      </c>
      <c r="K108" s="1764">
        <f t="shared" si="91"/>
        <v>2032</v>
      </c>
      <c r="L108" s="1764">
        <f t="shared" si="91"/>
        <v>2033</v>
      </c>
      <c r="M108" s="1764">
        <f t="shared" si="91"/>
        <v>2034</v>
      </c>
      <c r="N108" s="1764">
        <f t="shared" si="91"/>
        <v>2035</v>
      </c>
      <c r="O108" s="1764">
        <f t="shared" si="91"/>
        <v>2036</v>
      </c>
      <c r="P108" s="1764">
        <f t="shared" si="91"/>
        <v>2037</v>
      </c>
      <c r="Q108" s="1764">
        <f t="shared" si="91"/>
        <v>2038</v>
      </c>
      <c r="R108" s="1764">
        <f t="shared" si="91"/>
        <v>2039</v>
      </c>
      <c r="S108" s="1764">
        <f t="shared" si="91"/>
        <v>2040</v>
      </c>
      <c r="T108" s="1764">
        <f t="shared" si="91"/>
        <v>2041</v>
      </c>
    </row>
    <row r="109" spans="2:21" ht="15" customHeight="1">
      <c r="C109" s="521" t="s">
        <v>704</v>
      </c>
      <c r="D109" s="556">
        <f>D110+D111</f>
        <v>0</v>
      </c>
      <c r="E109" s="556">
        <f t="shared" ref="E109:T109" si="92">E110+E111</f>
        <v>226584039.68955269</v>
      </c>
      <c r="F109" s="556">
        <f t="shared" si="92"/>
        <v>570329198.8268255</v>
      </c>
      <c r="G109" s="556">
        <f t="shared" si="92"/>
        <v>662898666.15988314</v>
      </c>
      <c r="H109" s="556">
        <f t="shared" si="92"/>
        <v>725727131.11893463</v>
      </c>
      <c r="I109" s="556">
        <f t="shared" si="92"/>
        <v>794480227.7512548</v>
      </c>
      <c r="J109" s="556">
        <f t="shared" si="92"/>
        <v>826259436.861305</v>
      </c>
      <c r="K109" s="556">
        <f t="shared" si="92"/>
        <v>861664087.79969084</v>
      </c>
      <c r="L109" s="556">
        <f t="shared" si="92"/>
        <v>893682206.90918756</v>
      </c>
      <c r="M109" s="556">
        <f t="shared" si="92"/>
        <v>929429495.18555498</v>
      </c>
      <c r="N109" s="556">
        <f t="shared" si="92"/>
        <v>966606674.99297738</v>
      </c>
      <c r="O109" s="556">
        <f t="shared" si="92"/>
        <v>1008025108.95706</v>
      </c>
      <c r="P109" s="556">
        <f t="shared" si="92"/>
        <v>1045481779.6724043</v>
      </c>
      <c r="Q109" s="556">
        <f t="shared" si="92"/>
        <v>1087301050.8593006</v>
      </c>
      <c r="R109" s="556">
        <f t="shared" si="92"/>
        <v>1130793092.8936727</v>
      </c>
      <c r="S109" s="556">
        <f t="shared" si="92"/>
        <v>1179246802.4083495</v>
      </c>
      <c r="T109" s="556">
        <f t="shared" si="92"/>
        <v>1223065809.2737966</v>
      </c>
    </row>
    <row r="110" spans="2:21" ht="15" customHeight="1">
      <c r="C110" s="1059" t="str">
        <f>Отель5_PL!C3</f>
        <v xml:space="preserve">Гостиница 5* - Mövenpick </v>
      </c>
      <c r="D110" s="208">
        <f>IFERROR(LOOKUP(D108,Отель5_PL!$D$3:$T$3,Отель5_PL!$D$14:$T$14),0)</f>
        <v>0</v>
      </c>
      <c r="E110" s="208">
        <f>IFERROR(LOOKUP(E108,Отель5_PL!$D$3:$T$3,Отель5_PL!$D$14:$T$14),0)</f>
        <v>131924588.98985197</v>
      </c>
      <c r="F110" s="208">
        <f>IFERROR(LOOKUP(F108,Отель5_PL!$D$3:$T$3,Отель5_PL!$D$14:$T$14),0)</f>
        <v>324505640.32480741</v>
      </c>
      <c r="G110" s="208">
        <f>IFERROR(LOOKUP(G108,Отель5_PL!$D$3:$T$3,Отель5_PL!$D$14:$T$14),0)</f>
        <v>377175772.47520667</v>
      </c>
      <c r="H110" s="208">
        <f>IFERROR(LOOKUP(H108,Отель5_PL!$D$3:$T$3,Отель5_PL!$D$14:$T$14),0)</f>
        <v>412923883.02977848</v>
      </c>
      <c r="I110" s="208">
        <f>IFERROR(LOOKUP(I108,Отель5_PL!$D$3:$T$3,Отель5_PL!$D$14:$T$14),0)</f>
        <v>452042987.73786277</v>
      </c>
      <c r="J110" s="208">
        <f>IFERROR(LOOKUP(J108,Отель5_PL!$D$3:$T$3,Отель5_PL!$D$14:$T$14),0)</f>
        <v>470124707.24737728</v>
      </c>
      <c r="K110" s="208">
        <f>IFERROR(LOOKUP(K108,Отель5_PL!$D$3:$T$3,Отель5_PL!$D$14:$T$14),0)</f>
        <v>490269228.94970328</v>
      </c>
      <c r="L110" s="208">
        <f>IFERROR(LOOKUP(L108,Отель5_PL!$D$3:$T$3,Отель5_PL!$D$14:$T$14),0)</f>
        <v>508486883.35876334</v>
      </c>
      <c r="M110" s="208">
        <f>IFERROR(LOOKUP(M108,Отель5_PL!$D$3:$T$3,Отель5_PL!$D$14:$T$14),0)</f>
        <v>528826358.69311386</v>
      </c>
      <c r="N110" s="208">
        <f>IFERROR(LOOKUP(N108,Отель5_PL!$D$3:$T$3,Отель5_PL!$D$14:$T$14),0)</f>
        <v>549979413.04083848</v>
      </c>
      <c r="O110" s="208">
        <f>IFERROR(LOOKUP(O108,Отель5_PL!$D$3:$T$3,Отель5_PL!$D$14:$T$14),0)</f>
        <v>573545654.19141018</v>
      </c>
      <c r="P110" s="208">
        <f>IFERROR(LOOKUP(P108,Отель5_PL!$D$3:$T$3,Отель5_PL!$D$14:$T$14),0)</f>
        <v>594857733.14497089</v>
      </c>
      <c r="Q110" s="208">
        <f>IFERROR(LOOKUP(Q108,Отель5_PL!$D$3:$T$3,Отель5_PL!$D$14:$T$14),0)</f>
        <v>618652042.47076976</v>
      </c>
      <c r="R110" s="208">
        <f>IFERROR(LOOKUP(R108,Отель5_PL!$D$3:$T$3,Отель5_PL!$D$14:$T$14),0)</f>
        <v>643398124.16960061</v>
      </c>
      <c r="S110" s="208">
        <f>IFERROR(LOOKUP(S108,Отель5_PL!$D$3:$T$3,Отель5_PL!$D$14:$T$14),0)</f>
        <v>670967293.10662127</v>
      </c>
      <c r="T110" s="208">
        <f>IFERROR(LOOKUP(T108,Отель5_PL!$D$3:$T$3,Отель5_PL!$D$14:$T$14),0)</f>
        <v>695899411.10184014</v>
      </c>
    </row>
    <row r="111" spans="2:21" ht="15" customHeight="1">
      <c r="C111" s="1059" t="str">
        <f>Отель4_PL!C3</f>
        <v>Гостиница 4* - Mercure</v>
      </c>
      <c r="D111" s="208">
        <f>IFERROR(LOOKUP(D108,Отель4_PL!$D$3:$T$3,Отель4_PL!$D$14:$T$14),0)</f>
        <v>0</v>
      </c>
      <c r="E111" s="208">
        <f>IFERROR(LOOKUP(E108,Отель4_PL!$D$3:$T$3,Отель4_PL!$D$14:$T$14),0)</f>
        <v>94659450.699700728</v>
      </c>
      <c r="F111" s="208">
        <f>IFERROR(LOOKUP(F108,Отель4_PL!$D$3:$T$3,Отель4_PL!$D$14:$T$14),0)</f>
        <v>245823558.50201806</v>
      </c>
      <c r="G111" s="208">
        <f>IFERROR(LOOKUP(G108,Отель4_PL!$D$3:$T$3,Отель4_PL!$D$14:$T$14),0)</f>
        <v>285722893.68467647</v>
      </c>
      <c r="H111" s="208">
        <f>IFERROR(LOOKUP(H108,Отель4_PL!$D$3:$T$3,Отель4_PL!$D$14:$T$14),0)</f>
        <v>312803248.08915609</v>
      </c>
      <c r="I111" s="208">
        <f>IFERROR(LOOKUP(I108,Отель4_PL!$D$3:$T$3,Отель4_PL!$D$14:$T$14),0)</f>
        <v>342437240.01339197</v>
      </c>
      <c r="J111" s="208">
        <f>IFERROR(LOOKUP(J108,Отель4_PL!$D$3:$T$3,Отель4_PL!$D$14:$T$14),0)</f>
        <v>356134729.61392766</v>
      </c>
      <c r="K111" s="208">
        <f>IFERROR(LOOKUP(K108,Отель4_PL!$D$3:$T$3,Отель4_PL!$D$14:$T$14),0)</f>
        <v>371394858.84998757</v>
      </c>
      <c r="L111" s="208">
        <f>IFERROR(LOOKUP(L108,Отель4_PL!$D$3:$T$3,Отель4_PL!$D$14:$T$14),0)</f>
        <v>385195323.55042422</v>
      </c>
      <c r="M111" s="208">
        <f>IFERROR(LOOKUP(M108,Отель4_PL!$D$3:$T$3,Отель4_PL!$D$14:$T$14),0)</f>
        <v>400603136.49244118</v>
      </c>
      <c r="N111" s="208">
        <f>IFERROR(LOOKUP(N108,Отель4_PL!$D$3:$T$3,Отель4_PL!$D$14:$T$14),0)</f>
        <v>416627261.9521389</v>
      </c>
      <c r="O111" s="208">
        <f>IFERROR(LOOKUP(O108,Отель4_PL!$D$3:$T$3,Отель4_PL!$D$14:$T$14),0)</f>
        <v>434479454.7656498</v>
      </c>
      <c r="P111" s="208">
        <f>IFERROR(LOOKUP(P108,Отель4_PL!$D$3:$T$3,Отель4_PL!$D$14:$T$14),0)</f>
        <v>450624046.52743345</v>
      </c>
      <c r="Q111" s="208">
        <f>IFERROR(LOOKUP(Q108,Отель4_PL!$D$3:$T$3,Отель4_PL!$D$14:$T$14),0)</f>
        <v>468649008.38853079</v>
      </c>
      <c r="R111" s="208">
        <f>IFERROR(LOOKUP(R108,Отель4_PL!$D$3:$T$3,Отель4_PL!$D$14:$T$14),0)</f>
        <v>487394968.72407204</v>
      </c>
      <c r="S111" s="208">
        <f>IFERROR(LOOKUP(S108,Отель4_PL!$D$3:$T$3,Отель4_PL!$D$14:$T$14),0)</f>
        <v>508279509.30172831</v>
      </c>
      <c r="T111" s="208">
        <f>IFERROR(LOOKUP(T108,Отель4_PL!$D$3:$T$3,Отель4_PL!$D$14:$T$14),0)</f>
        <v>527166398.17195642</v>
      </c>
      <c r="U111" s="534"/>
    </row>
    <row r="112" spans="2:21" ht="15" customHeight="1">
      <c r="B112" s="160">
        <v>3.5000000000000003E-2</v>
      </c>
      <c r="C112" s="1768" t="s">
        <v>1346</v>
      </c>
      <c r="D112" s="1769">
        <f>$B$112*D109</f>
        <v>0</v>
      </c>
      <c r="E112" s="1770">
        <f t="shared" ref="E112:T112" si="93">$B$112*E109</f>
        <v>7930441.3891343446</v>
      </c>
      <c r="F112" s="1769">
        <f t="shared" si="93"/>
        <v>19961521.958938893</v>
      </c>
      <c r="G112" s="1769">
        <f t="shared" si="93"/>
        <v>23201453.315595914</v>
      </c>
      <c r="H112" s="1769">
        <f t="shared" si="93"/>
        <v>25400449.589162715</v>
      </c>
      <c r="I112" s="1769">
        <f t="shared" si="93"/>
        <v>27806807.971293919</v>
      </c>
      <c r="J112" s="1769">
        <f t="shared" si="93"/>
        <v>28919080.290145677</v>
      </c>
      <c r="K112" s="1769">
        <f t="shared" si="93"/>
        <v>30158243.072989181</v>
      </c>
      <c r="L112" s="1769">
        <f t="shared" si="93"/>
        <v>31278877.241821568</v>
      </c>
      <c r="M112" s="1769">
        <f t="shared" si="93"/>
        <v>32530032.331494428</v>
      </c>
      <c r="N112" s="1769">
        <f t="shared" si="93"/>
        <v>33831233.624754213</v>
      </c>
      <c r="O112" s="1769">
        <f t="shared" si="93"/>
        <v>35280878.813497104</v>
      </c>
      <c r="P112" s="1769">
        <f t="shared" si="93"/>
        <v>36591862.288534157</v>
      </c>
      <c r="Q112" s="1769">
        <f t="shared" si="93"/>
        <v>38055536.780075528</v>
      </c>
      <c r="R112" s="1769">
        <f t="shared" si="93"/>
        <v>39577758.251278549</v>
      </c>
      <c r="S112" s="1769">
        <f t="shared" si="93"/>
        <v>41273638.08429224</v>
      </c>
      <c r="T112" s="1769">
        <f t="shared" si="93"/>
        <v>42807303.324582882</v>
      </c>
    </row>
    <row r="113" spans="2:20" ht="15" customHeight="1">
      <c r="C113" s="1768" t="s">
        <v>1353</v>
      </c>
      <c r="D113" s="1769">
        <f>D114+D115</f>
        <v>0</v>
      </c>
      <c r="E113" s="1770">
        <f>E114+E115</f>
        <v>6797521.1906865807</v>
      </c>
      <c r="F113" s="1769">
        <f t="shared" ref="F113:T113" si="94">F114+F115</f>
        <v>17109875.964804765</v>
      </c>
      <c r="G113" s="1769">
        <f t="shared" si="94"/>
        <v>19886959.984796494</v>
      </c>
      <c r="H113" s="1769">
        <f t="shared" si="94"/>
        <v>21771813.933568038</v>
      </c>
      <c r="I113" s="1769">
        <f t="shared" si="94"/>
        <v>23834406.832537644</v>
      </c>
      <c r="J113" s="1769">
        <f t="shared" si="94"/>
        <v>24787783.105839148</v>
      </c>
      <c r="K113" s="1769">
        <f t="shared" si="94"/>
        <v>25849922.633990724</v>
      </c>
      <c r="L113" s="1769">
        <f t="shared" si="94"/>
        <v>26810466.207275629</v>
      </c>
      <c r="M113" s="1769">
        <f t="shared" si="94"/>
        <v>27882884.855566651</v>
      </c>
      <c r="N113" s="1769">
        <f t="shared" si="94"/>
        <v>28998200.24978932</v>
      </c>
      <c r="O113" s="1769">
        <f t="shared" si="94"/>
        <v>30240753.268711798</v>
      </c>
      <c r="P113" s="1769">
        <f t="shared" si="94"/>
        <v>31364453.390172131</v>
      </c>
      <c r="Q113" s="1769">
        <f t="shared" si="94"/>
        <v>32619031.525779016</v>
      </c>
      <c r="R113" s="1769">
        <f t="shared" si="94"/>
        <v>33923792.786810182</v>
      </c>
      <c r="S113" s="1769">
        <f t="shared" si="94"/>
        <v>35377404.072250485</v>
      </c>
      <c r="T113" s="1769">
        <f t="shared" si="94"/>
        <v>36691974.278213896</v>
      </c>
    </row>
    <row r="114" spans="2:20" ht="15" customHeight="1">
      <c r="B114" s="160">
        <v>1.4999999999999999E-2</v>
      </c>
      <c r="C114" s="1059" t="s">
        <v>1347</v>
      </c>
      <c r="D114" s="201">
        <f>$B$114*D109</f>
        <v>0</v>
      </c>
      <c r="E114" s="201">
        <f t="shared" ref="E114:T114" si="95">$B$114*E109</f>
        <v>3398760.5953432904</v>
      </c>
      <c r="F114" s="201">
        <f t="shared" si="95"/>
        <v>8554937.9824023824</v>
      </c>
      <c r="G114" s="201">
        <f t="shared" si="95"/>
        <v>9943479.9923982471</v>
      </c>
      <c r="H114" s="201">
        <f t="shared" si="95"/>
        <v>10885906.966784019</v>
      </c>
      <c r="I114" s="201">
        <f t="shared" si="95"/>
        <v>11917203.416268822</v>
      </c>
      <c r="J114" s="201">
        <f t="shared" si="95"/>
        <v>12393891.552919574</v>
      </c>
      <c r="K114" s="201">
        <f t="shared" si="95"/>
        <v>12924961.316995362</v>
      </c>
      <c r="L114" s="201">
        <f t="shared" si="95"/>
        <v>13405233.103637813</v>
      </c>
      <c r="M114" s="201">
        <f t="shared" si="95"/>
        <v>13941442.427783323</v>
      </c>
      <c r="N114" s="201">
        <f t="shared" si="95"/>
        <v>14499100.12489466</v>
      </c>
      <c r="O114" s="201">
        <f t="shared" si="95"/>
        <v>15120376.634355899</v>
      </c>
      <c r="P114" s="201">
        <f t="shared" si="95"/>
        <v>15682226.695086064</v>
      </c>
      <c r="Q114" s="201">
        <f t="shared" si="95"/>
        <v>16309515.762889508</v>
      </c>
      <c r="R114" s="201">
        <f t="shared" si="95"/>
        <v>16961896.393405091</v>
      </c>
      <c r="S114" s="201">
        <f t="shared" si="95"/>
        <v>17688702.036125243</v>
      </c>
      <c r="T114" s="201">
        <f t="shared" si="95"/>
        <v>18345987.139106948</v>
      </c>
    </row>
    <row r="115" spans="2:20" ht="15" customHeight="1">
      <c r="C115" s="1059" t="s">
        <v>1348</v>
      </c>
      <c r="D115" s="201">
        <f>D109*$D$116*$D$117</f>
        <v>0</v>
      </c>
      <c r="E115" s="201">
        <f t="shared" ref="E115:T115" si="96">E109*$D$116*$D$117</f>
        <v>3398760.5953432904</v>
      </c>
      <c r="F115" s="201">
        <f t="shared" si="96"/>
        <v>8554937.9824023824</v>
      </c>
      <c r="G115" s="201">
        <f t="shared" si="96"/>
        <v>9943479.9923982471</v>
      </c>
      <c r="H115" s="201">
        <f t="shared" si="96"/>
        <v>10885906.966784021</v>
      </c>
      <c r="I115" s="201">
        <f t="shared" si="96"/>
        <v>11917203.416268822</v>
      </c>
      <c r="J115" s="201">
        <f t="shared" si="96"/>
        <v>12393891.552919574</v>
      </c>
      <c r="K115" s="201">
        <f t="shared" si="96"/>
        <v>12924961.316995362</v>
      </c>
      <c r="L115" s="201">
        <f t="shared" si="96"/>
        <v>13405233.103637815</v>
      </c>
      <c r="M115" s="201">
        <f t="shared" si="96"/>
        <v>13941442.427783325</v>
      </c>
      <c r="N115" s="201">
        <f t="shared" si="96"/>
        <v>14499100.124894662</v>
      </c>
      <c r="O115" s="201">
        <f t="shared" si="96"/>
        <v>15120376.634355901</v>
      </c>
      <c r="P115" s="201">
        <f t="shared" si="96"/>
        <v>15682226.695086066</v>
      </c>
      <c r="Q115" s="201">
        <f t="shared" si="96"/>
        <v>16309515.762889508</v>
      </c>
      <c r="R115" s="201">
        <f t="shared" si="96"/>
        <v>16961896.393405091</v>
      </c>
      <c r="S115" s="201">
        <f t="shared" si="96"/>
        <v>17688702.036125243</v>
      </c>
      <c r="T115" s="201">
        <f t="shared" si="96"/>
        <v>18345987.139106948</v>
      </c>
    </row>
    <row r="116" spans="2:20" ht="15" customHeight="1">
      <c r="C116" s="1767" t="s">
        <v>1349</v>
      </c>
      <c r="D116" s="160">
        <v>0.15</v>
      </c>
      <c r="E116" s="1474"/>
      <c r="F116" s="1474"/>
      <c r="G116" s="1474"/>
      <c r="H116" s="1474"/>
      <c r="I116" s="1474"/>
      <c r="J116" s="1474"/>
      <c r="K116" s="1474"/>
      <c r="L116" s="1474"/>
      <c r="M116" s="1474"/>
      <c r="N116" s="1474"/>
      <c r="O116" s="1474"/>
      <c r="P116" s="1474"/>
      <c r="Q116" s="1474"/>
      <c r="R116" s="1474"/>
      <c r="S116" s="1474"/>
      <c r="T116" s="1474"/>
    </row>
    <row r="117" spans="2:20" ht="15" customHeight="1">
      <c r="C117" s="1767" t="s">
        <v>1350</v>
      </c>
      <c r="D117" s="160">
        <v>0.1</v>
      </c>
      <c r="E117" s="1474"/>
      <c r="F117" s="1474"/>
      <c r="G117" s="1474"/>
      <c r="H117" s="1474"/>
      <c r="I117" s="1474"/>
      <c r="J117" s="1474"/>
      <c r="K117" s="1474"/>
      <c r="L117" s="1474"/>
      <c r="M117" s="1474"/>
      <c r="N117" s="1474"/>
      <c r="O117" s="1474"/>
      <c r="P117" s="1474"/>
      <c r="Q117" s="1474"/>
      <c r="R117" s="1474"/>
      <c r="S117" s="1474"/>
      <c r="T117" s="1474"/>
    </row>
    <row r="118" spans="2:20" ht="15" customHeight="1">
      <c r="E118" s="1474"/>
      <c r="F118" s="1474"/>
      <c r="G118" s="1474"/>
      <c r="H118" s="1474"/>
      <c r="I118" s="1474"/>
      <c r="J118" s="1474"/>
      <c r="K118" s="1474"/>
      <c r="L118" s="1474"/>
      <c r="M118" s="1474"/>
      <c r="N118" s="1474"/>
      <c r="O118" s="1474"/>
      <c r="P118" s="1474"/>
      <c r="Q118" s="1474"/>
      <c r="R118" s="1474"/>
      <c r="S118" s="1474"/>
      <c r="T118" s="1474"/>
    </row>
    <row r="119" spans="2:20" ht="15" customHeight="1">
      <c r="E119" s="1474"/>
      <c r="F119" s="1474"/>
      <c r="G119" s="1474"/>
      <c r="H119" s="1474"/>
      <c r="I119" s="1474"/>
      <c r="J119" s="1474"/>
      <c r="K119" s="1474"/>
      <c r="L119" s="1474"/>
      <c r="M119" s="1474"/>
      <c r="N119" s="1474"/>
      <c r="O119" s="1474"/>
      <c r="P119" s="1474"/>
      <c r="Q119" s="1474"/>
      <c r="R119" s="1474"/>
      <c r="S119" s="1474"/>
      <c r="T119" s="1474"/>
    </row>
    <row r="120" spans="2:20" ht="15" customHeight="1">
      <c r="C120" s="536" t="s">
        <v>1079</v>
      </c>
      <c r="D120" s="1435">
        <f>D$3</f>
        <v>2025</v>
      </c>
      <c r="E120" s="1435">
        <f t="shared" ref="E120:T120" si="97">E$3</f>
        <v>2026</v>
      </c>
      <c r="F120" s="1435">
        <f t="shared" si="97"/>
        <v>2027</v>
      </c>
      <c r="G120" s="1435">
        <f t="shared" si="97"/>
        <v>2028</v>
      </c>
      <c r="H120" s="1435">
        <f t="shared" si="97"/>
        <v>2029</v>
      </c>
      <c r="I120" s="1435">
        <f t="shared" si="97"/>
        <v>2030</v>
      </c>
      <c r="J120" s="1435">
        <f t="shared" si="97"/>
        <v>2031</v>
      </c>
      <c r="K120" s="1435">
        <f t="shared" si="97"/>
        <v>2032</v>
      </c>
      <c r="L120" s="1435">
        <f t="shared" si="97"/>
        <v>2033</v>
      </c>
      <c r="M120" s="1435">
        <f t="shared" si="97"/>
        <v>2034</v>
      </c>
      <c r="N120" s="1435">
        <f t="shared" si="97"/>
        <v>2035</v>
      </c>
      <c r="O120" s="1435">
        <f t="shared" si="97"/>
        <v>2036</v>
      </c>
      <c r="P120" s="1435">
        <f t="shared" si="97"/>
        <v>2037</v>
      </c>
      <c r="Q120" s="1435">
        <f t="shared" si="97"/>
        <v>2038</v>
      </c>
      <c r="R120" s="1435">
        <f t="shared" si="97"/>
        <v>2039</v>
      </c>
      <c r="S120" s="1435">
        <f t="shared" si="97"/>
        <v>2040</v>
      </c>
      <c r="T120" s="1435">
        <f t="shared" si="97"/>
        <v>2041</v>
      </c>
    </row>
    <row r="121" spans="2:20" ht="15" customHeight="1">
      <c r="C121" s="202" t="s">
        <v>1080</v>
      </c>
      <c r="D121" s="208">
        <f>SUMIF(Отель5_PL!3:3,D$120,Отель5_PL!50:50)+SUMIF(Отель4_PL!3:3,D$120,Отель4_PL!56:56)+SUMIF(Отель3_PL!3:3,D$120,Отель3_PL!50:50)+SUMIF(Отель2_PL!3:3,D$120,Отель2_PL!50:50)+SUMIF(Хостел_PL!3:3,D$120,Хостел_PL!50:50)+SUMIF(Шале_PL!3:3,D$120,Шале_PL!50:50)+SUMIF(Резиденции_PL!3:3,D$120,Резиденции_PL!50:50)</f>
        <v>71089090.451129436</v>
      </c>
      <c r="E121" s="208">
        <f>SUMIF(Отель5_PL!3:3,E$120,Отель5_PL!50:50)+SUMIF(Отель4_PL!3:3,E$120,Отель4_PL!56:56)+SUMIF(Отель3_PL!3:3,E$120,Отель3_PL!50:50)+SUMIF(Отель2_PL!3:3,E$120,Отель2_PL!50:50)+SUMIF(Хостел_PL!3:3,E$120,Хостел_PL!50:50)+SUMIF(Шале_PL!3:3,E$120,Шале_PL!50:50)+SUMIF(Резиденции_PL!3:3,E$120,Резиденции_PL!50:50)</f>
        <v>284498564.2672174</v>
      </c>
      <c r="F121" s="208">
        <f>SUMIF(Отель5_PL!3:3,F$120,Отель5_PL!50:50)+SUMIF(Отель4_PL!3:3,F$120,Отель4_PL!56:56)+SUMIF(Отель3_PL!3:3,F$120,Отель3_PL!50:50)+SUMIF(Отель2_PL!3:3,F$120,Отель2_PL!50:50)+SUMIF(Хостел_PL!3:3,F$120,Хостел_PL!50:50)+SUMIF(Шале_PL!3:3,F$120,Шале_PL!50:50)+SUMIF(Резиденции_PL!3:3,F$120,Резиденции_PL!50:50)</f>
        <v>421309390.77528226</v>
      </c>
      <c r="G121" s="208">
        <f>SUMIF(Отель5_PL!3:3,G$120,Отель5_PL!50:50)+SUMIF(Отель4_PL!3:3,G$120,Отель4_PL!56:56)+SUMIF(Отель3_PL!3:3,G$120,Отель3_PL!50:50)+SUMIF(Отель2_PL!3:3,G$120,Отель2_PL!50:50)+SUMIF(Хостел_PL!3:3,G$120,Хостел_PL!50:50)+SUMIF(Шале_PL!3:3,G$120,Шале_PL!50:50)+SUMIF(Резиденции_PL!3:3,G$120,Резиденции_PL!50:50)</f>
        <v>432734997.20734996</v>
      </c>
      <c r="H121" s="208">
        <f>SUMIF(Отель5_PL!3:3,H$120,Отель5_PL!50:50)+SUMIF(Отель4_PL!3:3,H$120,Отель4_PL!56:56)+SUMIF(Отель3_PL!3:3,H$120,Отель3_PL!50:50)+SUMIF(Отель2_PL!3:3,H$120,Отель2_PL!50:50)+SUMIF(Хостел_PL!3:3,H$120,Хостел_PL!50:50)+SUMIF(Шале_PL!3:3,H$120,Шале_PL!50:50)+SUMIF(Резиденции_PL!3:3,H$120,Резиденции_PL!50:50)</f>
        <v>452553186.96091032</v>
      </c>
      <c r="I121" s="208">
        <f>SUMIF(Отель5_PL!3:3,I$120,Отель5_PL!50:50)+SUMIF(Отель4_PL!3:3,I$120,Отель4_PL!56:56)+SUMIF(Отель3_PL!3:3,I$120,Отель3_PL!50:50)+SUMIF(Отель2_PL!3:3,I$120,Отель2_PL!50:50)+SUMIF(Хостел_PL!3:3,I$120,Хостел_PL!50:50)+SUMIF(Шале_PL!3:3,I$120,Шале_PL!50:50)+SUMIF(Резиденции_PL!3:3,I$120,Резиденции_PL!50:50)</f>
        <v>474314216.57067508</v>
      </c>
      <c r="J121" s="208">
        <f>SUMIF(Отель5_PL!3:3,J$120,Отель5_PL!50:50)+SUMIF(Отель4_PL!3:3,J$120,Отель4_PL!56:56)+SUMIF(Отель3_PL!3:3,J$120,Отель3_PL!50:50)+SUMIF(Отель2_PL!3:3,J$120,Отель2_PL!50:50)+SUMIF(Хостел_PL!3:3,J$120,Хостел_PL!50:50)+SUMIF(Шале_PL!3:3,J$120,Шале_PL!50:50)+SUMIF(Резиденции_PL!3:3,J$120,Резиденции_PL!50:50)</f>
        <v>493286785.23350215</v>
      </c>
      <c r="K121" s="208">
        <f>SUMIF(Отель5_PL!3:3,K$120,Отель5_PL!50:50)+SUMIF(Отель4_PL!3:3,K$120,Отель4_PL!56:56)+SUMIF(Отель3_PL!3:3,K$120,Отель3_PL!50:50)+SUMIF(Отель2_PL!3:3,K$120,Отель2_PL!50:50)+SUMIF(Хостел_PL!3:3,K$120,Хостел_PL!50:50)+SUMIF(Шале_PL!3:3,K$120,Шале_PL!50:50)+SUMIF(Резиденции_PL!3:3,K$120,Резиденции_PL!50:50)</f>
        <v>514423786.11309659</v>
      </c>
      <c r="L121" s="208">
        <f>SUMIF(Отель5_PL!3:3,L$120,Отель5_PL!50:50)+SUMIF(Отель4_PL!3:3,L$120,Отель4_PL!56:56)+SUMIF(Отель3_PL!3:3,L$120,Отель3_PL!50:50)+SUMIF(Отель2_PL!3:3,L$120,Отель2_PL!50:50)+SUMIF(Хостел_PL!3:3,L$120,Хостел_PL!50:50)+SUMIF(Шале_PL!3:3,L$120,Шале_PL!50:50)+SUMIF(Резиденции_PL!3:3,L$120,Резиденции_PL!50:50)</f>
        <v>533538986.90855598</v>
      </c>
      <c r="M121" s="208">
        <f>SUMIF(Отель5_PL!3:3,M$120,Отель5_PL!50:50)+SUMIF(Отель4_PL!3:3,M$120,Отель4_PL!56:56)+SUMIF(Отель3_PL!3:3,M$120,Отель3_PL!50:50)+SUMIF(Отель2_PL!3:3,M$120,Отель2_PL!50:50)+SUMIF(Хостел_PL!3:3,M$120,Хостел_PL!50:50)+SUMIF(Шале_PL!3:3,M$120,Шале_PL!50:50)+SUMIF(Резиденции_PL!3:3,M$120,Резиденции_PL!50:50)</f>
        <v>554880546.38489819</v>
      </c>
      <c r="N121" s="208">
        <f>SUMIF(Отель5_PL!3:3,N$120,Отель5_PL!50:50)+SUMIF(Отель4_PL!3:3,N$120,Отель4_PL!56:56)+SUMIF(Отель3_PL!3:3,N$120,Отель3_PL!50:50)+SUMIF(Отель2_PL!3:3,N$120,Отель2_PL!50:50)+SUMIF(Хостел_PL!3:3,N$120,Хостел_PL!50:50)+SUMIF(Шале_PL!3:3,N$120,Шале_PL!50:50)+SUMIF(Резиденции_PL!3:3,N$120,Резиденции_PL!50:50)</f>
        <v>577075768.24029422</v>
      </c>
      <c r="O121" s="208">
        <f>SUMIF(Отель5_PL!3:3,O$120,Отель5_PL!50:50)+SUMIF(Отель4_PL!3:3,O$120,Отель4_PL!56:56)+SUMIF(Отель3_PL!3:3,O$120,Отель3_PL!50:50)+SUMIF(Отель2_PL!3:3,O$120,Отель2_PL!50:50)+SUMIF(Хостел_PL!3:3,O$120,Хостел_PL!50:50)+SUMIF(Шале_PL!3:3,O$120,Шале_PL!50:50)+SUMIF(Резиденции_PL!3:3,O$120,Резиденции_PL!50:50)</f>
        <v>601803069.65201545</v>
      </c>
      <c r="P121" s="208">
        <f>SUMIF(Отель5_PL!3:3,P$120,Отель5_PL!50:50)+SUMIF(Отель4_PL!3:3,P$120,Отель4_PL!56:56)+SUMIF(Отель3_PL!3:3,P$120,Отель3_PL!50:50)+SUMIF(Отель2_PL!3:3,P$120,Отель2_PL!50:50)+SUMIF(Хостел_PL!3:3,P$120,Хостел_PL!50:50)+SUMIF(Шале_PL!3:3,P$120,Шале_PL!50:50)+SUMIF(Резиденции_PL!3:3,P$120,Резиденции_PL!50:50)</f>
        <v>624165150.92870235</v>
      </c>
      <c r="Q121" s="208">
        <f>SUMIF(Отель5_PL!3:3,Q$120,Отель5_PL!50:50)+SUMIF(Отель4_PL!3:3,Q$120,Отель4_PL!56:56)+SUMIF(Отель3_PL!3:3,Q$120,Отель3_PL!50:50)+SUMIF(Отель2_PL!3:3,Q$120,Отель2_PL!50:50)+SUMIF(Хостел_PL!3:3,Q$120,Хостел_PL!50:50)+SUMIF(Шале_PL!3:3,Q$120,Шале_PL!50:50)+SUMIF(Резиденции_PL!3:3,Q$120,Резиденции_PL!50:50)</f>
        <v>649131756.96585047</v>
      </c>
      <c r="R121" s="208">
        <f>SUMIF(Отель5_PL!3:3,R$120,Отель5_PL!50:50)+SUMIF(Отель4_PL!3:3,R$120,Отель4_PL!56:56)+SUMIF(Отель3_PL!3:3,R$120,Отель3_PL!50:50)+SUMIF(Отель2_PL!3:3,R$120,Отель2_PL!50:50)+SUMIF(Хостел_PL!3:3,R$120,Хостел_PL!50:50)+SUMIF(Шале_PL!3:3,R$120,Шале_PL!50:50)+SUMIF(Резиденции_PL!3:3,R$120,Резиденции_PL!50:50)</f>
        <v>675097027.24448454</v>
      </c>
      <c r="S121" s="208">
        <f>SUMIF(Отель5_PL!3:3,S$120,Отель5_PL!50:50)+SUMIF(Отель4_PL!3:3,S$120,Отель4_PL!56:56)+SUMIF(Отель3_PL!3:3,S$120,Отель3_PL!50:50)+SUMIF(Отель2_PL!3:3,S$120,Отель2_PL!50:50)+SUMIF(Хостел_PL!3:3,S$120,Хостел_PL!50:50)+SUMIF(Шале_PL!3:3,S$120,Шале_PL!50:50)+SUMIF(Резиденции_PL!3:3,S$120,Резиденции_PL!50:50)</f>
        <v>704024472.46668661</v>
      </c>
      <c r="T121" s="208">
        <f>SUMIF(Отель5_PL!3:3,T$120,Отель5_PL!50:50)+SUMIF(Отель4_PL!3:3,T$120,Отель4_PL!56:56)+SUMIF(Отель3_PL!3:3,T$120,Отель3_PL!50:50)+SUMIF(Отель2_PL!3:3,T$120,Отель2_PL!50:50)+SUMIF(Хостел_PL!3:3,T$120,Хостел_PL!50:50)+SUMIF(Шале_PL!3:3,T$120,Шале_PL!50:50)+SUMIF(Резиденции_PL!3:3,T$120,Резиденции_PL!50:50)</f>
        <v>730184944.66763449</v>
      </c>
    </row>
    <row r="122" spans="2:20" ht="15" customHeight="1">
      <c r="C122" s="202" t="s">
        <v>555</v>
      </c>
      <c r="D122" s="208">
        <f>SUMIF(Ресторан!5:5,D120,Ресторан!67:67)</f>
        <v>9016155.1759921387</v>
      </c>
      <c r="E122" s="208">
        <f>SUMIF(Ресторан!5:5,E120,Ресторан!67:67)</f>
        <v>56402915.74694439</v>
      </c>
      <c r="F122" s="208">
        <f>SUMIF(Ресторан!5:5,F120,Ресторан!67:67)</f>
        <v>68569907.793733761</v>
      </c>
      <c r="G122" s="208">
        <f>SUMIF(Ресторан!5:5,G120,Ресторан!67:67)</f>
        <v>75647601.683813944</v>
      </c>
      <c r="H122" s="208">
        <f>SUMIF(Ресторан!5:5,H120,Ресторан!67:67)</f>
        <v>81559173.705480084</v>
      </c>
      <c r="I122" s="208">
        <f>SUMIF(Ресторан!5:5,I120,Ресторан!67:67)</f>
        <v>85801437.630596176</v>
      </c>
      <c r="J122" s="208">
        <f>SUMIF(Ресторан!5:5,J120,Ресторан!67:67)</f>
        <v>89233495.135820046</v>
      </c>
      <c r="K122" s="208">
        <f>SUMIF(Ресторан!5:5,K120,Ресторан!67:67)</f>
        <v>93243338.95157592</v>
      </c>
      <c r="L122" s="208">
        <f>SUMIF(Ресторан!5:5,L120,Ресторан!67:67)</f>
        <v>96514948.33890295</v>
      </c>
      <c r="M122" s="208">
        <f>SUMIF(Ресторан!5:5,M120,Ресторан!67:67)</f>
        <v>100375546.27245909</v>
      </c>
      <c r="N122" s="208">
        <f>SUMIF(Ресторан!5:5,N120,Ресторан!67:67)</f>
        <v>104390568.12335745</v>
      </c>
      <c r="O122" s="208">
        <f>SUMIF(Ресторан!5:5,O120,Ресторан!67:67)</f>
        <v>109081518.23548254</v>
      </c>
      <c r="P122" s="208">
        <f>SUMIF(Ресторан!5:5,P120,Ресторан!67:67)</f>
        <v>112908838.48222342</v>
      </c>
      <c r="Q122" s="208">
        <f>SUMIF(Ресторан!5:5,Q120,Ресторан!67:67)</f>
        <v>117425192.02151234</v>
      </c>
      <c r="R122" s="208">
        <f>SUMIF(Ресторан!5:5,R120,Ресторан!67:67)</f>
        <v>122122199.70237286</v>
      </c>
      <c r="S122" s="208">
        <f>SUMIF(Ресторан!5:5,S120,Ресторан!67:67)</f>
        <v>127609947.84557535</v>
      </c>
      <c r="T122" s="208">
        <f>SUMIF(Ресторан!5:5,T120,Ресторан!67:67)</f>
        <v>132087371.19808647</v>
      </c>
    </row>
    <row r="123" spans="2:20" ht="15" customHeight="1">
      <c r="C123" s="202" t="s">
        <v>1083</v>
      </c>
      <c r="D123" s="208">
        <f>LOOKUP(D120,'Курорт-расходы'!10:10,'Курорт-расходы'!48:48)</f>
        <v>42012545.536000013</v>
      </c>
      <c r="E123" s="208">
        <f>LOOKUP(E120,'Курорт-расходы'!10:10,'Курорт-расходы'!48:48)</f>
        <v>44823926.230220817</v>
      </c>
      <c r="F123" s="208">
        <f>LOOKUP(F120,'Курорт-расходы'!10:10,'Курорт-расходы'!48:48)</f>
        <v>47792997.307121679</v>
      </c>
      <c r="G123" s="208">
        <f>LOOKUP(G120,'Курорт-расходы'!10:10,'Курорт-расходы'!48:48)</f>
        <v>49704717.199406549</v>
      </c>
      <c r="H123" s="208">
        <f>LOOKUP(H120,'Курорт-расходы'!10:10,'Курорт-расходы'!48:48)</f>
        <v>51692905.887382813</v>
      </c>
      <c r="I123" s="208">
        <f>LOOKUP(I120,'Курорт-расходы'!10:10,'Курорт-расходы'!48:48)</f>
        <v>53760622.122878119</v>
      </c>
      <c r="J123" s="208">
        <f>LOOKUP(J120,'Курорт-расходы'!10:10,'Курорт-расходы'!48:48)</f>
        <v>55911047.007793255</v>
      </c>
      <c r="K123" s="208">
        <f>LOOKUP(K120,'Курорт-расходы'!10:10,'Курорт-расходы'!48:48)</f>
        <v>58147488.888105005</v>
      </c>
      <c r="L123" s="208">
        <f>LOOKUP(L120,'Курорт-расходы'!10:10,'Курорт-расходы'!48:48)</f>
        <v>60473388.44362919</v>
      </c>
      <c r="M123" s="208">
        <f>LOOKUP(M120,'Курорт-расходы'!10:10,'Курорт-расходы'!48:48)</f>
        <v>62892323.981374368</v>
      </c>
      <c r="N123" s="208">
        <f>LOOKUP(N120,'Курорт-расходы'!10:10,'Курорт-расходы'!48:48)</f>
        <v>65408016.940629333</v>
      </c>
      <c r="O123" s="208">
        <f>LOOKUP(O120,'Курорт-расходы'!10:10,'Курорт-расходы'!48:48)</f>
        <v>68024337.618254513</v>
      </c>
      <c r="P123" s="208">
        <f>LOOKUP(P120,'Курорт-расходы'!10:10,'Курорт-расходы'!48:48)</f>
        <v>70745311.122984692</v>
      </c>
      <c r="Q123" s="208">
        <f>LOOKUP(Q120,'Курорт-расходы'!10:10,'Курорт-расходы'!48:48)</f>
        <v>73575123.567904085</v>
      </c>
      <c r="R123" s="208">
        <f>LOOKUP(R120,'Курорт-расходы'!10:10,'Курорт-расходы'!48:48)</f>
        <v>76518128.510620236</v>
      </c>
      <c r="S123" s="208">
        <f>LOOKUP(S120,'Курорт-расходы'!10:10,'Курорт-расходы'!48:48)</f>
        <v>79578853.651045054</v>
      </c>
      <c r="T123" s="208">
        <f>LOOKUP(T120,'Курорт-расходы'!10:10,'Курорт-расходы'!48:48)</f>
        <v>82762007.797086865</v>
      </c>
    </row>
    <row r="124" spans="2:20" ht="15" customHeight="1">
      <c r="C124" s="1532" t="s">
        <v>1084</v>
      </c>
      <c r="D124" s="556">
        <f>D121+D122+D123</f>
        <v>122117791.16312158</v>
      </c>
      <c r="E124" s="556">
        <f t="shared" ref="E124:T124" si="98">E121+E122+E123</f>
        <v>385725406.24438256</v>
      </c>
      <c r="F124" s="556">
        <f t="shared" si="98"/>
        <v>537672295.87613773</v>
      </c>
      <c r="G124" s="556">
        <f t="shared" si="98"/>
        <v>558087316.09057045</v>
      </c>
      <c r="H124" s="556">
        <f t="shared" si="98"/>
        <v>585805266.55377328</v>
      </c>
      <c r="I124" s="556">
        <f t="shared" si="98"/>
        <v>613876276.32414937</v>
      </c>
      <c r="J124" s="556">
        <f t="shared" si="98"/>
        <v>638431327.37711549</v>
      </c>
      <c r="K124" s="556">
        <f t="shared" si="98"/>
        <v>665814613.9527775</v>
      </c>
      <c r="L124" s="556">
        <f t="shared" si="98"/>
        <v>690527323.69108808</v>
      </c>
      <c r="M124" s="556">
        <f t="shared" si="98"/>
        <v>718148416.6387316</v>
      </c>
      <c r="N124" s="556">
        <f t="shared" si="98"/>
        <v>746874353.304281</v>
      </c>
      <c r="O124" s="556">
        <f t="shared" si="98"/>
        <v>778908925.50575256</v>
      </c>
      <c r="P124" s="556">
        <f t="shared" si="98"/>
        <v>807819300.53391039</v>
      </c>
      <c r="Q124" s="556">
        <f t="shared" si="98"/>
        <v>840132072.55526698</v>
      </c>
      <c r="R124" s="556">
        <f t="shared" si="98"/>
        <v>873737355.45747769</v>
      </c>
      <c r="S124" s="556">
        <f t="shared" si="98"/>
        <v>911213273.96330702</v>
      </c>
      <c r="T124" s="556">
        <f t="shared" si="98"/>
        <v>945034323.66280782</v>
      </c>
    </row>
    <row r="127" spans="2:20" ht="15" customHeight="1">
      <c r="C127" s="536" t="s">
        <v>1087</v>
      </c>
      <c r="D127" s="1435">
        <f>D$3</f>
        <v>2025</v>
      </c>
      <c r="E127" s="1435">
        <f t="shared" ref="E127:T127" si="99">E$3</f>
        <v>2026</v>
      </c>
      <c r="F127" s="1435">
        <f t="shared" si="99"/>
        <v>2027</v>
      </c>
      <c r="G127" s="1435">
        <f t="shared" si="99"/>
        <v>2028</v>
      </c>
      <c r="H127" s="1435">
        <f t="shared" si="99"/>
        <v>2029</v>
      </c>
      <c r="I127" s="1435">
        <f t="shared" si="99"/>
        <v>2030</v>
      </c>
      <c r="J127" s="1435">
        <f t="shared" si="99"/>
        <v>2031</v>
      </c>
      <c r="K127" s="1435">
        <f t="shared" si="99"/>
        <v>2032</v>
      </c>
      <c r="L127" s="1435">
        <f t="shared" si="99"/>
        <v>2033</v>
      </c>
      <c r="M127" s="1435">
        <f t="shared" si="99"/>
        <v>2034</v>
      </c>
      <c r="N127" s="1435">
        <f t="shared" si="99"/>
        <v>2035</v>
      </c>
      <c r="O127" s="1435">
        <f t="shared" si="99"/>
        <v>2036</v>
      </c>
      <c r="P127" s="1435">
        <f t="shared" si="99"/>
        <v>2037</v>
      </c>
      <c r="Q127" s="1435">
        <f t="shared" si="99"/>
        <v>2038</v>
      </c>
      <c r="R127" s="1435">
        <f t="shared" si="99"/>
        <v>2039</v>
      </c>
      <c r="S127" s="1435">
        <f t="shared" si="99"/>
        <v>2040</v>
      </c>
      <c r="T127" s="1435">
        <f t="shared" si="99"/>
        <v>2041</v>
      </c>
    </row>
    <row r="128" spans="2:20" ht="15" customHeight="1">
      <c r="C128" s="202" t="s">
        <v>1080</v>
      </c>
      <c r="D128" s="208">
        <f t="shared" ref="D128:T128" si="100">D60</f>
        <v>11359394.56554924</v>
      </c>
      <c r="E128" s="208">
        <f t="shared" si="100"/>
        <v>52028336.39178241</v>
      </c>
      <c r="F128" s="208">
        <f t="shared" si="100"/>
        <v>56019215.842069723</v>
      </c>
      <c r="G128" s="208">
        <f t="shared" si="100"/>
        <v>60411178.174016602</v>
      </c>
      <c r="H128" s="208">
        <f t="shared" si="100"/>
        <v>64721546.39033597</v>
      </c>
      <c r="I128" s="208">
        <f t="shared" si="100"/>
        <v>69458612.764437169</v>
      </c>
      <c r="J128" s="208">
        <f t="shared" si="100"/>
        <v>74471089.974241912</v>
      </c>
      <c r="K128" s="208">
        <f t="shared" si="100"/>
        <v>77662125.17204231</v>
      </c>
      <c r="L128" s="208">
        <f t="shared" si="100"/>
        <v>80547930.916140065</v>
      </c>
      <c r="M128" s="208">
        <f t="shared" si="100"/>
        <v>83769848.152785674</v>
      </c>
      <c r="N128" s="208">
        <f t="shared" si="100"/>
        <v>87120642.078897089</v>
      </c>
      <c r="O128" s="208">
        <f t="shared" si="100"/>
        <v>90853701.920305163</v>
      </c>
      <c r="P128" s="208">
        <f t="shared" si="100"/>
        <v>94229686.472535104</v>
      </c>
      <c r="Q128" s="208">
        <f t="shared" si="100"/>
        <v>97998873.931436539</v>
      </c>
      <c r="R128" s="208">
        <f t="shared" si="100"/>
        <v>101918828.88869399</v>
      </c>
      <c r="S128" s="208">
        <f t="shared" si="100"/>
        <v>106285980.89915746</v>
      </c>
      <c r="T128" s="208">
        <f t="shared" si="100"/>
        <v>110235405.32601139</v>
      </c>
    </row>
    <row r="129" spans="3:20" ht="15" customHeight="1">
      <c r="C129" s="202" t="s">
        <v>1083</v>
      </c>
      <c r="D129" s="208">
        <f>LOOKUP(D127,'Курорт-расходы'!10:10,'Курорт-расходы'!42:42)</f>
        <v>2052354.6568790022</v>
      </c>
      <c r="E129" s="208">
        <f>LOOKUP(E127,'Курорт-расходы'!10:10,'Курорт-расходы'!42:42)</f>
        <v>8135088.9963422352</v>
      </c>
      <c r="F129" s="208">
        <f>LOOKUP(F127,'Курорт-расходы'!10:10,'Курорт-расходы'!42:42)</f>
        <v>11733402.728689115</v>
      </c>
      <c r="G129" s="208">
        <f>LOOKUP(G127,'Курорт-расходы'!10:10,'Курорт-расходы'!42:42)</f>
        <v>12159111.6737171</v>
      </c>
      <c r="H129" s="208">
        <f>LOOKUP(H127,'Курорт-расходы'!10:10,'Курорт-расходы'!42:42)</f>
        <v>13203551.38310951</v>
      </c>
      <c r="I129" s="208">
        <f>LOOKUP(I127,'Курорт-расходы'!10:10,'Курорт-расходы'!42:42)</f>
        <v>14122401.588338301</v>
      </c>
      <c r="J129" s="208">
        <f>LOOKUP(J127,'Курорт-расходы'!10:10,'Курорт-расходы'!42:42)</f>
        <v>14687297.651871834</v>
      </c>
      <c r="K129" s="208">
        <f>LOOKUP(K127,'Курорт-расходы'!10:10,'Курорт-расходы'!42:42)</f>
        <v>15317785.789273046</v>
      </c>
      <c r="L129" s="208">
        <f>LOOKUP(L127,'Курорт-расходы'!10:10,'Курорт-расходы'!42:42)</f>
        <v>15885781.140264576</v>
      </c>
      <c r="M129" s="208">
        <f>LOOKUP(M127,'Курорт-расходы'!10:10,'Курорт-расходы'!42:42)</f>
        <v>16521212.385875162</v>
      </c>
      <c r="N129" s="208">
        <f>LOOKUP(N127,'Курорт-расходы'!10:10,'Курорт-расходы'!42:42)</f>
        <v>17182060.881310169</v>
      </c>
      <c r="O129" s="208">
        <f>LOOKUP(O127,'Курорт-расходы'!10:10,'Курорт-расходы'!42:42)</f>
        <v>17919642.825827431</v>
      </c>
      <c r="P129" s="208">
        <f>LOOKUP(P127,'Курорт-расходы'!10:10,'Курорт-расходы'!42:42)</f>
        <v>18584117.049225077</v>
      </c>
      <c r="Q129" s="208">
        <f>LOOKUP(Q127,'Курорт-расходы'!10:10,'Курорт-расходы'!42:42)</f>
        <v>19327481.731194083</v>
      </c>
      <c r="R129" s="208">
        <f>LOOKUP(R127,'Курорт-расходы'!10:10,'Курорт-расходы'!42:42)</f>
        <v>20100581.000441846</v>
      </c>
      <c r="S129" s="208">
        <f>LOOKUP(S127,'Курорт-расходы'!10:10,'Курорт-расходы'!42:42)</f>
        <v>20963447.551936813</v>
      </c>
      <c r="T129" s="208">
        <f>LOOKUP(T127,'Курорт-расходы'!10:10,'Курорт-расходы'!42:42)</f>
        <v>21740788.410077907</v>
      </c>
    </row>
    <row r="130" spans="3:20" ht="15" customHeight="1">
      <c r="C130" s="1532" t="s">
        <v>1088</v>
      </c>
      <c r="D130" s="554">
        <f>D128+D129</f>
        <v>13411749.222428242</v>
      </c>
      <c r="E130" s="556">
        <f t="shared" ref="E130:T130" si="101">E128+E129</f>
        <v>60163425.388124645</v>
      </c>
      <c r="F130" s="556">
        <f t="shared" si="101"/>
        <v>67752618.570758834</v>
      </c>
      <c r="G130" s="556">
        <f t="shared" si="101"/>
        <v>72570289.847733706</v>
      </c>
      <c r="H130" s="556">
        <f t="shared" si="101"/>
        <v>77925097.773445487</v>
      </c>
      <c r="I130" s="556">
        <f t="shared" si="101"/>
        <v>83581014.352775469</v>
      </c>
      <c r="J130" s="556">
        <f t="shared" si="101"/>
        <v>89158387.626113743</v>
      </c>
      <c r="K130" s="556">
        <f t="shared" si="101"/>
        <v>92979910.961315364</v>
      </c>
      <c r="L130" s="556">
        <f t="shared" si="101"/>
        <v>96433712.056404635</v>
      </c>
      <c r="M130" s="556">
        <f t="shared" si="101"/>
        <v>100291060.53866084</v>
      </c>
      <c r="N130" s="556">
        <f t="shared" si="101"/>
        <v>104302702.96020725</v>
      </c>
      <c r="O130" s="556">
        <f t="shared" si="101"/>
        <v>108773344.7461326</v>
      </c>
      <c r="P130" s="556">
        <f t="shared" si="101"/>
        <v>112813803.52176018</v>
      </c>
      <c r="Q130" s="556">
        <f t="shared" si="101"/>
        <v>117326355.66263062</v>
      </c>
      <c r="R130" s="556">
        <f t="shared" si="101"/>
        <v>122019409.88913584</v>
      </c>
      <c r="S130" s="556">
        <f t="shared" si="101"/>
        <v>127249428.45109427</v>
      </c>
      <c r="T130" s="556">
        <f t="shared" si="101"/>
        <v>131976193.73608929</v>
      </c>
    </row>
    <row r="135" spans="3:20" ht="15" customHeight="1">
      <c r="C135" s="536" t="s">
        <v>1339</v>
      </c>
      <c r="D135" s="1656">
        <f>D127</f>
        <v>2025</v>
      </c>
      <c r="E135" s="1656">
        <f t="shared" ref="E135:T135" si="102">E127</f>
        <v>2026</v>
      </c>
      <c r="F135" s="1656">
        <f t="shared" si="102"/>
        <v>2027</v>
      </c>
      <c r="G135" s="1656">
        <f t="shared" si="102"/>
        <v>2028</v>
      </c>
      <c r="H135" s="1656">
        <f t="shared" si="102"/>
        <v>2029</v>
      </c>
      <c r="I135" s="1656">
        <f t="shared" si="102"/>
        <v>2030</v>
      </c>
      <c r="J135" s="1656">
        <f t="shared" si="102"/>
        <v>2031</v>
      </c>
      <c r="K135" s="1656">
        <f t="shared" si="102"/>
        <v>2032</v>
      </c>
      <c r="L135" s="1656">
        <f t="shared" si="102"/>
        <v>2033</v>
      </c>
      <c r="M135" s="1656">
        <f t="shared" si="102"/>
        <v>2034</v>
      </c>
      <c r="N135" s="1656">
        <f t="shared" si="102"/>
        <v>2035</v>
      </c>
      <c r="O135" s="1656">
        <f t="shared" si="102"/>
        <v>2036</v>
      </c>
      <c r="P135" s="1656">
        <f t="shared" si="102"/>
        <v>2037</v>
      </c>
      <c r="Q135" s="1656">
        <f t="shared" si="102"/>
        <v>2038</v>
      </c>
      <c r="R135" s="1656">
        <f t="shared" si="102"/>
        <v>2039</v>
      </c>
      <c r="S135" s="1656">
        <f t="shared" si="102"/>
        <v>2040</v>
      </c>
      <c r="T135" s="1656">
        <f t="shared" si="102"/>
        <v>2041</v>
      </c>
    </row>
    <row r="136" spans="3:20" ht="15" customHeight="1">
      <c r="C136" s="1532" t="s">
        <v>704</v>
      </c>
      <c r="D136" s="1532"/>
      <c r="E136" s="1532"/>
      <c r="F136" s="1532"/>
      <c r="G136" s="1532"/>
      <c r="H136" s="1532"/>
      <c r="I136" s="1532"/>
      <c r="J136" s="1532"/>
      <c r="K136" s="1532"/>
      <c r="L136" s="1532"/>
      <c r="M136" s="1532"/>
      <c r="N136" s="1532"/>
      <c r="O136" s="1532"/>
      <c r="P136" s="1532"/>
      <c r="Q136" s="1532"/>
      <c r="R136" s="1532"/>
      <c r="S136" s="1532"/>
      <c r="T136" s="1532"/>
    </row>
    <row r="137" spans="3:20" ht="15" hidden="1" customHeight="1" outlineLevel="1">
      <c r="C137" s="202" t="s">
        <v>63</v>
      </c>
      <c r="D137" s="1051">
        <f>SUMIF(Отель5_PL!$D$3:$T$3,D$135,Отель5_PL!$D$14:$T$14)</f>
        <v>0</v>
      </c>
      <c r="E137" s="1051">
        <f>SUMIF(Отель5_PL!$D$3:$T$3,E$135,Отель5_PL!$D$14:$T$14)</f>
        <v>131924588.98985197</v>
      </c>
      <c r="F137" s="1051">
        <f>SUMIF(Отель5_PL!$D$3:$T$3,F$135,Отель5_PL!$D$14:$T$14)</f>
        <v>324505640.32480741</v>
      </c>
      <c r="G137" s="1051">
        <f>SUMIF(Отель5_PL!$D$3:$T$3,G$135,Отель5_PL!$D$14:$T$14)</f>
        <v>377175772.47520667</v>
      </c>
      <c r="H137" s="1051">
        <f>SUMIF(Отель5_PL!$D$3:$T$3,H$135,Отель5_PL!$D$14:$T$14)</f>
        <v>412923883.02977848</v>
      </c>
      <c r="I137" s="1051">
        <f>SUMIF(Отель5_PL!$D$3:$T$3,I$135,Отель5_PL!$D$14:$T$14)</f>
        <v>452042987.73786277</v>
      </c>
      <c r="J137" s="1051">
        <f>SUMIF(Отель5_PL!$D$3:$T$3,J$135,Отель5_PL!$D$14:$T$14)</f>
        <v>470124707.24737728</v>
      </c>
      <c r="K137" s="1051">
        <f>SUMIF(Отель5_PL!$D$3:$T$3,K$135,Отель5_PL!$D$14:$T$14)</f>
        <v>490269228.94970328</v>
      </c>
      <c r="L137" s="1051">
        <f>SUMIF(Отель5_PL!$D$3:$T$3,L$135,Отель5_PL!$D$14:$T$14)</f>
        <v>508486883.35876334</v>
      </c>
      <c r="M137" s="1051">
        <f>SUMIF(Отель5_PL!$D$3:$T$3,M$135,Отель5_PL!$D$14:$T$14)</f>
        <v>528826358.69311386</v>
      </c>
      <c r="N137" s="1051">
        <f>SUMIF(Отель5_PL!$D$3:$T$3,N$135,Отель5_PL!$D$14:$T$14)</f>
        <v>549979413.04083848</v>
      </c>
      <c r="O137" s="1051">
        <f>SUMIF(Отель5_PL!$D$3:$T$3,O$135,Отель5_PL!$D$14:$T$14)</f>
        <v>573545654.19141018</v>
      </c>
      <c r="P137" s="1051">
        <f>SUMIF(Отель5_PL!$D$3:$T$3,P$135,Отель5_PL!$D$14:$T$14)</f>
        <v>594857733.14497089</v>
      </c>
      <c r="Q137" s="1051">
        <f>SUMIF(Отель5_PL!$D$3:$T$3,Q$135,Отель5_PL!$D$14:$T$14)</f>
        <v>618652042.47076976</v>
      </c>
      <c r="R137" s="1051">
        <f>SUMIF(Отель5_PL!$D$3:$T$3,R$135,Отель5_PL!$D$14:$T$14)</f>
        <v>643398124.16960061</v>
      </c>
      <c r="S137" s="1051">
        <f>SUMIF(Отель5_PL!$D$3:$T$3,S$135,Отель5_PL!$D$14:$T$14)</f>
        <v>670967293.10662127</v>
      </c>
      <c r="T137" s="1051">
        <f>SUMIF(Отель5_PL!$D$3:$T$3,T$135,Отель5_PL!$D$14:$T$14)</f>
        <v>695899411.10184014</v>
      </c>
    </row>
    <row r="138" spans="3:20" ht="15" hidden="1" customHeight="1" outlineLevel="1">
      <c r="C138" s="202" t="s">
        <v>62</v>
      </c>
      <c r="D138" s="1051">
        <f>SUMIF(Отель4_PL!$D$3:$T$3,D$135,Отель4_PL!$D$14:$T$14)</f>
        <v>0</v>
      </c>
      <c r="E138" s="1051">
        <f>SUMIF(Отель4_PL!$D$3:$T$3,E$135,Отель4_PL!$D$14:$T$14)</f>
        <v>94659450.699700728</v>
      </c>
      <c r="F138" s="1051">
        <f>SUMIF(Отель4_PL!$D$3:$T$3,F$135,Отель4_PL!$D$14:$T$14)</f>
        <v>245823558.50201806</v>
      </c>
      <c r="G138" s="1051">
        <f>SUMIF(Отель4_PL!$D$3:$T$3,G$135,Отель4_PL!$D$14:$T$14)</f>
        <v>285722893.68467647</v>
      </c>
      <c r="H138" s="1051">
        <f>SUMIF(Отель4_PL!$D$3:$T$3,H$135,Отель4_PL!$D$14:$T$14)</f>
        <v>312803248.08915609</v>
      </c>
      <c r="I138" s="1051">
        <f>SUMIF(Отель4_PL!$D$3:$T$3,I$135,Отель4_PL!$D$14:$T$14)</f>
        <v>342437240.01339197</v>
      </c>
      <c r="J138" s="1051">
        <f>SUMIF(Отель4_PL!$D$3:$T$3,J$135,Отель4_PL!$D$14:$T$14)</f>
        <v>356134729.61392766</v>
      </c>
      <c r="K138" s="1051">
        <f>SUMIF(Отель4_PL!$D$3:$T$3,K$135,Отель4_PL!$D$14:$T$14)</f>
        <v>371394858.84998757</v>
      </c>
      <c r="L138" s="1051">
        <f>SUMIF(Отель4_PL!$D$3:$T$3,L$135,Отель4_PL!$D$14:$T$14)</f>
        <v>385195323.55042422</v>
      </c>
      <c r="M138" s="1051">
        <f>SUMIF(Отель4_PL!$D$3:$T$3,M$135,Отель4_PL!$D$14:$T$14)</f>
        <v>400603136.49244118</v>
      </c>
      <c r="N138" s="1051">
        <f>SUMIF(Отель4_PL!$D$3:$T$3,N$135,Отель4_PL!$D$14:$T$14)</f>
        <v>416627261.9521389</v>
      </c>
      <c r="O138" s="1051">
        <f>SUMIF(Отель4_PL!$D$3:$T$3,O$135,Отель4_PL!$D$14:$T$14)</f>
        <v>434479454.7656498</v>
      </c>
      <c r="P138" s="1051">
        <f>SUMIF(Отель4_PL!$D$3:$T$3,P$135,Отель4_PL!$D$14:$T$14)</f>
        <v>450624046.52743345</v>
      </c>
      <c r="Q138" s="1051">
        <f>SUMIF(Отель4_PL!$D$3:$T$3,Q$135,Отель4_PL!$D$14:$T$14)</f>
        <v>468649008.38853079</v>
      </c>
      <c r="R138" s="1051">
        <f>SUMIF(Отель4_PL!$D$3:$T$3,R$135,Отель4_PL!$D$14:$T$14)</f>
        <v>487394968.72407204</v>
      </c>
      <c r="S138" s="1051">
        <f>SUMIF(Отель4_PL!$D$3:$T$3,S$135,Отель4_PL!$D$14:$T$14)</f>
        <v>508279509.30172831</v>
      </c>
      <c r="T138" s="1051">
        <f>SUMIF(Отель4_PL!$D$3:$T$3,T$135,Отель4_PL!$D$14:$T$14)</f>
        <v>527166398.17195642</v>
      </c>
    </row>
    <row r="139" spans="3:20" ht="15" hidden="1" customHeight="1" outlineLevel="1">
      <c r="C139" s="202" t="s">
        <v>15</v>
      </c>
      <c r="D139" s="1051">
        <f>SUMIF(Отель3_PL!$D$3:$T$3,D$135,Отель3_PL!$D$14:$T$14)</f>
        <v>71155957.609206721</v>
      </c>
      <c r="E139" s="1051">
        <f>SUMIF(Отель3_PL!$D$3:$T$3,E$135,Отель3_PL!$D$14:$T$14)</f>
        <v>211136811.75077575</v>
      </c>
      <c r="F139" s="1051">
        <f>SUMIF(Отель3_PL!$D$3:$T$3,F$135,Отель3_PL!$D$14:$T$14)</f>
        <v>244735672.81575993</v>
      </c>
      <c r="G139" s="1051">
        <f>SUMIF(Отель3_PL!$D$3:$T$3,G$135,Отель3_PL!$D$14:$T$14)</f>
        <v>269401452.58922774</v>
      </c>
      <c r="H139" s="1051">
        <f>SUMIF(Отель3_PL!$D$3:$T$3,H$135,Отель3_PL!$D$14:$T$14)</f>
        <v>294117893.01947325</v>
      </c>
      <c r="I139" s="1051">
        <f>SUMIF(Отель3_PL!$D$3:$T$3,I$135,Отель3_PL!$D$14:$T$14)</f>
        <v>305882608.7402522</v>
      </c>
      <c r="J139" s="1051">
        <f>SUMIF(Отель3_PL!$D$3:$T$3,J$135,Отель3_PL!$D$14:$T$14)</f>
        <v>318117913.08986235</v>
      </c>
      <c r="K139" s="1051">
        <f>SUMIF(Отель3_PL!$D$3:$T$3,K$135,Отель3_PL!$D$14:$T$14)</f>
        <v>331749047.77678138</v>
      </c>
      <c r="L139" s="1051">
        <f>SUMIF(Отель3_PL!$D$3:$T$3,L$135,Отель3_PL!$D$14:$T$14)</f>
        <v>344076334.79799515</v>
      </c>
      <c r="M139" s="1051">
        <f>SUMIF(Отель3_PL!$D$3:$T$3,M$135,Отель3_PL!$D$14:$T$14)</f>
        <v>357839388.18991494</v>
      </c>
      <c r="N139" s="1051">
        <f>SUMIF(Отель3_PL!$D$3:$T$3,N$135,Отель3_PL!$D$14:$T$14)</f>
        <v>372152963.71751159</v>
      </c>
      <c r="O139" s="1051">
        <f>SUMIF(Отель3_PL!$D$3:$T$3,O$135,Отель3_PL!$D$14:$T$14)</f>
        <v>388099463.3135168</v>
      </c>
      <c r="P139" s="1051">
        <f>SUMIF(Отель3_PL!$D$3:$T$3,P$135,Отель3_PL!$D$14:$T$14)</f>
        <v>402520645.55686057</v>
      </c>
      <c r="Q139" s="1051">
        <f>SUMIF(Отель3_PL!$D$3:$T$3,Q$135,Отель3_PL!$D$14:$T$14)</f>
        <v>418621471.37913501</v>
      </c>
      <c r="R139" s="1051">
        <f>SUMIF(Отель3_PL!$D$3:$T$3,R$135,Отель3_PL!$D$14:$T$14)</f>
        <v>435366330.23430043</v>
      </c>
      <c r="S139" s="1051">
        <f>SUMIF(Отель3_PL!$D$3:$T$3,S$135,Отель3_PL!$D$14:$T$14)</f>
        <v>454021479.28872365</v>
      </c>
      <c r="T139" s="1051">
        <f>SUMIF(Отель3_PL!$D$3:$T$3,T$135,Отель3_PL!$D$14:$T$14)</f>
        <v>470892222.7814194</v>
      </c>
    </row>
    <row r="140" spans="3:20" ht="15" hidden="1" customHeight="1" outlineLevel="1">
      <c r="C140" s="202" t="s">
        <v>402</v>
      </c>
      <c r="D140" s="1051">
        <f>SUMIF(Отель2_PL!$D$3:$T$3,D$135,Отель2_PL!$D$14:$T$14)</f>
        <v>0</v>
      </c>
      <c r="E140" s="1051">
        <f>SUMIF(Отель2_PL!$D$3:$T$3,E$135,Отель2_PL!$D$14:$T$14)</f>
        <v>0</v>
      </c>
      <c r="F140" s="1051">
        <f>SUMIF(Отель2_PL!$D$3:$T$3,F$135,Отель2_PL!$D$14:$T$14)</f>
        <v>0</v>
      </c>
      <c r="G140" s="1051">
        <f>SUMIF(Отель2_PL!$D$3:$T$3,G$135,Отель2_PL!$D$14:$T$14)</f>
        <v>0</v>
      </c>
      <c r="H140" s="1051">
        <f>SUMIF(Отель2_PL!$D$3:$T$3,H$135,Отель2_PL!$D$14:$T$14)</f>
        <v>0</v>
      </c>
      <c r="I140" s="1051">
        <f>SUMIF(Отель2_PL!$D$3:$T$3,I$135,Отель2_PL!$D$14:$T$14)</f>
        <v>0</v>
      </c>
      <c r="J140" s="1051">
        <f>SUMIF(Отель2_PL!$D$3:$T$3,J$135,Отель2_PL!$D$14:$T$14)</f>
        <v>0</v>
      </c>
      <c r="K140" s="1051">
        <f>SUMIF(Отель2_PL!$D$3:$T$3,K$135,Отель2_PL!$D$14:$T$14)</f>
        <v>0</v>
      </c>
      <c r="L140" s="1051">
        <f>SUMIF(Отель2_PL!$D$3:$T$3,L$135,Отель2_PL!$D$14:$T$14)</f>
        <v>0</v>
      </c>
      <c r="M140" s="1051">
        <f>SUMIF(Отель2_PL!$D$3:$T$3,M$135,Отель2_PL!$D$14:$T$14)</f>
        <v>0</v>
      </c>
      <c r="N140" s="1051">
        <f>SUMIF(Отель2_PL!$D$3:$T$3,N$135,Отель2_PL!$D$14:$T$14)</f>
        <v>0</v>
      </c>
      <c r="O140" s="1051">
        <f>SUMIF(Отель2_PL!$D$3:$T$3,O$135,Отель2_PL!$D$14:$T$14)</f>
        <v>0</v>
      </c>
      <c r="P140" s="1051">
        <f>SUMIF(Отель2_PL!$D$3:$T$3,P$135,Отель2_PL!$D$14:$T$14)</f>
        <v>0</v>
      </c>
      <c r="Q140" s="1051">
        <f>SUMIF(Отель2_PL!$D$3:$T$3,Q$135,Отель2_PL!$D$14:$T$14)</f>
        <v>0</v>
      </c>
      <c r="R140" s="1051">
        <f>SUMIF(Отель2_PL!$D$3:$T$3,R$135,Отель2_PL!$D$14:$T$14)</f>
        <v>0</v>
      </c>
      <c r="S140" s="1051">
        <f>SUMIF(Отель2_PL!$D$3:$T$3,S$135,Отель2_PL!$D$14:$T$14)</f>
        <v>0</v>
      </c>
      <c r="T140" s="1051">
        <f>SUMIF(Отель2_PL!$D$3:$T$3,T$135,Отель2_PL!$D$14:$T$14)</f>
        <v>0</v>
      </c>
    </row>
    <row r="141" spans="3:20" ht="15" hidden="1" customHeight="1" outlineLevel="1">
      <c r="C141" s="202" t="s">
        <v>369</v>
      </c>
      <c r="D141" s="1051">
        <f>SUMIF(Хостел_PL!$D$3:$T$3,D$135,Хостел_PL!$D$14:$T$14)</f>
        <v>32355738.654463463</v>
      </c>
      <c r="E141" s="1051">
        <f>SUMIF(Хостел_PL!$D$3:$T$3,E$135,Хостел_PL!$D$14:$T$14)</f>
        <v>105221141.38237676</v>
      </c>
      <c r="F141" s="1051">
        <f>SUMIF(Хостел_PL!$D$3:$T$3,F$135,Хостел_PL!$D$14:$T$14)</f>
        <v>123591514.7719588</v>
      </c>
      <c r="G141" s="1051">
        <f>SUMIF(Хостел_PL!$D$3:$T$3,G$135,Хостел_PL!$D$14:$T$14)</f>
        <v>144550716.90490752</v>
      </c>
      <c r="H141" s="1051">
        <f>SUMIF(Хостел_PL!$D$3:$T$3,H$135,Хостел_PL!$D$14:$T$14)</f>
        <v>167095727.97168827</v>
      </c>
      <c r="I141" s="1051">
        <f>SUMIF(Хостел_PL!$D$3:$T$3,I$135,Хостел_PL!$D$14:$T$14)</f>
        <v>173779557.09055582</v>
      </c>
      <c r="J141" s="1051">
        <f>SUMIF(Хостел_PL!$D$3:$T$3,J$135,Хостел_PL!$D$14:$T$14)</f>
        <v>180730739.37417802</v>
      </c>
      <c r="K141" s="1051">
        <f>SUMIF(Хостел_PL!$D$3:$T$3,K$135,Хостел_PL!$D$14:$T$14)</f>
        <v>188474927.76818395</v>
      </c>
      <c r="L141" s="1051">
        <f>SUMIF(Хостел_PL!$D$3:$T$3,L$135,Хостел_PL!$D$14:$T$14)</f>
        <v>195478367.70711097</v>
      </c>
      <c r="M141" s="1051">
        <f>SUMIF(Хостел_PL!$D$3:$T$3,M$135,Хостел_PL!$D$14:$T$14)</f>
        <v>203297502.41539544</v>
      </c>
      <c r="N141" s="1051">
        <f>SUMIF(Хостел_PL!$D$3:$T$3,N$135,Хостел_PL!$D$14:$T$14)</f>
        <v>211429402.51201129</v>
      </c>
      <c r="O141" s="1051">
        <f>SUMIF(Хостел_PL!$D$3:$T$3,O$135,Хостел_PL!$D$14:$T$14)</f>
        <v>220489007.59499174</v>
      </c>
      <c r="P141" s="1051">
        <f>SUMIF(Хостел_PL!$D$3:$T$3,P$135,Хостел_PL!$D$14:$T$14)</f>
        <v>228682041.75699142</v>
      </c>
      <c r="Q141" s="1051">
        <f>SUMIF(Хостел_PL!$D$3:$T$3,Q$135,Хостел_PL!$D$14:$T$14)</f>
        <v>237829323.4272711</v>
      </c>
      <c r="R141" s="1051">
        <f>SUMIF(Хостел_PL!$D$3:$T$3,R$135,Хостел_PL!$D$14:$T$14)</f>
        <v>247342496.36436191</v>
      </c>
      <c r="S141" s="1051">
        <f>SUMIF(Хостел_PL!$D$3:$T$3,S$135,Хостел_PL!$D$14:$T$14)</f>
        <v>257940952.92090613</v>
      </c>
      <c r="T141" s="1051">
        <f>SUMIF(Хостел_PL!$D$3:$T$3,T$135,Хостел_PL!$D$14:$T$14)</f>
        <v>267525644.06769389</v>
      </c>
    </row>
    <row r="142" spans="3:20" ht="15" hidden="1" customHeight="1" outlineLevel="1">
      <c r="C142" s="202" t="s">
        <v>407</v>
      </c>
      <c r="D142" s="1051">
        <f>SUMIF(Шале_PL!$D$3:$T$3,D$135,Шале_PL!$D$14:$T$14)</f>
        <v>0</v>
      </c>
      <c r="E142" s="1051">
        <f>SUMIF(Шале_PL!$D$3:$T$3,E$135,Шале_PL!$D$14:$T$14)</f>
        <v>37886421.041709021</v>
      </c>
      <c r="F142" s="1051">
        <f>SUMIF(Шале_PL!$D$3:$T$3,F$135,Шале_PL!$D$14:$T$14)</f>
        <v>188310380.8510825</v>
      </c>
      <c r="G142" s="1051">
        <f>SUMIF(Шале_PL!$D$3:$T$3,G$135,Шале_PL!$D$14:$T$14)</f>
        <v>218874819.22198719</v>
      </c>
      <c r="H142" s="1051">
        <f>SUMIF(Шале_PL!$D$3:$T$3,H$135,Шале_PL!$D$14:$T$14)</f>
        <v>239619421.09238923</v>
      </c>
      <c r="I142" s="1051">
        <f>SUMIF(Шале_PL!$D$3:$T$3,I$135,Шале_PL!$D$14:$T$14)</f>
        <v>262320208.3537735</v>
      </c>
      <c r="J142" s="1051">
        <f>SUMIF(Шале_PL!$D$3:$T$3,J$135,Шале_PL!$D$14:$T$14)</f>
        <v>272813016.68792444</v>
      </c>
      <c r="K142" s="1051">
        <f>SUMIF(Шале_PL!$D$3:$T$3,K$135,Шале_PL!$D$14:$T$14)</f>
        <v>284502867.59477144</v>
      </c>
      <c r="L142" s="1051">
        <f>SUMIF(Шале_PL!$D$3:$T$3,L$135,Шале_PL!$D$14:$T$14)</f>
        <v>295074558.84965914</v>
      </c>
      <c r="M142" s="1051">
        <f>SUMIF(Шале_PL!$D$3:$T$3,M$135,Шале_PL!$D$14:$T$14)</f>
        <v>306877541.20364553</v>
      </c>
      <c r="N142" s="1051">
        <f>SUMIF(Шале_PL!$D$3:$T$3,N$135,Шале_PL!$D$14:$T$14)</f>
        <v>319152642.85179138</v>
      </c>
      <c r="O142" s="1051">
        <f>SUMIF(Шале_PL!$D$3:$T$3,O$135,Шале_PL!$D$14:$T$14)</f>
        <v>332828115.00029004</v>
      </c>
      <c r="P142" s="1051">
        <f>SUMIF(Шале_PL!$D$3:$T$3,P$135,Шале_PL!$D$14:$T$14)</f>
        <v>345195498.50849754</v>
      </c>
      <c r="Q142" s="1051">
        <f>SUMIF(Шале_PL!$D$3:$T$3,Q$135,Шале_PL!$D$14:$T$14)</f>
        <v>359003318.44883746</v>
      </c>
      <c r="R142" s="1051">
        <f>SUMIF(Шале_PL!$D$3:$T$3,R$135,Шале_PL!$D$14:$T$14)</f>
        <v>373363451.18679094</v>
      </c>
      <c r="S142" s="1051">
        <f>SUMIF(Шале_PL!$D$3:$T$3,S$135,Шале_PL!$D$14:$T$14)</f>
        <v>389361819.34175378</v>
      </c>
      <c r="T142" s="1051">
        <f>SUMIF(Шале_PL!$D$3:$T$3,T$135,Шале_PL!$D$14:$T$14)</f>
        <v>403829908.80363315</v>
      </c>
    </row>
    <row r="143" spans="3:20" ht="15" customHeight="1" collapsed="1">
      <c r="C143" s="1532" t="s">
        <v>1340</v>
      </c>
      <c r="D143" s="556">
        <f>SUM(D137:D142)</f>
        <v>103511696.26367018</v>
      </c>
      <c r="E143" s="556">
        <f t="shared" ref="E143:T143" si="103">SUM(E137:E142)</f>
        <v>580828413.86441433</v>
      </c>
      <c r="F143" s="556">
        <f t="shared" si="103"/>
        <v>1126966767.2656267</v>
      </c>
      <c r="G143" s="556">
        <f t="shared" si="103"/>
        <v>1295725654.8760056</v>
      </c>
      <c r="H143" s="556">
        <f t="shared" si="103"/>
        <v>1426560173.2024856</v>
      </c>
      <c r="I143" s="556">
        <f t="shared" si="103"/>
        <v>1536462601.9358366</v>
      </c>
      <c r="J143" s="556">
        <f t="shared" si="103"/>
        <v>1597921106.0132697</v>
      </c>
      <c r="K143" s="556">
        <f t="shared" si="103"/>
        <v>1666390930.9394276</v>
      </c>
      <c r="L143" s="556">
        <f t="shared" si="103"/>
        <v>1728311468.2639527</v>
      </c>
      <c r="M143" s="556">
        <f t="shared" si="103"/>
        <v>1797443926.9945109</v>
      </c>
      <c r="N143" s="556">
        <f t="shared" si="103"/>
        <v>1869341684.0742917</v>
      </c>
      <c r="O143" s="556">
        <f t="shared" si="103"/>
        <v>1949441694.8658586</v>
      </c>
      <c r="P143" s="556">
        <f t="shared" si="103"/>
        <v>2021879965.4947536</v>
      </c>
      <c r="Q143" s="556">
        <f t="shared" si="103"/>
        <v>2102755164.1145444</v>
      </c>
      <c r="R143" s="556">
        <f t="shared" si="103"/>
        <v>2186865370.6791258</v>
      </c>
      <c r="S143" s="556">
        <f t="shared" si="103"/>
        <v>2280571053.959733</v>
      </c>
      <c r="T143" s="556">
        <f t="shared" si="103"/>
        <v>2365313584.9265428</v>
      </c>
    </row>
    <row r="144" spans="3:20" ht="15" customHeight="1">
      <c r="C144" s="202" t="s">
        <v>1341</v>
      </c>
      <c r="D144" s="208">
        <f t="shared" ref="D144:T144" si="104">D23-D30</f>
        <v>20265.276372597855</v>
      </c>
      <c r="E144" s="208">
        <f t="shared" si="104"/>
        <v>79134.512455826873</v>
      </c>
      <c r="F144" s="208">
        <f t="shared" si="104"/>
        <v>112407.22091650972</v>
      </c>
      <c r="G144" s="208">
        <f t="shared" si="104"/>
        <v>119156.84693801081</v>
      </c>
      <c r="H144" s="208">
        <f t="shared" si="104"/>
        <v>125255.34264837531</v>
      </c>
      <c r="I144" s="1698">
        <f t="shared" si="104"/>
        <v>128481.21731865589</v>
      </c>
      <c r="J144" s="208">
        <f t="shared" si="104"/>
        <v>128481.21731865589</v>
      </c>
      <c r="K144" s="208">
        <f t="shared" si="104"/>
        <v>128833.22065377554</v>
      </c>
      <c r="L144" s="208">
        <f t="shared" si="104"/>
        <v>128481.21731865589</v>
      </c>
      <c r="M144" s="208">
        <f t="shared" si="104"/>
        <v>128481.21731865589</v>
      </c>
      <c r="N144" s="208">
        <f t="shared" si="104"/>
        <v>128481.21731865589</v>
      </c>
      <c r="O144" s="208">
        <f t="shared" si="104"/>
        <v>128833.22065377554</v>
      </c>
      <c r="P144" s="208">
        <f t="shared" si="104"/>
        <v>128481.21731865589</v>
      </c>
      <c r="Q144" s="208">
        <f t="shared" si="104"/>
        <v>128481.21731865589</v>
      </c>
      <c r="R144" s="208">
        <f t="shared" si="104"/>
        <v>128481.21731865589</v>
      </c>
      <c r="S144" s="208">
        <f t="shared" si="104"/>
        <v>128833.22065377554</v>
      </c>
      <c r="T144" s="208">
        <f t="shared" si="104"/>
        <v>128481.21731865589</v>
      </c>
    </row>
    <row r="145" spans="3:20" ht="15" customHeight="1">
      <c r="C145" s="202" t="s">
        <v>33</v>
      </c>
      <c r="D145" s="208">
        <f>D143/D144</f>
        <v>5107.8354107045798</v>
      </c>
      <c r="E145" s="208">
        <f t="shared" ref="E145:T145" si="105">E143/E144</f>
        <v>7339.761070602849</v>
      </c>
      <c r="F145" s="208">
        <f t="shared" si="105"/>
        <v>10025.750641968805</v>
      </c>
      <c r="G145" s="208">
        <f t="shared" si="105"/>
        <v>10874.118342104868</v>
      </c>
      <c r="H145" s="208">
        <f t="shared" si="105"/>
        <v>11389.216164672633</v>
      </c>
      <c r="I145" s="1698">
        <f t="shared" si="105"/>
        <v>11958.655389488882</v>
      </c>
      <c r="J145" s="208">
        <f t="shared" si="105"/>
        <v>12437.001605068433</v>
      </c>
      <c r="K145" s="208">
        <f t="shared" si="105"/>
        <v>12934.48166927117</v>
      </c>
      <c r="L145" s="208">
        <f t="shared" si="105"/>
        <v>13451.860936042021</v>
      </c>
      <c r="M145" s="208">
        <f t="shared" si="105"/>
        <v>13989.935373483702</v>
      </c>
      <c r="N145" s="208">
        <f t="shared" si="105"/>
        <v>14549.532788423052</v>
      </c>
      <c r="O145" s="208">
        <f t="shared" si="105"/>
        <v>15131.51409995997</v>
      </c>
      <c r="P145" s="208">
        <f t="shared" si="105"/>
        <v>15736.774663958371</v>
      </c>
      <c r="Q145" s="208">
        <f t="shared" si="105"/>
        <v>16366.245650516712</v>
      </c>
      <c r="R145" s="208">
        <f t="shared" si="105"/>
        <v>17020.895476537378</v>
      </c>
      <c r="S145" s="208">
        <f t="shared" si="105"/>
        <v>17701.731295598867</v>
      </c>
      <c r="T145" s="208">
        <f t="shared" si="105"/>
        <v>18409.80054742283</v>
      </c>
    </row>
    <row r="146" spans="3:20" ht="15" customHeight="1" thickBot="1">
      <c r="C146" s="202" t="s">
        <v>5</v>
      </c>
      <c r="D146" s="1700">
        <f>LOOKUP(D135,CPI!3:3,CPI!5:5)</f>
        <v>1.1698585600000002</v>
      </c>
      <c r="E146" s="1700">
        <f>LOOKUP(E135,CPI!3:3,CPI!5:5)</f>
        <v>1.2166529024000003</v>
      </c>
      <c r="F146" s="1700">
        <f>LOOKUP(F135,CPI!3:3,CPI!5:5)</f>
        <v>1.2653190184960004</v>
      </c>
      <c r="G146" s="1700">
        <f>LOOKUP(G135,CPI!3:3,CPI!5:5)</f>
        <v>1.3159317792358405</v>
      </c>
      <c r="H146" s="1700">
        <f>LOOKUP(H135,CPI!3:3,CPI!5:5)</f>
        <v>1.3685690504052741</v>
      </c>
      <c r="I146" s="1700">
        <f>LOOKUP(I135,CPI!3:3,CPI!5:5)</f>
        <v>1.4233118124214852</v>
      </c>
      <c r="J146" s="1700">
        <f>LOOKUP(J135,CPI!3:3,CPI!5:5)</f>
        <v>1.4802442849183446</v>
      </c>
      <c r="K146" s="1700">
        <f>LOOKUP(K135,CPI!3:3,CPI!5:5)</f>
        <v>1.5394540563150785</v>
      </c>
      <c r="L146" s="1700">
        <f>LOOKUP(L135,CPI!3:3,CPI!5:5)</f>
        <v>1.6010322185676817</v>
      </c>
      <c r="M146" s="1700">
        <f>LOOKUP(M135,CPI!3:3,CPI!5:5)</f>
        <v>1.6650735073103891</v>
      </c>
      <c r="N146" s="1700">
        <f>LOOKUP(N135,CPI!3:3,CPI!5:5)</f>
        <v>1.7316764476028046</v>
      </c>
      <c r="O146" s="1700">
        <f>LOOKUP(O135,CPI!3:3,CPI!5:5)</f>
        <v>1.8009435055069167</v>
      </c>
      <c r="P146" s="1700">
        <f>LOOKUP(P135,CPI!3:3,CPI!5:5)</f>
        <v>1.8729812457271935</v>
      </c>
      <c r="Q146" s="1700">
        <f>LOOKUP(Q135,CPI!3:3,CPI!5:5)</f>
        <v>1.9479004955562813</v>
      </c>
      <c r="R146" s="1700">
        <f>LOOKUP(R135,CPI!3:3,CPI!5:5)</f>
        <v>2.0258165153785326</v>
      </c>
      <c r="S146" s="1700">
        <f>LOOKUP(S135,CPI!3:3,CPI!5:5)</f>
        <v>2.1068491759936738</v>
      </c>
      <c r="T146" s="1700">
        <f>LOOKUP(T135,CPI!3:3,CPI!5:5)</f>
        <v>2.1911231430334208</v>
      </c>
    </row>
    <row r="147" spans="3:20" ht="15" customHeight="1" thickBot="1">
      <c r="C147" s="202" t="s">
        <v>1342</v>
      </c>
      <c r="D147" s="208"/>
      <c r="E147" s="208"/>
      <c r="F147" s="208"/>
      <c r="G147" s="208"/>
      <c r="H147" s="208"/>
      <c r="I147" s="1699">
        <f>I145/I146</f>
        <v>8401.9926520131812</v>
      </c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</row>
  </sheetData>
  <conditionalFormatting sqref="B58:B59">
    <cfRule type="expression" dxfId="268" priority="74">
      <formula>$A$1=1</formula>
    </cfRule>
  </conditionalFormatting>
  <conditionalFormatting sqref="B88">
    <cfRule type="expression" dxfId="267" priority="67">
      <formula>$A$1=1</formula>
    </cfRule>
  </conditionalFormatting>
  <conditionalFormatting sqref="V52:Z52">
    <cfRule type="expression" dxfId="266" priority="73">
      <formula>$A$1=1</formula>
    </cfRule>
  </conditionalFormatting>
  <conditionalFormatting sqref="B86">
    <cfRule type="expression" dxfId="265" priority="68">
      <formula>$A$1=1</formula>
    </cfRule>
  </conditionalFormatting>
  <conditionalFormatting sqref="V55:Z55">
    <cfRule type="expression" dxfId="264" priority="69">
      <formula>$A$1=1</formula>
    </cfRule>
  </conditionalFormatting>
  <conditionalFormatting sqref="V69:Z69">
    <cfRule type="expression" dxfId="263" priority="66">
      <formula>$A$1=1</formula>
    </cfRule>
  </conditionalFormatting>
  <conditionalFormatting sqref="AA52">
    <cfRule type="expression" dxfId="262" priority="64">
      <formula>$A$1=1</formula>
    </cfRule>
  </conditionalFormatting>
  <conditionalFormatting sqref="AB52">
    <cfRule type="expression" dxfId="261" priority="63">
      <formula>$A$1=1</formula>
    </cfRule>
  </conditionalFormatting>
  <conditionalFormatting sqref="AA69">
    <cfRule type="expression" dxfId="260" priority="60">
      <formula>$A$1=1</formula>
    </cfRule>
  </conditionalFormatting>
  <conditionalFormatting sqref="AB69">
    <cfRule type="expression" dxfId="259" priority="59">
      <formula>$A$1=1</formula>
    </cfRule>
  </conditionalFormatting>
  <conditionalFormatting sqref="V67">
    <cfRule type="expression" dxfId="258" priority="45">
      <formula>$A$1=1</formula>
    </cfRule>
  </conditionalFormatting>
  <conditionalFormatting sqref="X85:X88">
    <cfRule type="expression" dxfId="257" priority="44">
      <formula>$A$1=1</formula>
    </cfRule>
  </conditionalFormatting>
  <conditionalFormatting sqref="D85:G85">
    <cfRule type="expression" dxfId="256" priority="43">
      <formula>$A$1=1</formula>
    </cfRule>
  </conditionalFormatting>
  <conditionalFormatting sqref="H85">
    <cfRule type="expression" dxfId="255" priority="42">
      <formula>$A$1=1</formula>
    </cfRule>
  </conditionalFormatting>
  <conditionalFormatting sqref="I85">
    <cfRule type="expression" dxfId="254" priority="41">
      <formula>$A$1=1</formula>
    </cfRule>
  </conditionalFormatting>
  <conditionalFormatting sqref="J85">
    <cfRule type="expression" dxfId="253" priority="40">
      <formula>$A$1=1</formula>
    </cfRule>
  </conditionalFormatting>
  <conditionalFormatting sqref="D87:G87">
    <cfRule type="expression" dxfId="252" priority="39">
      <formula>$A$1=1</formula>
    </cfRule>
  </conditionalFormatting>
  <conditionalFormatting sqref="H87">
    <cfRule type="expression" dxfId="251" priority="38">
      <formula>$A$1=1</formula>
    </cfRule>
  </conditionalFormatting>
  <conditionalFormatting sqref="I87">
    <cfRule type="expression" dxfId="250" priority="37">
      <formula>$A$1=1</formula>
    </cfRule>
  </conditionalFormatting>
  <conditionalFormatting sqref="J87">
    <cfRule type="expression" dxfId="249" priority="36">
      <formula>$A$1=1</formula>
    </cfRule>
  </conditionalFormatting>
  <conditionalFormatting sqref="D76">
    <cfRule type="expression" dxfId="248" priority="34">
      <formula>$A$1=1</formula>
    </cfRule>
  </conditionalFormatting>
  <conditionalFormatting sqref="AB55">
    <cfRule type="expression" dxfId="247" priority="27">
      <formula>$A$1=1</formula>
    </cfRule>
  </conditionalFormatting>
  <conditionalFormatting sqref="AA55">
    <cfRule type="expression" dxfId="246" priority="28">
      <formula>$A$1=1</formula>
    </cfRule>
  </conditionalFormatting>
  <conditionalFormatting sqref="B112">
    <cfRule type="expression" dxfId="245" priority="18">
      <formula>$A$1=1</formula>
    </cfRule>
  </conditionalFormatting>
  <conditionalFormatting sqref="B114">
    <cfRule type="expression" dxfId="244" priority="15">
      <formula>$A$1=1</formula>
    </cfRule>
  </conditionalFormatting>
  <conditionalFormatting sqref="D116:D117">
    <cfRule type="expression" dxfId="243" priority="13">
      <formula>$A$1=1</formula>
    </cfRule>
  </conditionalFormatting>
  <conditionalFormatting sqref="E84:G84">
    <cfRule type="expression" dxfId="242" priority="12">
      <formula>$A$1=1</formula>
    </cfRule>
  </conditionalFormatting>
  <conditionalFormatting sqref="H84">
    <cfRule type="expression" dxfId="241" priority="11">
      <formula>$A$1=1</formula>
    </cfRule>
  </conditionalFormatting>
  <conditionalFormatting sqref="I84">
    <cfRule type="expression" dxfId="240" priority="10">
      <formula>$A$1=1</formula>
    </cfRule>
  </conditionalFormatting>
  <conditionalFormatting sqref="J84">
    <cfRule type="expression" dxfId="239" priority="9">
      <formula>$A$1=1</formula>
    </cfRule>
  </conditionalFormatting>
  <conditionalFormatting sqref="D84">
    <cfRule type="expression" dxfId="238" priority="8">
      <formula>$A$1=1</formula>
    </cfRule>
  </conditionalFormatting>
  <conditionalFormatting sqref="B51">
    <cfRule type="expression" dxfId="237" priority="7">
      <formula>$A$1=1</formula>
    </cfRule>
  </conditionalFormatting>
  <conditionalFormatting sqref="B54">
    <cfRule type="expression" dxfId="236" priority="6">
      <formula>$A$1=1</formula>
    </cfRule>
  </conditionalFormatting>
  <conditionalFormatting sqref="E83:G83">
    <cfRule type="expression" dxfId="235" priority="5">
      <formula>$A$1=1</formula>
    </cfRule>
  </conditionalFormatting>
  <conditionalFormatting sqref="H83">
    <cfRule type="expression" dxfId="234" priority="4">
      <formula>$A$1=1</formula>
    </cfRule>
  </conditionalFormatting>
  <conditionalFormatting sqref="I83">
    <cfRule type="expression" dxfId="233" priority="3">
      <formula>$A$1=1</formula>
    </cfRule>
  </conditionalFormatting>
  <conditionalFormatting sqref="J83">
    <cfRule type="expression" dxfId="232" priority="2">
      <formula>$A$1=1</formula>
    </cfRule>
  </conditionalFormatting>
  <conditionalFormatting sqref="D83">
    <cfRule type="expression" dxfId="231" priority="1">
      <formula>$A$1=1</formula>
    </cfRule>
  </conditionalFormatting>
  <pageMargins left="0.7" right="0.7" top="0.75" bottom="0.75" header="0.3" footer="0.3"/>
  <pageSetup paperSize="9" orientation="portrait" r:id="rId1"/>
  <ignoredErrors>
    <ignoredError sqref="H86:T86 AC52:AL52 AA69:AL69 AC55:AL55" formula="1"/>
  </ignoredError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showGridLines="0" zoomScale="85" zoomScaleNormal="85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E88" sqref="E88"/>
    </sheetView>
  </sheetViews>
  <sheetFormatPr defaultColWidth="9.140625" defaultRowHeight="12.75" outlineLevelRow="3" outlineLevelCol="1"/>
  <cols>
    <col min="1" max="1" width="8.140625" style="5" customWidth="1"/>
    <col min="2" max="2" width="4.5703125" style="5" customWidth="1"/>
    <col min="3" max="3" width="34.140625" style="5" customWidth="1"/>
    <col min="4" max="4" width="14.28515625" style="5" hidden="1" customWidth="1" outlineLevel="1"/>
    <col min="5" max="5" width="16.140625" style="5" customWidth="1" collapsed="1"/>
    <col min="6" max="13" width="11.140625" style="5" customWidth="1"/>
    <col min="14" max="16" width="12" style="5" customWidth="1"/>
    <col min="17" max="22" width="12.42578125" style="5" bestFit="1" customWidth="1"/>
    <col min="23" max="16384" width="9.140625" style="5"/>
  </cols>
  <sheetData>
    <row r="1" spans="1:22" s="1064" customFormat="1" ht="15" customHeight="1" thickBot="1">
      <c r="A1" s="415">
        <v>0</v>
      </c>
      <c r="C1" s="1065"/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5"/>
      <c r="U1" s="1065"/>
      <c r="V1" s="1065"/>
    </row>
    <row r="2" spans="1:22" s="1064" customFormat="1" ht="15" customHeight="1">
      <c r="D2" s="1065"/>
      <c r="E2" s="509"/>
      <c r="F2" s="1066"/>
      <c r="G2" s="1065"/>
      <c r="I2" s="1066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  <c r="V2" s="1065"/>
    </row>
    <row r="3" spans="1:22" s="1064" customFormat="1" ht="15" customHeight="1">
      <c r="C3" s="1065" t="s">
        <v>750</v>
      </c>
      <c r="E3" s="524" t="s">
        <v>555</v>
      </c>
      <c r="F3" s="1067">
        <f>Объекты!K7</f>
        <v>45839</v>
      </c>
      <c r="G3" s="1068"/>
      <c r="H3" s="1068"/>
      <c r="I3" s="1067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1068"/>
    </row>
    <row r="4" spans="1:22" s="1064" customFormat="1" ht="15" customHeight="1">
      <c r="D4" s="510"/>
      <c r="G4" s="1068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8"/>
      <c r="U4" s="1068"/>
      <c r="V4" s="1068"/>
    </row>
    <row r="5" spans="1:22" s="1541" customFormat="1" ht="14.25">
      <c r="A5" s="1537"/>
      <c r="B5" s="1069"/>
      <c r="C5" s="1069" t="str">
        <f>E3</f>
        <v>Ресторан в зоне катания</v>
      </c>
      <c r="D5" s="1069"/>
      <c r="E5" s="1069"/>
      <c r="F5" s="1435">
        <f>YEAR(F6)</f>
        <v>2025</v>
      </c>
      <c r="G5" s="1435">
        <f>F5+1</f>
        <v>2026</v>
      </c>
      <c r="H5" s="1435">
        <f t="shared" ref="H5:V5" si="0">G5+1</f>
        <v>2027</v>
      </c>
      <c r="I5" s="1435">
        <f t="shared" si="0"/>
        <v>2028</v>
      </c>
      <c r="J5" s="1435">
        <f t="shared" si="0"/>
        <v>2029</v>
      </c>
      <c r="K5" s="1435">
        <f t="shared" si="0"/>
        <v>2030</v>
      </c>
      <c r="L5" s="1435">
        <f t="shared" si="0"/>
        <v>2031</v>
      </c>
      <c r="M5" s="1435">
        <f t="shared" si="0"/>
        <v>2032</v>
      </c>
      <c r="N5" s="1435">
        <f t="shared" si="0"/>
        <v>2033</v>
      </c>
      <c r="O5" s="1435">
        <f t="shared" si="0"/>
        <v>2034</v>
      </c>
      <c r="P5" s="1435">
        <f t="shared" si="0"/>
        <v>2035</v>
      </c>
      <c r="Q5" s="1435">
        <f t="shared" si="0"/>
        <v>2036</v>
      </c>
      <c r="R5" s="1435">
        <f t="shared" si="0"/>
        <v>2037</v>
      </c>
      <c r="S5" s="1435">
        <f t="shared" si="0"/>
        <v>2038</v>
      </c>
      <c r="T5" s="1435">
        <f t="shared" si="0"/>
        <v>2039</v>
      </c>
      <c r="U5" s="1435">
        <f t="shared" si="0"/>
        <v>2040</v>
      </c>
      <c r="V5" s="1435">
        <f t="shared" si="0"/>
        <v>2041</v>
      </c>
    </row>
    <row r="6" spans="1:22" s="1064" customFormat="1" ht="14.25" hidden="1" outlineLevel="2">
      <c r="A6" s="511"/>
      <c r="B6" s="511"/>
      <c r="C6" s="512" t="s">
        <v>1</v>
      </c>
      <c r="D6" s="512"/>
      <c r="E6" s="512"/>
      <c r="F6" s="513">
        <f>F3</f>
        <v>45839</v>
      </c>
      <c r="G6" s="514">
        <f>F7+1</f>
        <v>46023</v>
      </c>
      <c r="H6" s="514">
        <f t="shared" ref="H6:V6" si="1">G7+1</f>
        <v>46388</v>
      </c>
      <c r="I6" s="514">
        <f t="shared" si="1"/>
        <v>46753</v>
      </c>
      <c r="J6" s="514">
        <f t="shared" si="1"/>
        <v>47119</v>
      </c>
      <c r="K6" s="514">
        <f t="shared" si="1"/>
        <v>47484</v>
      </c>
      <c r="L6" s="514">
        <f t="shared" si="1"/>
        <v>47849</v>
      </c>
      <c r="M6" s="514">
        <f t="shared" si="1"/>
        <v>48214</v>
      </c>
      <c r="N6" s="514">
        <f t="shared" si="1"/>
        <v>48580</v>
      </c>
      <c r="O6" s="514">
        <f t="shared" si="1"/>
        <v>48945</v>
      </c>
      <c r="P6" s="514">
        <f t="shared" si="1"/>
        <v>49310</v>
      </c>
      <c r="Q6" s="514">
        <f t="shared" si="1"/>
        <v>49675</v>
      </c>
      <c r="R6" s="514">
        <f t="shared" si="1"/>
        <v>50041</v>
      </c>
      <c r="S6" s="514">
        <f t="shared" si="1"/>
        <v>50406</v>
      </c>
      <c r="T6" s="514">
        <f t="shared" si="1"/>
        <v>50771</v>
      </c>
      <c r="U6" s="514">
        <f t="shared" si="1"/>
        <v>51136</v>
      </c>
      <c r="V6" s="514">
        <f t="shared" si="1"/>
        <v>51502</v>
      </c>
    </row>
    <row r="7" spans="1:22" s="1064" customFormat="1" ht="14.25" hidden="1" outlineLevel="2">
      <c r="A7" s="511"/>
      <c r="B7" s="511"/>
      <c r="C7" s="512" t="s">
        <v>2</v>
      </c>
      <c r="D7" s="512"/>
      <c r="E7" s="512"/>
      <c r="F7" s="513">
        <f>DATE(F5,12,31)</f>
        <v>46022</v>
      </c>
      <c r="G7" s="514">
        <f>DATE(G5,12,31)</f>
        <v>46387</v>
      </c>
      <c r="H7" s="514">
        <f t="shared" ref="H7:V7" si="2">DATE(H5,12,31)</f>
        <v>46752</v>
      </c>
      <c r="I7" s="514">
        <f t="shared" si="2"/>
        <v>47118</v>
      </c>
      <c r="J7" s="514">
        <f t="shared" si="2"/>
        <v>47483</v>
      </c>
      <c r="K7" s="514">
        <f t="shared" si="2"/>
        <v>47848</v>
      </c>
      <c r="L7" s="514">
        <f t="shared" si="2"/>
        <v>48213</v>
      </c>
      <c r="M7" s="514">
        <f t="shared" si="2"/>
        <v>48579</v>
      </c>
      <c r="N7" s="514">
        <f t="shared" si="2"/>
        <v>48944</v>
      </c>
      <c r="O7" s="514">
        <f t="shared" si="2"/>
        <v>49309</v>
      </c>
      <c r="P7" s="514">
        <f t="shared" si="2"/>
        <v>49674</v>
      </c>
      <c r="Q7" s="514">
        <f t="shared" si="2"/>
        <v>50040</v>
      </c>
      <c r="R7" s="514">
        <f t="shared" si="2"/>
        <v>50405</v>
      </c>
      <c r="S7" s="514">
        <f t="shared" si="2"/>
        <v>50770</v>
      </c>
      <c r="T7" s="514">
        <f t="shared" si="2"/>
        <v>51135</v>
      </c>
      <c r="U7" s="514">
        <f t="shared" si="2"/>
        <v>51501</v>
      </c>
      <c r="V7" s="514">
        <f t="shared" si="2"/>
        <v>51866</v>
      </c>
    </row>
    <row r="8" spans="1:22" s="1064" customFormat="1" ht="14.25" hidden="1" outlineLevel="2">
      <c r="A8" s="511"/>
      <c r="B8" s="511"/>
      <c r="C8" s="512" t="s">
        <v>9</v>
      </c>
      <c r="D8" s="512"/>
      <c r="E8" s="512"/>
      <c r="F8" s="515">
        <f t="shared" ref="F8:V8" si="3">F7-F6+1</f>
        <v>184</v>
      </c>
      <c r="G8" s="515">
        <f t="shared" si="3"/>
        <v>365</v>
      </c>
      <c r="H8" s="515">
        <f t="shared" si="3"/>
        <v>365</v>
      </c>
      <c r="I8" s="515">
        <f t="shared" si="3"/>
        <v>366</v>
      </c>
      <c r="J8" s="515">
        <f t="shared" si="3"/>
        <v>365</v>
      </c>
      <c r="K8" s="515">
        <f t="shared" si="3"/>
        <v>365</v>
      </c>
      <c r="L8" s="515">
        <f t="shared" si="3"/>
        <v>365</v>
      </c>
      <c r="M8" s="515">
        <f t="shared" si="3"/>
        <v>366</v>
      </c>
      <c r="N8" s="515">
        <f t="shared" si="3"/>
        <v>365</v>
      </c>
      <c r="O8" s="515">
        <f t="shared" si="3"/>
        <v>365</v>
      </c>
      <c r="P8" s="515">
        <f t="shared" si="3"/>
        <v>365</v>
      </c>
      <c r="Q8" s="515">
        <f t="shared" si="3"/>
        <v>366</v>
      </c>
      <c r="R8" s="515">
        <f t="shared" si="3"/>
        <v>365</v>
      </c>
      <c r="S8" s="515">
        <f t="shared" si="3"/>
        <v>365</v>
      </c>
      <c r="T8" s="515">
        <f t="shared" si="3"/>
        <v>365</v>
      </c>
      <c r="U8" s="515">
        <f t="shared" si="3"/>
        <v>366</v>
      </c>
      <c r="V8" s="515">
        <f t="shared" si="3"/>
        <v>365</v>
      </c>
    </row>
    <row r="9" spans="1:22" s="1064" customFormat="1" ht="14.25" hidden="1" outlineLevel="2">
      <c r="A9" s="511"/>
      <c r="B9" s="511"/>
      <c r="C9" s="512" t="s">
        <v>5</v>
      </c>
      <c r="D9" s="512"/>
      <c r="E9" s="512"/>
      <c r="F9" s="1070">
        <f>LOOKUP(F5,CPI!3:3,CPI!4:4)</f>
        <v>0.04</v>
      </c>
      <c r="G9" s="1070">
        <f>LOOKUP(G5,CPI!3:3,CPI!4:4)</f>
        <v>0.04</v>
      </c>
      <c r="H9" s="1070">
        <f>LOOKUP(H5,CPI!3:3,CPI!4:4)</f>
        <v>0.04</v>
      </c>
      <c r="I9" s="1070">
        <f>LOOKUP(I5,CPI!3:3,CPI!4:4)</f>
        <v>0.04</v>
      </c>
      <c r="J9" s="1070">
        <f>LOOKUP(J5,CPI!3:3,CPI!4:4)</f>
        <v>0.04</v>
      </c>
      <c r="K9" s="1070">
        <f>LOOKUP(K5,CPI!3:3,CPI!4:4)</f>
        <v>0.04</v>
      </c>
      <c r="L9" s="1070">
        <f>LOOKUP(L5,CPI!3:3,CPI!4:4)</f>
        <v>0.04</v>
      </c>
      <c r="M9" s="1070">
        <f>LOOKUP(M5,CPI!3:3,CPI!4:4)</f>
        <v>0.04</v>
      </c>
      <c r="N9" s="1070">
        <f>LOOKUP(N5,CPI!3:3,CPI!4:4)</f>
        <v>0.04</v>
      </c>
      <c r="O9" s="1070">
        <f>LOOKUP(O5,CPI!3:3,CPI!4:4)</f>
        <v>0.04</v>
      </c>
      <c r="P9" s="1070">
        <f>LOOKUP(P5,CPI!3:3,CPI!4:4)</f>
        <v>0.04</v>
      </c>
      <c r="Q9" s="1070">
        <f>LOOKUP(Q5,CPI!3:3,CPI!4:4)</f>
        <v>0.04</v>
      </c>
      <c r="R9" s="1070">
        <f>LOOKUP(R5,CPI!3:3,CPI!4:4)</f>
        <v>0.04</v>
      </c>
      <c r="S9" s="1070">
        <f>LOOKUP(S5,CPI!3:3,CPI!4:4)</f>
        <v>0.04</v>
      </c>
      <c r="T9" s="1070">
        <f>LOOKUP(T5,CPI!3:3,CPI!4:4)</f>
        <v>0.04</v>
      </c>
      <c r="U9" s="1070">
        <f>LOOKUP(U5,CPI!3:3,CPI!4:4)</f>
        <v>0.04</v>
      </c>
      <c r="V9" s="1070">
        <f>LOOKUP(V5,CPI!3:3,CPI!4:4)</f>
        <v>0.04</v>
      </c>
    </row>
    <row r="10" spans="1:22" s="1064" customFormat="1" ht="14.25" hidden="1" outlineLevel="2">
      <c r="A10" s="511"/>
      <c r="B10" s="511"/>
      <c r="C10" s="512" t="s">
        <v>751</v>
      </c>
      <c r="D10" s="512"/>
      <c r="E10" s="512"/>
      <c r="F10" s="1056">
        <f>SUMIF(CPI!3:3,F5,CPI!5:5)</f>
        <v>1.1698585600000002</v>
      </c>
      <c r="G10" s="1056">
        <f>SUMIF(CPI!3:3,G5,CPI!5:5)</f>
        <v>1.2166529024000003</v>
      </c>
      <c r="H10" s="1056">
        <f>SUMIF(CPI!3:3,H5,CPI!5:5)</f>
        <v>1.2653190184960004</v>
      </c>
      <c r="I10" s="1056">
        <f>SUMIF(CPI!3:3,I5,CPI!5:5)</f>
        <v>1.3159317792358405</v>
      </c>
      <c r="J10" s="1056">
        <f>SUMIF(CPI!3:3,J5,CPI!5:5)</f>
        <v>1.3685690504052741</v>
      </c>
      <c r="K10" s="1056">
        <f>SUMIF(CPI!3:3,K5,CPI!5:5)</f>
        <v>1.4233118124214852</v>
      </c>
      <c r="L10" s="1056">
        <f>SUMIF(CPI!3:3,L5,CPI!5:5)</f>
        <v>1.4802442849183446</v>
      </c>
      <c r="M10" s="1056">
        <f>SUMIF(CPI!3:3,M5,CPI!5:5)</f>
        <v>1.5394540563150785</v>
      </c>
      <c r="N10" s="1056">
        <f>SUMIF(CPI!3:3,N5,CPI!5:5)</f>
        <v>1.6010322185676817</v>
      </c>
      <c r="O10" s="1056">
        <f>SUMIF(CPI!3:3,O5,CPI!5:5)</f>
        <v>1.6650735073103891</v>
      </c>
      <c r="P10" s="1056">
        <f>SUMIF(CPI!3:3,P5,CPI!5:5)</f>
        <v>1.7316764476028046</v>
      </c>
      <c r="Q10" s="1056">
        <f>SUMIF(CPI!3:3,Q5,CPI!5:5)</f>
        <v>1.8009435055069167</v>
      </c>
      <c r="R10" s="1056">
        <f>SUMIF(CPI!3:3,R5,CPI!5:5)</f>
        <v>1.8729812457271935</v>
      </c>
      <c r="S10" s="1056">
        <f>SUMIF(CPI!3:3,S5,CPI!5:5)</f>
        <v>1.9479004955562813</v>
      </c>
      <c r="T10" s="1056">
        <f>SUMIF(CPI!3:3,T5,CPI!5:5)</f>
        <v>2.0258165153785326</v>
      </c>
      <c r="U10" s="1056">
        <f>SUMIF(CPI!3:3,U5,CPI!5:5)</f>
        <v>2.1068491759936738</v>
      </c>
      <c r="V10" s="1056">
        <f>SUMIF(CPI!3:3,V5,CPI!5:5)</f>
        <v>2.1911231430334208</v>
      </c>
    </row>
    <row r="11" spans="1:22" ht="4.5" customHeight="1" collapsed="1">
      <c r="B11" s="516"/>
      <c r="C11" s="516"/>
      <c r="D11" s="516"/>
      <c r="E11" s="1092"/>
      <c r="F11" s="516"/>
      <c r="G11" s="516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</row>
    <row r="12" spans="1:22" s="1064" customFormat="1" ht="14.25" hidden="1" outlineLevel="1">
      <c r="A12" s="511"/>
      <c r="B12" s="511"/>
      <c r="C12" s="1071" t="s">
        <v>752</v>
      </c>
      <c r="D12" s="1072"/>
      <c r="E12" s="1072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</row>
    <row r="13" spans="1:22" ht="4.5" hidden="1" customHeight="1" outlineLevel="1">
      <c r="B13" s="516"/>
      <c r="C13" s="516"/>
      <c r="D13" s="516"/>
      <c r="E13" s="1092"/>
      <c r="F13" s="516"/>
      <c r="G13" s="516"/>
      <c r="H13" s="516"/>
      <c r="I13" s="516"/>
      <c r="J13" s="516"/>
      <c r="K13" s="516"/>
      <c r="L13" s="516"/>
      <c r="M13" s="516"/>
      <c r="N13" s="516"/>
      <c r="O13" s="516"/>
      <c r="P13" s="516"/>
      <c r="Q13" s="516"/>
      <c r="R13" s="516"/>
      <c r="S13" s="516"/>
      <c r="T13" s="516"/>
      <c r="U13" s="516"/>
      <c r="V13" s="516"/>
    </row>
    <row r="14" spans="1:22" ht="14.25" hidden="1" outlineLevel="1">
      <c r="C14" s="1075" t="s">
        <v>753</v>
      </c>
      <c r="D14" s="516"/>
      <c r="E14" s="516"/>
      <c r="F14" s="516"/>
      <c r="G14" s="516"/>
      <c r="H14" s="516"/>
      <c r="I14" s="516"/>
      <c r="J14" s="516"/>
      <c r="K14" s="516"/>
      <c r="L14" s="516"/>
      <c r="M14" s="516"/>
      <c r="N14" s="516"/>
      <c r="O14" s="516"/>
      <c r="P14" s="516"/>
      <c r="Q14" s="516"/>
      <c r="R14" s="516"/>
      <c r="S14" s="516"/>
      <c r="T14" s="516"/>
      <c r="U14" s="516"/>
      <c r="V14" s="516"/>
    </row>
    <row r="15" spans="1:22" hidden="1" outlineLevel="2">
      <c r="C15" s="512" t="s">
        <v>755</v>
      </c>
      <c r="D15" s="512"/>
      <c r="E15" s="1076" t="s">
        <v>756</v>
      </c>
      <c r="F15" s="1077">
        <f>Объекты!F60</f>
        <v>350</v>
      </c>
      <c r="G15" s="515">
        <f>F15</f>
        <v>350</v>
      </c>
      <c r="H15" s="515">
        <f t="shared" ref="H15:V15" si="4">G15</f>
        <v>350</v>
      </c>
      <c r="I15" s="515">
        <f t="shared" si="4"/>
        <v>350</v>
      </c>
      <c r="J15" s="515">
        <f t="shared" si="4"/>
        <v>350</v>
      </c>
      <c r="K15" s="515">
        <f t="shared" si="4"/>
        <v>350</v>
      </c>
      <c r="L15" s="515">
        <f t="shared" si="4"/>
        <v>350</v>
      </c>
      <c r="M15" s="515">
        <f t="shared" si="4"/>
        <v>350</v>
      </c>
      <c r="N15" s="515">
        <f t="shared" si="4"/>
        <v>350</v>
      </c>
      <c r="O15" s="515">
        <f t="shared" si="4"/>
        <v>350</v>
      </c>
      <c r="P15" s="515">
        <f t="shared" si="4"/>
        <v>350</v>
      </c>
      <c r="Q15" s="515">
        <f t="shared" si="4"/>
        <v>350</v>
      </c>
      <c r="R15" s="515">
        <f t="shared" si="4"/>
        <v>350</v>
      </c>
      <c r="S15" s="515">
        <f t="shared" si="4"/>
        <v>350</v>
      </c>
      <c r="T15" s="515">
        <f t="shared" si="4"/>
        <v>350</v>
      </c>
      <c r="U15" s="515">
        <f t="shared" si="4"/>
        <v>350</v>
      </c>
      <c r="V15" s="1100">
        <f t="shared" si="4"/>
        <v>350</v>
      </c>
    </row>
    <row r="16" spans="1:22" hidden="1" outlineLevel="2">
      <c r="C16" s="512" t="s">
        <v>757</v>
      </c>
      <c r="D16" s="512"/>
      <c r="E16" s="1076" t="s">
        <v>758</v>
      </c>
      <c r="F16" s="515">
        <f>SUM(F17:F23)</f>
        <v>646</v>
      </c>
      <c r="G16" s="515">
        <f t="shared" ref="G16:V16" si="5">SUM(G17:G23)</f>
        <v>944</v>
      </c>
      <c r="H16" s="515">
        <f t="shared" si="5"/>
        <v>944</v>
      </c>
      <c r="I16" s="515">
        <f t="shared" si="5"/>
        <v>944</v>
      </c>
      <c r="J16" s="515">
        <f t="shared" si="5"/>
        <v>944</v>
      </c>
      <c r="K16" s="515">
        <f t="shared" si="5"/>
        <v>944</v>
      </c>
      <c r="L16" s="515">
        <f t="shared" si="5"/>
        <v>944</v>
      </c>
      <c r="M16" s="515">
        <f t="shared" si="5"/>
        <v>944</v>
      </c>
      <c r="N16" s="515">
        <f t="shared" si="5"/>
        <v>944</v>
      </c>
      <c r="O16" s="515">
        <f t="shared" si="5"/>
        <v>944</v>
      </c>
      <c r="P16" s="515">
        <f t="shared" si="5"/>
        <v>944</v>
      </c>
      <c r="Q16" s="515">
        <f t="shared" si="5"/>
        <v>944</v>
      </c>
      <c r="R16" s="515">
        <f t="shared" si="5"/>
        <v>944</v>
      </c>
      <c r="S16" s="515">
        <f t="shared" si="5"/>
        <v>944</v>
      </c>
      <c r="T16" s="515">
        <f t="shared" si="5"/>
        <v>944</v>
      </c>
      <c r="U16" s="515">
        <f t="shared" si="5"/>
        <v>944</v>
      </c>
      <c r="V16" s="1100">
        <f t="shared" si="5"/>
        <v>944</v>
      </c>
    </row>
    <row r="17" spans="1:22" s="1078" customFormat="1" ht="11.25" hidden="1" outlineLevel="3">
      <c r="C17" s="1079" t="str">
        <f>СВОД_PL!C8</f>
        <v>Гостиница 5*</v>
      </c>
      <c r="D17" s="1080"/>
      <c r="E17" s="1080"/>
      <c r="F17" s="1081">
        <f>СВОД_PL!D8</f>
        <v>0</v>
      </c>
      <c r="G17" s="1081">
        <f>СВОД_PL!E8</f>
        <v>125</v>
      </c>
      <c r="H17" s="1081">
        <f>СВОД_PL!F8</f>
        <v>125</v>
      </c>
      <c r="I17" s="1081">
        <f>СВОД_PL!G8</f>
        <v>125</v>
      </c>
      <c r="J17" s="1081">
        <f>СВОД_PL!H8</f>
        <v>125</v>
      </c>
      <c r="K17" s="1081">
        <f>СВОД_PL!I8</f>
        <v>125</v>
      </c>
      <c r="L17" s="1081">
        <f>СВОД_PL!J8</f>
        <v>125</v>
      </c>
      <c r="M17" s="1081">
        <f>СВОД_PL!K8</f>
        <v>125</v>
      </c>
      <c r="N17" s="1081">
        <f>СВОД_PL!L8</f>
        <v>125</v>
      </c>
      <c r="O17" s="1081">
        <f>СВОД_PL!M8</f>
        <v>125</v>
      </c>
      <c r="P17" s="1081">
        <f>СВОД_PL!N8</f>
        <v>125</v>
      </c>
      <c r="Q17" s="1081">
        <f>СВОД_PL!O8</f>
        <v>125</v>
      </c>
      <c r="R17" s="1081">
        <f>СВОД_PL!P8</f>
        <v>125</v>
      </c>
      <c r="S17" s="1081">
        <f>СВОД_PL!Q8</f>
        <v>125</v>
      </c>
      <c r="T17" s="1081">
        <f>СВОД_PL!R8</f>
        <v>125</v>
      </c>
      <c r="U17" s="1081">
        <f>СВОД_PL!S8</f>
        <v>125</v>
      </c>
      <c r="V17" s="1361">
        <f>СВОД_PL!T8</f>
        <v>125</v>
      </c>
    </row>
    <row r="18" spans="1:22" s="1078" customFormat="1" ht="11.25" hidden="1" outlineLevel="3">
      <c r="C18" s="1079" t="str">
        <f>СВОД_PL!C9</f>
        <v>Гостиница 4*</v>
      </c>
      <c r="D18" s="1080"/>
      <c r="E18" s="1080"/>
      <c r="F18" s="1081">
        <f>СВОД_PL!D9</f>
        <v>0</v>
      </c>
      <c r="G18" s="1081">
        <f>СВОД_PL!E9</f>
        <v>160</v>
      </c>
      <c r="H18" s="1081">
        <f>СВОД_PL!F9</f>
        <v>160</v>
      </c>
      <c r="I18" s="1081">
        <f>СВОД_PL!G9</f>
        <v>160</v>
      </c>
      <c r="J18" s="1081">
        <f>СВОД_PL!H9</f>
        <v>160</v>
      </c>
      <c r="K18" s="1081">
        <f>СВОД_PL!I9</f>
        <v>160</v>
      </c>
      <c r="L18" s="1081">
        <f>СВОД_PL!J9</f>
        <v>160</v>
      </c>
      <c r="M18" s="1081">
        <f>СВОД_PL!K9</f>
        <v>160</v>
      </c>
      <c r="N18" s="1081">
        <f>СВОД_PL!L9</f>
        <v>160</v>
      </c>
      <c r="O18" s="1081">
        <f>СВОД_PL!M9</f>
        <v>160</v>
      </c>
      <c r="P18" s="1081">
        <f>СВОД_PL!N9</f>
        <v>160</v>
      </c>
      <c r="Q18" s="1081">
        <f>СВОД_PL!O9</f>
        <v>160</v>
      </c>
      <c r="R18" s="1081">
        <f>СВОД_PL!P9</f>
        <v>160</v>
      </c>
      <c r="S18" s="1081">
        <f>СВОД_PL!Q9</f>
        <v>160</v>
      </c>
      <c r="T18" s="1081">
        <f>СВОД_PL!R9</f>
        <v>160</v>
      </c>
      <c r="U18" s="1081">
        <f>СВОД_PL!S9</f>
        <v>160</v>
      </c>
      <c r="V18" s="1361">
        <f>СВОД_PL!T9</f>
        <v>160</v>
      </c>
    </row>
    <row r="19" spans="1:22" s="1078" customFormat="1" ht="11.25" hidden="1" outlineLevel="3">
      <c r="C19" s="1079" t="str">
        <f>СВОД_PL!C10</f>
        <v>Гостиница 3*</v>
      </c>
      <c r="D19" s="1080"/>
      <c r="E19" s="1080"/>
      <c r="F19" s="1081">
        <f>СВОД_PL!D10</f>
        <v>160</v>
      </c>
      <c r="G19" s="1081">
        <f>СВОД_PL!E10</f>
        <v>160</v>
      </c>
      <c r="H19" s="1081">
        <f>СВОД_PL!F10</f>
        <v>160</v>
      </c>
      <c r="I19" s="1081">
        <f>СВОД_PL!G10</f>
        <v>160</v>
      </c>
      <c r="J19" s="1081">
        <f>СВОД_PL!H10</f>
        <v>160</v>
      </c>
      <c r="K19" s="1081">
        <f>СВОД_PL!I10</f>
        <v>160</v>
      </c>
      <c r="L19" s="1081">
        <f>СВОД_PL!J10</f>
        <v>160</v>
      </c>
      <c r="M19" s="1081">
        <f>СВОД_PL!K10</f>
        <v>160</v>
      </c>
      <c r="N19" s="1081">
        <f>СВОД_PL!L10</f>
        <v>160</v>
      </c>
      <c r="O19" s="1081">
        <f>СВОД_PL!M10</f>
        <v>160</v>
      </c>
      <c r="P19" s="1081">
        <f>СВОД_PL!N10</f>
        <v>160</v>
      </c>
      <c r="Q19" s="1081">
        <f>СВОД_PL!O10</f>
        <v>160</v>
      </c>
      <c r="R19" s="1081">
        <f>СВОД_PL!P10</f>
        <v>160</v>
      </c>
      <c r="S19" s="1081">
        <f>СВОД_PL!Q10</f>
        <v>160</v>
      </c>
      <c r="T19" s="1081">
        <f>СВОД_PL!R10</f>
        <v>160</v>
      </c>
      <c r="U19" s="1081">
        <f>СВОД_PL!S10</f>
        <v>160</v>
      </c>
      <c r="V19" s="1361">
        <f>СВОД_PL!T10</f>
        <v>160</v>
      </c>
    </row>
    <row r="20" spans="1:22" s="1078" customFormat="1" ht="11.25" hidden="1" outlineLevel="3">
      <c r="C20" s="1079" t="str">
        <f>СВОД_PL!C11</f>
        <v>Гостиница 2*</v>
      </c>
      <c r="D20" s="1080"/>
      <c r="E20" s="1080"/>
      <c r="F20" s="1081">
        <f>СВОД_PL!D11</f>
        <v>0</v>
      </c>
      <c r="G20" s="1081">
        <f>СВОД_PL!E11</f>
        <v>0</v>
      </c>
      <c r="H20" s="1081">
        <f>СВОД_PL!F11</f>
        <v>0</v>
      </c>
      <c r="I20" s="1081">
        <f>СВОД_PL!G11</f>
        <v>0</v>
      </c>
      <c r="J20" s="1081">
        <f>СВОД_PL!H11</f>
        <v>0</v>
      </c>
      <c r="K20" s="1081">
        <f>СВОД_PL!I11</f>
        <v>0</v>
      </c>
      <c r="L20" s="1081">
        <f>СВОД_PL!J11</f>
        <v>0</v>
      </c>
      <c r="M20" s="1081">
        <f>СВОД_PL!K11</f>
        <v>0</v>
      </c>
      <c r="N20" s="1081">
        <f>СВОД_PL!L11</f>
        <v>0</v>
      </c>
      <c r="O20" s="1081">
        <f>СВОД_PL!M11</f>
        <v>0</v>
      </c>
      <c r="P20" s="1081">
        <f>СВОД_PL!N11</f>
        <v>0</v>
      </c>
      <c r="Q20" s="1081">
        <f>СВОД_PL!O11</f>
        <v>0</v>
      </c>
      <c r="R20" s="1081">
        <f>СВОД_PL!P11</f>
        <v>0</v>
      </c>
      <c r="S20" s="1081">
        <f>СВОД_PL!Q11</f>
        <v>0</v>
      </c>
      <c r="T20" s="1081">
        <f>СВОД_PL!R11</f>
        <v>0</v>
      </c>
      <c r="U20" s="1081">
        <f>СВОД_PL!S11</f>
        <v>0</v>
      </c>
      <c r="V20" s="1361">
        <f>СВОД_PL!T11</f>
        <v>0</v>
      </c>
    </row>
    <row r="21" spans="1:22" s="1078" customFormat="1" ht="11.25" hidden="1" outlineLevel="3">
      <c r="C21" s="1079" t="str">
        <f>СВОД_PL!C12</f>
        <v>Хостел в составе МФЦ</v>
      </c>
      <c r="D21" s="1080"/>
      <c r="E21" s="1080"/>
      <c r="F21" s="1081">
        <f>СВОД_PL!D12</f>
        <v>101</v>
      </c>
      <c r="G21" s="1081">
        <f>СВОД_PL!E12</f>
        <v>101</v>
      </c>
      <c r="H21" s="1081">
        <f>СВОД_PL!F12</f>
        <v>101</v>
      </c>
      <c r="I21" s="1081">
        <f>СВОД_PL!G12</f>
        <v>101</v>
      </c>
      <c r="J21" s="1081">
        <f>СВОД_PL!H12</f>
        <v>101</v>
      </c>
      <c r="K21" s="1081">
        <f>СВОД_PL!I12</f>
        <v>101</v>
      </c>
      <c r="L21" s="1081">
        <f>СВОД_PL!J12</f>
        <v>101</v>
      </c>
      <c r="M21" s="1081">
        <f>СВОД_PL!K12</f>
        <v>101</v>
      </c>
      <c r="N21" s="1081">
        <f>СВОД_PL!L12</f>
        <v>101</v>
      </c>
      <c r="O21" s="1081">
        <f>СВОД_PL!M12</f>
        <v>101</v>
      </c>
      <c r="P21" s="1081">
        <f>СВОД_PL!N12</f>
        <v>101</v>
      </c>
      <c r="Q21" s="1081">
        <f>СВОД_PL!O12</f>
        <v>101</v>
      </c>
      <c r="R21" s="1081">
        <f>СВОД_PL!P12</f>
        <v>101</v>
      </c>
      <c r="S21" s="1081">
        <f>СВОД_PL!Q12</f>
        <v>101</v>
      </c>
      <c r="T21" s="1081">
        <f>СВОД_PL!R12</f>
        <v>101</v>
      </c>
      <c r="U21" s="1081">
        <f>СВОД_PL!S12</f>
        <v>101</v>
      </c>
      <c r="V21" s="1361">
        <f>СВОД_PL!T12</f>
        <v>101</v>
      </c>
    </row>
    <row r="22" spans="1:22" s="1078" customFormat="1" ht="11.25" hidden="1" outlineLevel="3">
      <c r="C22" s="1079" t="str">
        <f>СВОД_PL!C13</f>
        <v>Шале</v>
      </c>
      <c r="D22" s="1080"/>
      <c r="E22" s="1080"/>
      <c r="F22" s="1081">
        <f>СВОД_PL!D13</f>
        <v>0</v>
      </c>
      <c r="G22" s="1081">
        <f>СВОД_PL!E13</f>
        <v>13</v>
      </c>
      <c r="H22" s="1081">
        <f>СВОД_PL!F13</f>
        <v>13</v>
      </c>
      <c r="I22" s="1081">
        <f>СВОД_PL!G13</f>
        <v>13</v>
      </c>
      <c r="J22" s="1081">
        <f>СВОД_PL!H13</f>
        <v>13</v>
      </c>
      <c r="K22" s="1081">
        <f>СВОД_PL!I13</f>
        <v>13</v>
      </c>
      <c r="L22" s="1081">
        <f>СВОД_PL!J13</f>
        <v>13</v>
      </c>
      <c r="M22" s="1081">
        <f>СВОД_PL!K13</f>
        <v>13</v>
      </c>
      <c r="N22" s="1081">
        <f>СВОД_PL!L13</f>
        <v>13</v>
      </c>
      <c r="O22" s="1081">
        <f>СВОД_PL!M13</f>
        <v>13</v>
      </c>
      <c r="P22" s="1081">
        <f>СВОД_PL!N13</f>
        <v>13</v>
      </c>
      <c r="Q22" s="1081">
        <f>СВОД_PL!O13</f>
        <v>13</v>
      </c>
      <c r="R22" s="1081">
        <f>СВОД_PL!P13</f>
        <v>13</v>
      </c>
      <c r="S22" s="1081">
        <f>СВОД_PL!Q13</f>
        <v>13</v>
      </c>
      <c r="T22" s="1081">
        <f>СВОД_PL!R13</f>
        <v>13</v>
      </c>
      <c r="U22" s="1081">
        <f>СВОД_PL!S13</f>
        <v>13</v>
      </c>
      <c r="V22" s="1361">
        <f>СВОД_PL!T13</f>
        <v>13</v>
      </c>
    </row>
    <row r="23" spans="1:22" hidden="1" outlineLevel="3">
      <c r="C23" s="1079" t="str">
        <f>СВОД_PL!C14</f>
        <v>Туристские резиденции</v>
      </c>
      <c r="D23" s="512"/>
      <c r="E23" s="1076"/>
      <c r="F23" s="1081">
        <f>СВОД_PL!D14</f>
        <v>385</v>
      </c>
      <c r="G23" s="1081">
        <f>СВОД_PL!E14</f>
        <v>385</v>
      </c>
      <c r="H23" s="1081">
        <f>СВОД_PL!F14</f>
        <v>385</v>
      </c>
      <c r="I23" s="1081">
        <f>СВОД_PL!G14</f>
        <v>385</v>
      </c>
      <c r="J23" s="1081">
        <f>СВОД_PL!H14</f>
        <v>385</v>
      </c>
      <c r="K23" s="1081">
        <f>СВОД_PL!I14</f>
        <v>385</v>
      </c>
      <c r="L23" s="1081">
        <f>СВОД_PL!J14</f>
        <v>385</v>
      </c>
      <c r="M23" s="1081">
        <f>СВОД_PL!K14</f>
        <v>385</v>
      </c>
      <c r="N23" s="1081">
        <f>СВОД_PL!L14</f>
        <v>385</v>
      </c>
      <c r="O23" s="1081">
        <f>СВОД_PL!M14</f>
        <v>385</v>
      </c>
      <c r="P23" s="1081">
        <f>СВОД_PL!N14</f>
        <v>385</v>
      </c>
      <c r="Q23" s="1081">
        <f>СВОД_PL!O14</f>
        <v>385</v>
      </c>
      <c r="R23" s="1081">
        <f>СВОД_PL!P14</f>
        <v>385</v>
      </c>
      <c r="S23" s="1081">
        <f>СВОД_PL!Q14</f>
        <v>385</v>
      </c>
      <c r="T23" s="1081">
        <f>СВОД_PL!R14</f>
        <v>385</v>
      </c>
      <c r="U23" s="1081">
        <f>СВОД_PL!S14</f>
        <v>385</v>
      </c>
      <c r="V23" s="1361">
        <f>СВОД_PL!T14</f>
        <v>385</v>
      </c>
    </row>
    <row r="24" spans="1:22" hidden="1" outlineLevel="2" collapsed="1">
      <c r="C24" s="512" t="s">
        <v>14</v>
      </c>
      <c r="D24" s="512"/>
      <c r="E24" s="1076" t="s">
        <v>759</v>
      </c>
      <c r="F24" s="1070">
        <f>СВОД_PL!D31</f>
        <v>0.43479780589042699</v>
      </c>
      <c r="G24" s="1082">
        <f>СВОД_PL!E31</f>
        <v>0.54825250354846389</v>
      </c>
      <c r="H24" s="1070">
        <f>СВОД_PL!F31</f>
        <v>0.57268568181218182</v>
      </c>
      <c r="I24" s="1070">
        <f>СВОД_PL!G31</f>
        <v>0.60502168089563213</v>
      </c>
      <c r="J24" s="1070">
        <f>СВОД_PL!H31</f>
        <v>0.63735767997908266</v>
      </c>
      <c r="K24" s="1070">
        <f>СВОД_PL!I31</f>
        <v>0.64671998166900768</v>
      </c>
      <c r="L24" s="1070">
        <f>СВОД_PL!J31</f>
        <v>0.64671998166900768</v>
      </c>
      <c r="M24" s="1070">
        <f>СВОД_PL!K31</f>
        <v>0.64671998166900779</v>
      </c>
      <c r="N24" s="1070">
        <f>СВОД_PL!L31</f>
        <v>0.64671998166900768</v>
      </c>
      <c r="O24" s="1070">
        <f>СВОД_PL!M31</f>
        <v>0.64671998166900768</v>
      </c>
      <c r="P24" s="1070">
        <f>СВОД_PL!N31</f>
        <v>0.64671998166900768</v>
      </c>
      <c r="Q24" s="1070">
        <f>СВОД_PL!O31</f>
        <v>0.64671998166900779</v>
      </c>
      <c r="R24" s="1070">
        <f>СВОД_PL!P31</f>
        <v>0.64671998166900768</v>
      </c>
      <c r="S24" s="1070">
        <f>СВОД_PL!Q31</f>
        <v>0.64671998166900768</v>
      </c>
      <c r="T24" s="1070">
        <f>СВОД_PL!R31</f>
        <v>0.64671998166900768</v>
      </c>
      <c r="U24" s="1070">
        <f>СВОД_PL!S31</f>
        <v>0.64671998166900779</v>
      </c>
      <c r="V24" s="1070">
        <f>СВОД_PL!T31</f>
        <v>0.64671998166900768</v>
      </c>
    </row>
    <row r="25" spans="1:22" hidden="1" outlineLevel="2">
      <c r="C25" s="512" t="s">
        <v>760</v>
      </c>
      <c r="D25" s="512"/>
      <c r="E25" s="1076"/>
      <c r="F25" s="1083">
        <f>'К дв.загр'!G14</f>
        <v>2.6026694915254236</v>
      </c>
      <c r="G25" s="1084">
        <f>F25</f>
        <v>2.6026694915254236</v>
      </c>
      <c r="H25" s="1084">
        <f t="shared" ref="H25:V25" si="6">G25</f>
        <v>2.6026694915254236</v>
      </c>
      <c r="I25" s="1084">
        <f t="shared" si="6"/>
        <v>2.6026694915254236</v>
      </c>
      <c r="J25" s="1084">
        <f t="shared" si="6"/>
        <v>2.6026694915254236</v>
      </c>
      <c r="K25" s="1084">
        <f t="shared" si="6"/>
        <v>2.6026694915254236</v>
      </c>
      <c r="L25" s="1084">
        <f t="shared" si="6"/>
        <v>2.6026694915254236</v>
      </c>
      <c r="M25" s="1084">
        <f t="shared" si="6"/>
        <v>2.6026694915254236</v>
      </c>
      <c r="N25" s="1084">
        <f t="shared" si="6"/>
        <v>2.6026694915254236</v>
      </c>
      <c r="O25" s="1084">
        <f t="shared" si="6"/>
        <v>2.6026694915254236</v>
      </c>
      <c r="P25" s="1084">
        <f t="shared" si="6"/>
        <v>2.6026694915254236</v>
      </c>
      <c r="Q25" s="1084">
        <f t="shared" si="6"/>
        <v>2.6026694915254236</v>
      </c>
      <c r="R25" s="1084">
        <f t="shared" si="6"/>
        <v>2.6026694915254236</v>
      </c>
      <c r="S25" s="1084">
        <f t="shared" si="6"/>
        <v>2.6026694915254236</v>
      </c>
      <c r="T25" s="1084">
        <f t="shared" si="6"/>
        <v>2.6026694915254236</v>
      </c>
      <c r="U25" s="1084">
        <f t="shared" si="6"/>
        <v>2.6026694915254236</v>
      </c>
      <c r="V25" s="1084">
        <f t="shared" si="6"/>
        <v>2.6026694915254236</v>
      </c>
    </row>
    <row r="26" spans="1:22" hidden="1" outlineLevel="2">
      <c r="C26" s="512" t="s">
        <v>790</v>
      </c>
      <c r="D26" s="512"/>
      <c r="E26" s="1076" t="s">
        <v>761</v>
      </c>
      <c r="F26" s="1358">
        <f t="shared" ref="F26:V26" si="7">F25*F24*F16*F8</f>
        <v>134510.66078253693</v>
      </c>
      <c r="G26" s="1085">
        <f t="shared" si="7"/>
        <v>491659.57747167652</v>
      </c>
      <c r="H26" s="1085">
        <f t="shared" si="7"/>
        <v>513570.66045566474</v>
      </c>
      <c r="I26" s="1085">
        <f t="shared" si="7"/>
        <v>544055.29177075124</v>
      </c>
      <c r="J26" s="1085">
        <f t="shared" si="7"/>
        <v>571566.94334938587</v>
      </c>
      <c r="K26" s="1085">
        <f t="shared" si="7"/>
        <v>579962.82893720968</v>
      </c>
      <c r="L26" s="1085">
        <f t="shared" si="7"/>
        <v>579962.82893720968</v>
      </c>
      <c r="M26" s="1085">
        <f t="shared" si="7"/>
        <v>581551.76819457195</v>
      </c>
      <c r="N26" s="1085">
        <f t="shared" si="7"/>
        <v>579962.82893720968</v>
      </c>
      <c r="O26" s="1085">
        <f t="shared" si="7"/>
        <v>579962.82893720968</v>
      </c>
      <c r="P26" s="1085">
        <f t="shared" si="7"/>
        <v>579962.82893720968</v>
      </c>
      <c r="Q26" s="1085">
        <f t="shared" si="7"/>
        <v>581551.76819457195</v>
      </c>
      <c r="R26" s="1085">
        <f t="shared" si="7"/>
        <v>579962.82893720968</v>
      </c>
      <c r="S26" s="1085">
        <f t="shared" si="7"/>
        <v>579962.82893720968</v>
      </c>
      <c r="T26" s="1085">
        <f t="shared" si="7"/>
        <v>579962.82893720968</v>
      </c>
      <c r="U26" s="1085">
        <f t="shared" si="7"/>
        <v>581551.76819457195</v>
      </c>
      <c r="V26" s="1358">
        <f t="shared" si="7"/>
        <v>579962.82893720968</v>
      </c>
    </row>
    <row r="27" spans="1:22" hidden="1" outlineLevel="2">
      <c r="C27" s="512" t="s">
        <v>791</v>
      </c>
      <c r="D27" s="512"/>
      <c r="E27" s="1076" t="s">
        <v>762</v>
      </c>
      <c r="F27" s="515">
        <f>F26/365</f>
        <v>368.52235830832035</v>
      </c>
      <c r="G27" s="515">
        <f t="shared" ref="G27:V27" si="8">G26/365</f>
        <v>1347.0125410182918</v>
      </c>
      <c r="H27" s="1100">
        <f t="shared" si="8"/>
        <v>1407.0429053579855</v>
      </c>
      <c r="I27" s="515">
        <f t="shared" si="8"/>
        <v>1490.5624432075376</v>
      </c>
      <c r="J27" s="515">
        <f t="shared" si="8"/>
        <v>1565.9368310942079</v>
      </c>
      <c r="K27" s="515">
        <f t="shared" si="8"/>
        <v>1588.9392573622183</v>
      </c>
      <c r="L27" s="515">
        <f t="shared" si="8"/>
        <v>1588.9392573622183</v>
      </c>
      <c r="M27" s="515">
        <f t="shared" si="8"/>
        <v>1593.2925156015669</v>
      </c>
      <c r="N27" s="515">
        <f t="shared" si="8"/>
        <v>1588.9392573622183</v>
      </c>
      <c r="O27" s="515">
        <f t="shared" si="8"/>
        <v>1588.9392573622183</v>
      </c>
      <c r="P27" s="515">
        <f t="shared" si="8"/>
        <v>1588.9392573622183</v>
      </c>
      <c r="Q27" s="515">
        <f t="shared" si="8"/>
        <v>1593.2925156015669</v>
      </c>
      <c r="R27" s="515">
        <f t="shared" si="8"/>
        <v>1588.9392573622183</v>
      </c>
      <c r="S27" s="515">
        <f t="shared" si="8"/>
        <v>1588.9392573622183</v>
      </c>
      <c r="T27" s="515">
        <f t="shared" si="8"/>
        <v>1588.9392573622183</v>
      </c>
      <c r="U27" s="515">
        <f t="shared" si="8"/>
        <v>1593.2925156015669</v>
      </c>
      <c r="V27" s="515">
        <f t="shared" si="8"/>
        <v>1588.9392573622183</v>
      </c>
    </row>
    <row r="28" spans="1:22" hidden="1" outlineLevel="2">
      <c r="C28" s="512" t="s">
        <v>792</v>
      </c>
      <c r="D28" s="512"/>
      <c r="E28" s="1076"/>
      <c r="F28" s="1877">
        <v>5.0000000000000001E-3</v>
      </c>
      <c r="G28" s="1101">
        <f>F28</f>
        <v>5.0000000000000001E-3</v>
      </c>
      <c r="H28" s="1101">
        <f t="shared" ref="H28:V29" si="9">G28</f>
        <v>5.0000000000000001E-3</v>
      </c>
      <c r="I28" s="1101">
        <f t="shared" si="9"/>
        <v>5.0000000000000001E-3</v>
      </c>
      <c r="J28" s="1101">
        <f t="shared" si="9"/>
        <v>5.0000000000000001E-3</v>
      </c>
      <c r="K28" s="1101">
        <f t="shared" si="9"/>
        <v>5.0000000000000001E-3</v>
      </c>
      <c r="L28" s="1101">
        <f t="shared" si="9"/>
        <v>5.0000000000000001E-3</v>
      </c>
      <c r="M28" s="1101">
        <f t="shared" si="9"/>
        <v>5.0000000000000001E-3</v>
      </c>
      <c r="N28" s="1101">
        <f t="shared" si="9"/>
        <v>5.0000000000000001E-3</v>
      </c>
      <c r="O28" s="1101">
        <f t="shared" si="9"/>
        <v>5.0000000000000001E-3</v>
      </c>
      <c r="P28" s="1101">
        <f t="shared" si="9"/>
        <v>5.0000000000000001E-3</v>
      </c>
      <c r="Q28" s="1101">
        <f t="shared" si="9"/>
        <v>5.0000000000000001E-3</v>
      </c>
      <c r="R28" s="1101">
        <f t="shared" si="9"/>
        <v>5.0000000000000001E-3</v>
      </c>
      <c r="S28" s="1101">
        <f t="shared" si="9"/>
        <v>5.0000000000000001E-3</v>
      </c>
      <c r="T28" s="1101">
        <f t="shared" si="9"/>
        <v>5.0000000000000001E-3</v>
      </c>
      <c r="U28" s="1101">
        <f t="shared" si="9"/>
        <v>5.0000000000000001E-3</v>
      </c>
      <c r="V28" s="1101">
        <f t="shared" si="9"/>
        <v>5.0000000000000001E-3</v>
      </c>
    </row>
    <row r="29" spans="1:22" hidden="1" outlineLevel="2">
      <c r="C29" s="512" t="s">
        <v>793</v>
      </c>
      <c r="D29" s="512"/>
      <c r="E29" s="1076" t="s">
        <v>762</v>
      </c>
      <c r="F29" s="1087">
        <v>0</v>
      </c>
      <c r="G29" s="1087">
        <v>2</v>
      </c>
      <c r="H29" s="1087">
        <v>3</v>
      </c>
      <c r="I29" s="515">
        <v>7</v>
      </c>
      <c r="J29" s="515">
        <f>I29</f>
        <v>7</v>
      </c>
      <c r="K29" s="515">
        <f t="shared" si="9"/>
        <v>7</v>
      </c>
      <c r="L29" s="515">
        <f t="shared" si="9"/>
        <v>7</v>
      </c>
      <c r="M29" s="515">
        <f t="shared" si="9"/>
        <v>7</v>
      </c>
      <c r="N29" s="515">
        <f t="shared" si="9"/>
        <v>7</v>
      </c>
      <c r="O29" s="515">
        <f t="shared" si="9"/>
        <v>7</v>
      </c>
      <c r="P29" s="515">
        <f t="shared" si="9"/>
        <v>7</v>
      </c>
      <c r="Q29" s="515">
        <f t="shared" si="9"/>
        <v>7</v>
      </c>
      <c r="R29" s="515">
        <f t="shared" si="9"/>
        <v>7</v>
      </c>
      <c r="S29" s="515">
        <f t="shared" si="9"/>
        <v>7</v>
      </c>
      <c r="T29" s="515">
        <f t="shared" si="9"/>
        <v>7</v>
      </c>
      <c r="U29" s="515">
        <f t="shared" si="9"/>
        <v>7</v>
      </c>
      <c r="V29" s="515">
        <f t="shared" si="9"/>
        <v>7</v>
      </c>
    </row>
    <row r="30" spans="1:22" hidden="1" outlineLevel="2">
      <c r="C30" s="512" t="s">
        <v>764</v>
      </c>
      <c r="D30" s="512"/>
      <c r="E30" s="1076" t="s">
        <v>762</v>
      </c>
      <c r="F30" s="515">
        <f>F28*F27+F29</f>
        <v>1.8426117915416018</v>
      </c>
      <c r="G30" s="515">
        <f>G28*G27+G29</f>
        <v>8.7350627050914582</v>
      </c>
      <c r="H30" s="515">
        <f>H28*H27+H29</f>
        <v>10.035214526789929</v>
      </c>
      <c r="I30" s="515">
        <f t="shared" ref="I30:V30" si="10">I28*I27+I29</f>
        <v>14.452812216037689</v>
      </c>
      <c r="J30" s="515">
        <f t="shared" si="10"/>
        <v>14.829684155471039</v>
      </c>
      <c r="K30" s="515">
        <f t="shared" si="10"/>
        <v>14.944696286811091</v>
      </c>
      <c r="L30" s="515">
        <f t="shared" si="10"/>
        <v>14.944696286811091</v>
      </c>
      <c r="M30" s="515">
        <f t="shared" si="10"/>
        <v>14.966462578007835</v>
      </c>
      <c r="N30" s="515">
        <f t="shared" si="10"/>
        <v>14.944696286811091</v>
      </c>
      <c r="O30" s="515">
        <f t="shared" si="10"/>
        <v>14.944696286811091</v>
      </c>
      <c r="P30" s="515">
        <f t="shared" si="10"/>
        <v>14.944696286811091</v>
      </c>
      <c r="Q30" s="515">
        <f t="shared" si="10"/>
        <v>14.966462578007835</v>
      </c>
      <c r="R30" s="515">
        <f t="shared" si="10"/>
        <v>14.944696286811091</v>
      </c>
      <c r="S30" s="515">
        <f t="shared" si="10"/>
        <v>14.944696286811091</v>
      </c>
      <c r="T30" s="515">
        <f t="shared" si="10"/>
        <v>14.944696286811091</v>
      </c>
      <c r="U30" s="515">
        <f t="shared" si="10"/>
        <v>14.966462578007835</v>
      </c>
      <c r="V30" s="515">
        <f t="shared" si="10"/>
        <v>14.944696286811091</v>
      </c>
    </row>
    <row r="31" spans="1:22" hidden="1" outlineLevel="3">
      <c r="A31" s="1088">
        <v>2021</v>
      </c>
      <c r="C31" s="512" t="s">
        <v>765</v>
      </c>
      <c r="D31" s="512"/>
      <c r="E31" s="1076"/>
      <c r="F31" s="1878">
        <f>F30/F$15</f>
        <v>5.2646051186902906E-3</v>
      </c>
      <c r="G31" s="1878">
        <f>G30/G$15</f>
        <v>2.4957322014547024E-2</v>
      </c>
      <c r="H31" s="1878">
        <f t="shared" ref="H31:V31" si="11">H30/H$15</f>
        <v>2.8672041505114081E-2</v>
      </c>
      <c r="I31" s="1878">
        <f t="shared" si="11"/>
        <v>4.1293749188679112E-2</v>
      </c>
      <c r="J31" s="1878">
        <f t="shared" si="11"/>
        <v>4.2370526158488686E-2</v>
      </c>
      <c r="K31" s="1878">
        <f t="shared" si="11"/>
        <v>4.2699132248031686E-2</v>
      </c>
      <c r="L31" s="1878">
        <f t="shared" si="11"/>
        <v>4.2699132248031686E-2</v>
      </c>
      <c r="M31" s="1878">
        <f t="shared" si="11"/>
        <v>4.2761321651450961E-2</v>
      </c>
      <c r="N31" s="1878">
        <f t="shared" si="11"/>
        <v>4.2699132248031686E-2</v>
      </c>
      <c r="O31" s="1878">
        <f t="shared" si="11"/>
        <v>4.2699132248031686E-2</v>
      </c>
      <c r="P31" s="1878">
        <f t="shared" si="11"/>
        <v>4.2699132248031686E-2</v>
      </c>
      <c r="Q31" s="1878">
        <f t="shared" si="11"/>
        <v>4.2761321651450961E-2</v>
      </c>
      <c r="R31" s="1878">
        <f t="shared" si="11"/>
        <v>4.2699132248031686E-2</v>
      </c>
      <c r="S31" s="1878">
        <f t="shared" si="11"/>
        <v>4.2699132248031686E-2</v>
      </c>
      <c r="T31" s="1878">
        <f t="shared" si="11"/>
        <v>4.2699132248031686E-2</v>
      </c>
      <c r="U31" s="1878">
        <f t="shared" si="11"/>
        <v>4.2761321651450961E-2</v>
      </c>
      <c r="V31" s="1878">
        <f t="shared" si="11"/>
        <v>4.2699132248031686E-2</v>
      </c>
    </row>
    <row r="32" spans="1:22" hidden="1" outlineLevel="2" collapsed="1">
      <c r="A32" s="1087">
        <f>1000/1.2</f>
        <v>833.33333333333337</v>
      </c>
      <c r="C32" s="512" t="s">
        <v>766</v>
      </c>
      <c r="D32" s="512"/>
      <c r="E32" s="1076" t="s">
        <v>767</v>
      </c>
      <c r="F32" s="1085">
        <f>$A32*F$10</f>
        <v>974.88213333333351</v>
      </c>
      <c r="G32" s="1085">
        <f t="shared" ref="G32:V32" si="12">$A32*G$10</f>
        <v>1013.877418666667</v>
      </c>
      <c r="H32" s="1085">
        <f t="shared" si="12"/>
        <v>1054.4325154133337</v>
      </c>
      <c r="I32" s="1085">
        <f t="shared" si="12"/>
        <v>1096.609816029867</v>
      </c>
      <c r="J32" s="1085">
        <f t="shared" si="12"/>
        <v>1140.4742086710619</v>
      </c>
      <c r="K32" s="1085">
        <f t="shared" si="12"/>
        <v>1186.0931770179043</v>
      </c>
      <c r="L32" s="1085">
        <f t="shared" si="12"/>
        <v>1233.5369040986207</v>
      </c>
      <c r="M32" s="1085">
        <f t="shared" si="12"/>
        <v>1282.8783802625655</v>
      </c>
      <c r="N32" s="1085">
        <f t="shared" si="12"/>
        <v>1334.1935154730681</v>
      </c>
      <c r="O32" s="1085">
        <f t="shared" si="12"/>
        <v>1387.561256091991</v>
      </c>
      <c r="P32" s="1085">
        <f t="shared" si="12"/>
        <v>1443.0637063356705</v>
      </c>
      <c r="Q32" s="1085">
        <f t="shared" si="12"/>
        <v>1500.7862545890973</v>
      </c>
      <c r="R32" s="1085">
        <f t="shared" si="12"/>
        <v>1560.8177047726613</v>
      </c>
      <c r="S32" s="1085">
        <f t="shared" si="12"/>
        <v>1623.2504129635679</v>
      </c>
      <c r="T32" s="1085">
        <f t="shared" si="12"/>
        <v>1688.1804294821106</v>
      </c>
      <c r="U32" s="1085">
        <f t="shared" si="12"/>
        <v>1755.7076466613948</v>
      </c>
      <c r="V32" s="1085">
        <f t="shared" si="12"/>
        <v>1825.9359525278508</v>
      </c>
    </row>
    <row r="33" spans="1:22" hidden="1" outlineLevel="1">
      <c r="A33" s="1088" t="s">
        <v>768</v>
      </c>
      <c r="C33" s="512" t="s">
        <v>769</v>
      </c>
      <c r="D33" s="512"/>
      <c r="E33" s="1076" t="s">
        <v>767</v>
      </c>
      <c r="F33" s="1085">
        <f t="shared" ref="F33:V33" si="13">F32*F30*F8</f>
        <v>330524.59382075473</v>
      </c>
      <c r="G33" s="1085">
        <f t="shared" si="13"/>
        <v>3232543.2319753044</v>
      </c>
      <c r="H33" s="1085">
        <f t="shared" si="13"/>
        <v>3862231.6211113688</v>
      </c>
      <c r="I33" s="1085">
        <f t="shared" si="13"/>
        <v>5800769.0427956497</v>
      </c>
      <c r="J33" s="1085">
        <f t="shared" si="13"/>
        <v>6173198.3902492058</v>
      </c>
      <c r="K33" s="1085">
        <f t="shared" si="13"/>
        <v>6469917.8389128773</v>
      </c>
      <c r="L33" s="1085">
        <f t="shared" si="13"/>
        <v>6728714.5524693932</v>
      </c>
      <c r="M33" s="1085">
        <f t="shared" si="13"/>
        <v>7027255.3649426084</v>
      </c>
      <c r="N33" s="1085">
        <f t="shared" si="13"/>
        <v>7277777.6599508962</v>
      </c>
      <c r="O33" s="1085">
        <f t="shared" si="13"/>
        <v>7568888.7663489329</v>
      </c>
      <c r="P33" s="1085">
        <f t="shared" si="13"/>
        <v>7871644.3170028897</v>
      </c>
      <c r="Q33" s="1085">
        <f t="shared" si="13"/>
        <v>8220894.8419840327</v>
      </c>
      <c r="R33" s="1085">
        <f t="shared" si="13"/>
        <v>8513970.4932703245</v>
      </c>
      <c r="S33" s="1085">
        <f t="shared" si="13"/>
        <v>8854529.3130011391</v>
      </c>
      <c r="T33" s="1085">
        <f t="shared" si="13"/>
        <v>9208710.4855211843</v>
      </c>
      <c r="U33" s="1085">
        <f t="shared" si="13"/>
        <v>9617284.201754868</v>
      </c>
      <c r="V33" s="1085">
        <f t="shared" si="13"/>
        <v>9960141.2611397132</v>
      </c>
    </row>
    <row r="34" spans="1:22" ht="4.5" hidden="1" customHeight="1" outlineLevel="1">
      <c r="B34" s="516"/>
      <c r="C34" s="516"/>
      <c r="D34" s="516"/>
      <c r="E34" s="1092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</row>
    <row r="35" spans="1:22" ht="14.25" hidden="1" outlineLevel="1">
      <c r="C35" s="1075" t="s">
        <v>773</v>
      </c>
      <c r="D35" s="516"/>
      <c r="E35" s="1091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</row>
    <row r="36" spans="1:22" hidden="1" outlineLevel="2">
      <c r="C36" s="512" t="s">
        <v>755</v>
      </c>
      <c r="D36" s="512"/>
      <c r="E36" s="1076" t="s">
        <v>756</v>
      </c>
      <c r="F36" s="515">
        <f>F15</f>
        <v>350</v>
      </c>
      <c r="G36" s="515">
        <f t="shared" ref="G36:V38" si="14">F36</f>
        <v>350</v>
      </c>
      <c r="H36" s="515">
        <f t="shared" si="14"/>
        <v>350</v>
      </c>
      <c r="I36" s="515">
        <f t="shared" si="14"/>
        <v>350</v>
      </c>
      <c r="J36" s="515">
        <f t="shared" si="14"/>
        <v>350</v>
      </c>
      <c r="K36" s="515">
        <f t="shared" si="14"/>
        <v>350</v>
      </c>
      <c r="L36" s="515">
        <f t="shared" si="14"/>
        <v>350</v>
      </c>
      <c r="M36" s="515">
        <f t="shared" si="14"/>
        <v>350</v>
      </c>
      <c r="N36" s="515">
        <f t="shared" si="14"/>
        <v>350</v>
      </c>
      <c r="O36" s="515">
        <f t="shared" si="14"/>
        <v>350</v>
      </c>
      <c r="P36" s="515">
        <f t="shared" si="14"/>
        <v>350</v>
      </c>
      <c r="Q36" s="515">
        <f t="shared" si="14"/>
        <v>350</v>
      </c>
      <c r="R36" s="515">
        <f t="shared" si="14"/>
        <v>350</v>
      </c>
      <c r="S36" s="515">
        <f t="shared" si="14"/>
        <v>350</v>
      </c>
      <c r="T36" s="515">
        <f t="shared" si="14"/>
        <v>350</v>
      </c>
      <c r="U36" s="515">
        <f t="shared" si="14"/>
        <v>350</v>
      </c>
      <c r="V36" s="515">
        <f t="shared" si="14"/>
        <v>350</v>
      </c>
    </row>
    <row r="37" spans="1:22" hidden="1" outlineLevel="2">
      <c r="C37" s="512" t="s">
        <v>774</v>
      </c>
      <c r="D37" s="512"/>
      <c r="E37" s="512"/>
      <c r="F37" s="1877">
        <v>7.0000000000000007E-2</v>
      </c>
      <c r="G37" s="1101">
        <f t="shared" si="14"/>
        <v>7.0000000000000007E-2</v>
      </c>
      <c r="H37" s="1101">
        <f t="shared" si="14"/>
        <v>7.0000000000000007E-2</v>
      </c>
      <c r="I37" s="1101">
        <f t="shared" si="14"/>
        <v>7.0000000000000007E-2</v>
      </c>
      <c r="J37" s="1101">
        <f t="shared" si="14"/>
        <v>7.0000000000000007E-2</v>
      </c>
      <c r="K37" s="1101">
        <f t="shared" si="14"/>
        <v>7.0000000000000007E-2</v>
      </c>
      <c r="L37" s="1101">
        <f t="shared" si="14"/>
        <v>7.0000000000000007E-2</v>
      </c>
      <c r="M37" s="1101">
        <f t="shared" si="14"/>
        <v>7.0000000000000007E-2</v>
      </c>
      <c r="N37" s="1101">
        <f t="shared" si="14"/>
        <v>7.0000000000000007E-2</v>
      </c>
      <c r="O37" s="1101">
        <f t="shared" si="14"/>
        <v>7.0000000000000007E-2</v>
      </c>
      <c r="P37" s="1101">
        <f t="shared" si="14"/>
        <v>7.0000000000000007E-2</v>
      </c>
      <c r="Q37" s="1101">
        <f t="shared" si="14"/>
        <v>7.0000000000000007E-2</v>
      </c>
      <c r="R37" s="1101">
        <f t="shared" si="14"/>
        <v>7.0000000000000007E-2</v>
      </c>
      <c r="S37" s="1101">
        <f t="shared" si="14"/>
        <v>7.0000000000000007E-2</v>
      </c>
      <c r="T37" s="1101">
        <f t="shared" si="14"/>
        <v>7.0000000000000007E-2</v>
      </c>
      <c r="U37" s="1101">
        <f t="shared" si="14"/>
        <v>7.0000000000000007E-2</v>
      </c>
      <c r="V37" s="1101">
        <f t="shared" si="14"/>
        <v>7.0000000000000007E-2</v>
      </c>
    </row>
    <row r="38" spans="1:22" hidden="1" outlineLevel="2">
      <c r="C38" s="512" t="s">
        <v>763</v>
      </c>
      <c r="D38" s="512"/>
      <c r="E38" s="1076" t="s">
        <v>762</v>
      </c>
      <c r="F38" s="1087">
        <v>5</v>
      </c>
      <c r="G38" s="1087">
        <v>10</v>
      </c>
      <c r="H38" s="1087">
        <v>25</v>
      </c>
      <c r="I38" s="515">
        <f>H38</f>
        <v>25</v>
      </c>
      <c r="J38" s="515">
        <f>I38</f>
        <v>25</v>
      </c>
      <c r="K38" s="515">
        <f t="shared" si="14"/>
        <v>25</v>
      </c>
      <c r="L38" s="515">
        <f t="shared" si="14"/>
        <v>25</v>
      </c>
      <c r="M38" s="515">
        <f t="shared" si="14"/>
        <v>25</v>
      </c>
      <c r="N38" s="515">
        <f t="shared" si="14"/>
        <v>25</v>
      </c>
      <c r="O38" s="515">
        <f t="shared" si="14"/>
        <v>25</v>
      </c>
      <c r="P38" s="515">
        <f t="shared" si="14"/>
        <v>25</v>
      </c>
      <c r="Q38" s="515">
        <f t="shared" si="14"/>
        <v>25</v>
      </c>
      <c r="R38" s="515">
        <f t="shared" si="14"/>
        <v>25</v>
      </c>
      <c r="S38" s="515">
        <f t="shared" si="14"/>
        <v>25</v>
      </c>
      <c r="T38" s="515">
        <f t="shared" si="14"/>
        <v>25</v>
      </c>
      <c r="U38" s="515">
        <f t="shared" si="14"/>
        <v>25</v>
      </c>
      <c r="V38" s="515">
        <f t="shared" si="14"/>
        <v>25</v>
      </c>
    </row>
    <row r="39" spans="1:22" hidden="1" outlineLevel="2">
      <c r="C39" s="512" t="s">
        <v>775</v>
      </c>
      <c r="D39" s="512"/>
      <c r="E39" s="1076" t="s">
        <v>762</v>
      </c>
      <c r="F39" s="515">
        <f>F37*F$27+F38</f>
        <v>30.796565081582425</v>
      </c>
      <c r="G39" s="515">
        <f>G37*G$27+G38</f>
        <v>104.29087787128043</v>
      </c>
      <c r="H39" s="515">
        <f t="shared" ref="H39:V39" si="15">H37*H$27+H38</f>
        <v>123.493003375059</v>
      </c>
      <c r="I39" s="515">
        <f t="shared" si="15"/>
        <v>129.33937102452762</v>
      </c>
      <c r="J39" s="515">
        <f t="shared" si="15"/>
        <v>134.61557817659457</v>
      </c>
      <c r="K39" s="515">
        <f t="shared" si="15"/>
        <v>136.22574801535529</v>
      </c>
      <c r="L39" s="515">
        <f t="shared" si="15"/>
        <v>136.22574801535529</v>
      </c>
      <c r="M39" s="515">
        <f t="shared" si="15"/>
        <v>136.53047609210969</v>
      </c>
      <c r="N39" s="515">
        <f t="shared" si="15"/>
        <v>136.22574801535529</v>
      </c>
      <c r="O39" s="515">
        <f t="shared" si="15"/>
        <v>136.22574801535529</v>
      </c>
      <c r="P39" s="515">
        <f t="shared" si="15"/>
        <v>136.22574801535529</v>
      </c>
      <c r="Q39" s="515">
        <f t="shared" si="15"/>
        <v>136.53047609210969</v>
      </c>
      <c r="R39" s="515">
        <f t="shared" si="15"/>
        <v>136.22574801535529</v>
      </c>
      <c r="S39" s="515">
        <f t="shared" si="15"/>
        <v>136.22574801535529</v>
      </c>
      <c r="T39" s="515">
        <f t="shared" si="15"/>
        <v>136.22574801535529</v>
      </c>
      <c r="U39" s="515">
        <f t="shared" si="15"/>
        <v>136.53047609210969</v>
      </c>
      <c r="V39" s="515">
        <f t="shared" si="15"/>
        <v>136.22574801535529</v>
      </c>
    </row>
    <row r="40" spans="1:22" hidden="1" outlineLevel="3">
      <c r="A40" s="1088">
        <v>2021</v>
      </c>
      <c r="C40" s="512" t="s">
        <v>765</v>
      </c>
      <c r="D40" s="512"/>
      <c r="E40" s="1076"/>
      <c r="F40" s="1878">
        <f>F39/F36</f>
        <v>8.7990185947378355E-2</v>
      </c>
      <c r="G40" s="1878">
        <f t="shared" ref="G40:V40" si="16">G39/G36</f>
        <v>0.29797393677508693</v>
      </c>
      <c r="H40" s="1878">
        <f t="shared" si="16"/>
        <v>0.35283715250016856</v>
      </c>
      <c r="I40" s="1878">
        <f t="shared" si="16"/>
        <v>0.36954106007007892</v>
      </c>
      <c r="J40" s="1878">
        <f t="shared" si="16"/>
        <v>0.38461593764741303</v>
      </c>
      <c r="K40" s="1878">
        <f t="shared" si="16"/>
        <v>0.3892164229010151</v>
      </c>
      <c r="L40" s="1878">
        <f t="shared" si="16"/>
        <v>0.3892164229010151</v>
      </c>
      <c r="M40" s="1878">
        <f t="shared" si="16"/>
        <v>0.39008707454888486</v>
      </c>
      <c r="N40" s="1878">
        <f t="shared" si="16"/>
        <v>0.3892164229010151</v>
      </c>
      <c r="O40" s="1878">
        <f t="shared" si="16"/>
        <v>0.3892164229010151</v>
      </c>
      <c r="P40" s="1878">
        <f t="shared" si="16"/>
        <v>0.3892164229010151</v>
      </c>
      <c r="Q40" s="1878">
        <f t="shared" si="16"/>
        <v>0.39008707454888486</v>
      </c>
      <c r="R40" s="1878">
        <f t="shared" si="16"/>
        <v>0.3892164229010151</v>
      </c>
      <c r="S40" s="1878">
        <f t="shared" si="16"/>
        <v>0.3892164229010151</v>
      </c>
      <c r="T40" s="1878">
        <f t="shared" si="16"/>
        <v>0.3892164229010151</v>
      </c>
      <c r="U40" s="1878">
        <f t="shared" si="16"/>
        <v>0.39008707454888486</v>
      </c>
      <c r="V40" s="1878">
        <f t="shared" si="16"/>
        <v>0.3892164229010151</v>
      </c>
    </row>
    <row r="41" spans="1:22" hidden="1" outlineLevel="2" collapsed="1">
      <c r="A41" s="1087">
        <f>2000/1.2</f>
        <v>1666.6666666666667</v>
      </c>
      <c r="C41" s="512" t="s">
        <v>766</v>
      </c>
      <c r="D41" s="512"/>
      <c r="E41" s="1076" t="s">
        <v>767</v>
      </c>
      <c r="F41" s="1085">
        <f>$A41*F$10</f>
        <v>1949.764266666667</v>
      </c>
      <c r="G41" s="1085">
        <f t="shared" ref="G41:V41" si="17">$A41*G$10</f>
        <v>2027.7548373333341</v>
      </c>
      <c r="H41" s="1085">
        <f t="shared" si="17"/>
        <v>2108.8650308266674</v>
      </c>
      <c r="I41" s="1085">
        <f t="shared" si="17"/>
        <v>2193.2196320597341</v>
      </c>
      <c r="J41" s="1085">
        <f t="shared" si="17"/>
        <v>2280.9484173421238</v>
      </c>
      <c r="K41" s="1085">
        <f t="shared" si="17"/>
        <v>2372.1863540358086</v>
      </c>
      <c r="L41" s="1085">
        <f t="shared" si="17"/>
        <v>2467.0738081972413</v>
      </c>
      <c r="M41" s="1085">
        <f t="shared" si="17"/>
        <v>2565.7567605251311</v>
      </c>
      <c r="N41" s="1085">
        <f t="shared" si="17"/>
        <v>2668.3870309461363</v>
      </c>
      <c r="O41" s="1085">
        <f t="shared" si="17"/>
        <v>2775.1225121839821</v>
      </c>
      <c r="P41" s="1085">
        <f t="shared" si="17"/>
        <v>2886.1274126713411</v>
      </c>
      <c r="Q41" s="1085">
        <f t="shared" si="17"/>
        <v>3001.5725091781947</v>
      </c>
      <c r="R41" s="1085">
        <f t="shared" si="17"/>
        <v>3121.6354095453225</v>
      </c>
      <c r="S41" s="1085">
        <f t="shared" si="17"/>
        <v>3246.5008259271358</v>
      </c>
      <c r="T41" s="1085">
        <f t="shared" si="17"/>
        <v>3376.3608589642213</v>
      </c>
      <c r="U41" s="1085">
        <f t="shared" si="17"/>
        <v>3511.4152933227897</v>
      </c>
      <c r="V41" s="1085">
        <f t="shared" si="17"/>
        <v>3651.8719050557015</v>
      </c>
    </row>
    <row r="42" spans="1:22" hidden="1" outlineLevel="1">
      <c r="A42" s="1088" t="s">
        <v>768</v>
      </c>
      <c r="C42" s="512" t="s">
        <v>776</v>
      </c>
      <c r="D42" s="512"/>
      <c r="E42" s="1076" t="s">
        <v>767</v>
      </c>
      <c r="F42" s="1085">
        <f t="shared" ref="F42:V42" si="18">F41*F39*F8</f>
        <v>11048471.752314467</v>
      </c>
      <c r="G42" s="1085">
        <f t="shared" si="18"/>
        <v>77188861.214028522</v>
      </c>
      <c r="H42" s="1085">
        <f t="shared" si="18"/>
        <v>95056977.874838874</v>
      </c>
      <c r="I42" s="1085">
        <f t="shared" si="18"/>
        <v>103823091.06890619</v>
      </c>
      <c r="J42" s="1085">
        <f t="shared" si="18"/>
        <v>112073684.34689689</v>
      </c>
      <c r="K42" s="1085">
        <f t="shared" si="18"/>
        <v>117950794.08627647</v>
      </c>
      <c r="L42" s="1085">
        <f t="shared" si="18"/>
        <v>122668825.84972754</v>
      </c>
      <c r="M42" s="1085">
        <f t="shared" si="18"/>
        <v>128211261.09068255</v>
      </c>
      <c r="N42" s="1085">
        <f t="shared" si="18"/>
        <v>132678602.0390653</v>
      </c>
      <c r="O42" s="1085">
        <f t="shared" si="18"/>
        <v>137985746.12062794</v>
      </c>
      <c r="P42" s="1085">
        <f t="shared" si="18"/>
        <v>143505175.96545303</v>
      </c>
      <c r="Q42" s="1085">
        <f t="shared" si="18"/>
        <v>149989041.27532992</v>
      </c>
      <c r="R42" s="1085">
        <f t="shared" si="18"/>
        <v>155215198.32423401</v>
      </c>
      <c r="S42" s="1085">
        <f t="shared" si="18"/>
        <v>161423806.25720337</v>
      </c>
      <c r="T42" s="1085">
        <f t="shared" si="18"/>
        <v>167880758.50749153</v>
      </c>
      <c r="U42" s="1085">
        <f t="shared" si="18"/>
        <v>175465963.84213802</v>
      </c>
      <c r="V42" s="1085">
        <f t="shared" si="18"/>
        <v>181579828.40170282</v>
      </c>
    </row>
    <row r="43" spans="1:22" ht="4.5" hidden="1" customHeight="1" outlineLevel="1">
      <c r="B43" s="516"/>
      <c r="C43" s="516"/>
      <c r="D43" s="516"/>
      <c r="E43" s="1092"/>
      <c r="F43" s="516"/>
      <c r="G43" s="516"/>
      <c r="H43" s="516"/>
      <c r="I43" s="516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6"/>
      <c r="U43" s="516"/>
      <c r="V43" s="516"/>
    </row>
    <row r="44" spans="1:22" ht="14.25" hidden="1" outlineLevel="1">
      <c r="C44" s="1075" t="s">
        <v>754</v>
      </c>
      <c r="D44" s="516"/>
      <c r="E44" s="1091"/>
      <c r="F44" s="516"/>
      <c r="G44" s="516"/>
      <c r="H44" s="516"/>
      <c r="I44" s="516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516"/>
    </row>
    <row r="45" spans="1:22" hidden="1" outlineLevel="2">
      <c r="C45" s="512" t="s">
        <v>755</v>
      </c>
      <c r="D45" s="512"/>
      <c r="E45" s="1076" t="s">
        <v>756</v>
      </c>
      <c r="F45" s="515">
        <f>F36</f>
        <v>350</v>
      </c>
      <c r="G45" s="515">
        <f t="shared" ref="G45:V47" si="19">F45</f>
        <v>350</v>
      </c>
      <c r="H45" s="515">
        <f t="shared" si="19"/>
        <v>350</v>
      </c>
      <c r="I45" s="515">
        <f t="shared" si="19"/>
        <v>350</v>
      </c>
      <c r="J45" s="515">
        <f t="shared" si="19"/>
        <v>350</v>
      </c>
      <c r="K45" s="515">
        <f t="shared" si="19"/>
        <v>350</v>
      </c>
      <c r="L45" s="515">
        <f t="shared" si="19"/>
        <v>350</v>
      </c>
      <c r="M45" s="515">
        <f t="shared" si="19"/>
        <v>350</v>
      </c>
      <c r="N45" s="515">
        <f t="shared" si="19"/>
        <v>350</v>
      </c>
      <c r="O45" s="515">
        <f t="shared" si="19"/>
        <v>350</v>
      </c>
      <c r="P45" s="515">
        <f t="shared" si="19"/>
        <v>350</v>
      </c>
      <c r="Q45" s="515">
        <f t="shared" si="19"/>
        <v>350</v>
      </c>
      <c r="R45" s="515">
        <f t="shared" si="19"/>
        <v>350</v>
      </c>
      <c r="S45" s="515">
        <f t="shared" si="19"/>
        <v>350</v>
      </c>
      <c r="T45" s="515">
        <f t="shared" si="19"/>
        <v>350</v>
      </c>
      <c r="U45" s="515">
        <f t="shared" si="19"/>
        <v>350</v>
      </c>
      <c r="V45" s="515">
        <f t="shared" si="19"/>
        <v>350</v>
      </c>
    </row>
    <row r="46" spans="1:22" hidden="1" outlineLevel="2">
      <c r="C46" s="512" t="s">
        <v>770</v>
      </c>
      <c r="D46" s="512"/>
      <c r="E46" s="512"/>
      <c r="F46" s="1877">
        <v>0.03</v>
      </c>
      <c r="G46" s="1101">
        <f t="shared" si="19"/>
        <v>0.03</v>
      </c>
      <c r="H46" s="1101">
        <f t="shared" si="19"/>
        <v>0.03</v>
      </c>
      <c r="I46" s="1101">
        <f t="shared" si="19"/>
        <v>0.03</v>
      </c>
      <c r="J46" s="1101">
        <f t="shared" si="19"/>
        <v>0.03</v>
      </c>
      <c r="K46" s="1101">
        <f t="shared" si="19"/>
        <v>0.03</v>
      </c>
      <c r="L46" s="1101">
        <f t="shared" si="19"/>
        <v>0.03</v>
      </c>
      <c r="M46" s="1101">
        <f t="shared" si="19"/>
        <v>0.03</v>
      </c>
      <c r="N46" s="1101">
        <f t="shared" si="19"/>
        <v>0.03</v>
      </c>
      <c r="O46" s="1101">
        <f t="shared" si="19"/>
        <v>0.03</v>
      </c>
      <c r="P46" s="1101">
        <f t="shared" si="19"/>
        <v>0.03</v>
      </c>
      <c r="Q46" s="1101">
        <f t="shared" si="19"/>
        <v>0.03</v>
      </c>
      <c r="R46" s="1101">
        <f t="shared" si="19"/>
        <v>0.03</v>
      </c>
      <c r="S46" s="1101">
        <f t="shared" si="19"/>
        <v>0.03</v>
      </c>
      <c r="T46" s="1101">
        <f t="shared" si="19"/>
        <v>0.03</v>
      </c>
      <c r="U46" s="1101">
        <f t="shared" si="19"/>
        <v>0.03</v>
      </c>
      <c r="V46" s="1101">
        <f t="shared" si="19"/>
        <v>0.03</v>
      </c>
    </row>
    <row r="47" spans="1:22" hidden="1" outlineLevel="2">
      <c r="C47" s="512" t="s">
        <v>763</v>
      </c>
      <c r="D47" s="512"/>
      <c r="E47" s="1076" t="s">
        <v>762</v>
      </c>
      <c r="F47" s="1087">
        <v>0</v>
      </c>
      <c r="G47" s="1087">
        <v>2</v>
      </c>
      <c r="H47" s="1087">
        <v>3</v>
      </c>
      <c r="I47" s="515">
        <f>H47</f>
        <v>3</v>
      </c>
      <c r="J47" s="515">
        <f t="shared" si="19"/>
        <v>3</v>
      </c>
      <c r="K47" s="515">
        <f t="shared" si="19"/>
        <v>3</v>
      </c>
      <c r="L47" s="515">
        <f t="shared" si="19"/>
        <v>3</v>
      </c>
      <c r="M47" s="515">
        <f t="shared" si="19"/>
        <v>3</v>
      </c>
      <c r="N47" s="515">
        <f t="shared" si="19"/>
        <v>3</v>
      </c>
      <c r="O47" s="515">
        <f t="shared" si="19"/>
        <v>3</v>
      </c>
      <c r="P47" s="515">
        <f t="shared" si="19"/>
        <v>3</v>
      </c>
      <c r="Q47" s="515">
        <f t="shared" si="19"/>
        <v>3</v>
      </c>
      <c r="R47" s="515">
        <f t="shared" si="19"/>
        <v>3</v>
      </c>
      <c r="S47" s="515">
        <f t="shared" si="19"/>
        <v>3</v>
      </c>
      <c r="T47" s="515">
        <f t="shared" si="19"/>
        <v>3</v>
      </c>
      <c r="U47" s="515">
        <f t="shared" si="19"/>
        <v>3</v>
      </c>
      <c r="V47" s="515">
        <f t="shared" si="19"/>
        <v>3</v>
      </c>
    </row>
    <row r="48" spans="1:22" hidden="1" outlineLevel="2">
      <c r="C48" s="512" t="s">
        <v>771</v>
      </c>
      <c r="D48" s="512"/>
      <c r="E48" s="1076" t="s">
        <v>762</v>
      </c>
      <c r="F48" s="515">
        <f>F46*F$27+F47</f>
        <v>11.055670749249611</v>
      </c>
      <c r="G48" s="515">
        <f>G46*G$27+G47</f>
        <v>42.410376230548756</v>
      </c>
      <c r="H48" s="515">
        <f t="shared" ref="H48:V48" si="20">H46*H$27+H47</f>
        <v>45.211287160739566</v>
      </c>
      <c r="I48" s="515">
        <f t="shared" si="20"/>
        <v>47.716873296226126</v>
      </c>
      <c r="J48" s="515">
        <f t="shared" si="20"/>
        <v>49.978104932826234</v>
      </c>
      <c r="K48" s="515">
        <f t="shared" si="20"/>
        <v>50.668177720866545</v>
      </c>
      <c r="L48" s="515">
        <f t="shared" si="20"/>
        <v>50.668177720866545</v>
      </c>
      <c r="M48" s="515">
        <f t="shared" si="20"/>
        <v>50.798775468047005</v>
      </c>
      <c r="N48" s="515">
        <f t="shared" si="20"/>
        <v>50.668177720866545</v>
      </c>
      <c r="O48" s="515">
        <f t="shared" si="20"/>
        <v>50.668177720866545</v>
      </c>
      <c r="P48" s="515">
        <f t="shared" si="20"/>
        <v>50.668177720866545</v>
      </c>
      <c r="Q48" s="515">
        <f t="shared" si="20"/>
        <v>50.798775468047005</v>
      </c>
      <c r="R48" s="515">
        <f t="shared" si="20"/>
        <v>50.668177720866545</v>
      </c>
      <c r="S48" s="515">
        <f t="shared" si="20"/>
        <v>50.668177720866545</v>
      </c>
      <c r="T48" s="515">
        <f t="shared" si="20"/>
        <v>50.668177720866545</v>
      </c>
      <c r="U48" s="515">
        <f t="shared" si="20"/>
        <v>50.798775468047005</v>
      </c>
      <c r="V48" s="515">
        <f t="shared" si="20"/>
        <v>50.668177720866545</v>
      </c>
    </row>
    <row r="49" spans="1:22" hidden="1" outlineLevel="3">
      <c r="A49" s="1088">
        <v>2021</v>
      </c>
      <c r="C49" s="512" t="s">
        <v>765</v>
      </c>
      <c r="D49" s="512"/>
      <c r="E49" s="1076"/>
      <c r="F49" s="1878">
        <f>F48/F45</f>
        <v>3.1587630712141747E-2</v>
      </c>
      <c r="G49" s="1878">
        <f t="shared" ref="G49:V49" si="21">G48/G45</f>
        <v>0.12117250351585358</v>
      </c>
      <c r="H49" s="1878">
        <f t="shared" si="21"/>
        <v>0.12917510617354161</v>
      </c>
      <c r="I49" s="1878">
        <f t="shared" si="21"/>
        <v>0.13633392370350322</v>
      </c>
      <c r="J49" s="1878">
        <f t="shared" si="21"/>
        <v>0.14279458552236066</v>
      </c>
      <c r="K49" s="1878">
        <f t="shared" si="21"/>
        <v>0.1447662220596187</v>
      </c>
      <c r="L49" s="1878">
        <f t="shared" si="21"/>
        <v>0.1447662220596187</v>
      </c>
      <c r="M49" s="1878">
        <f t="shared" si="21"/>
        <v>0.14513935848013429</v>
      </c>
      <c r="N49" s="1878">
        <f t="shared" si="21"/>
        <v>0.1447662220596187</v>
      </c>
      <c r="O49" s="1878">
        <f t="shared" si="21"/>
        <v>0.1447662220596187</v>
      </c>
      <c r="P49" s="1878">
        <f t="shared" si="21"/>
        <v>0.1447662220596187</v>
      </c>
      <c r="Q49" s="1878">
        <f t="shared" si="21"/>
        <v>0.14513935848013429</v>
      </c>
      <c r="R49" s="1878">
        <f t="shared" si="21"/>
        <v>0.1447662220596187</v>
      </c>
      <c r="S49" s="1878">
        <f t="shared" si="21"/>
        <v>0.1447662220596187</v>
      </c>
      <c r="T49" s="1878">
        <f t="shared" si="21"/>
        <v>0.1447662220596187</v>
      </c>
      <c r="U49" s="1878">
        <f t="shared" si="21"/>
        <v>0.14513935848013429</v>
      </c>
      <c r="V49" s="1878">
        <f t="shared" si="21"/>
        <v>0.1447662220596187</v>
      </c>
    </row>
    <row r="50" spans="1:22" hidden="1" outlineLevel="2" collapsed="1">
      <c r="A50" s="1087">
        <f>A41</f>
        <v>1666.6666666666667</v>
      </c>
      <c r="C50" s="512" t="s">
        <v>766</v>
      </c>
      <c r="D50" s="512"/>
      <c r="E50" s="1076" t="s">
        <v>767</v>
      </c>
      <c r="F50" s="1085">
        <f>$A50*F$10</f>
        <v>1949.764266666667</v>
      </c>
      <c r="G50" s="1085">
        <f t="shared" ref="G50:V50" si="22">$A50*G$10</f>
        <v>2027.7548373333341</v>
      </c>
      <c r="H50" s="1085">
        <f t="shared" si="22"/>
        <v>2108.8650308266674</v>
      </c>
      <c r="I50" s="1085">
        <f t="shared" si="22"/>
        <v>2193.2196320597341</v>
      </c>
      <c r="J50" s="1085">
        <f t="shared" si="22"/>
        <v>2280.9484173421238</v>
      </c>
      <c r="K50" s="1085">
        <f t="shared" si="22"/>
        <v>2372.1863540358086</v>
      </c>
      <c r="L50" s="1085">
        <f t="shared" si="22"/>
        <v>2467.0738081972413</v>
      </c>
      <c r="M50" s="1085">
        <f t="shared" si="22"/>
        <v>2565.7567605251311</v>
      </c>
      <c r="N50" s="1085">
        <f t="shared" si="22"/>
        <v>2668.3870309461363</v>
      </c>
      <c r="O50" s="1085">
        <f t="shared" si="22"/>
        <v>2775.1225121839821</v>
      </c>
      <c r="P50" s="1085">
        <f t="shared" si="22"/>
        <v>2886.1274126713411</v>
      </c>
      <c r="Q50" s="1085">
        <f t="shared" si="22"/>
        <v>3001.5725091781947</v>
      </c>
      <c r="R50" s="1085">
        <f t="shared" si="22"/>
        <v>3121.6354095453225</v>
      </c>
      <c r="S50" s="1085">
        <f t="shared" si="22"/>
        <v>3246.5008259271358</v>
      </c>
      <c r="T50" s="1085">
        <f t="shared" si="22"/>
        <v>3376.3608589642213</v>
      </c>
      <c r="U50" s="1085">
        <f t="shared" si="22"/>
        <v>3511.4152933227897</v>
      </c>
      <c r="V50" s="1085">
        <f t="shared" si="22"/>
        <v>3651.8719050557015</v>
      </c>
    </row>
    <row r="51" spans="1:22" hidden="1" outlineLevel="1">
      <c r="A51" s="1088" t="s">
        <v>768</v>
      </c>
      <c r="C51" s="512" t="s">
        <v>772</v>
      </c>
      <c r="D51" s="512"/>
      <c r="E51" s="1076" t="s">
        <v>767</v>
      </c>
      <c r="F51" s="1085">
        <f t="shared" ref="F51:V51" si="23">F50*F48*F8</f>
        <v>3966295.1258490575</v>
      </c>
      <c r="G51" s="1085">
        <f t="shared" si="23"/>
        <v>31389213.627436988</v>
      </c>
      <c r="H51" s="1085">
        <f t="shared" si="23"/>
        <v>34800743.40956042</v>
      </c>
      <c r="I51" s="1085">
        <f t="shared" si="23"/>
        <v>38303211.485527143</v>
      </c>
      <c r="J51" s="1085">
        <f t="shared" si="23"/>
        <v>41609079.962125331</v>
      </c>
      <c r="K51" s="1085">
        <f t="shared" si="23"/>
        <v>43870941.317254789</v>
      </c>
      <c r="L51" s="1085">
        <f t="shared" si="23"/>
        <v>45625778.969944991</v>
      </c>
      <c r="M51" s="1085">
        <f t="shared" si="23"/>
        <v>47703452.379575558</v>
      </c>
      <c r="N51" s="1085">
        <f t="shared" si="23"/>
        <v>49348842.533892505</v>
      </c>
      <c r="O51" s="1085">
        <f t="shared" si="23"/>
        <v>51322796.235248208</v>
      </c>
      <c r="P51" s="1085">
        <f t="shared" si="23"/>
        <v>53375708.084658131</v>
      </c>
      <c r="Q51" s="1085">
        <f t="shared" si="23"/>
        <v>55806292.107798837</v>
      </c>
      <c r="R51" s="1085">
        <f t="shared" si="23"/>
        <v>57731165.864366233</v>
      </c>
      <c r="S51" s="1085">
        <f t="shared" si="23"/>
        <v>60040412.498940885</v>
      </c>
      <c r="T51" s="1085">
        <f t="shared" si="23"/>
        <v>62442028.998898529</v>
      </c>
      <c r="U51" s="1085">
        <f t="shared" si="23"/>
        <v>65285468.524168916</v>
      </c>
      <c r="V51" s="1085">
        <f t="shared" si="23"/>
        <v>67537298.565208644</v>
      </c>
    </row>
    <row r="52" spans="1:22" ht="4.5" hidden="1" customHeight="1" outlineLevel="1">
      <c r="B52" s="516"/>
      <c r="C52" s="516"/>
      <c r="D52" s="516"/>
      <c r="E52" s="1092"/>
      <c r="F52" s="516"/>
      <c r="G52" s="516"/>
      <c r="H52" s="516"/>
      <c r="I52" s="516"/>
      <c r="J52" s="516"/>
      <c r="K52" s="516"/>
      <c r="L52" s="516"/>
      <c r="M52" s="516"/>
      <c r="N52" s="516"/>
      <c r="O52" s="516"/>
      <c r="P52" s="516"/>
      <c r="Q52" s="516"/>
      <c r="R52" s="516"/>
      <c r="S52" s="516"/>
      <c r="T52" s="516"/>
      <c r="U52" s="516"/>
      <c r="V52" s="516"/>
    </row>
    <row r="53" spans="1:22" ht="14.25" hidden="1" outlineLevel="1">
      <c r="C53" s="1075" t="s">
        <v>509</v>
      </c>
      <c r="D53" s="516"/>
      <c r="E53" s="516"/>
      <c r="F53" s="516"/>
      <c r="G53" s="516"/>
      <c r="H53" s="516"/>
      <c r="I53" s="516"/>
      <c r="J53" s="516"/>
      <c r="K53" s="516"/>
      <c r="L53" s="516"/>
      <c r="M53" s="516"/>
      <c r="N53" s="516"/>
      <c r="O53" s="516"/>
      <c r="P53" s="516"/>
      <c r="Q53" s="516"/>
      <c r="R53" s="516"/>
      <c r="S53" s="516"/>
      <c r="T53" s="516"/>
      <c r="U53" s="516"/>
      <c r="V53" s="516"/>
    </row>
    <row r="54" spans="1:22" hidden="1" outlineLevel="2">
      <c r="C54" s="512" t="s">
        <v>777</v>
      </c>
      <c r="D54" s="512"/>
      <c r="E54" s="1076" t="s">
        <v>778</v>
      </c>
      <c r="F54" s="1077">
        <f>F36</f>
        <v>350</v>
      </c>
      <c r="G54" s="515">
        <f>F54</f>
        <v>350</v>
      </c>
      <c r="H54" s="515">
        <f t="shared" ref="H54:V56" si="24">G54</f>
        <v>350</v>
      </c>
      <c r="I54" s="515">
        <f t="shared" si="24"/>
        <v>350</v>
      </c>
      <c r="J54" s="515">
        <f t="shared" si="24"/>
        <v>350</v>
      </c>
      <c r="K54" s="515">
        <f t="shared" si="24"/>
        <v>350</v>
      </c>
      <c r="L54" s="515">
        <f t="shared" si="24"/>
        <v>350</v>
      </c>
      <c r="M54" s="515">
        <f t="shared" si="24"/>
        <v>350</v>
      </c>
      <c r="N54" s="515">
        <f t="shared" si="24"/>
        <v>350</v>
      </c>
      <c r="O54" s="515">
        <f t="shared" si="24"/>
        <v>350</v>
      </c>
      <c r="P54" s="515">
        <f t="shared" si="24"/>
        <v>350</v>
      </c>
      <c r="Q54" s="515">
        <f t="shared" si="24"/>
        <v>350</v>
      </c>
      <c r="R54" s="515">
        <f t="shared" si="24"/>
        <v>350</v>
      </c>
      <c r="S54" s="515">
        <f t="shared" si="24"/>
        <v>350</v>
      </c>
      <c r="T54" s="515">
        <f t="shared" si="24"/>
        <v>350</v>
      </c>
      <c r="U54" s="515">
        <f t="shared" si="24"/>
        <v>350</v>
      </c>
      <c r="V54" s="515">
        <f t="shared" si="24"/>
        <v>350</v>
      </c>
    </row>
    <row r="55" spans="1:22" hidden="1" outlineLevel="2">
      <c r="C55" s="512" t="s">
        <v>779</v>
      </c>
      <c r="D55" s="512"/>
      <c r="E55" s="1076" t="s">
        <v>780</v>
      </c>
      <c r="F55" s="1087">
        <v>150</v>
      </c>
      <c r="G55" s="515">
        <f>F55</f>
        <v>150</v>
      </c>
      <c r="H55" s="515">
        <f t="shared" si="24"/>
        <v>150</v>
      </c>
      <c r="I55" s="515">
        <f t="shared" si="24"/>
        <v>150</v>
      </c>
      <c r="J55" s="515">
        <f t="shared" si="24"/>
        <v>150</v>
      </c>
      <c r="K55" s="515">
        <f t="shared" si="24"/>
        <v>150</v>
      </c>
      <c r="L55" s="515">
        <f t="shared" si="24"/>
        <v>150</v>
      </c>
      <c r="M55" s="515">
        <f t="shared" si="24"/>
        <v>150</v>
      </c>
      <c r="N55" s="515">
        <f t="shared" si="24"/>
        <v>150</v>
      </c>
      <c r="O55" s="515">
        <f t="shared" si="24"/>
        <v>150</v>
      </c>
      <c r="P55" s="515">
        <f t="shared" si="24"/>
        <v>150</v>
      </c>
      <c r="Q55" s="515">
        <f t="shared" si="24"/>
        <v>150</v>
      </c>
      <c r="R55" s="515">
        <f t="shared" si="24"/>
        <v>150</v>
      </c>
      <c r="S55" s="515">
        <f t="shared" si="24"/>
        <v>150</v>
      </c>
      <c r="T55" s="515">
        <f t="shared" si="24"/>
        <v>150</v>
      </c>
      <c r="U55" s="515">
        <f t="shared" si="24"/>
        <v>150</v>
      </c>
      <c r="V55" s="515">
        <f t="shared" si="24"/>
        <v>150</v>
      </c>
    </row>
    <row r="56" spans="1:22" hidden="1" outlineLevel="2">
      <c r="C56" s="512" t="s">
        <v>781</v>
      </c>
      <c r="D56" s="512"/>
      <c r="E56" s="1076" t="s">
        <v>782</v>
      </c>
      <c r="F56" s="515">
        <v>5</v>
      </c>
      <c r="G56" s="515">
        <v>10</v>
      </c>
      <c r="H56" s="515">
        <v>15</v>
      </c>
      <c r="I56" s="515">
        <f>H56</f>
        <v>15</v>
      </c>
      <c r="J56" s="515">
        <f>I56</f>
        <v>15</v>
      </c>
      <c r="K56" s="515">
        <f>J56</f>
        <v>15</v>
      </c>
      <c r="L56" s="515">
        <f>K56</f>
        <v>15</v>
      </c>
      <c r="M56" s="515">
        <f t="shared" si="24"/>
        <v>15</v>
      </c>
      <c r="N56" s="515">
        <f t="shared" si="24"/>
        <v>15</v>
      </c>
      <c r="O56" s="515">
        <f t="shared" si="24"/>
        <v>15</v>
      </c>
      <c r="P56" s="515">
        <f t="shared" si="24"/>
        <v>15</v>
      </c>
      <c r="Q56" s="515">
        <f t="shared" si="24"/>
        <v>15</v>
      </c>
      <c r="R56" s="515">
        <f t="shared" si="24"/>
        <v>15</v>
      </c>
      <c r="S56" s="515">
        <f t="shared" si="24"/>
        <v>15</v>
      </c>
      <c r="T56" s="515">
        <f t="shared" si="24"/>
        <v>15</v>
      </c>
      <c r="U56" s="515">
        <f t="shared" si="24"/>
        <v>15</v>
      </c>
      <c r="V56" s="515">
        <f t="shared" si="24"/>
        <v>15</v>
      </c>
    </row>
    <row r="57" spans="1:22" hidden="1" outlineLevel="2">
      <c r="A57" s="1088">
        <v>2021</v>
      </c>
      <c r="B57" s="1088"/>
      <c r="C57" s="512" t="s">
        <v>783</v>
      </c>
      <c r="D57" s="512"/>
      <c r="E57" s="1076" t="s">
        <v>784</v>
      </c>
      <c r="F57" s="1089">
        <f>F56/12</f>
        <v>0.41666666666666669</v>
      </c>
      <c r="G57" s="1089">
        <f t="shared" ref="G57:V57" si="25">G56/12</f>
        <v>0.83333333333333337</v>
      </c>
      <c r="H57" s="1089">
        <f t="shared" si="25"/>
        <v>1.25</v>
      </c>
      <c r="I57" s="1089">
        <f t="shared" si="25"/>
        <v>1.25</v>
      </c>
      <c r="J57" s="1089">
        <f t="shared" si="25"/>
        <v>1.25</v>
      </c>
      <c r="K57" s="1089">
        <f t="shared" si="25"/>
        <v>1.25</v>
      </c>
      <c r="L57" s="1089">
        <f t="shared" si="25"/>
        <v>1.25</v>
      </c>
      <c r="M57" s="1089">
        <f t="shared" si="25"/>
        <v>1.25</v>
      </c>
      <c r="N57" s="1089">
        <f t="shared" si="25"/>
        <v>1.25</v>
      </c>
      <c r="O57" s="1089">
        <f t="shared" si="25"/>
        <v>1.25</v>
      </c>
      <c r="P57" s="1089">
        <f t="shared" si="25"/>
        <v>1.25</v>
      </c>
      <c r="Q57" s="1089">
        <f t="shared" si="25"/>
        <v>1.25</v>
      </c>
      <c r="R57" s="1089">
        <f t="shared" si="25"/>
        <v>1.25</v>
      </c>
      <c r="S57" s="1089">
        <f t="shared" si="25"/>
        <v>1.25</v>
      </c>
      <c r="T57" s="1089">
        <f t="shared" si="25"/>
        <v>1.25</v>
      </c>
      <c r="U57" s="1089">
        <f t="shared" si="25"/>
        <v>1.25</v>
      </c>
      <c r="V57" s="1089">
        <f t="shared" si="25"/>
        <v>1.25</v>
      </c>
    </row>
    <row r="58" spans="1:22" hidden="1" outlineLevel="2">
      <c r="A58" s="1087">
        <f>3500/1.2</f>
        <v>2916.666666666667</v>
      </c>
      <c r="C58" s="512" t="s">
        <v>785</v>
      </c>
      <c r="D58" s="512"/>
      <c r="E58" s="1076" t="s">
        <v>786</v>
      </c>
      <c r="F58" s="1085">
        <f>$A58*F$10</f>
        <v>3412.0874666666678</v>
      </c>
      <c r="G58" s="1085">
        <f t="shared" ref="G58:V58" si="26">$A58*G$10</f>
        <v>3548.5709653333347</v>
      </c>
      <c r="H58" s="1085">
        <f t="shared" si="26"/>
        <v>3690.5138039466683</v>
      </c>
      <c r="I58" s="1085">
        <f t="shared" si="26"/>
        <v>3838.1343561045351</v>
      </c>
      <c r="J58" s="1085">
        <f t="shared" si="26"/>
        <v>3991.6597303487165</v>
      </c>
      <c r="K58" s="1085">
        <f t="shared" si="26"/>
        <v>4151.3261195626656</v>
      </c>
      <c r="L58" s="1085">
        <f t="shared" si="26"/>
        <v>4317.3791643451723</v>
      </c>
      <c r="M58" s="1085">
        <f t="shared" si="26"/>
        <v>4490.0743309189793</v>
      </c>
      <c r="N58" s="1085">
        <f t="shared" si="26"/>
        <v>4669.677304155739</v>
      </c>
      <c r="O58" s="1085">
        <f t="shared" si="26"/>
        <v>4856.4643963219687</v>
      </c>
      <c r="P58" s="1085">
        <f t="shared" si="26"/>
        <v>5050.7229721748472</v>
      </c>
      <c r="Q58" s="1085">
        <f t="shared" si="26"/>
        <v>5252.751891061841</v>
      </c>
      <c r="R58" s="1085">
        <f t="shared" si="26"/>
        <v>5462.8619667043149</v>
      </c>
      <c r="S58" s="1085">
        <f t="shared" si="26"/>
        <v>5681.376445372488</v>
      </c>
      <c r="T58" s="1085">
        <f t="shared" si="26"/>
        <v>5908.6315031873874</v>
      </c>
      <c r="U58" s="1085">
        <f t="shared" si="26"/>
        <v>6144.9767633148822</v>
      </c>
      <c r="V58" s="1085">
        <f t="shared" si="26"/>
        <v>6390.7758338474778</v>
      </c>
    </row>
    <row r="59" spans="1:22" hidden="1" outlineLevel="2">
      <c r="A59" s="1088" t="s">
        <v>768</v>
      </c>
      <c r="C59" s="512" t="s">
        <v>787</v>
      </c>
      <c r="D59" s="512"/>
      <c r="E59" s="1076" t="s">
        <v>788</v>
      </c>
      <c r="F59" s="1074">
        <v>0.05</v>
      </c>
      <c r="G59" s="1074">
        <v>7.0000000000000007E-2</v>
      </c>
      <c r="H59" s="1074">
        <v>0.1</v>
      </c>
      <c r="I59" s="1074">
        <v>0.12</v>
      </c>
      <c r="J59" s="1086">
        <f>I59</f>
        <v>0.12</v>
      </c>
      <c r="K59" s="1086">
        <f>J59</f>
        <v>0.12</v>
      </c>
      <c r="L59" s="1086">
        <f>K59</f>
        <v>0.12</v>
      </c>
      <c r="M59" s="1086">
        <f t="shared" ref="M59:V59" si="27">L59</f>
        <v>0.12</v>
      </c>
      <c r="N59" s="1086">
        <f t="shared" si="27"/>
        <v>0.12</v>
      </c>
      <c r="O59" s="1086">
        <f t="shared" si="27"/>
        <v>0.12</v>
      </c>
      <c r="P59" s="1086">
        <f t="shared" si="27"/>
        <v>0.12</v>
      </c>
      <c r="Q59" s="1086">
        <f t="shared" si="27"/>
        <v>0.12</v>
      </c>
      <c r="R59" s="1086">
        <f t="shared" si="27"/>
        <v>0.12</v>
      </c>
      <c r="S59" s="1086">
        <f t="shared" si="27"/>
        <v>0.12</v>
      </c>
      <c r="T59" s="1086">
        <f t="shared" si="27"/>
        <v>0.12</v>
      </c>
      <c r="U59" s="1086">
        <f t="shared" si="27"/>
        <v>0.12</v>
      </c>
      <c r="V59" s="1086">
        <f t="shared" si="27"/>
        <v>0.12</v>
      </c>
    </row>
    <row r="60" spans="1:22" hidden="1" outlineLevel="1">
      <c r="C60" s="512" t="s">
        <v>789</v>
      </c>
      <c r="D60" s="512"/>
      <c r="E60" s="1076" t="s">
        <v>767</v>
      </c>
      <c r="F60" s="1085">
        <f>(1+F59)*F58*F56*F55</f>
        <v>2687018.8800000008</v>
      </c>
      <c r="G60" s="1085">
        <f>(1+G59)*G58*G56*G55</f>
        <v>5695456.399360002</v>
      </c>
      <c r="H60" s="1085">
        <f>(1+H59)*H58*H56*H55</f>
        <v>9134021.6647680048</v>
      </c>
      <c r="I60" s="1085">
        <f>(1+I59)*I58*I56*I55</f>
        <v>9672098.5773834307</v>
      </c>
      <c r="J60" s="1085">
        <f t="shared" ref="J60:V60" si="28">(1+J59)*J58*J56*J55</f>
        <v>10058982.520478766</v>
      </c>
      <c r="K60" s="1085">
        <f t="shared" si="28"/>
        <v>10461341.821297918</v>
      </c>
      <c r="L60" s="1085">
        <f t="shared" si="28"/>
        <v>10879795.494149836</v>
      </c>
      <c r="M60" s="1085">
        <f t="shared" si="28"/>
        <v>11314987.31391583</v>
      </c>
      <c r="N60" s="1085">
        <f t="shared" si="28"/>
        <v>11767586.806472464</v>
      </c>
      <c r="O60" s="1085">
        <f t="shared" si="28"/>
        <v>12238290.278731361</v>
      </c>
      <c r="P60" s="1085">
        <f t="shared" si="28"/>
        <v>12727821.889880616</v>
      </c>
      <c r="Q60" s="1085">
        <f t="shared" si="28"/>
        <v>13236934.765475841</v>
      </c>
      <c r="R60" s="1085">
        <f t="shared" si="28"/>
        <v>13766412.156094875</v>
      </c>
      <c r="S60" s="1085">
        <f t="shared" si="28"/>
        <v>14317068.642338671</v>
      </c>
      <c r="T60" s="1085">
        <f t="shared" si="28"/>
        <v>14889751.388032218</v>
      </c>
      <c r="U60" s="1085">
        <f t="shared" si="28"/>
        <v>15485341.443553505</v>
      </c>
      <c r="V60" s="1085">
        <f t="shared" si="28"/>
        <v>16104755.101295644</v>
      </c>
    </row>
    <row r="61" spans="1:22" ht="14.25" hidden="1" outlineLevel="1">
      <c r="C61" s="1090"/>
      <c r="D61" s="516"/>
      <c r="E61" s="516"/>
      <c r="F61" s="516"/>
      <c r="G61" s="516"/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</row>
    <row r="62" spans="1:22" ht="14.25" hidden="1" outlineLevel="1">
      <c r="C62" s="1093" t="s">
        <v>794</v>
      </c>
      <c r="D62" s="1093"/>
      <c r="E62" s="1095" t="s">
        <v>767</v>
      </c>
      <c r="F62" s="1527">
        <f t="shared" ref="F62:V62" si="29">F33+F42+F51+F60</f>
        <v>18032310.351984277</v>
      </c>
      <c r="G62" s="1094">
        <f t="shared" si="29"/>
        <v>117506074.47280082</v>
      </c>
      <c r="H62" s="1527">
        <f t="shared" si="29"/>
        <v>142853974.57027867</v>
      </c>
      <c r="I62" s="1094">
        <f t="shared" si="29"/>
        <v>157599170.1746124</v>
      </c>
      <c r="J62" s="1094">
        <f t="shared" si="29"/>
        <v>169914945.2197502</v>
      </c>
      <c r="K62" s="1094">
        <f t="shared" si="29"/>
        <v>178752995.06374204</v>
      </c>
      <c r="L62" s="1094">
        <f t="shared" si="29"/>
        <v>185903114.86629176</v>
      </c>
      <c r="M62" s="1094">
        <f t="shared" si="29"/>
        <v>194256956.14911652</v>
      </c>
      <c r="N62" s="1094">
        <f t="shared" si="29"/>
        <v>201072809.03938115</v>
      </c>
      <c r="O62" s="1094">
        <f t="shared" si="29"/>
        <v>209115721.40095645</v>
      </c>
      <c r="P62" s="1094">
        <f t="shared" si="29"/>
        <v>217480350.25699469</v>
      </c>
      <c r="Q62" s="1094">
        <f t="shared" si="29"/>
        <v>227253162.99058864</v>
      </c>
      <c r="R62" s="1094">
        <f t="shared" si="29"/>
        <v>235226746.83796546</v>
      </c>
      <c r="S62" s="1094">
        <f t="shared" si="29"/>
        <v>244635816.71148404</v>
      </c>
      <c r="T62" s="1094">
        <f t="shared" si="29"/>
        <v>254421249.37994349</v>
      </c>
      <c r="U62" s="1094">
        <f t="shared" si="29"/>
        <v>265854058.01161531</v>
      </c>
      <c r="V62" s="1094">
        <f t="shared" si="29"/>
        <v>275182023.32934684</v>
      </c>
    </row>
    <row r="63" spans="1:22" ht="14.25" hidden="1" outlineLevel="1"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</row>
    <row r="64" spans="1:22" ht="14.25" hidden="1" outlineLevel="1" collapsed="1">
      <c r="C64" s="516"/>
      <c r="D64" s="516"/>
      <c r="E64" s="516"/>
      <c r="F64" s="516"/>
      <c r="G64" s="516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</row>
    <row r="65" spans="1:22" s="1064" customFormat="1" ht="14.25" collapsed="1">
      <c r="A65" s="511"/>
      <c r="B65" s="511"/>
      <c r="C65" s="1071" t="s">
        <v>795</v>
      </c>
      <c r="D65" s="1072"/>
      <c r="E65" s="1072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</row>
    <row r="66" spans="1:22">
      <c r="C66" s="512" t="s">
        <v>25</v>
      </c>
      <c r="D66" s="512"/>
      <c r="E66" s="1076" t="s">
        <v>796</v>
      </c>
      <c r="F66" s="182">
        <v>0.5</v>
      </c>
      <c r="G66" s="182">
        <v>0.48</v>
      </c>
      <c r="H66" s="182">
        <f>G66</f>
        <v>0.48</v>
      </c>
      <c r="I66" s="182">
        <f>H66</f>
        <v>0.48</v>
      </c>
      <c r="J66" s="182">
        <f>I66</f>
        <v>0.48</v>
      </c>
      <c r="K66" s="1086">
        <f>J66</f>
        <v>0.48</v>
      </c>
      <c r="L66" s="1086">
        <f t="shared" ref="L66:V70" si="30">K66</f>
        <v>0.48</v>
      </c>
      <c r="M66" s="1086">
        <f t="shared" si="30"/>
        <v>0.48</v>
      </c>
      <c r="N66" s="1086">
        <f t="shared" si="30"/>
        <v>0.48</v>
      </c>
      <c r="O66" s="1086">
        <f t="shared" si="30"/>
        <v>0.48</v>
      </c>
      <c r="P66" s="1086">
        <f t="shared" si="30"/>
        <v>0.48</v>
      </c>
      <c r="Q66" s="1086">
        <f t="shared" si="30"/>
        <v>0.48</v>
      </c>
      <c r="R66" s="1086">
        <f t="shared" si="30"/>
        <v>0.48</v>
      </c>
      <c r="S66" s="1086">
        <f t="shared" si="30"/>
        <v>0.48</v>
      </c>
      <c r="T66" s="1086">
        <f t="shared" si="30"/>
        <v>0.48</v>
      </c>
      <c r="U66" s="1086">
        <f t="shared" si="30"/>
        <v>0.48</v>
      </c>
      <c r="V66" s="1086">
        <f t="shared" si="30"/>
        <v>0.48</v>
      </c>
    </row>
    <row r="67" spans="1:22">
      <c r="C67" s="512" t="s">
        <v>25</v>
      </c>
      <c r="D67" s="1542"/>
      <c r="E67" s="1076" t="s">
        <v>767</v>
      </c>
      <c r="F67" s="1358">
        <f>F66*F$62</f>
        <v>9016155.1759921387</v>
      </c>
      <c r="G67" s="1085">
        <f t="shared" ref="G67:V67" si="31">G66*G$62</f>
        <v>56402915.74694439</v>
      </c>
      <c r="H67" s="1085">
        <f t="shared" si="31"/>
        <v>68569907.793733761</v>
      </c>
      <c r="I67" s="1085">
        <f t="shared" si="31"/>
        <v>75647601.683813944</v>
      </c>
      <c r="J67" s="1085">
        <f t="shared" si="31"/>
        <v>81559173.705480084</v>
      </c>
      <c r="K67" s="1085">
        <f t="shared" si="31"/>
        <v>85801437.630596176</v>
      </c>
      <c r="L67" s="1085">
        <f t="shared" si="31"/>
        <v>89233495.135820046</v>
      </c>
      <c r="M67" s="1085">
        <f t="shared" si="31"/>
        <v>93243338.95157592</v>
      </c>
      <c r="N67" s="1085">
        <f t="shared" si="31"/>
        <v>96514948.33890295</v>
      </c>
      <c r="O67" s="1085">
        <f t="shared" si="31"/>
        <v>100375546.27245909</v>
      </c>
      <c r="P67" s="1085">
        <f t="shared" si="31"/>
        <v>104390568.12335745</v>
      </c>
      <c r="Q67" s="1085">
        <f t="shared" si="31"/>
        <v>109081518.23548254</v>
      </c>
      <c r="R67" s="1085">
        <f t="shared" si="31"/>
        <v>112908838.48222342</v>
      </c>
      <c r="S67" s="1085">
        <f t="shared" si="31"/>
        <v>117425192.02151234</v>
      </c>
      <c r="T67" s="1085">
        <f t="shared" si="31"/>
        <v>122122199.70237286</v>
      </c>
      <c r="U67" s="1085">
        <f t="shared" si="31"/>
        <v>127609947.84557535</v>
      </c>
      <c r="V67" s="1085">
        <f t="shared" si="31"/>
        <v>132087371.19808647</v>
      </c>
    </row>
    <row r="68" spans="1:22">
      <c r="C68" s="512" t="s">
        <v>730</v>
      </c>
      <c r="D68" s="512"/>
      <c r="E68" s="1076" t="s">
        <v>796</v>
      </c>
      <c r="F68" s="182">
        <v>0.27</v>
      </c>
      <c r="G68" s="182">
        <v>0.27</v>
      </c>
      <c r="H68" s="182">
        <v>0.27</v>
      </c>
      <c r="I68" s="182">
        <v>0.27</v>
      </c>
      <c r="J68" s="182">
        <v>0.27</v>
      </c>
      <c r="K68" s="1086">
        <f>J68</f>
        <v>0.27</v>
      </c>
      <c r="L68" s="1086">
        <f t="shared" si="30"/>
        <v>0.27</v>
      </c>
      <c r="M68" s="1086">
        <f t="shared" si="30"/>
        <v>0.27</v>
      </c>
      <c r="N68" s="1086">
        <f t="shared" si="30"/>
        <v>0.27</v>
      </c>
      <c r="O68" s="1086">
        <f t="shared" si="30"/>
        <v>0.27</v>
      </c>
      <c r="P68" s="1086">
        <f t="shared" si="30"/>
        <v>0.27</v>
      </c>
      <c r="Q68" s="1086">
        <f t="shared" si="30"/>
        <v>0.27</v>
      </c>
      <c r="R68" s="1086">
        <f t="shared" si="30"/>
        <v>0.27</v>
      </c>
      <c r="S68" s="1086">
        <f t="shared" si="30"/>
        <v>0.27</v>
      </c>
      <c r="T68" s="1086">
        <f t="shared" si="30"/>
        <v>0.27</v>
      </c>
      <c r="U68" s="1086">
        <f t="shared" si="30"/>
        <v>0.27</v>
      </c>
      <c r="V68" s="1086">
        <f t="shared" si="30"/>
        <v>0.27</v>
      </c>
    </row>
    <row r="69" spans="1:22">
      <c r="C69" s="512" t="s">
        <v>730</v>
      </c>
      <c r="D69" s="512"/>
      <c r="E69" s="1076" t="s">
        <v>767</v>
      </c>
      <c r="F69" s="1085">
        <f>F68*F$62</f>
        <v>4868723.7950357553</v>
      </c>
      <c r="G69" s="1085">
        <f t="shared" ref="G69:V69" si="32">G68*G$62</f>
        <v>31726640.107656226</v>
      </c>
      <c r="H69" s="1085">
        <f t="shared" si="32"/>
        <v>38570573.133975245</v>
      </c>
      <c r="I69" s="1085">
        <f t="shared" si="32"/>
        <v>42551775.94714535</v>
      </c>
      <c r="J69" s="1085">
        <f t="shared" si="32"/>
        <v>45877035.209332556</v>
      </c>
      <c r="K69" s="1085">
        <f t="shared" si="32"/>
        <v>48263308.667210355</v>
      </c>
      <c r="L69" s="1085">
        <f t="shared" si="32"/>
        <v>50193841.013898782</v>
      </c>
      <c r="M69" s="1085">
        <f t="shared" si="32"/>
        <v>52449378.16026146</v>
      </c>
      <c r="N69" s="1085">
        <f t="shared" si="32"/>
        <v>54289658.44063291</v>
      </c>
      <c r="O69" s="1085">
        <f t="shared" si="32"/>
        <v>56461244.778258249</v>
      </c>
      <c r="P69" s="1085">
        <f t="shared" si="32"/>
        <v>58719694.569388568</v>
      </c>
      <c r="Q69" s="1085">
        <f t="shared" si="32"/>
        <v>61358354.007458933</v>
      </c>
      <c r="R69" s="1085">
        <f t="shared" si="32"/>
        <v>63511221.64625068</v>
      </c>
      <c r="S69" s="1085">
        <f t="shared" si="32"/>
        <v>66051670.512100697</v>
      </c>
      <c r="T69" s="1085">
        <f t="shared" si="32"/>
        <v>68693737.332584754</v>
      </c>
      <c r="U69" s="1085">
        <f t="shared" si="32"/>
        <v>71780595.66313614</v>
      </c>
      <c r="V69" s="1085">
        <f t="shared" si="32"/>
        <v>74299146.298923656</v>
      </c>
    </row>
    <row r="70" spans="1:22">
      <c r="C70" s="512" t="s">
        <v>26</v>
      </c>
      <c r="D70" s="512"/>
      <c r="E70" s="1076" t="s">
        <v>796</v>
      </c>
      <c r="F70" s="182">
        <v>0.05</v>
      </c>
      <c r="G70" s="182">
        <v>0.05</v>
      </c>
      <c r="H70" s="182">
        <v>0.05</v>
      </c>
      <c r="I70" s="182">
        <v>0.05</v>
      </c>
      <c r="J70" s="182">
        <v>0.05</v>
      </c>
      <c r="K70" s="1086">
        <f>J70</f>
        <v>0.05</v>
      </c>
      <c r="L70" s="1086">
        <f t="shared" si="30"/>
        <v>0.05</v>
      </c>
      <c r="M70" s="1086">
        <f t="shared" si="30"/>
        <v>0.05</v>
      </c>
      <c r="N70" s="1086">
        <f t="shared" si="30"/>
        <v>0.05</v>
      </c>
      <c r="O70" s="1086">
        <f t="shared" si="30"/>
        <v>0.05</v>
      </c>
      <c r="P70" s="1086">
        <f t="shared" si="30"/>
        <v>0.05</v>
      </c>
      <c r="Q70" s="1086">
        <f t="shared" si="30"/>
        <v>0.05</v>
      </c>
      <c r="R70" s="1086">
        <f t="shared" si="30"/>
        <v>0.05</v>
      </c>
      <c r="S70" s="1086">
        <f t="shared" si="30"/>
        <v>0.05</v>
      </c>
      <c r="T70" s="1086">
        <f t="shared" si="30"/>
        <v>0.05</v>
      </c>
      <c r="U70" s="1086">
        <f t="shared" si="30"/>
        <v>0.05</v>
      </c>
      <c r="V70" s="1086">
        <f t="shared" si="30"/>
        <v>0.05</v>
      </c>
    </row>
    <row r="71" spans="1:22">
      <c r="C71" s="512" t="s">
        <v>26</v>
      </c>
      <c r="D71" s="512"/>
      <c r="E71" s="1076" t="s">
        <v>767</v>
      </c>
      <c r="F71" s="1085">
        <f t="shared" ref="F71:V71" si="33">F70*F$62</f>
        <v>901615.51759921387</v>
      </c>
      <c r="G71" s="1085">
        <f t="shared" si="33"/>
        <v>5875303.7236400414</v>
      </c>
      <c r="H71" s="1085">
        <f t="shared" si="33"/>
        <v>7142698.7285139337</v>
      </c>
      <c r="I71" s="1085">
        <f t="shared" si="33"/>
        <v>7879958.5087306201</v>
      </c>
      <c r="J71" s="1085">
        <f t="shared" si="33"/>
        <v>8495747.2609875109</v>
      </c>
      <c r="K71" s="1085">
        <f t="shared" si="33"/>
        <v>8937649.7531871032</v>
      </c>
      <c r="L71" s="1085">
        <f t="shared" si="33"/>
        <v>9295155.7433145884</v>
      </c>
      <c r="M71" s="1085">
        <f t="shared" si="33"/>
        <v>9712847.8074558266</v>
      </c>
      <c r="N71" s="1085">
        <f t="shared" si="33"/>
        <v>10053640.451969057</v>
      </c>
      <c r="O71" s="1085">
        <f t="shared" si="33"/>
        <v>10455786.070047824</v>
      </c>
      <c r="P71" s="1085">
        <f t="shared" si="33"/>
        <v>10874017.512849735</v>
      </c>
      <c r="Q71" s="1085">
        <f t="shared" si="33"/>
        <v>11362658.149529433</v>
      </c>
      <c r="R71" s="1085">
        <f t="shared" si="33"/>
        <v>11761337.341898274</v>
      </c>
      <c r="S71" s="1085">
        <f t="shared" si="33"/>
        <v>12231790.835574202</v>
      </c>
      <c r="T71" s="1085">
        <f t="shared" si="33"/>
        <v>12721062.468997175</v>
      </c>
      <c r="U71" s="1085">
        <f t="shared" si="33"/>
        <v>13292702.900580766</v>
      </c>
      <c r="V71" s="1085">
        <f t="shared" si="33"/>
        <v>13759101.166467343</v>
      </c>
    </row>
    <row r="72" spans="1:22" ht="14.25">
      <c r="C72" s="512"/>
      <c r="D72" s="1098"/>
      <c r="E72" s="1099"/>
      <c r="F72" s="516"/>
      <c r="G72" s="516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</row>
    <row r="73" spans="1:22" ht="14.25">
      <c r="C73" s="1093" t="s">
        <v>797</v>
      </c>
      <c r="D73" s="1093"/>
      <c r="E73" s="1095" t="s">
        <v>767</v>
      </c>
      <c r="F73" s="1094">
        <f>F67+F69+F71</f>
        <v>14786494.488627108</v>
      </c>
      <c r="G73" s="1094">
        <f t="shared" ref="G73:V73" si="34">G67+G69+G71</f>
        <v>94004859.578240648</v>
      </c>
      <c r="H73" s="1094">
        <f t="shared" si="34"/>
        <v>114283179.65622294</v>
      </c>
      <c r="I73" s="1094">
        <f t="shared" si="34"/>
        <v>126079336.13968992</v>
      </c>
      <c r="J73" s="1094">
        <f t="shared" si="34"/>
        <v>135931956.17580014</v>
      </c>
      <c r="K73" s="1094">
        <f t="shared" si="34"/>
        <v>143002396.05099362</v>
      </c>
      <c r="L73" s="1094">
        <f t="shared" si="34"/>
        <v>148722491.89303342</v>
      </c>
      <c r="M73" s="1094">
        <f t="shared" si="34"/>
        <v>155405564.91929322</v>
      </c>
      <c r="N73" s="1094">
        <f t="shared" si="34"/>
        <v>160858247.23150492</v>
      </c>
      <c r="O73" s="1094">
        <f t="shared" si="34"/>
        <v>167292577.12076518</v>
      </c>
      <c r="P73" s="1094">
        <f t="shared" si="34"/>
        <v>173984280.20559576</v>
      </c>
      <c r="Q73" s="1094">
        <f t="shared" si="34"/>
        <v>181802530.3924709</v>
      </c>
      <c r="R73" s="1094">
        <f t="shared" si="34"/>
        <v>188181397.47037238</v>
      </c>
      <c r="S73" s="1094">
        <f t="shared" si="34"/>
        <v>195708653.36918724</v>
      </c>
      <c r="T73" s="1094">
        <f t="shared" si="34"/>
        <v>203536999.5039548</v>
      </c>
      <c r="U73" s="1094">
        <f t="shared" si="34"/>
        <v>212683246.40929225</v>
      </c>
      <c r="V73" s="1094">
        <f t="shared" si="34"/>
        <v>220145618.66347745</v>
      </c>
    </row>
    <row r="74" spans="1:22" s="1102" customFormat="1" ht="14.25">
      <c r="C74" s="1103"/>
      <c r="D74" s="1103"/>
      <c r="E74" s="1104" t="s">
        <v>796</v>
      </c>
      <c r="F74" s="1105">
        <f>F73/F62</f>
        <v>0.82000000000000006</v>
      </c>
      <c r="G74" s="1105">
        <f t="shared" ref="G74:V74" si="35">G73/G62</f>
        <v>0.79999999999999993</v>
      </c>
      <c r="H74" s="1105">
        <f t="shared" si="35"/>
        <v>0.8</v>
      </c>
      <c r="I74" s="1105">
        <f t="shared" si="35"/>
        <v>0.8</v>
      </c>
      <c r="J74" s="1105">
        <f t="shared" si="35"/>
        <v>0.79999999999999993</v>
      </c>
      <c r="K74" s="1105">
        <f t="shared" si="35"/>
        <v>0.79999999999999993</v>
      </c>
      <c r="L74" s="1105">
        <f t="shared" si="35"/>
        <v>0.8</v>
      </c>
      <c r="M74" s="1105">
        <f t="shared" si="35"/>
        <v>0.8</v>
      </c>
      <c r="N74" s="1105">
        <f t="shared" si="35"/>
        <v>0.8</v>
      </c>
      <c r="O74" s="1105">
        <f t="shared" si="35"/>
        <v>0.8</v>
      </c>
      <c r="P74" s="1105">
        <f t="shared" si="35"/>
        <v>0.8</v>
      </c>
      <c r="Q74" s="1105">
        <f t="shared" si="35"/>
        <v>0.79999999999999993</v>
      </c>
      <c r="R74" s="1105">
        <f t="shared" si="35"/>
        <v>0.8</v>
      </c>
      <c r="S74" s="1105">
        <f t="shared" si="35"/>
        <v>0.8</v>
      </c>
      <c r="T74" s="1105">
        <f t="shared" si="35"/>
        <v>0.8</v>
      </c>
      <c r="U74" s="1105">
        <f t="shared" si="35"/>
        <v>0.8</v>
      </c>
      <c r="V74" s="1105">
        <f t="shared" si="35"/>
        <v>0.79999999999999993</v>
      </c>
    </row>
    <row r="75" spans="1:22" ht="14.25"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</row>
    <row r="76" spans="1:22" s="1106" customFormat="1" ht="14.25">
      <c r="C76" s="1107" t="s">
        <v>798</v>
      </c>
      <c r="D76" s="1107"/>
      <c r="E76" s="1108" t="s">
        <v>767</v>
      </c>
      <c r="F76" s="1479">
        <f>F62-F73</f>
        <v>3245815.8633571696</v>
      </c>
      <c r="G76" s="1109">
        <f t="shared" ref="G76:V76" si="36">G62-G73</f>
        <v>23501214.894560173</v>
      </c>
      <c r="H76" s="1479">
        <f t="shared" si="36"/>
        <v>28570794.914055735</v>
      </c>
      <c r="I76" s="1109">
        <f t="shared" si="36"/>
        <v>31519834.034922481</v>
      </c>
      <c r="J76" s="1479">
        <f t="shared" si="36"/>
        <v>33982989.043950051</v>
      </c>
      <c r="K76" s="1109">
        <f t="shared" si="36"/>
        <v>35750599.01274842</v>
      </c>
      <c r="L76" s="1109">
        <f t="shared" si="36"/>
        <v>37180622.973258346</v>
      </c>
      <c r="M76" s="1109">
        <f t="shared" si="36"/>
        <v>38851391.229823291</v>
      </c>
      <c r="N76" s="1109">
        <f t="shared" si="36"/>
        <v>40214561.807876229</v>
      </c>
      <c r="O76" s="1109">
        <f t="shared" si="36"/>
        <v>41823144.280191272</v>
      </c>
      <c r="P76" s="1109">
        <f t="shared" si="36"/>
        <v>43496070.051398933</v>
      </c>
      <c r="Q76" s="1109">
        <f t="shared" si="36"/>
        <v>45450632.598117739</v>
      </c>
      <c r="R76" s="1109">
        <f t="shared" si="36"/>
        <v>47045349.36759308</v>
      </c>
      <c r="S76" s="1109">
        <f t="shared" si="36"/>
        <v>48927163.342296809</v>
      </c>
      <c r="T76" s="1109">
        <f t="shared" si="36"/>
        <v>50884249.875988692</v>
      </c>
      <c r="U76" s="1109">
        <f t="shared" si="36"/>
        <v>53170811.602323055</v>
      </c>
      <c r="V76" s="1109">
        <f t="shared" si="36"/>
        <v>55036404.665869385</v>
      </c>
    </row>
    <row r="77" spans="1:22">
      <c r="E77" s="1104" t="s">
        <v>796</v>
      </c>
      <c r="F77" s="1105">
        <f>F76/F62</f>
        <v>0.17999999999999997</v>
      </c>
      <c r="G77" s="1105">
        <f t="shared" ref="G77:V77" si="37">G76/G62</f>
        <v>0.20000000000000007</v>
      </c>
      <c r="H77" s="1105">
        <f t="shared" si="37"/>
        <v>0.2</v>
      </c>
      <c r="I77" s="1105">
        <f t="shared" si="37"/>
        <v>0.2</v>
      </c>
      <c r="J77" s="1105">
        <f t="shared" si="37"/>
        <v>0.20000000000000007</v>
      </c>
      <c r="K77" s="1105">
        <f t="shared" si="37"/>
        <v>0.20000000000000007</v>
      </c>
      <c r="L77" s="1105">
        <f t="shared" si="37"/>
        <v>0.19999999999999996</v>
      </c>
      <c r="M77" s="1105">
        <f t="shared" si="37"/>
        <v>0.19999999999999993</v>
      </c>
      <c r="N77" s="1105">
        <f t="shared" si="37"/>
        <v>0.2</v>
      </c>
      <c r="O77" s="1105">
        <f t="shared" si="37"/>
        <v>0.19999999999999993</v>
      </c>
      <c r="P77" s="1105">
        <f t="shared" si="37"/>
        <v>0.19999999999999998</v>
      </c>
      <c r="Q77" s="1105">
        <f t="shared" si="37"/>
        <v>0.20000000000000004</v>
      </c>
      <c r="R77" s="1105">
        <f t="shared" si="37"/>
        <v>0.19999999999999996</v>
      </c>
      <c r="S77" s="1105">
        <f t="shared" si="37"/>
        <v>0.2</v>
      </c>
      <c r="T77" s="1105">
        <f t="shared" si="37"/>
        <v>0.19999999999999998</v>
      </c>
      <c r="U77" s="1105">
        <f t="shared" si="37"/>
        <v>0.19999999999999998</v>
      </c>
      <c r="V77" s="1105">
        <f t="shared" si="37"/>
        <v>0.20000000000000007</v>
      </c>
    </row>
  </sheetData>
  <conditionalFormatting sqref="F66:J66 F68:J68 F70:J70">
    <cfRule type="expression" dxfId="230" priority="208">
      <formula>$A$1=1</formula>
    </cfRule>
  </conditionalFormatting>
  <conditionalFormatting sqref="F66:J66 F68:J68 F70:J70">
    <cfRule type="cellIs" dxfId="229" priority="207" operator="equal">
      <formula>0</formula>
    </cfRule>
  </conditionalFormatting>
  <conditionalFormatting sqref="F15">
    <cfRule type="cellIs" dxfId="228" priority="205" operator="equal">
      <formula>0</formula>
    </cfRule>
  </conditionalFormatting>
  <conditionalFormatting sqref="F15">
    <cfRule type="expression" dxfId="227" priority="206">
      <formula>$A$1=1</formula>
    </cfRule>
  </conditionalFormatting>
  <conditionalFormatting sqref="F25">
    <cfRule type="cellIs" dxfId="226" priority="203" operator="equal">
      <formula>0</formula>
    </cfRule>
  </conditionalFormatting>
  <conditionalFormatting sqref="F25">
    <cfRule type="expression" dxfId="225" priority="204">
      <formula>$A$1=1</formula>
    </cfRule>
  </conditionalFormatting>
  <conditionalFormatting sqref="G29:H29">
    <cfRule type="expression" dxfId="224" priority="197">
      <formula>$A$1=1</formula>
    </cfRule>
  </conditionalFormatting>
  <conditionalFormatting sqref="A32">
    <cfRule type="expression" dxfId="223" priority="195">
      <formula>$A$1=1</formula>
    </cfRule>
  </conditionalFormatting>
  <conditionalFormatting sqref="I59">
    <cfRule type="expression" dxfId="222" priority="168">
      <formula>$A$1=1</formula>
    </cfRule>
  </conditionalFormatting>
  <conditionalFormatting sqref="F54">
    <cfRule type="cellIs" dxfId="221" priority="173" operator="equal">
      <formula>0</formula>
    </cfRule>
  </conditionalFormatting>
  <conditionalFormatting sqref="A41">
    <cfRule type="expression" dxfId="220" priority="179">
      <formula>$A$1=1</formula>
    </cfRule>
  </conditionalFormatting>
  <conditionalFormatting sqref="F54">
    <cfRule type="expression" dxfId="219" priority="174">
      <formula>$A$1=1</formula>
    </cfRule>
  </conditionalFormatting>
  <conditionalFormatting sqref="F55">
    <cfRule type="expression" dxfId="218" priority="172">
      <formula>$A$1=1</formula>
    </cfRule>
  </conditionalFormatting>
  <conditionalFormatting sqref="I59">
    <cfRule type="cellIs" dxfId="217" priority="167" operator="equal">
      <formula>0</formula>
    </cfRule>
  </conditionalFormatting>
  <conditionalFormatting sqref="F29">
    <cfRule type="expression" dxfId="216" priority="41">
      <formula>$A$1=1</formula>
    </cfRule>
  </conditionalFormatting>
  <conditionalFormatting sqref="A50">
    <cfRule type="expression" dxfId="215" priority="33">
      <formula>$A$1=1</formula>
    </cfRule>
  </conditionalFormatting>
  <conditionalFormatting sqref="A58">
    <cfRule type="expression" dxfId="214" priority="23">
      <formula>$A$1=1</formula>
    </cfRule>
  </conditionalFormatting>
  <conditionalFormatting sqref="F59:H59">
    <cfRule type="expression" dxfId="213" priority="22">
      <formula>$A$1=1</formula>
    </cfRule>
  </conditionalFormatting>
  <conditionalFormatting sqref="H59">
    <cfRule type="cellIs" dxfId="212" priority="19" operator="equal">
      <formula>0</formula>
    </cfRule>
  </conditionalFormatting>
  <conditionalFormatting sqref="H59">
    <cfRule type="expression" dxfId="211" priority="20">
      <formula>$A$1=1</formula>
    </cfRule>
  </conditionalFormatting>
  <conditionalFormatting sqref="F59:H59">
    <cfRule type="cellIs" dxfId="210" priority="21" operator="equal">
      <formula>0</formula>
    </cfRule>
  </conditionalFormatting>
  <conditionalFormatting sqref="I59">
    <cfRule type="cellIs" dxfId="209" priority="17" operator="equal">
      <formula>0</formula>
    </cfRule>
  </conditionalFormatting>
  <conditionalFormatting sqref="I59">
    <cfRule type="expression" dxfId="208" priority="18">
      <formula>$A$1=1</formula>
    </cfRule>
  </conditionalFormatting>
  <conditionalFormatting sqref="G38:H38">
    <cfRule type="expression" dxfId="207" priority="4">
      <formula>$A$1=1</formula>
    </cfRule>
  </conditionalFormatting>
  <conditionalFormatting sqref="F38">
    <cfRule type="expression" dxfId="206" priority="3">
      <formula>$A$1=1</formula>
    </cfRule>
  </conditionalFormatting>
  <conditionalFormatting sqref="G47:H47">
    <cfRule type="expression" dxfId="205" priority="2">
      <formula>$A$1=1</formula>
    </cfRule>
  </conditionalFormatting>
  <conditionalFormatting sqref="F47">
    <cfRule type="expression" dxfId="204" priority="1">
      <formula>$A$1=1</formula>
    </cfRule>
  </conditionalFormatting>
  <pageMargins left="0.7" right="0.7" top="0.75" bottom="0.75" header="0.3" footer="0.3"/>
  <pageSetup paperSize="9" orientation="portrait" r:id="rId1"/>
  <ignoredErrors>
    <ignoredError sqref="G24:U24 L69:V69 K69 K68:U68 K67:U67 K70:V75 V67 V68" formula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0"/>
  <sheetViews>
    <sheetView showGridLines="0" zoomScale="70" zoomScaleNormal="70" workbookViewId="0"/>
  </sheetViews>
  <sheetFormatPr defaultRowHeight="15"/>
  <cols>
    <col min="1" max="1" width="4" customWidth="1"/>
    <col min="2" max="2" width="21.7109375" customWidth="1"/>
    <col min="3" max="3" width="44.7109375" customWidth="1"/>
    <col min="4" max="9" width="14.7109375" customWidth="1"/>
    <col min="10" max="22" width="14" customWidth="1"/>
  </cols>
  <sheetData>
    <row r="1" spans="1:11" ht="15.75" thickBot="1">
      <c r="A1" s="14">
        <v>0</v>
      </c>
      <c r="B1" s="19"/>
      <c r="C1" s="19"/>
      <c r="D1" s="19"/>
      <c r="E1" s="19"/>
      <c r="F1" s="19"/>
    </row>
    <row r="2" spans="1:11">
      <c r="A2" s="19"/>
      <c r="B2" s="19"/>
      <c r="C2" s="1143" t="s">
        <v>820</v>
      </c>
      <c r="D2" s="19"/>
      <c r="E2" s="19"/>
      <c r="F2" s="19"/>
    </row>
    <row r="3" spans="1:11">
      <c r="A3" s="19"/>
      <c r="B3" s="19"/>
      <c r="C3" s="19"/>
      <c r="D3" s="19"/>
      <c r="E3" s="19"/>
      <c r="F3" s="19"/>
    </row>
    <row r="4" spans="1:11">
      <c r="A4" s="19"/>
      <c r="B4" s="19"/>
      <c r="C4" s="12" t="s">
        <v>818</v>
      </c>
      <c r="D4" s="19"/>
      <c r="E4" s="19"/>
      <c r="F4" s="19"/>
    </row>
    <row r="5" spans="1:11" ht="51">
      <c r="A5" s="19"/>
      <c r="B5" s="19"/>
      <c r="C5" s="15" t="s">
        <v>691</v>
      </c>
      <c r="D5" s="15" t="s">
        <v>213</v>
      </c>
      <c r="E5" s="15" t="s">
        <v>877</v>
      </c>
      <c r="F5" s="15" t="s">
        <v>878</v>
      </c>
      <c r="G5" s="15" t="s">
        <v>819</v>
      </c>
    </row>
    <row r="6" spans="1:11">
      <c r="A6" s="19"/>
      <c r="B6" s="1144"/>
      <c r="C6" s="1145" t="str">
        <f>Объекты!C20</f>
        <v>Торговая зона МФЦ</v>
      </c>
      <c r="D6" s="1146">
        <f>Объекты!E20</f>
        <v>4000</v>
      </c>
      <c r="E6" s="1212">
        <v>0.8</v>
      </c>
      <c r="F6" s="141">
        <f>D6*E6</f>
        <v>3200</v>
      </c>
      <c r="G6" s="1211">
        <f>Объекты!K20</f>
        <v>45839</v>
      </c>
    </row>
    <row r="7" spans="1:11" s="19" customFormat="1">
      <c r="B7" s="1144"/>
      <c r="C7" s="1145" t="str">
        <f>Объекты!C18</f>
        <v>Ресторан МФЦ</v>
      </c>
      <c r="D7" s="1146">
        <f>Объекты!E18</f>
        <v>150</v>
      </c>
      <c r="E7" s="1212">
        <v>1</v>
      </c>
      <c r="F7" s="141">
        <f>D7*E7</f>
        <v>150</v>
      </c>
      <c r="G7" s="1211">
        <f>G6</f>
        <v>45839</v>
      </c>
    </row>
    <row r="8" spans="1:11">
      <c r="A8" s="19"/>
      <c r="B8" s="1144"/>
      <c r="C8" s="1145" t="str">
        <f>Объекты!C52</f>
        <v>Торговая зона тур.резиденций</v>
      </c>
      <c r="D8" s="1146">
        <f>Объекты!E52</f>
        <v>3400</v>
      </c>
      <c r="E8" s="1212">
        <v>0.8</v>
      </c>
      <c r="F8" s="141">
        <f>D8*E8</f>
        <v>2720</v>
      </c>
      <c r="G8" s="1211">
        <f>Объекты!K22</f>
        <v>45839</v>
      </c>
    </row>
    <row r="9" spans="1:11">
      <c r="C9" s="1145" t="str">
        <f>Объекты!C53</f>
        <v>Лыжная школа</v>
      </c>
      <c r="D9" s="1146">
        <f>Объекты!E53</f>
        <v>200</v>
      </c>
      <c r="E9" s="1212">
        <v>1</v>
      </c>
      <c r="F9" s="141">
        <f>D9*E9</f>
        <v>200</v>
      </c>
      <c r="G9" s="1211">
        <f>Объекты!K23</f>
        <v>45839</v>
      </c>
    </row>
    <row r="12" spans="1:11">
      <c r="C12" s="1149" t="s">
        <v>823</v>
      </c>
    </row>
    <row r="13" spans="1:11" ht="89.25">
      <c r="C13" s="15" t="s">
        <v>824</v>
      </c>
      <c r="D13" s="15" t="s">
        <v>819</v>
      </c>
      <c r="E13" s="15" t="s">
        <v>825</v>
      </c>
      <c r="F13" s="15" t="s">
        <v>826</v>
      </c>
      <c r="G13" s="15" t="s">
        <v>827</v>
      </c>
      <c r="H13" s="15" t="s">
        <v>828</v>
      </c>
    </row>
    <row r="14" spans="1:11">
      <c r="C14" s="1145" t="str">
        <f>C6</f>
        <v>Торговая зона МФЦ</v>
      </c>
      <c r="D14" s="1150">
        <f>G6</f>
        <v>45839</v>
      </c>
      <c r="E14" s="141">
        <f>F6</f>
        <v>3200</v>
      </c>
      <c r="F14" s="1151">
        <v>5000</v>
      </c>
      <c r="G14" s="141">
        <f>E14</f>
        <v>3200</v>
      </c>
      <c r="H14" s="141">
        <f>F14</f>
        <v>5000</v>
      </c>
    </row>
    <row r="15" spans="1:11">
      <c r="C15" s="1145" t="str">
        <f>C7</f>
        <v>Ресторан МФЦ</v>
      </c>
      <c r="D15" s="1150">
        <f>G7</f>
        <v>45839</v>
      </c>
      <c r="E15" s="141">
        <f>F7</f>
        <v>150</v>
      </c>
      <c r="F15" s="1151">
        <v>6000</v>
      </c>
      <c r="G15" s="141">
        <f>E15</f>
        <v>150</v>
      </c>
      <c r="H15" s="1151">
        <v>35000</v>
      </c>
    </row>
    <row r="16" spans="1:11">
      <c r="C16" s="1145" t="str">
        <f>C8</f>
        <v>Торговая зона тур.резиденций</v>
      </c>
      <c r="D16" s="1150">
        <f>G8</f>
        <v>45839</v>
      </c>
      <c r="E16" s="141">
        <f>F8</f>
        <v>2720</v>
      </c>
      <c r="F16" s="1152">
        <v>6000</v>
      </c>
      <c r="G16" s="141">
        <f t="shared" ref="G16" si="0">E16</f>
        <v>2720</v>
      </c>
      <c r="H16" s="1151">
        <f>F16*2</f>
        <v>12000</v>
      </c>
      <c r="I16" s="19"/>
      <c r="J16" s="19"/>
      <c r="K16" s="19"/>
    </row>
    <row r="17" spans="3:22">
      <c r="C17" s="1145" t="str">
        <f>C9</f>
        <v>Лыжная школа</v>
      </c>
      <c r="D17" s="1150">
        <f>G9</f>
        <v>45839</v>
      </c>
      <c r="E17" s="141">
        <f>F9</f>
        <v>200</v>
      </c>
      <c r="F17" s="1152">
        <v>5000</v>
      </c>
      <c r="G17" s="141">
        <f>E17</f>
        <v>200</v>
      </c>
      <c r="H17" s="1151">
        <f>F17*2.5</f>
        <v>12500</v>
      </c>
    </row>
    <row r="20" spans="3:22" s="19" customFormat="1"/>
    <row r="21" spans="3:22">
      <c r="C21" s="11"/>
      <c r="D21" s="11">
        <f>YEAR(D22)</f>
        <v>2025</v>
      </c>
      <c r="E21" s="11">
        <f>D21+1</f>
        <v>2026</v>
      </c>
      <c r="F21" s="11">
        <f t="shared" ref="F21:Q21" si="1">E21+1</f>
        <v>2027</v>
      </c>
      <c r="G21" s="11">
        <f t="shared" si="1"/>
        <v>2028</v>
      </c>
      <c r="H21" s="11">
        <f t="shared" si="1"/>
        <v>2029</v>
      </c>
      <c r="I21" s="11">
        <f t="shared" si="1"/>
        <v>2030</v>
      </c>
      <c r="J21" s="11">
        <f t="shared" si="1"/>
        <v>2031</v>
      </c>
      <c r="K21" s="11">
        <f t="shared" si="1"/>
        <v>2032</v>
      </c>
      <c r="L21" s="11">
        <f t="shared" si="1"/>
        <v>2033</v>
      </c>
      <c r="M21" s="11">
        <f t="shared" si="1"/>
        <v>2034</v>
      </c>
      <c r="N21" s="11">
        <f t="shared" si="1"/>
        <v>2035</v>
      </c>
      <c r="O21" s="11">
        <f t="shared" si="1"/>
        <v>2036</v>
      </c>
      <c r="P21" s="11">
        <f t="shared" si="1"/>
        <v>2037</v>
      </c>
      <c r="Q21" s="11">
        <f t="shared" si="1"/>
        <v>2038</v>
      </c>
      <c r="R21" s="11">
        <f>Q21+1</f>
        <v>2039</v>
      </c>
      <c r="S21" s="11">
        <f>R21+1</f>
        <v>2040</v>
      </c>
      <c r="T21" s="11">
        <f>S21+1</f>
        <v>2041</v>
      </c>
      <c r="U21" s="11">
        <f>T21+1</f>
        <v>2042</v>
      </c>
      <c r="V21" s="11">
        <f>U21+1</f>
        <v>2043</v>
      </c>
    </row>
    <row r="22" spans="3:22">
      <c r="C22" s="1153" t="s">
        <v>1</v>
      </c>
      <c r="D22" s="1154">
        <f>MIN(G6:G9)</f>
        <v>45839</v>
      </c>
      <c r="E22" s="147">
        <f>DATE(YEAR(D23),(TRUNC((MONTH(D23)-1)/3,0)+1)*3+1,1)</f>
        <v>46023</v>
      </c>
      <c r="F22" s="147">
        <f t="shared" ref="F22:V22" si="2">DATE(YEAR(E23),(TRUNC((MONTH(E23)-1)/3,0)+1)*3+1,1)</f>
        <v>46388</v>
      </c>
      <c r="G22" s="147">
        <f t="shared" si="2"/>
        <v>46753</v>
      </c>
      <c r="H22" s="147">
        <f t="shared" si="2"/>
        <v>47119</v>
      </c>
      <c r="I22" s="147">
        <f t="shared" si="2"/>
        <v>47484</v>
      </c>
      <c r="J22" s="147">
        <f t="shared" si="2"/>
        <v>47849</v>
      </c>
      <c r="K22" s="147">
        <f t="shared" si="2"/>
        <v>48214</v>
      </c>
      <c r="L22" s="147">
        <f t="shared" si="2"/>
        <v>48580</v>
      </c>
      <c r="M22" s="147">
        <f t="shared" si="2"/>
        <v>48945</v>
      </c>
      <c r="N22" s="147">
        <f t="shared" si="2"/>
        <v>49310</v>
      </c>
      <c r="O22" s="147">
        <f t="shared" si="2"/>
        <v>49675</v>
      </c>
      <c r="P22" s="147">
        <f t="shared" si="2"/>
        <v>50041</v>
      </c>
      <c r="Q22" s="147">
        <f t="shared" si="2"/>
        <v>50406</v>
      </c>
      <c r="R22" s="147">
        <f>DATE(YEAR(Q23),(TRUNC((MONTH(Q23)-1)/3,0)+1)*3+1,1)</f>
        <v>50771</v>
      </c>
      <c r="S22" s="147">
        <f t="shared" si="2"/>
        <v>51136</v>
      </c>
      <c r="T22" s="147">
        <f t="shared" si="2"/>
        <v>51502</v>
      </c>
      <c r="U22" s="147">
        <f>DATE(YEAR(T23),(TRUNC((MONTH(T23)-1)/3,0)+1)*3+1,1)</f>
        <v>51867</v>
      </c>
      <c r="V22" s="147">
        <f t="shared" si="2"/>
        <v>52232</v>
      </c>
    </row>
    <row r="23" spans="3:22">
      <c r="C23" s="1153" t="s">
        <v>2</v>
      </c>
      <c r="D23" s="513">
        <f>DATE(D21,12,31)</f>
        <v>46022</v>
      </c>
      <c r="E23" s="513">
        <f>DATE(E21,12,31)</f>
        <v>46387</v>
      </c>
      <c r="F23" s="513">
        <f t="shared" ref="F23:Q23" si="3">DATE(F21,12,31)</f>
        <v>46752</v>
      </c>
      <c r="G23" s="513">
        <f t="shared" si="3"/>
        <v>47118</v>
      </c>
      <c r="H23" s="513">
        <f t="shared" si="3"/>
        <v>47483</v>
      </c>
      <c r="I23" s="513">
        <f t="shared" si="3"/>
        <v>47848</v>
      </c>
      <c r="J23" s="513">
        <f t="shared" si="3"/>
        <v>48213</v>
      </c>
      <c r="K23" s="513">
        <f t="shared" si="3"/>
        <v>48579</v>
      </c>
      <c r="L23" s="513">
        <f t="shared" si="3"/>
        <v>48944</v>
      </c>
      <c r="M23" s="513">
        <f t="shared" si="3"/>
        <v>49309</v>
      </c>
      <c r="N23" s="513">
        <f t="shared" si="3"/>
        <v>49674</v>
      </c>
      <c r="O23" s="513">
        <f t="shared" si="3"/>
        <v>50040</v>
      </c>
      <c r="P23" s="513">
        <f t="shared" si="3"/>
        <v>50405</v>
      </c>
      <c r="Q23" s="513">
        <f t="shared" si="3"/>
        <v>50770</v>
      </c>
      <c r="R23" s="513">
        <f>DATE(R21,12,31)</f>
        <v>51135</v>
      </c>
      <c r="S23" s="513">
        <f>DATE(S21,12,31)</f>
        <v>51501</v>
      </c>
      <c r="T23" s="513">
        <f>DATE(T21,12,31)</f>
        <v>51866</v>
      </c>
      <c r="U23" s="513">
        <f>DATE(U21,12,31)</f>
        <v>52231</v>
      </c>
      <c r="V23" s="513">
        <f>DATE(V21,12,31)</f>
        <v>52596</v>
      </c>
    </row>
    <row r="24" spans="3:22">
      <c r="C24" s="1153" t="s">
        <v>9</v>
      </c>
      <c r="D24" s="1155">
        <f>D23-D22+1</f>
        <v>184</v>
      </c>
      <c r="E24" s="1155">
        <f t="shared" ref="E24:V24" si="4">E23-E22+1</f>
        <v>365</v>
      </c>
      <c r="F24" s="1155">
        <f t="shared" si="4"/>
        <v>365</v>
      </c>
      <c r="G24" s="1155">
        <f t="shared" si="4"/>
        <v>366</v>
      </c>
      <c r="H24" s="1155">
        <f t="shared" si="4"/>
        <v>365</v>
      </c>
      <c r="I24" s="1155">
        <f t="shared" si="4"/>
        <v>365</v>
      </c>
      <c r="J24" s="1155">
        <f t="shared" si="4"/>
        <v>365</v>
      </c>
      <c r="K24" s="1155">
        <f t="shared" si="4"/>
        <v>366</v>
      </c>
      <c r="L24" s="1155">
        <f t="shared" si="4"/>
        <v>365</v>
      </c>
      <c r="M24" s="1155">
        <f t="shared" si="4"/>
        <v>365</v>
      </c>
      <c r="N24" s="1155">
        <f t="shared" si="4"/>
        <v>365</v>
      </c>
      <c r="O24" s="1155">
        <f t="shared" si="4"/>
        <v>366</v>
      </c>
      <c r="P24" s="1155">
        <f t="shared" si="4"/>
        <v>365</v>
      </c>
      <c r="Q24" s="1155">
        <f t="shared" si="4"/>
        <v>365</v>
      </c>
      <c r="R24" s="1155">
        <f t="shared" si="4"/>
        <v>365</v>
      </c>
      <c r="S24" s="1155">
        <f t="shared" si="4"/>
        <v>366</v>
      </c>
      <c r="T24" s="1155">
        <f t="shared" si="4"/>
        <v>365</v>
      </c>
      <c r="U24" s="1155">
        <f t="shared" si="4"/>
        <v>365</v>
      </c>
      <c r="V24" s="1155">
        <f t="shared" si="4"/>
        <v>365</v>
      </c>
    </row>
    <row r="25" spans="3:22">
      <c r="C25" s="1153" t="s">
        <v>830</v>
      </c>
      <c r="D25" s="1470">
        <f>LOOKUP(D21,CPI!3:3,CPI!5:5)</f>
        <v>1.1698585600000002</v>
      </c>
      <c r="E25" s="1156">
        <f>LOOKUP(E21,CPI!3:3,CPI!5:5)</f>
        <v>1.2166529024000003</v>
      </c>
      <c r="F25" s="1156">
        <f>LOOKUP(F21,CPI!3:3,CPI!5:5)</f>
        <v>1.2653190184960004</v>
      </c>
      <c r="G25" s="1156">
        <f>LOOKUP(G21,CPI!3:3,CPI!5:5)</f>
        <v>1.3159317792358405</v>
      </c>
      <c r="H25" s="1156">
        <f>LOOKUP(H21,CPI!3:3,CPI!5:5)</f>
        <v>1.3685690504052741</v>
      </c>
      <c r="I25" s="1156">
        <f>LOOKUP(I21,CPI!3:3,CPI!5:5)</f>
        <v>1.4233118124214852</v>
      </c>
      <c r="J25" s="1156">
        <f>LOOKUP(J21,CPI!3:3,CPI!5:5)</f>
        <v>1.4802442849183446</v>
      </c>
      <c r="K25" s="1156">
        <f>LOOKUP(K21,CPI!3:3,CPI!5:5)</f>
        <v>1.5394540563150785</v>
      </c>
      <c r="L25" s="1156">
        <f>LOOKUP(L21,CPI!3:3,CPI!5:5)</f>
        <v>1.6010322185676817</v>
      </c>
      <c r="M25" s="1156">
        <f>LOOKUP(M21,CPI!3:3,CPI!5:5)</f>
        <v>1.6650735073103891</v>
      </c>
      <c r="N25" s="1156">
        <f>LOOKUP(N21,CPI!3:3,CPI!5:5)</f>
        <v>1.7316764476028046</v>
      </c>
      <c r="O25" s="1156">
        <f>LOOKUP(O21,CPI!3:3,CPI!5:5)</f>
        <v>1.8009435055069167</v>
      </c>
      <c r="P25" s="1156">
        <f>LOOKUP(P21,CPI!3:3,CPI!5:5)</f>
        <v>1.8729812457271935</v>
      </c>
      <c r="Q25" s="1156">
        <f>LOOKUP(Q21,CPI!3:3,CPI!5:5)</f>
        <v>1.9479004955562813</v>
      </c>
      <c r="R25" s="1156">
        <f>LOOKUP(R21,CPI!3:3,CPI!5:5)</f>
        <v>2.0258165153785326</v>
      </c>
      <c r="S25" s="1156">
        <f>LOOKUP(S21,CPI!3:3,CPI!5:5)</f>
        <v>2.1068491759936738</v>
      </c>
      <c r="T25" s="1156">
        <f>LOOKUP(T21,CPI!3:3,CPI!5:5)</f>
        <v>2.1911231430334208</v>
      </c>
      <c r="U25" s="1156">
        <f>LOOKUP(U21,CPI!3:3,CPI!5:5)</f>
        <v>2.2787680687547578</v>
      </c>
      <c r="V25" s="1156">
        <f>LOOKUP(V21,CPI!3:3,CPI!5:5)</f>
        <v>2.369918791504948</v>
      </c>
    </row>
    <row r="26" spans="3:22">
      <c r="C26" s="1159" t="s">
        <v>831</v>
      </c>
      <c r="D26" s="1160"/>
      <c r="E26" s="1160"/>
      <c r="F26" s="1160"/>
      <c r="G26" s="1160"/>
      <c r="H26" s="1160"/>
      <c r="I26" s="1160"/>
      <c r="J26" s="1160"/>
      <c r="K26" s="1160"/>
      <c r="L26" s="1160"/>
      <c r="M26" s="1160"/>
      <c r="N26" s="1160"/>
      <c r="O26" s="1160"/>
      <c r="P26" s="1160"/>
      <c r="Q26" s="1160"/>
      <c r="R26" s="1160"/>
      <c r="S26" s="1160"/>
      <c r="T26" s="1160"/>
      <c r="U26" s="1160"/>
      <c r="V26" s="1160"/>
    </row>
    <row r="27" spans="3:22">
      <c r="C27" s="1157" t="str">
        <f>C14</f>
        <v>Торговая зона МФЦ</v>
      </c>
      <c r="D27" s="1158">
        <f t="shared" ref="D27:V27" si="5">D$25*$F14</f>
        <v>5849.2928000000011</v>
      </c>
      <c r="E27" s="1158">
        <f t="shared" si="5"/>
        <v>6083.2645120000016</v>
      </c>
      <c r="F27" s="1158">
        <f t="shared" si="5"/>
        <v>6326.5950924800018</v>
      </c>
      <c r="G27" s="1158">
        <f t="shared" si="5"/>
        <v>6579.6588961792022</v>
      </c>
      <c r="H27" s="1158">
        <f t="shared" si="5"/>
        <v>6842.8452520263709</v>
      </c>
      <c r="I27" s="1158">
        <f t="shared" si="5"/>
        <v>7116.5590621074261</v>
      </c>
      <c r="J27" s="1158">
        <f t="shared" si="5"/>
        <v>7401.221424591723</v>
      </c>
      <c r="K27" s="1158">
        <f t="shared" si="5"/>
        <v>7697.2702815753928</v>
      </c>
      <c r="L27" s="1158">
        <f t="shared" si="5"/>
        <v>8005.1610928384089</v>
      </c>
      <c r="M27" s="1158">
        <f t="shared" si="5"/>
        <v>8325.3675365519448</v>
      </c>
      <c r="N27" s="1158">
        <f t="shared" si="5"/>
        <v>8658.3822380140227</v>
      </c>
      <c r="O27" s="1158">
        <f t="shared" si="5"/>
        <v>9004.7175275345835</v>
      </c>
      <c r="P27" s="1158">
        <f t="shared" si="5"/>
        <v>9364.9062286359676</v>
      </c>
      <c r="Q27" s="1158">
        <f t="shared" si="5"/>
        <v>9739.5024777814069</v>
      </c>
      <c r="R27" s="1158">
        <f t="shared" si="5"/>
        <v>10129.082576892662</v>
      </c>
      <c r="S27" s="1158">
        <f t="shared" si="5"/>
        <v>10534.24587996837</v>
      </c>
      <c r="T27" s="1158">
        <f t="shared" si="5"/>
        <v>10955.615715167103</v>
      </c>
      <c r="U27" s="1158">
        <f t="shared" si="5"/>
        <v>11393.840343773789</v>
      </c>
      <c r="V27" s="1158">
        <f t="shared" si="5"/>
        <v>11849.593957524739</v>
      </c>
    </row>
    <row r="28" spans="3:22">
      <c r="C28" s="1157" t="str">
        <f>C15</f>
        <v>Ресторан МФЦ</v>
      </c>
      <c r="D28" s="1158">
        <f t="shared" ref="D28:V28" si="6">D$25*$F15</f>
        <v>7019.1513600000017</v>
      </c>
      <c r="E28" s="1158">
        <f t="shared" si="6"/>
        <v>7299.9174144000017</v>
      </c>
      <c r="F28" s="1158">
        <f t="shared" si="6"/>
        <v>7591.9141109760021</v>
      </c>
      <c r="G28" s="1158">
        <f t="shared" si="6"/>
        <v>7895.5906754150428</v>
      </c>
      <c r="H28" s="1158">
        <f t="shared" si="6"/>
        <v>8211.4143024316454</v>
      </c>
      <c r="I28" s="1158">
        <f t="shared" si="6"/>
        <v>8539.8708745289114</v>
      </c>
      <c r="J28" s="1158">
        <f t="shared" si="6"/>
        <v>8881.4657095100683</v>
      </c>
      <c r="K28" s="1158">
        <f t="shared" si="6"/>
        <v>9236.7243378904714</v>
      </c>
      <c r="L28" s="1158">
        <f t="shared" si="6"/>
        <v>9606.1933114060903</v>
      </c>
      <c r="M28" s="1158">
        <f t="shared" si="6"/>
        <v>9990.4410438623345</v>
      </c>
      <c r="N28" s="1158">
        <f t="shared" si="6"/>
        <v>10390.058685616828</v>
      </c>
      <c r="O28" s="1158">
        <f t="shared" si="6"/>
        <v>10805.661033041501</v>
      </c>
      <c r="P28" s="1158">
        <f t="shared" si="6"/>
        <v>11237.88747436316</v>
      </c>
      <c r="Q28" s="1158">
        <f t="shared" si="6"/>
        <v>11687.402973337688</v>
      </c>
      <c r="R28" s="1158">
        <f t="shared" si="6"/>
        <v>12154.899092271195</v>
      </c>
      <c r="S28" s="1158">
        <f t="shared" si="6"/>
        <v>12641.095055962043</v>
      </c>
      <c r="T28" s="1158">
        <f t="shared" si="6"/>
        <v>13146.738858200524</v>
      </c>
      <c r="U28" s="1158">
        <f t="shared" si="6"/>
        <v>13672.608412528547</v>
      </c>
      <c r="V28" s="1158">
        <f t="shared" si="6"/>
        <v>14219.512749029687</v>
      </c>
    </row>
    <row r="29" spans="3:22">
      <c r="C29" s="1157" t="str">
        <f>C16</f>
        <v>Торговая зона тур.резиденций</v>
      </c>
      <c r="D29" s="1158">
        <f t="shared" ref="D29:V29" si="7">D$25*$F16</f>
        <v>7019.1513600000017</v>
      </c>
      <c r="E29" s="1158">
        <f t="shared" si="7"/>
        <v>7299.9174144000017</v>
      </c>
      <c r="F29" s="1158">
        <f t="shared" si="7"/>
        <v>7591.9141109760021</v>
      </c>
      <c r="G29" s="1158">
        <f t="shared" si="7"/>
        <v>7895.5906754150428</v>
      </c>
      <c r="H29" s="1158">
        <f t="shared" si="7"/>
        <v>8211.4143024316454</v>
      </c>
      <c r="I29" s="1158">
        <f t="shared" si="7"/>
        <v>8539.8708745289114</v>
      </c>
      <c r="J29" s="1158">
        <f t="shared" si="7"/>
        <v>8881.4657095100683</v>
      </c>
      <c r="K29" s="1158">
        <f t="shared" si="7"/>
        <v>9236.7243378904714</v>
      </c>
      <c r="L29" s="1158">
        <f t="shared" si="7"/>
        <v>9606.1933114060903</v>
      </c>
      <c r="M29" s="1158">
        <f t="shared" si="7"/>
        <v>9990.4410438623345</v>
      </c>
      <c r="N29" s="1158">
        <f t="shared" si="7"/>
        <v>10390.058685616828</v>
      </c>
      <c r="O29" s="1158">
        <f t="shared" si="7"/>
        <v>10805.661033041501</v>
      </c>
      <c r="P29" s="1158">
        <f t="shared" si="7"/>
        <v>11237.88747436316</v>
      </c>
      <c r="Q29" s="1158">
        <f t="shared" si="7"/>
        <v>11687.402973337688</v>
      </c>
      <c r="R29" s="1158">
        <f t="shared" si="7"/>
        <v>12154.899092271195</v>
      </c>
      <c r="S29" s="1158">
        <f t="shared" si="7"/>
        <v>12641.095055962043</v>
      </c>
      <c r="T29" s="1158">
        <f t="shared" si="7"/>
        <v>13146.738858200524</v>
      </c>
      <c r="U29" s="1158">
        <f t="shared" si="7"/>
        <v>13672.608412528547</v>
      </c>
      <c r="V29" s="1158">
        <f t="shared" si="7"/>
        <v>14219.512749029687</v>
      </c>
    </row>
    <row r="30" spans="3:22">
      <c r="C30" s="1157" t="str">
        <f>C17</f>
        <v>Лыжная школа</v>
      </c>
      <c r="D30" s="1158">
        <f t="shared" ref="D30:V30" si="8">D$25*$F17</f>
        <v>5849.2928000000011</v>
      </c>
      <c r="E30" s="1158">
        <f t="shared" si="8"/>
        <v>6083.2645120000016</v>
      </c>
      <c r="F30" s="1158">
        <f t="shared" si="8"/>
        <v>6326.5950924800018</v>
      </c>
      <c r="G30" s="1158">
        <f t="shared" si="8"/>
        <v>6579.6588961792022</v>
      </c>
      <c r="H30" s="1158">
        <f t="shared" si="8"/>
        <v>6842.8452520263709</v>
      </c>
      <c r="I30" s="1158">
        <f t="shared" si="8"/>
        <v>7116.5590621074261</v>
      </c>
      <c r="J30" s="1158">
        <f t="shared" si="8"/>
        <v>7401.221424591723</v>
      </c>
      <c r="K30" s="1158">
        <f t="shared" si="8"/>
        <v>7697.2702815753928</v>
      </c>
      <c r="L30" s="1158">
        <f t="shared" si="8"/>
        <v>8005.1610928384089</v>
      </c>
      <c r="M30" s="1158">
        <f t="shared" si="8"/>
        <v>8325.3675365519448</v>
      </c>
      <c r="N30" s="1158">
        <f t="shared" si="8"/>
        <v>8658.3822380140227</v>
      </c>
      <c r="O30" s="1158">
        <f t="shared" si="8"/>
        <v>9004.7175275345835</v>
      </c>
      <c r="P30" s="1158">
        <f t="shared" si="8"/>
        <v>9364.9062286359676</v>
      </c>
      <c r="Q30" s="1158">
        <f t="shared" si="8"/>
        <v>9739.5024777814069</v>
      </c>
      <c r="R30" s="1158">
        <f t="shared" si="8"/>
        <v>10129.082576892662</v>
      </c>
      <c r="S30" s="1158">
        <f t="shared" si="8"/>
        <v>10534.24587996837</v>
      </c>
      <c r="T30" s="1158">
        <f t="shared" si="8"/>
        <v>10955.615715167103</v>
      </c>
      <c r="U30" s="1158">
        <f t="shared" si="8"/>
        <v>11393.840343773789</v>
      </c>
      <c r="V30" s="1158">
        <f t="shared" si="8"/>
        <v>11849.593957524739</v>
      </c>
    </row>
    <row r="31" spans="3:22" s="19" customFormat="1">
      <c r="C31" s="1159" t="s">
        <v>832</v>
      </c>
      <c r="D31" s="1160"/>
      <c r="E31" s="1160"/>
      <c r="F31" s="1160"/>
      <c r="G31" s="1160"/>
      <c r="H31" s="1160"/>
      <c r="I31" s="1160"/>
      <c r="J31" s="1160"/>
      <c r="K31" s="1160"/>
      <c r="L31" s="1160"/>
      <c r="M31" s="1160"/>
      <c r="N31" s="1160"/>
      <c r="O31" s="1160"/>
      <c r="P31" s="1160"/>
      <c r="Q31" s="1160"/>
      <c r="R31" s="1160"/>
      <c r="S31" s="1160"/>
      <c r="T31" s="1160"/>
      <c r="U31" s="1160"/>
      <c r="V31" s="1160"/>
    </row>
    <row r="32" spans="3:22" s="19" customFormat="1">
      <c r="C32" s="1157" t="str">
        <f>C27</f>
        <v>Торговая зона МФЦ</v>
      </c>
      <c r="D32" s="1158">
        <f t="shared" ref="D32:V32" si="9">D$25*$H14</f>
        <v>5849.2928000000011</v>
      </c>
      <c r="E32" s="1158">
        <f t="shared" si="9"/>
        <v>6083.2645120000016</v>
      </c>
      <c r="F32" s="1158">
        <f t="shared" si="9"/>
        <v>6326.5950924800018</v>
      </c>
      <c r="G32" s="1158">
        <f t="shared" si="9"/>
        <v>6579.6588961792022</v>
      </c>
      <c r="H32" s="1158">
        <f t="shared" si="9"/>
        <v>6842.8452520263709</v>
      </c>
      <c r="I32" s="1158">
        <f t="shared" si="9"/>
        <v>7116.5590621074261</v>
      </c>
      <c r="J32" s="1158">
        <f t="shared" si="9"/>
        <v>7401.221424591723</v>
      </c>
      <c r="K32" s="1158">
        <f t="shared" si="9"/>
        <v>7697.2702815753928</v>
      </c>
      <c r="L32" s="1158">
        <f t="shared" si="9"/>
        <v>8005.1610928384089</v>
      </c>
      <c r="M32" s="1158">
        <f t="shared" si="9"/>
        <v>8325.3675365519448</v>
      </c>
      <c r="N32" s="1158">
        <f t="shared" si="9"/>
        <v>8658.3822380140227</v>
      </c>
      <c r="O32" s="1158">
        <f t="shared" si="9"/>
        <v>9004.7175275345835</v>
      </c>
      <c r="P32" s="1158">
        <f t="shared" si="9"/>
        <v>9364.9062286359676</v>
      </c>
      <c r="Q32" s="1158">
        <f t="shared" si="9"/>
        <v>9739.5024777814069</v>
      </c>
      <c r="R32" s="1158">
        <f t="shared" si="9"/>
        <v>10129.082576892662</v>
      </c>
      <c r="S32" s="1158">
        <f t="shared" si="9"/>
        <v>10534.24587996837</v>
      </c>
      <c r="T32" s="1158">
        <f t="shared" si="9"/>
        <v>10955.615715167103</v>
      </c>
      <c r="U32" s="1158">
        <f t="shared" si="9"/>
        <v>11393.840343773789</v>
      </c>
      <c r="V32" s="1158">
        <f t="shared" si="9"/>
        <v>11849.593957524739</v>
      </c>
    </row>
    <row r="33" spans="2:22" s="19" customFormat="1">
      <c r="C33" s="1157" t="str">
        <f>C28</f>
        <v>Ресторан МФЦ</v>
      </c>
      <c r="D33" s="1158">
        <f t="shared" ref="D33:V33" si="10">D$25*$H15</f>
        <v>40945.049600000006</v>
      </c>
      <c r="E33" s="1158">
        <f t="shared" si="10"/>
        <v>42582.851584000011</v>
      </c>
      <c r="F33" s="1158">
        <f t="shared" si="10"/>
        <v>44286.165647360016</v>
      </c>
      <c r="G33" s="1158">
        <f t="shared" si="10"/>
        <v>46057.612273254417</v>
      </c>
      <c r="H33" s="1158">
        <f t="shared" si="10"/>
        <v>47899.916764184592</v>
      </c>
      <c r="I33" s="1158">
        <f t="shared" si="10"/>
        <v>49815.913434751979</v>
      </c>
      <c r="J33" s="1158">
        <f t="shared" si="10"/>
        <v>51808.549972142064</v>
      </c>
      <c r="K33" s="1158">
        <f t="shared" si="10"/>
        <v>53880.891971027748</v>
      </c>
      <c r="L33" s="1158">
        <f t="shared" si="10"/>
        <v>56036.12764986886</v>
      </c>
      <c r="M33" s="1158">
        <f t="shared" si="10"/>
        <v>58277.572755863614</v>
      </c>
      <c r="N33" s="1158">
        <f t="shared" si="10"/>
        <v>60608.675666098163</v>
      </c>
      <c r="O33" s="1158">
        <f t="shared" si="10"/>
        <v>63033.022692742088</v>
      </c>
      <c r="P33" s="1158">
        <f t="shared" si="10"/>
        <v>65554.343600451772</v>
      </c>
      <c r="Q33" s="1158">
        <f t="shared" si="10"/>
        <v>68176.517344469845</v>
      </c>
      <c r="R33" s="1158">
        <f t="shared" si="10"/>
        <v>70903.578038248641</v>
      </c>
      <c r="S33" s="1158">
        <f t="shared" si="10"/>
        <v>73739.721159778579</v>
      </c>
      <c r="T33" s="1158">
        <f t="shared" si="10"/>
        <v>76689.310006169733</v>
      </c>
      <c r="U33" s="1158">
        <f t="shared" si="10"/>
        <v>79756.882406416524</v>
      </c>
      <c r="V33" s="1158">
        <f t="shared" si="10"/>
        <v>82947.157702673183</v>
      </c>
    </row>
    <row r="34" spans="2:22" s="19" customFormat="1">
      <c r="C34" s="1157" t="str">
        <f>C29</f>
        <v>Торговая зона тур.резиденций</v>
      </c>
      <c r="D34" s="1158">
        <f t="shared" ref="D34:V34" si="11">D$25*$H16</f>
        <v>14038.302720000003</v>
      </c>
      <c r="E34" s="1158">
        <f t="shared" si="11"/>
        <v>14599.834828800003</v>
      </c>
      <c r="F34" s="1158">
        <f t="shared" si="11"/>
        <v>15183.828221952004</v>
      </c>
      <c r="G34" s="1158">
        <f t="shared" si="11"/>
        <v>15791.181350830086</v>
      </c>
      <c r="H34" s="1158">
        <f t="shared" si="11"/>
        <v>16422.828604863291</v>
      </c>
      <c r="I34" s="1158">
        <f t="shared" si="11"/>
        <v>17079.741749057823</v>
      </c>
      <c r="J34" s="1158">
        <f t="shared" si="11"/>
        <v>17762.931419020137</v>
      </c>
      <c r="K34" s="1158">
        <f t="shared" si="11"/>
        <v>18473.448675780943</v>
      </c>
      <c r="L34" s="1158">
        <f t="shared" si="11"/>
        <v>19212.386622812181</v>
      </c>
      <c r="M34" s="1158">
        <f t="shared" si="11"/>
        <v>19980.882087724669</v>
      </c>
      <c r="N34" s="1158">
        <f t="shared" si="11"/>
        <v>20780.117371233657</v>
      </c>
      <c r="O34" s="1158">
        <f t="shared" si="11"/>
        <v>21611.322066083001</v>
      </c>
      <c r="P34" s="1158">
        <f t="shared" si="11"/>
        <v>22475.774948726321</v>
      </c>
      <c r="Q34" s="1158">
        <f t="shared" si="11"/>
        <v>23374.805946675377</v>
      </c>
      <c r="R34" s="1158">
        <f t="shared" si="11"/>
        <v>24309.798184542389</v>
      </c>
      <c r="S34" s="1158">
        <f t="shared" si="11"/>
        <v>25282.190111924087</v>
      </c>
      <c r="T34" s="1158">
        <f t="shared" si="11"/>
        <v>26293.477716401048</v>
      </c>
      <c r="U34" s="1158">
        <f t="shared" si="11"/>
        <v>27345.216825057094</v>
      </c>
      <c r="V34" s="1158">
        <f t="shared" si="11"/>
        <v>28439.025498059375</v>
      </c>
    </row>
    <row r="35" spans="2:22" s="19" customFormat="1">
      <c r="C35" s="1157" t="str">
        <f>C30</f>
        <v>Лыжная школа</v>
      </c>
      <c r="D35" s="1158">
        <f t="shared" ref="D35:V35" si="12">D$25*$H17</f>
        <v>14623.232000000002</v>
      </c>
      <c r="E35" s="1158">
        <f t="shared" si="12"/>
        <v>15208.161280000004</v>
      </c>
      <c r="F35" s="1158">
        <f t="shared" si="12"/>
        <v>15816.487731200004</v>
      </c>
      <c r="G35" s="1158">
        <f t="shared" si="12"/>
        <v>16449.147240448005</v>
      </c>
      <c r="H35" s="1158">
        <f t="shared" si="12"/>
        <v>17107.113130065925</v>
      </c>
      <c r="I35" s="1158">
        <f t="shared" si="12"/>
        <v>17791.397655268564</v>
      </c>
      <c r="J35" s="1158">
        <f t="shared" si="12"/>
        <v>18503.053561479308</v>
      </c>
      <c r="K35" s="1158">
        <f t="shared" si="12"/>
        <v>19243.175703938479</v>
      </c>
      <c r="L35" s="1158">
        <f t="shared" si="12"/>
        <v>20012.902732096023</v>
      </c>
      <c r="M35" s="1158">
        <f t="shared" si="12"/>
        <v>20813.418841379862</v>
      </c>
      <c r="N35" s="1158">
        <f t="shared" si="12"/>
        <v>21645.955595035059</v>
      </c>
      <c r="O35" s="1158">
        <f t="shared" si="12"/>
        <v>22511.793818836461</v>
      </c>
      <c r="P35" s="1158">
        <f t="shared" si="12"/>
        <v>23412.26557158992</v>
      </c>
      <c r="Q35" s="1158">
        <f t="shared" si="12"/>
        <v>24348.756194453515</v>
      </c>
      <c r="R35" s="1158">
        <f t="shared" si="12"/>
        <v>25322.706442231658</v>
      </c>
      <c r="S35" s="1158">
        <f t="shared" si="12"/>
        <v>26335.614699920923</v>
      </c>
      <c r="T35" s="1158">
        <f t="shared" si="12"/>
        <v>27389.03928791776</v>
      </c>
      <c r="U35" s="1158">
        <f t="shared" si="12"/>
        <v>28484.600859434471</v>
      </c>
      <c r="V35" s="1158">
        <f t="shared" si="12"/>
        <v>29623.984893811848</v>
      </c>
    </row>
    <row r="36" spans="2:22" s="19" customFormat="1">
      <c r="C36" s="1159" t="s">
        <v>872</v>
      </c>
      <c r="D36" s="1473"/>
      <c r="E36" s="1473"/>
      <c r="F36" s="1473"/>
      <c r="G36" s="1473"/>
      <c r="H36" s="1473"/>
      <c r="I36" s="1473"/>
      <c r="J36" s="1473"/>
      <c r="K36" s="1473"/>
      <c r="L36" s="1473"/>
      <c r="M36" s="1473"/>
      <c r="N36" s="1473"/>
      <c r="O36" s="1473"/>
      <c r="P36" s="1473"/>
      <c r="Q36" s="1473"/>
      <c r="R36" s="1473"/>
      <c r="S36" s="1473"/>
      <c r="T36" s="1473"/>
      <c r="U36" s="1473"/>
      <c r="V36" s="1473"/>
    </row>
    <row r="37" spans="2:22">
      <c r="C37" s="1157" t="s">
        <v>869</v>
      </c>
      <c r="D37" s="1472">
        <f>Календарь!I38</f>
        <v>137</v>
      </c>
      <c r="E37" s="1204">
        <f>Календарь!$G$38</f>
        <v>213</v>
      </c>
      <c r="F37" s="1158">
        <f t="shared" ref="F37:V37" si="13">E37</f>
        <v>213</v>
      </c>
      <c r="G37" s="1158">
        <f t="shared" si="13"/>
        <v>213</v>
      </c>
      <c r="H37" s="1158">
        <f t="shared" si="13"/>
        <v>213</v>
      </c>
      <c r="I37" s="1158">
        <f t="shared" si="13"/>
        <v>213</v>
      </c>
      <c r="J37" s="1158">
        <f t="shared" si="13"/>
        <v>213</v>
      </c>
      <c r="K37" s="1158">
        <f t="shared" si="13"/>
        <v>213</v>
      </c>
      <c r="L37" s="1158">
        <f t="shared" si="13"/>
        <v>213</v>
      </c>
      <c r="M37" s="1158">
        <f t="shared" si="13"/>
        <v>213</v>
      </c>
      <c r="N37" s="1158">
        <f t="shared" si="13"/>
        <v>213</v>
      </c>
      <c r="O37" s="1158">
        <f t="shared" si="13"/>
        <v>213</v>
      </c>
      <c r="P37" s="1158">
        <f t="shared" si="13"/>
        <v>213</v>
      </c>
      <c r="Q37" s="1158">
        <f t="shared" si="13"/>
        <v>213</v>
      </c>
      <c r="R37" s="1158">
        <f t="shared" si="13"/>
        <v>213</v>
      </c>
      <c r="S37" s="1158">
        <f t="shared" si="13"/>
        <v>213</v>
      </c>
      <c r="T37" s="1158">
        <f t="shared" si="13"/>
        <v>213</v>
      </c>
      <c r="U37" s="1158">
        <f t="shared" si="13"/>
        <v>213</v>
      </c>
      <c r="V37" s="1158">
        <f t="shared" si="13"/>
        <v>213</v>
      </c>
    </row>
    <row r="38" spans="2:22">
      <c r="C38" s="1157" t="s">
        <v>870</v>
      </c>
      <c r="D38" s="1472">
        <f>Календарь!I39</f>
        <v>47</v>
      </c>
      <c r="E38" s="1204">
        <f>Календарь!$G$39</f>
        <v>152</v>
      </c>
      <c r="F38" s="1158">
        <f t="shared" ref="F38:V38" si="14">E38</f>
        <v>152</v>
      </c>
      <c r="G38" s="1158">
        <f t="shared" si="14"/>
        <v>152</v>
      </c>
      <c r="H38" s="1158">
        <f t="shared" si="14"/>
        <v>152</v>
      </c>
      <c r="I38" s="1158">
        <f t="shared" si="14"/>
        <v>152</v>
      </c>
      <c r="J38" s="1158">
        <f t="shared" si="14"/>
        <v>152</v>
      </c>
      <c r="K38" s="1158">
        <f t="shared" si="14"/>
        <v>152</v>
      </c>
      <c r="L38" s="1158">
        <f t="shared" si="14"/>
        <v>152</v>
      </c>
      <c r="M38" s="1158">
        <f t="shared" si="14"/>
        <v>152</v>
      </c>
      <c r="N38" s="1158">
        <f t="shared" si="14"/>
        <v>152</v>
      </c>
      <c r="O38" s="1158">
        <f t="shared" si="14"/>
        <v>152</v>
      </c>
      <c r="P38" s="1158">
        <f t="shared" si="14"/>
        <v>152</v>
      </c>
      <c r="Q38" s="1158">
        <f t="shared" si="14"/>
        <v>152</v>
      </c>
      <c r="R38" s="1158">
        <f t="shared" si="14"/>
        <v>152</v>
      </c>
      <c r="S38" s="1158">
        <f t="shared" si="14"/>
        <v>152</v>
      </c>
      <c r="T38" s="1158">
        <f t="shared" si="14"/>
        <v>152</v>
      </c>
      <c r="U38" s="1158">
        <f t="shared" si="14"/>
        <v>152</v>
      </c>
      <c r="V38" s="1158">
        <f t="shared" si="14"/>
        <v>152</v>
      </c>
    </row>
    <row r="39" spans="2:22" s="19" customFormat="1">
      <c r="B39" s="1208" t="s">
        <v>876</v>
      </c>
      <c r="C39" s="1213" t="s">
        <v>873</v>
      </c>
      <c r="D39" s="1160"/>
      <c r="E39" s="1160"/>
      <c r="F39" s="1160"/>
      <c r="G39" s="1160"/>
      <c r="H39" s="1160"/>
      <c r="I39" s="1160"/>
      <c r="J39" s="1160"/>
      <c r="K39" s="1160"/>
      <c r="L39" s="1160"/>
      <c r="M39" s="1160"/>
      <c r="N39" s="1160"/>
      <c r="O39" s="1160"/>
      <c r="P39" s="1160"/>
      <c r="Q39" s="1160"/>
      <c r="R39" s="1160"/>
      <c r="S39" s="1160"/>
      <c r="T39" s="1160"/>
      <c r="U39" s="1160"/>
      <c r="V39" s="1160"/>
    </row>
    <row r="40" spans="2:22">
      <c r="B40" s="1207">
        <f>D14</f>
        <v>45839</v>
      </c>
      <c r="C40" s="1215" t="str">
        <f>C32</f>
        <v>Торговая зона МФЦ</v>
      </c>
      <c r="D40" s="1216">
        <v>0.45</v>
      </c>
      <c r="E40" s="1216">
        <v>0.55000000000000004</v>
      </c>
      <c r="F40" s="1216">
        <v>0.65</v>
      </c>
      <c r="G40" s="1216">
        <v>0.85</v>
      </c>
      <c r="H40" s="1209">
        <f>G40</f>
        <v>0.85</v>
      </c>
      <c r="I40" s="1209">
        <f t="shared" ref="I40:V40" si="15">H40</f>
        <v>0.85</v>
      </c>
      <c r="J40" s="1209">
        <f t="shared" si="15"/>
        <v>0.85</v>
      </c>
      <c r="K40" s="1209">
        <f t="shared" si="15"/>
        <v>0.85</v>
      </c>
      <c r="L40" s="1209">
        <f t="shared" si="15"/>
        <v>0.85</v>
      </c>
      <c r="M40" s="1209">
        <f t="shared" si="15"/>
        <v>0.85</v>
      </c>
      <c r="N40" s="1209">
        <f t="shared" si="15"/>
        <v>0.85</v>
      </c>
      <c r="O40" s="1209">
        <f t="shared" si="15"/>
        <v>0.85</v>
      </c>
      <c r="P40" s="1209">
        <f t="shared" si="15"/>
        <v>0.85</v>
      </c>
      <c r="Q40" s="1209">
        <f t="shared" si="15"/>
        <v>0.85</v>
      </c>
      <c r="R40" s="1209">
        <f t="shared" si="15"/>
        <v>0.85</v>
      </c>
      <c r="S40" s="1209">
        <f t="shared" si="15"/>
        <v>0.85</v>
      </c>
      <c r="T40" s="1209">
        <f t="shared" si="15"/>
        <v>0.85</v>
      </c>
      <c r="U40" s="1209">
        <f t="shared" si="15"/>
        <v>0.85</v>
      </c>
      <c r="V40" s="1209">
        <f t="shared" si="15"/>
        <v>0.85</v>
      </c>
    </row>
    <row r="41" spans="2:22">
      <c r="B41" s="1207">
        <f>D15</f>
        <v>45839</v>
      </c>
      <c r="C41" s="1215" t="str">
        <f>C33</f>
        <v>Ресторан МФЦ</v>
      </c>
      <c r="D41" s="1216">
        <v>1</v>
      </c>
      <c r="E41" s="1216">
        <v>1</v>
      </c>
      <c r="F41" s="1216">
        <v>1</v>
      </c>
      <c r="G41" s="1216">
        <v>1</v>
      </c>
      <c r="H41" s="1209">
        <f>G41</f>
        <v>1</v>
      </c>
      <c r="I41" s="1209">
        <f t="shared" ref="I41:V41" si="16">H41</f>
        <v>1</v>
      </c>
      <c r="J41" s="1209">
        <f t="shared" si="16"/>
        <v>1</v>
      </c>
      <c r="K41" s="1209">
        <f t="shared" si="16"/>
        <v>1</v>
      </c>
      <c r="L41" s="1209">
        <f t="shared" si="16"/>
        <v>1</v>
      </c>
      <c r="M41" s="1209">
        <f t="shared" si="16"/>
        <v>1</v>
      </c>
      <c r="N41" s="1209">
        <f t="shared" si="16"/>
        <v>1</v>
      </c>
      <c r="O41" s="1209">
        <f t="shared" si="16"/>
        <v>1</v>
      </c>
      <c r="P41" s="1209">
        <f t="shared" si="16"/>
        <v>1</v>
      </c>
      <c r="Q41" s="1209">
        <f t="shared" si="16"/>
        <v>1</v>
      </c>
      <c r="R41" s="1209">
        <f t="shared" si="16"/>
        <v>1</v>
      </c>
      <c r="S41" s="1209">
        <f t="shared" si="16"/>
        <v>1</v>
      </c>
      <c r="T41" s="1209">
        <f t="shared" si="16"/>
        <v>1</v>
      </c>
      <c r="U41" s="1209">
        <f t="shared" si="16"/>
        <v>1</v>
      </c>
      <c r="V41" s="1209">
        <f t="shared" si="16"/>
        <v>1</v>
      </c>
    </row>
    <row r="42" spans="2:22" s="19" customFormat="1">
      <c r="B42" s="1207">
        <f>D16</f>
        <v>45839</v>
      </c>
      <c r="C42" s="1215" t="str">
        <f>C34</f>
        <v>Торговая зона тур.резиденций</v>
      </c>
      <c r="D42" s="1216">
        <v>0.55000000000000004</v>
      </c>
      <c r="E42" s="1216">
        <v>0.65</v>
      </c>
      <c r="F42" s="1216">
        <v>0.75</v>
      </c>
      <c r="G42" s="1216">
        <v>0.85</v>
      </c>
      <c r="H42" s="1209">
        <f>G42</f>
        <v>0.85</v>
      </c>
      <c r="I42" s="1209">
        <f t="shared" ref="I42:V42" si="17">H42</f>
        <v>0.85</v>
      </c>
      <c r="J42" s="1209">
        <f t="shared" si="17"/>
        <v>0.85</v>
      </c>
      <c r="K42" s="1209">
        <f t="shared" si="17"/>
        <v>0.85</v>
      </c>
      <c r="L42" s="1209">
        <f t="shared" si="17"/>
        <v>0.85</v>
      </c>
      <c r="M42" s="1209">
        <f t="shared" si="17"/>
        <v>0.85</v>
      </c>
      <c r="N42" s="1209">
        <f t="shared" si="17"/>
        <v>0.85</v>
      </c>
      <c r="O42" s="1209">
        <f t="shared" si="17"/>
        <v>0.85</v>
      </c>
      <c r="P42" s="1209">
        <f t="shared" si="17"/>
        <v>0.85</v>
      </c>
      <c r="Q42" s="1209">
        <f t="shared" si="17"/>
        <v>0.85</v>
      </c>
      <c r="R42" s="1209">
        <f t="shared" si="17"/>
        <v>0.85</v>
      </c>
      <c r="S42" s="1209">
        <f t="shared" si="17"/>
        <v>0.85</v>
      </c>
      <c r="T42" s="1209">
        <f t="shared" si="17"/>
        <v>0.85</v>
      </c>
      <c r="U42" s="1209">
        <f t="shared" si="17"/>
        <v>0.85</v>
      </c>
      <c r="V42" s="1209">
        <f t="shared" si="17"/>
        <v>0.85</v>
      </c>
    </row>
    <row r="43" spans="2:22" s="19" customFormat="1">
      <c r="B43" s="1207">
        <f>D17</f>
        <v>45839</v>
      </c>
      <c r="C43" s="1215" t="str">
        <f>C35</f>
        <v>Лыжная школа</v>
      </c>
      <c r="D43" s="1216">
        <v>1</v>
      </c>
      <c r="E43" s="1216">
        <v>1</v>
      </c>
      <c r="F43" s="1216">
        <v>1</v>
      </c>
      <c r="G43" s="1216">
        <v>1</v>
      </c>
      <c r="H43" s="1209">
        <f>G43</f>
        <v>1</v>
      </c>
      <c r="I43" s="1209">
        <f t="shared" ref="I43:V43" si="18">H43</f>
        <v>1</v>
      </c>
      <c r="J43" s="1209">
        <f t="shared" si="18"/>
        <v>1</v>
      </c>
      <c r="K43" s="1209">
        <f t="shared" si="18"/>
        <v>1</v>
      </c>
      <c r="L43" s="1209">
        <f t="shared" si="18"/>
        <v>1</v>
      </c>
      <c r="M43" s="1209">
        <f t="shared" si="18"/>
        <v>1</v>
      </c>
      <c r="N43" s="1209">
        <f t="shared" si="18"/>
        <v>1</v>
      </c>
      <c r="O43" s="1209">
        <f t="shared" si="18"/>
        <v>1</v>
      </c>
      <c r="P43" s="1209">
        <f t="shared" si="18"/>
        <v>1</v>
      </c>
      <c r="Q43" s="1209">
        <f t="shared" si="18"/>
        <v>1</v>
      </c>
      <c r="R43" s="1209">
        <f t="shared" si="18"/>
        <v>1</v>
      </c>
      <c r="S43" s="1209">
        <f t="shared" si="18"/>
        <v>1</v>
      </c>
      <c r="T43" s="1209">
        <f t="shared" si="18"/>
        <v>1</v>
      </c>
      <c r="U43" s="1209">
        <f t="shared" si="18"/>
        <v>1</v>
      </c>
      <c r="V43" s="1209">
        <f t="shared" si="18"/>
        <v>1</v>
      </c>
    </row>
    <row r="44" spans="2:22" s="19" customFormat="1">
      <c r="B44" s="1208" t="s">
        <v>216</v>
      </c>
      <c r="C44" s="1214" t="s">
        <v>874</v>
      </c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160"/>
      <c r="P44" s="1160"/>
      <c r="Q44" s="1160"/>
      <c r="R44" s="1160"/>
      <c r="S44" s="1160"/>
      <c r="T44" s="1160"/>
      <c r="U44" s="1160"/>
      <c r="V44" s="1160"/>
    </row>
    <row r="45" spans="2:22">
      <c r="B45" s="1210">
        <f>E14</f>
        <v>3200</v>
      </c>
      <c r="C45" s="1157" t="str">
        <f>C40</f>
        <v>Торговая зона МФЦ</v>
      </c>
      <c r="D45" s="1776">
        <f t="shared" ref="D45:V45" si="19">$B45*(D$37/365*D27+D$38/365*D32)*D40</f>
        <v>4246105.8090082202</v>
      </c>
      <c r="E45" s="1776">
        <f t="shared" si="19"/>
        <v>10706545.541120004</v>
      </c>
      <c r="F45" s="1776">
        <f t="shared" si="19"/>
        <v>13159317.792358406</v>
      </c>
      <c r="G45" s="1776">
        <f t="shared" si="19"/>
        <v>17896672.197607432</v>
      </c>
      <c r="H45" s="1776">
        <f t="shared" si="19"/>
        <v>18612539.085511729</v>
      </c>
      <c r="I45" s="1776">
        <f t="shared" si="19"/>
        <v>19357040.6489322</v>
      </c>
      <c r="J45" s="1776">
        <f t="shared" si="19"/>
        <v>20131322.274889488</v>
      </c>
      <c r="K45" s="1776">
        <f t="shared" si="19"/>
        <v>20936575.165885068</v>
      </c>
      <c r="L45" s="1776">
        <f t="shared" si="19"/>
        <v>21774038.17252047</v>
      </c>
      <c r="M45" s="1776">
        <f t="shared" si="19"/>
        <v>22644999.69942129</v>
      </c>
      <c r="N45" s="1158">
        <f t="shared" si="19"/>
        <v>23550799.687398139</v>
      </c>
      <c r="O45" s="1158">
        <f t="shared" si="19"/>
        <v>24492831.674894065</v>
      </c>
      <c r="P45" s="1158">
        <f t="shared" si="19"/>
        <v>25472544.941889837</v>
      </c>
      <c r="Q45" s="1158">
        <f t="shared" si="19"/>
        <v>26491446.739565428</v>
      </c>
      <c r="R45" s="1158">
        <f t="shared" si="19"/>
        <v>27551104.60914804</v>
      </c>
      <c r="S45" s="1158">
        <f t="shared" si="19"/>
        <v>28653148.793513965</v>
      </c>
      <c r="T45" s="1158">
        <f t="shared" si="19"/>
        <v>29799274.74525452</v>
      </c>
      <c r="U45" s="1158">
        <f t="shared" si="19"/>
        <v>30991245.735064711</v>
      </c>
      <c r="V45" s="1158">
        <f t="shared" si="19"/>
        <v>32230895.564467292</v>
      </c>
    </row>
    <row r="46" spans="2:22">
      <c r="B46" s="1210">
        <f>E15</f>
        <v>150</v>
      </c>
      <c r="C46" s="1157" t="str">
        <f>C41</f>
        <v>Ресторан МФЦ</v>
      </c>
      <c r="D46" s="1776">
        <f t="shared" ref="D46:V46" si="20">$B46*(D$37/365*D28+D$38/365*D33)*D41</f>
        <v>1186044.2743232879</v>
      </c>
      <c r="E46" s="1776">
        <f t="shared" si="20"/>
        <v>3298962.6780966586</v>
      </c>
      <c r="F46" s="1776">
        <f t="shared" si="20"/>
        <v>3430921.1852205251</v>
      </c>
      <c r="G46" s="1776">
        <f t="shared" si="20"/>
        <v>3568158.032629346</v>
      </c>
      <c r="H46" s="1776">
        <f t="shared" si="20"/>
        <v>3710884.3539345204</v>
      </c>
      <c r="I46" s="1776">
        <f t="shared" si="20"/>
        <v>3859319.7280919007</v>
      </c>
      <c r="J46" s="1776">
        <f t="shared" si="20"/>
        <v>4013692.5172155774</v>
      </c>
      <c r="K46" s="1776">
        <f t="shared" si="20"/>
        <v>4174240.2179042008</v>
      </c>
      <c r="L46" s="1776">
        <f t="shared" si="20"/>
        <v>4341209.8266203692</v>
      </c>
      <c r="M46" s="1776">
        <f t="shared" si="20"/>
        <v>4514858.2196851838</v>
      </c>
      <c r="N46" s="1158">
        <f t="shared" si="20"/>
        <v>4695452.5484725917</v>
      </c>
      <c r="O46" s="1158">
        <f t="shared" si="20"/>
        <v>4883270.650411495</v>
      </c>
      <c r="P46" s="1158">
        <f t="shared" si="20"/>
        <v>5078601.4764279546</v>
      </c>
      <c r="Q46" s="1158">
        <f t="shared" si="20"/>
        <v>5281745.535485073</v>
      </c>
      <c r="R46" s="1158">
        <f t="shared" si="20"/>
        <v>5493015.3569044759</v>
      </c>
      <c r="S46" s="1158">
        <f t="shared" si="20"/>
        <v>5712735.9711806541</v>
      </c>
      <c r="T46" s="1158">
        <f t="shared" si="20"/>
        <v>5941245.4100278812</v>
      </c>
      <c r="U46" s="1158">
        <f t="shared" si="20"/>
        <v>6178895.2264289958</v>
      </c>
      <c r="V46" s="1158">
        <f t="shared" si="20"/>
        <v>6426051.0354861571</v>
      </c>
    </row>
    <row r="47" spans="2:22">
      <c r="B47" s="1210">
        <f>E16</f>
        <v>2720</v>
      </c>
      <c r="C47" s="1157" t="str">
        <f>C42</f>
        <v>Торговая зона тур.резиденций</v>
      </c>
      <c r="D47" s="1776">
        <f t="shared" ref="D47:V47" si="21">$B47*(D$37/365*D29+D$38/365*D34)*D42</f>
        <v>6645617.1243379749</v>
      </c>
      <c r="E47" s="1776">
        <f t="shared" si="21"/>
        <v>18280913.183936462</v>
      </c>
      <c r="F47" s="1776">
        <f t="shared" si="21"/>
        <v>21937095.820723753</v>
      </c>
      <c r="G47" s="1776">
        <f t="shared" si="21"/>
        <v>25856523.60735973</v>
      </c>
      <c r="H47" s="1776">
        <f t="shared" si="21"/>
        <v>26890784.551654126</v>
      </c>
      <c r="I47" s="1776">
        <f t="shared" si="21"/>
        <v>27966415.933720287</v>
      </c>
      <c r="J47" s="1776">
        <f t="shared" si="21"/>
        <v>29085072.571069106</v>
      </c>
      <c r="K47" s="1776">
        <f t="shared" si="21"/>
        <v>30248475.47391187</v>
      </c>
      <c r="L47" s="1776">
        <f t="shared" si="21"/>
        <v>31458414.492868345</v>
      </c>
      <c r="M47" s="1776">
        <f t="shared" si="21"/>
        <v>32716751.072583076</v>
      </c>
      <c r="N47" s="1158">
        <f t="shared" si="21"/>
        <v>34025421.115486398</v>
      </c>
      <c r="O47" s="1158">
        <f t="shared" si="21"/>
        <v>35386437.960105859</v>
      </c>
      <c r="P47" s="1158">
        <f t="shared" si="21"/>
        <v>36801895.478510089</v>
      </c>
      <c r="Q47" s="1158">
        <f t="shared" si="21"/>
        <v>38273971.297650501</v>
      </c>
      <c r="R47" s="1158">
        <f t="shared" si="21"/>
        <v>39804930.149556518</v>
      </c>
      <c r="S47" s="1158">
        <f t="shared" si="21"/>
        <v>41397127.355538785</v>
      </c>
      <c r="T47" s="1158">
        <f t="shared" si="21"/>
        <v>43053012.449760325</v>
      </c>
      <c r="U47" s="1158">
        <f t="shared" si="21"/>
        <v>44775132.94775074</v>
      </c>
      <c r="V47" s="1158">
        <f t="shared" si="21"/>
        <v>46566138.265660778</v>
      </c>
    </row>
    <row r="48" spans="2:22">
      <c r="B48" s="1210">
        <f>E17</f>
        <v>200</v>
      </c>
      <c r="C48" s="1157" t="str">
        <f>C43</f>
        <v>Лыжная школа</v>
      </c>
      <c r="D48" s="1776">
        <f t="shared" ref="D48:V48" si="22">$B48*(D$37/365*D30+D$38/365*D35)*D43</f>
        <v>815695.90005479462</v>
      </c>
      <c r="E48" s="1776">
        <f t="shared" si="22"/>
        <v>1976644.3044471238</v>
      </c>
      <c r="F48" s="1776">
        <f t="shared" si="22"/>
        <v>2055710.0766250088</v>
      </c>
      <c r="G48" s="1776">
        <f t="shared" si="22"/>
        <v>2137938.4796900093</v>
      </c>
      <c r="H48" s="1776">
        <f t="shared" si="22"/>
        <v>2223456.0188776101</v>
      </c>
      <c r="I48" s="1776">
        <f t="shared" si="22"/>
        <v>2312394.2596327141</v>
      </c>
      <c r="J48" s="1776">
        <f t="shared" si="22"/>
        <v>2404890.0300180232</v>
      </c>
      <c r="K48" s="1776">
        <f t="shared" si="22"/>
        <v>2501085.631218744</v>
      </c>
      <c r="L48" s="1776">
        <f t="shared" si="22"/>
        <v>2601129.056467494</v>
      </c>
      <c r="M48" s="1776">
        <f t="shared" si="22"/>
        <v>2705174.218726194</v>
      </c>
      <c r="N48" s="1158">
        <f t="shared" si="22"/>
        <v>2813381.1874752413</v>
      </c>
      <c r="O48" s="1158">
        <f t="shared" si="22"/>
        <v>2925916.4349742513</v>
      </c>
      <c r="P48" s="1158">
        <f t="shared" si="22"/>
        <v>3042953.0923732216</v>
      </c>
      <c r="Q48" s="1158">
        <f t="shared" si="22"/>
        <v>3164671.21606815</v>
      </c>
      <c r="R48" s="1158">
        <f t="shared" si="22"/>
        <v>3291258.0647108764</v>
      </c>
      <c r="S48" s="1158">
        <f t="shared" si="22"/>
        <v>3422908.3872993113</v>
      </c>
      <c r="T48" s="1158">
        <f t="shared" si="22"/>
        <v>3559824.7227912843</v>
      </c>
      <c r="U48" s="1158">
        <f t="shared" si="22"/>
        <v>3702217.7117029349</v>
      </c>
      <c r="V48" s="1158">
        <f t="shared" si="22"/>
        <v>3850306.4201710527</v>
      </c>
    </row>
    <row r="49" spans="3:22">
      <c r="C49" s="1205" t="s">
        <v>875</v>
      </c>
      <c r="D49" s="1334">
        <f t="shared" ref="D49:V49" si="23">SUM(D45:D48)</f>
        <v>12893463.107724277</v>
      </c>
      <c r="E49" s="1206">
        <f t="shared" si="23"/>
        <v>34263065.707600251</v>
      </c>
      <c r="F49" s="1334">
        <f t="shared" si="23"/>
        <v>40583044.874927692</v>
      </c>
      <c r="G49" s="1206">
        <f t="shared" si="23"/>
        <v>49459292.317286514</v>
      </c>
      <c r="H49" s="1206">
        <f t="shared" si="23"/>
        <v>51437664.009977981</v>
      </c>
      <c r="I49" s="1206">
        <f t="shared" si="23"/>
        <v>53495170.570377104</v>
      </c>
      <c r="J49" s="1206">
        <f t="shared" si="23"/>
        <v>55634977.393192194</v>
      </c>
      <c r="K49" s="1206">
        <f t="shared" si="23"/>
        <v>57860376.488919884</v>
      </c>
      <c r="L49" s="1206">
        <f t="shared" si="23"/>
        <v>60174791.548476681</v>
      </c>
      <c r="M49" s="1206">
        <f t="shared" si="23"/>
        <v>62581783.210415743</v>
      </c>
      <c r="N49" s="1206">
        <f t="shared" si="23"/>
        <v>65085054.538832374</v>
      </c>
      <c r="O49" s="1206">
        <f t="shared" si="23"/>
        <v>67688456.720385671</v>
      </c>
      <c r="P49" s="1206">
        <f t="shared" si="23"/>
        <v>70395994.989201099</v>
      </c>
      <c r="Q49" s="1206">
        <f t="shared" si="23"/>
        <v>73211834.788769156</v>
      </c>
      <c r="R49" s="1206">
        <f t="shared" si="23"/>
        <v>76140308.180319905</v>
      </c>
      <c r="S49" s="1206">
        <f t="shared" si="23"/>
        <v>79185920.507532716</v>
      </c>
      <c r="T49" s="1206">
        <f t="shared" si="23"/>
        <v>82353357.32783401</v>
      </c>
      <c r="U49" s="1206">
        <f t="shared" si="23"/>
        <v>85647491.620947376</v>
      </c>
      <c r="V49" s="1206">
        <f t="shared" si="23"/>
        <v>89073391.285785288</v>
      </c>
    </row>
    <row r="50" spans="3:22">
      <c r="D50" s="21"/>
      <c r="E50" s="21"/>
      <c r="F50" s="21"/>
      <c r="G50" s="21"/>
      <c r="H50" s="21"/>
      <c r="I50" s="21"/>
      <c r="J50" s="21"/>
      <c r="K50" s="21"/>
      <c r="L50" s="21"/>
      <c r="M50" s="21"/>
    </row>
  </sheetData>
  <conditionalFormatting sqref="C2">
    <cfRule type="cellIs" dxfId="203" priority="105" operator="equal">
      <formula>0</formula>
    </cfRule>
  </conditionalFormatting>
  <conditionalFormatting sqref="C12">
    <cfRule type="cellIs" dxfId="202" priority="104" operator="equal">
      <formula>0</formula>
    </cfRule>
  </conditionalFormatting>
  <conditionalFormatting sqref="F16:F17 E6:E9">
    <cfRule type="expression" dxfId="201" priority="102" stopIfTrue="1">
      <formula>$A$1=1</formula>
    </cfRule>
  </conditionalFormatting>
  <conditionalFormatting sqref="F16:F17 E6:E9">
    <cfRule type="expression" dxfId="200" priority="103" stopIfTrue="1">
      <formula>$A$1=1</formula>
    </cfRule>
  </conditionalFormatting>
  <conditionalFormatting sqref="D22">
    <cfRule type="expression" dxfId="199" priority="74" stopIfTrue="1">
      <formula>$A$1=1</formula>
    </cfRule>
  </conditionalFormatting>
  <conditionalFormatting sqref="D22">
    <cfRule type="expression" dxfId="198" priority="75" stopIfTrue="1">
      <formula>$A$1=1</formula>
    </cfRule>
  </conditionalFormatting>
  <conditionalFormatting sqref="F15">
    <cfRule type="expression" dxfId="197" priority="84" stopIfTrue="1">
      <formula>$A$1=1</formula>
    </cfRule>
  </conditionalFormatting>
  <conditionalFormatting sqref="F15">
    <cfRule type="expression" dxfId="196" priority="85" stopIfTrue="1">
      <formula>$A$1=1</formula>
    </cfRule>
  </conditionalFormatting>
  <conditionalFormatting sqref="F14">
    <cfRule type="expression" dxfId="195" priority="80" stopIfTrue="1">
      <formula>$A$1=1</formula>
    </cfRule>
  </conditionalFormatting>
  <conditionalFormatting sqref="F14">
    <cfRule type="expression" dxfId="194" priority="81" stopIfTrue="1">
      <formula>$A$1=1</formula>
    </cfRule>
  </conditionalFormatting>
  <conditionalFormatting sqref="H15">
    <cfRule type="expression" dxfId="193" priority="78" stopIfTrue="1">
      <formula>$A$1=1</formula>
    </cfRule>
  </conditionalFormatting>
  <conditionalFormatting sqref="H15">
    <cfRule type="expression" dxfId="192" priority="79" stopIfTrue="1">
      <formula>$A$1=1</formula>
    </cfRule>
  </conditionalFormatting>
  <conditionalFormatting sqref="H17">
    <cfRule type="expression" dxfId="191" priority="76" stopIfTrue="1">
      <formula>$A$1=1</formula>
    </cfRule>
  </conditionalFormatting>
  <conditionalFormatting sqref="H17">
    <cfRule type="expression" dxfId="190" priority="77" stopIfTrue="1">
      <formula>$A$1=1</formula>
    </cfRule>
  </conditionalFormatting>
  <conditionalFormatting sqref="D40">
    <cfRule type="expression" dxfId="189" priority="67" stopIfTrue="1">
      <formula>$A$1=1</formula>
    </cfRule>
  </conditionalFormatting>
  <conditionalFormatting sqref="D40">
    <cfRule type="expression" dxfId="188" priority="68" stopIfTrue="1">
      <formula>$A$1=1</formula>
    </cfRule>
  </conditionalFormatting>
  <conditionalFormatting sqref="E40">
    <cfRule type="expression" dxfId="187" priority="65" stopIfTrue="1">
      <formula>$A$1=1</formula>
    </cfRule>
  </conditionalFormatting>
  <conditionalFormatting sqref="E40">
    <cfRule type="expression" dxfId="186" priority="66" stopIfTrue="1">
      <formula>$A$1=1</formula>
    </cfRule>
  </conditionalFormatting>
  <conditionalFormatting sqref="F40">
    <cfRule type="expression" dxfId="185" priority="63" stopIfTrue="1">
      <formula>$A$1=1</formula>
    </cfRule>
  </conditionalFormatting>
  <conditionalFormatting sqref="F40">
    <cfRule type="expression" dxfId="184" priority="64" stopIfTrue="1">
      <formula>$A$1=1</formula>
    </cfRule>
  </conditionalFormatting>
  <conditionalFormatting sqref="G40">
    <cfRule type="expression" dxfId="183" priority="61" stopIfTrue="1">
      <formula>$A$1=1</formula>
    </cfRule>
  </conditionalFormatting>
  <conditionalFormatting sqref="G40">
    <cfRule type="expression" dxfId="182" priority="62" stopIfTrue="1">
      <formula>$A$1=1</formula>
    </cfRule>
  </conditionalFormatting>
  <conditionalFormatting sqref="G42">
    <cfRule type="expression" dxfId="181" priority="27" stopIfTrue="1">
      <formula>$A$1=1</formula>
    </cfRule>
  </conditionalFormatting>
  <conditionalFormatting sqref="G42">
    <cfRule type="expression" dxfId="180" priority="28" stopIfTrue="1">
      <formula>$A$1=1</formula>
    </cfRule>
  </conditionalFormatting>
  <conditionalFormatting sqref="D41">
    <cfRule type="expression" dxfId="179" priority="57" stopIfTrue="1">
      <formula>$A$1=1</formula>
    </cfRule>
  </conditionalFormatting>
  <conditionalFormatting sqref="D41">
    <cfRule type="expression" dxfId="178" priority="58" stopIfTrue="1">
      <formula>$A$1=1</formula>
    </cfRule>
  </conditionalFormatting>
  <conditionalFormatting sqref="E41">
    <cfRule type="expression" dxfId="177" priority="55" stopIfTrue="1">
      <formula>$A$1=1</formula>
    </cfRule>
  </conditionalFormatting>
  <conditionalFormatting sqref="E41">
    <cfRule type="expression" dxfId="176" priority="56" stopIfTrue="1">
      <formula>$A$1=1</formula>
    </cfRule>
  </conditionalFormatting>
  <conditionalFormatting sqref="F41">
    <cfRule type="expression" dxfId="175" priority="53" stopIfTrue="1">
      <formula>$A$1=1</formula>
    </cfRule>
  </conditionalFormatting>
  <conditionalFormatting sqref="F41">
    <cfRule type="expression" dxfId="174" priority="54" stopIfTrue="1">
      <formula>$A$1=1</formula>
    </cfRule>
  </conditionalFormatting>
  <conditionalFormatting sqref="G41">
    <cfRule type="expression" dxfId="173" priority="51" stopIfTrue="1">
      <formula>$A$1=1</formula>
    </cfRule>
  </conditionalFormatting>
  <conditionalFormatting sqref="G41">
    <cfRule type="expression" dxfId="172" priority="52" stopIfTrue="1">
      <formula>$A$1=1</formula>
    </cfRule>
  </conditionalFormatting>
  <conditionalFormatting sqref="D42">
    <cfRule type="expression" dxfId="171" priority="33" stopIfTrue="1">
      <formula>$A$1=1</formula>
    </cfRule>
  </conditionalFormatting>
  <conditionalFormatting sqref="D42">
    <cfRule type="expression" dxfId="170" priority="34" stopIfTrue="1">
      <formula>$A$1=1</formula>
    </cfRule>
  </conditionalFormatting>
  <conditionalFormatting sqref="E42">
    <cfRule type="expression" dxfId="169" priority="31" stopIfTrue="1">
      <formula>$A$1=1</formula>
    </cfRule>
  </conditionalFormatting>
  <conditionalFormatting sqref="E42">
    <cfRule type="expression" dxfId="168" priority="32" stopIfTrue="1">
      <formula>$A$1=1</formula>
    </cfRule>
  </conditionalFormatting>
  <conditionalFormatting sqref="F42">
    <cfRule type="expression" dxfId="167" priority="29" stopIfTrue="1">
      <formula>$A$1=1</formula>
    </cfRule>
  </conditionalFormatting>
  <conditionalFormatting sqref="F42">
    <cfRule type="expression" dxfId="166" priority="30" stopIfTrue="1">
      <formula>$A$1=1</formula>
    </cfRule>
  </conditionalFormatting>
  <conditionalFormatting sqref="G43">
    <cfRule type="expression" dxfId="165" priority="17" stopIfTrue="1">
      <formula>$A$1=1</formula>
    </cfRule>
  </conditionalFormatting>
  <conditionalFormatting sqref="G43">
    <cfRule type="expression" dxfId="164" priority="18" stopIfTrue="1">
      <formula>$A$1=1</formula>
    </cfRule>
  </conditionalFormatting>
  <conditionalFormatting sqref="D43">
    <cfRule type="expression" dxfId="163" priority="23" stopIfTrue="1">
      <formula>$A$1=1</formula>
    </cfRule>
  </conditionalFormatting>
  <conditionalFormatting sqref="D43">
    <cfRule type="expression" dxfId="162" priority="24" stopIfTrue="1">
      <formula>$A$1=1</formula>
    </cfRule>
  </conditionalFormatting>
  <conditionalFormatting sqref="E43">
    <cfRule type="expression" dxfId="161" priority="21" stopIfTrue="1">
      <formula>$A$1=1</formula>
    </cfRule>
  </conditionalFormatting>
  <conditionalFormatting sqref="E43">
    <cfRule type="expression" dxfId="160" priority="22" stopIfTrue="1">
      <formula>$A$1=1</formula>
    </cfRule>
  </conditionalFormatting>
  <conditionalFormatting sqref="F43">
    <cfRule type="expression" dxfId="159" priority="19" stopIfTrue="1">
      <formula>$A$1=1</formula>
    </cfRule>
  </conditionalFormatting>
  <conditionalFormatting sqref="F43">
    <cfRule type="expression" dxfId="158" priority="20" stopIfTrue="1">
      <formula>$A$1=1</formula>
    </cfRule>
  </conditionalFormatting>
  <conditionalFormatting sqref="H16">
    <cfRule type="expression" dxfId="157" priority="15" stopIfTrue="1">
      <formula>$A$1=1</formula>
    </cfRule>
  </conditionalFormatting>
  <conditionalFormatting sqref="H16">
    <cfRule type="expression" dxfId="156" priority="16" stopIfTrue="1">
      <formula>$A$1=1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showGridLines="0" topLeftCell="A10" zoomScale="85" zoomScaleNormal="85" workbookViewId="0">
      <selection activeCell="C33" sqref="C33:I43"/>
    </sheetView>
  </sheetViews>
  <sheetFormatPr defaultColWidth="8.7109375" defaultRowHeight="15"/>
  <cols>
    <col min="1" max="1" width="8.85546875" style="19" customWidth="1"/>
    <col min="2" max="2" width="7.5703125" style="19" customWidth="1"/>
    <col min="3" max="3" width="37.85546875" style="19" customWidth="1"/>
    <col min="4" max="12" width="9.85546875" style="19" bestFit="1" customWidth="1"/>
    <col min="13" max="13" width="12.85546875" style="19" customWidth="1"/>
    <col min="14" max="14" width="11.28515625" style="19" bestFit="1" customWidth="1"/>
    <col min="15" max="20" width="11.28515625" style="19" customWidth="1"/>
    <col min="21" max="16384" width="8.7109375" style="19"/>
  </cols>
  <sheetData>
    <row r="1" spans="1:20" ht="14.25" customHeight="1" thickBot="1">
      <c r="A1" s="14">
        <v>0</v>
      </c>
    </row>
    <row r="2" spans="1:20">
      <c r="C2" s="1143" t="s">
        <v>930</v>
      </c>
    </row>
    <row r="4" spans="1:20">
      <c r="C4" s="1335" t="s">
        <v>6</v>
      </c>
    </row>
    <row r="5" spans="1:20">
      <c r="C5" s="1336" t="s">
        <v>931</v>
      </c>
      <c r="D5" s="1336"/>
    </row>
    <row r="6" spans="1:20">
      <c r="C6" s="1337" t="s">
        <v>932</v>
      </c>
      <c r="D6" s="1357">
        <f>Объекты!E70</f>
        <v>37.037037037037038</v>
      </c>
    </row>
    <row r="8" spans="1:20">
      <c r="C8" s="1335" t="s">
        <v>933</v>
      </c>
    </row>
    <row r="9" spans="1:20">
      <c r="B9" s="1338"/>
      <c r="C9" s="1339"/>
      <c r="D9" s="11">
        <f>YEAR(D10)</f>
        <v>2025</v>
      </c>
      <c r="E9" s="11">
        <f>D9+1</f>
        <v>2026</v>
      </c>
      <c r="F9" s="11">
        <f t="shared" ref="F9:T9" si="0">E9+1</f>
        <v>2027</v>
      </c>
      <c r="G9" s="11">
        <f t="shared" si="0"/>
        <v>2028</v>
      </c>
      <c r="H9" s="11">
        <f t="shared" si="0"/>
        <v>2029</v>
      </c>
      <c r="I9" s="11">
        <f t="shared" si="0"/>
        <v>2030</v>
      </c>
      <c r="J9" s="11">
        <f t="shared" si="0"/>
        <v>2031</v>
      </c>
      <c r="K9" s="11">
        <f t="shared" si="0"/>
        <v>2032</v>
      </c>
      <c r="L9" s="11">
        <f t="shared" si="0"/>
        <v>2033</v>
      </c>
      <c r="M9" s="11">
        <f t="shared" si="0"/>
        <v>2034</v>
      </c>
      <c r="N9" s="11">
        <f t="shared" si="0"/>
        <v>2035</v>
      </c>
      <c r="O9" s="11">
        <f t="shared" si="0"/>
        <v>2036</v>
      </c>
      <c r="P9" s="11">
        <f t="shared" si="0"/>
        <v>2037</v>
      </c>
      <c r="Q9" s="11">
        <f t="shared" si="0"/>
        <v>2038</v>
      </c>
      <c r="R9" s="11">
        <f t="shared" si="0"/>
        <v>2039</v>
      </c>
      <c r="S9" s="11">
        <f t="shared" si="0"/>
        <v>2040</v>
      </c>
      <c r="T9" s="11">
        <f t="shared" si="0"/>
        <v>2041</v>
      </c>
    </row>
    <row r="10" spans="1:20">
      <c r="C10" s="1340" t="s">
        <v>1</v>
      </c>
      <c r="D10" s="1154">
        <f>Вводные!D9</f>
        <v>45839</v>
      </c>
      <c r="E10" s="147">
        <f>D11+1</f>
        <v>46023</v>
      </c>
      <c r="F10" s="147">
        <f t="shared" ref="F10:T10" si="1">E11+1</f>
        <v>46388</v>
      </c>
      <c r="G10" s="147">
        <f t="shared" si="1"/>
        <v>46753</v>
      </c>
      <c r="H10" s="147">
        <f t="shared" si="1"/>
        <v>47119</v>
      </c>
      <c r="I10" s="147">
        <f t="shared" si="1"/>
        <v>47484</v>
      </c>
      <c r="J10" s="147">
        <f t="shared" si="1"/>
        <v>47849</v>
      </c>
      <c r="K10" s="147">
        <f t="shared" si="1"/>
        <v>48214</v>
      </c>
      <c r="L10" s="147">
        <f t="shared" si="1"/>
        <v>48580</v>
      </c>
      <c r="M10" s="147">
        <f t="shared" si="1"/>
        <v>48945</v>
      </c>
      <c r="N10" s="147">
        <f t="shared" si="1"/>
        <v>49310</v>
      </c>
      <c r="O10" s="147">
        <f t="shared" si="1"/>
        <v>49675</v>
      </c>
      <c r="P10" s="147">
        <f t="shared" si="1"/>
        <v>50041</v>
      </c>
      <c r="Q10" s="147">
        <f t="shared" si="1"/>
        <v>50406</v>
      </c>
      <c r="R10" s="147">
        <f t="shared" si="1"/>
        <v>50771</v>
      </c>
      <c r="S10" s="147">
        <f t="shared" si="1"/>
        <v>51136</v>
      </c>
      <c r="T10" s="147">
        <f t="shared" si="1"/>
        <v>51502</v>
      </c>
    </row>
    <row r="11" spans="1:20">
      <c r="C11" s="1340" t="s">
        <v>2</v>
      </c>
      <c r="D11" s="513">
        <f>DATE(D9,12,31)</f>
        <v>46022</v>
      </c>
      <c r="E11" s="514">
        <f>DATE(E9,12,31)</f>
        <v>46387</v>
      </c>
      <c r="F11" s="514">
        <f t="shared" ref="F11:T11" si="2">DATE(F9,12,31)</f>
        <v>46752</v>
      </c>
      <c r="G11" s="514">
        <f t="shared" si="2"/>
        <v>47118</v>
      </c>
      <c r="H11" s="514">
        <f t="shared" si="2"/>
        <v>47483</v>
      </c>
      <c r="I11" s="514">
        <f t="shared" si="2"/>
        <v>47848</v>
      </c>
      <c r="J11" s="514">
        <f t="shared" si="2"/>
        <v>48213</v>
      </c>
      <c r="K11" s="514">
        <f t="shared" si="2"/>
        <v>48579</v>
      </c>
      <c r="L11" s="514">
        <f t="shared" si="2"/>
        <v>48944</v>
      </c>
      <c r="M11" s="514">
        <f t="shared" si="2"/>
        <v>49309</v>
      </c>
      <c r="N11" s="514">
        <f t="shared" si="2"/>
        <v>49674</v>
      </c>
      <c r="O11" s="514">
        <f t="shared" si="2"/>
        <v>50040</v>
      </c>
      <c r="P11" s="514">
        <f t="shared" si="2"/>
        <v>50405</v>
      </c>
      <c r="Q11" s="514">
        <f t="shared" si="2"/>
        <v>50770</v>
      </c>
      <c r="R11" s="514">
        <f t="shared" si="2"/>
        <v>51135</v>
      </c>
      <c r="S11" s="514">
        <f t="shared" si="2"/>
        <v>51501</v>
      </c>
      <c r="T11" s="514">
        <f t="shared" si="2"/>
        <v>51866</v>
      </c>
    </row>
    <row r="12" spans="1:20">
      <c r="C12" s="1340" t="s">
        <v>9</v>
      </c>
      <c r="D12" s="1341">
        <f t="shared" ref="D12:T12" si="3">D11-D10+1</f>
        <v>184</v>
      </c>
      <c r="E12" s="1341">
        <f t="shared" si="3"/>
        <v>365</v>
      </c>
      <c r="F12" s="1341">
        <f t="shared" si="3"/>
        <v>365</v>
      </c>
      <c r="G12" s="1341">
        <f t="shared" si="3"/>
        <v>366</v>
      </c>
      <c r="H12" s="1341">
        <f t="shared" si="3"/>
        <v>365</v>
      </c>
      <c r="I12" s="1341">
        <f t="shared" si="3"/>
        <v>365</v>
      </c>
      <c r="J12" s="1341">
        <f t="shared" si="3"/>
        <v>365</v>
      </c>
      <c r="K12" s="1341">
        <f t="shared" si="3"/>
        <v>366</v>
      </c>
      <c r="L12" s="1341">
        <f t="shared" si="3"/>
        <v>365</v>
      </c>
      <c r="M12" s="1341">
        <f t="shared" si="3"/>
        <v>365</v>
      </c>
      <c r="N12" s="1341">
        <f t="shared" si="3"/>
        <v>365</v>
      </c>
      <c r="O12" s="1341">
        <f t="shared" si="3"/>
        <v>366</v>
      </c>
      <c r="P12" s="1341">
        <f t="shared" si="3"/>
        <v>365</v>
      </c>
      <c r="Q12" s="1341">
        <f t="shared" si="3"/>
        <v>365</v>
      </c>
      <c r="R12" s="1341">
        <f t="shared" si="3"/>
        <v>365</v>
      </c>
      <c r="S12" s="1341">
        <f t="shared" si="3"/>
        <v>366</v>
      </c>
      <c r="T12" s="1341">
        <f t="shared" si="3"/>
        <v>365</v>
      </c>
    </row>
    <row r="13" spans="1:20">
      <c r="C13" s="1340" t="s">
        <v>5</v>
      </c>
      <c r="D13" s="1342">
        <f>LOOKUP(D10,CPI!15:15,CPI!24:24)</f>
        <v>1.1584439408862575</v>
      </c>
      <c r="E13" s="1342">
        <f>LOOKUP(E10,CPI!15:15,CPI!24:24)</f>
        <v>1.1813856519964705</v>
      </c>
      <c r="F13" s="1342">
        <f>LOOKUP(F10,CPI!15:15,CPI!24:24)</f>
        <v>1.2286410780763291</v>
      </c>
      <c r="G13" s="1342">
        <f>LOOKUP(G10,CPI!15:15,CPI!24:24)</f>
        <v>1.2777867211993821</v>
      </c>
      <c r="H13" s="1342">
        <f>LOOKUP(H10,CPI!15:15,CPI!24:24)</f>
        <v>1.3288981900473573</v>
      </c>
      <c r="I13" s="1342">
        <f>LOOKUP(I10,CPI!15:15,CPI!24:24)</f>
        <v>1.3820541176492513</v>
      </c>
      <c r="J13" s="1342">
        <f>LOOKUP(J10,CPI!15:15,CPI!24:24)</f>
        <v>1.4373362823552212</v>
      </c>
      <c r="K13" s="1342">
        <f>LOOKUP(K10,CPI!15:15,CPI!24:24)</f>
        <v>1.4948297336494298</v>
      </c>
      <c r="L13" s="1342">
        <f>LOOKUP(L10,CPI!15:15,CPI!24:24)</f>
        <v>1.5546229229954067</v>
      </c>
      <c r="M13" s="1342">
        <f>LOOKUP(M10,CPI!15:15,CPI!24:24)</f>
        <v>1.6168078399152228</v>
      </c>
      <c r="N13" s="1342">
        <f>LOOKUP(N10,CPI!15:15,CPI!24:24)</f>
        <v>1.6814801535118316</v>
      </c>
      <c r="O13" s="1342">
        <f>LOOKUP(O10,CPI!15:15,CPI!24:24)</f>
        <v>1.7487393596523046</v>
      </c>
      <c r="P13" s="1342">
        <f>LOOKUP(P10,CPI!15:15,CPI!24:24)</f>
        <v>1.8009435055069121</v>
      </c>
      <c r="Q13" s="1342">
        <f>LOOKUP(Q10,CPI!15:15,CPI!24:24)</f>
        <v>1.8009435055069121</v>
      </c>
      <c r="R13" s="1342">
        <f>LOOKUP(R10,CPI!15:15,CPI!24:24)</f>
        <v>1.8009435055069121</v>
      </c>
      <c r="S13" s="1342">
        <f>LOOKUP(S10,CPI!15:15,CPI!24:24)</f>
        <v>1.8009435055069121</v>
      </c>
      <c r="T13" s="1342">
        <f>LOOKUP(T10,CPI!15:15,CPI!24:24)</f>
        <v>1.8009435055069121</v>
      </c>
    </row>
    <row r="14" spans="1:20">
      <c r="C14" s="1340"/>
      <c r="D14" s="1342"/>
      <c r="E14" s="1343"/>
      <c r="F14" s="1343"/>
      <c r="G14" s="1343"/>
      <c r="H14" s="1343"/>
      <c r="I14" s="1343"/>
      <c r="J14" s="1343"/>
      <c r="K14" s="1343"/>
      <c r="L14" s="1343"/>
      <c r="M14" s="1343"/>
      <c r="N14" s="1343"/>
      <c r="O14" s="1343"/>
      <c r="P14" s="1343"/>
      <c r="Q14" s="1343"/>
      <c r="R14" s="1343"/>
      <c r="S14" s="1343"/>
      <c r="T14" s="1343"/>
    </row>
    <row r="15" spans="1:20">
      <c r="C15" s="1344" t="s">
        <v>934</v>
      </c>
      <c r="D15" s="1341">
        <f>$D$6*D12</f>
        <v>6814.8148148148148</v>
      </c>
      <c r="E15" s="1341">
        <f t="shared" ref="E15:T15" si="4">$D$6*E12</f>
        <v>13518.518518518518</v>
      </c>
      <c r="F15" s="1341">
        <f t="shared" si="4"/>
        <v>13518.518518518518</v>
      </c>
      <c r="G15" s="1341">
        <f t="shared" si="4"/>
        <v>13555.555555555557</v>
      </c>
      <c r="H15" s="1341">
        <f t="shared" si="4"/>
        <v>13518.518518518518</v>
      </c>
      <c r="I15" s="1341">
        <f t="shared" si="4"/>
        <v>13518.518518518518</v>
      </c>
      <c r="J15" s="1341">
        <f t="shared" si="4"/>
        <v>13518.518518518518</v>
      </c>
      <c r="K15" s="1341">
        <f t="shared" si="4"/>
        <v>13555.555555555557</v>
      </c>
      <c r="L15" s="1341">
        <f t="shared" si="4"/>
        <v>13518.518518518518</v>
      </c>
      <c r="M15" s="1341">
        <f t="shared" si="4"/>
        <v>13518.518518518518</v>
      </c>
      <c r="N15" s="1341">
        <f t="shared" si="4"/>
        <v>13518.518518518518</v>
      </c>
      <c r="O15" s="1341">
        <f t="shared" si="4"/>
        <v>13555.555555555557</v>
      </c>
      <c r="P15" s="1341">
        <f t="shared" si="4"/>
        <v>13518.518518518518</v>
      </c>
      <c r="Q15" s="1341">
        <f t="shared" si="4"/>
        <v>13518.518518518518</v>
      </c>
      <c r="R15" s="1341">
        <f t="shared" si="4"/>
        <v>13518.518518518518</v>
      </c>
      <c r="S15" s="1341">
        <f t="shared" si="4"/>
        <v>13555.555555555557</v>
      </c>
      <c r="T15" s="1341">
        <f t="shared" si="4"/>
        <v>13518.518518518518</v>
      </c>
    </row>
    <row r="16" spans="1:20">
      <c r="C16" s="1344" t="s">
        <v>950</v>
      </c>
      <c r="D16" s="1359">
        <f>Ресторан!F26</f>
        <v>134510.66078253693</v>
      </c>
      <c r="E16" s="1359">
        <f>Ресторан!G26</f>
        <v>491659.57747167652</v>
      </c>
      <c r="F16" s="1359">
        <f>Ресторан!H26</f>
        <v>513570.66045566474</v>
      </c>
      <c r="G16" s="1359">
        <f>Ресторан!I26</f>
        <v>544055.29177075124</v>
      </c>
      <c r="H16" s="1359">
        <f>Ресторан!J26</f>
        <v>571566.94334938587</v>
      </c>
      <c r="I16" s="1359">
        <f>Ресторан!K26</f>
        <v>579962.82893720968</v>
      </c>
      <c r="J16" s="1359">
        <f>Ресторан!L26</f>
        <v>579962.82893720968</v>
      </c>
      <c r="K16" s="1359">
        <f>Ресторан!M26</f>
        <v>581551.76819457195</v>
      </c>
      <c r="L16" s="1359">
        <f>Ресторан!N26</f>
        <v>579962.82893720968</v>
      </c>
      <c r="M16" s="1359">
        <f>Ресторан!O26</f>
        <v>579962.82893720968</v>
      </c>
      <c r="N16" s="1359">
        <f>Ресторан!P26</f>
        <v>579962.82893720968</v>
      </c>
      <c r="O16" s="1359">
        <f>Ресторан!Q26</f>
        <v>581551.76819457195</v>
      </c>
      <c r="P16" s="1359">
        <f>Ресторан!R26</f>
        <v>579962.82893720968</v>
      </c>
      <c r="Q16" s="1359">
        <f>Ресторан!S26</f>
        <v>579962.82893720968</v>
      </c>
      <c r="R16" s="1359">
        <f>Ресторан!T26</f>
        <v>579962.82893720968</v>
      </c>
      <c r="S16" s="1359">
        <f>Ресторан!U26</f>
        <v>581551.76819457195</v>
      </c>
      <c r="T16" s="1359">
        <f>Ресторан!V26</f>
        <v>579962.82893720968</v>
      </c>
    </row>
    <row r="17" spans="1:20">
      <c r="C17" s="1344" t="s">
        <v>951</v>
      </c>
      <c r="D17" s="1370">
        <v>3</v>
      </c>
      <c r="E17" s="1341"/>
      <c r="F17" s="1341"/>
      <c r="G17" s="1341"/>
      <c r="H17" s="1341"/>
      <c r="I17" s="1341"/>
      <c r="J17" s="1341"/>
      <c r="K17" s="1341"/>
      <c r="L17" s="1341"/>
      <c r="M17" s="1341"/>
      <c r="N17" s="1341"/>
      <c r="O17" s="1341"/>
      <c r="P17" s="1341"/>
      <c r="Q17" s="1341"/>
      <c r="R17" s="1341"/>
      <c r="S17" s="1341"/>
      <c r="T17" s="1341"/>
    </row>
    <row r="18" spans="1:20">
      <c r="B18" s="6"/>
      <c r="C18" s="1344" t="s">
        <v>935</v>
      </c>
      <c r="D18" s="1341">
        <f>D16*$D$17</f>
        <v>403531.98234761076</v>
      </c>
      <c r="E18" s="1341">
        <f t="shared" ref="E18:T18" si="5">E16*$D$17</f>
        <v>1474978.7324150295</v>
      </c>
      <c r="F18" s="1341">
        <f t="shared" si="5"/>
        <v>1540711.9813669943</v>
      </c>
      <c r="G18" s="1341">
        <f t="shared" si="5"/>
        <v>1632165.8753122538</v>
      </c>
      <c r="H18" s="1341">
        <f t="shared" si="5"/>
        <v>1714700.8300481576</v>
      </c>
      <c r="I18" s="1341">
        <f t="shared" si="5"/>
        <v>1739888.486811629</v>
      </c>
      <c r="J18" s="1341">
        <f t="shared" si="5"/>
        <v>1739888.486811629</v>
      </c>
      <c r="K18" s="1341">
        <f t="shared" si="5"/>
        <v>1744655.3045837157</v>
      </c>
      <c r="L18" s="1341">
        <f t="shared" si="5"/>
        <v>1739888.486811629</v>
      </c>
      <c r="M18" s="1341">
        <f t="shared" si="5"/>
        <v>1739888.486811629</v>
      </c>
      <c r="N18" s="1341">
        <f t="shared" si="5"/>
        <v>1739888.486811629</v>
      </c>
      <c r="O18" s="1341">
        <f t="shared" si="5"/>
        <v>1744655.3045837157</v>
      </c>
      <c r="P18" s="1341">
        <f t="shared" si="5"/>
        <v>1739888.486811629</v>
      </c>
      <c r="Q18" s="1341">
        <f t="shared" si="5"/>
        <v>1739888.486811629</v>
      </c>
      <c r="R18" s="1341">
        <f t="shared" si="5"/>
        <v>1739888.486811629</v>
      </c>
      <c r="S18" s="1341">
        <f t="shared" si="5"/>
        <v>1744655.3045837157</v>
      </c>
      <c r="T18" s="1341">
        <f t="shared" si="5"/>
        <v>1739888.486811629</v>
      </c>
    </row>
    <row r="19" spans="1:20">
      <c r="B19" s="1825">
        <v>1.4999999999999999E-2</v>
      </c>
      <c r="C19" s="1344" t="s">
        <v>952</v>
      </c>
      <c r="D19" s="1341">
        <f>$B19*D18</f>
        <v>6052.9797352141613</v>
      </c>
      <c r="E19" s="1341">
        <f t="shared" ref="E19:T19" si="6">$B19*E18</f>
        <v>22124.680986225441</v>
      </c>
      <c r="F19" s="1341">
        <f t="shared" si="6"/>
        <v>23110.679720504915</v>
      </c>
      <c r="G19" s="1341">
        <f t="shared" si="6"/>
        <v>24482.488129683807</v>
      </c>
      <c r="H19" s="1341">
        <f t="shared" si="6"/>
        <v>25720.512450722363</v>
      </c>
      <c r="I19" s="1341">
        <f t="shared" si="6"/>
        <v>26098.327302174435</v>
      </c>
      <c r="J19" s="1341">
        <f t="shared" si="6"/>
        <v>26098.327302174435</v>
      </c>
      <c r="K19" s="1341">
        <f t="shared" si="6"/>
        <v>26169.829568755737</v>
      </c>
      <c r="L19" s="1341">
        <f t="shared" si="6"/>
        <v>26098.327302174435</v>
      </c>
      <c r="M19" s="1341">
        <f t="shared" si="6"/>
        <v>26098.327302174435</v>
      </c>
      <c r="N19" s="1341">
        <f t="shared" si="6"/>
        <v>26098.327302174435</v>
      </c>
      <c r="O19" s="1341">
        <f t="shared" si="6"/>
        <v>26169.829568755737</v>
      </c>
      <c r="P19" s="1341">
        <f t="shared" si="6"/>
        <v>26098.327302174435</v>
      </c>
      <c r="Q19" s="1341">
        <f t="shared" si="6"/>
        <v>26098.327302174435</v>
      </c>
      <c r="R19" s="1341">
        <f t="shared" si="6"/>
        <v>26098.327302174435</v>
      </c>
      <c r="S19" s="1341">
        <f t="shared" si="6"/>
        <v>26169.829568755737</v>
      </c>
      <c r="T19" s="1341">
        <f t="shared" si="6"/>
        <v>26098.327302174435</v>
      </c>
    </row>
    <row r="20" spans="1:20">
      <c r="B20" s="1338"/>
      <c r="C20" s="1344" t="s">
        <v>953</v>
      </c>
      <c r="D20" s="1360">
        <v>0.1</v>
      </c>
      <c r="E20" s="1360">
        <v>0.11</v>
      </c>
      <c r="F20" s="1360">
        <v>0.2</v>
      </c>
      <c r="G20" s="1360">
        <v>0.25</v>
      </c>
      <c r="H20" s="1360">
        <v>0.3</v>
      </c>
      <c r="I20" s="1346">
        <f t="shared" ref="I20:T20" si="7">H20</f>
        <v>0.3</v>
      </c>
      <c r="J20" s="1346">
        <f t="shared" si="7"/>
        <v>0.3</v>
      </c>
      <c r="K20" s="1346">
        <f t="shared" si="7"/>
        <v>0.3</v>
      </c>
      <c r="L20" s="1346">
        <f t="shared" si="7"/>
        <v>0.3</v>
      </c>
      <c r="M20" s="1346">
        <f t="shared" si="7"/>
        <v>0.3</v>
      </c>
      <c r="N20" s="1346">
        <f t="shared" si="7"/>
        <v>0.3</v>
      </c>
      <c r="O20" s="1346">
        <f t="shared" si="7"/>
        <v>0.3</v>
      </c>
      <c r="P20" s="1346">
        <f t="shared" si="7"/>
        <v>0.3</v>
      </c>
      <c r="Q20" s="1346">
        <f t="shared" si="7"/>
        <v>0.3</v>
      </c>
      <c r="R20" s="1346">
        <f t="shared" si="7"/>
        <v>0.3</v>
      </c>
      <c r="S20" s="1346">
        <f t="shared" si="7"/>
        <v>0.3</v>
      </c>
      <c r="T20" s="1346">
        <f t="shared" si="7"/>
        <v>0.3</v>
      </c>
    </row>
    <row r="21" spans="1:20">
      <c r="B21" s="1338"/>
      <c r="C21" s="1344" t="s">
        <v>954</v>
      </c>
      <c r="D21" s="1341">
        <f>D19*D20</f>
        <v>605.29797352141611</v>
      </c>
      <c r="E21" s="1341">
        <f t="shared" ref="E21:T21" si="8">E19*E20</f>
        <v>2433.7149084847983</v>
      </c>
      <c r="F21" s="1341">
        <f t="shared" si="8"/>
        <v>4622.1359441009836</v>
      </c>
      <c r="G21" s="1341">
        <f t="shared" si="8"/>
        <v>6120.6220324209517</v>
      </c>
      <c r="H21" s="1341">
        <f t="shared" si="8"/>
        <v>7716.1537352167088</v>
      </c>
      <c r="I21" s="1341">
        <f t="shared" si="8"/>
        <v>7829.4981906523299</v>
      </c>
      <c r="J21" s="1341">
        <f t="shared" si="8"/>
        <v>7829.4981906523299</v>
      </c>
      <c r="K21" s="1341">
        <f t="shared" si="8"/>
        <v>7850.9488706267202</v>
      </c>
      <c r="L21" s="1341">
        <f t="shared" si="8"/>
        <v>7829.4981906523299</v>
      </c>
      <c r="M21" s="1341">
        <f t="shared" si="8"/>
        <v>7829.4981906523299</v>
      </c>
      <c r="N21" s="1341">
        <f t="shared" si="8"/>
        <v>7829.4981906523299</v>
      </c>
      <c r="O21" s="1341">
        <f t="shared" si="8"/>
        <v>7850.9488706267202</v>
      </c>
      <c r="P21" s="1341">
        <f t="shared" si="8"/>
        <v>7829.4981906523299</v>
      </c>
      <c r="Q21" s="1341">
        <f t="shared" si="8"/>
        <v>7829.4981906523299</v>
      </c>
      <c r="R21" s="1341">
        <f t="shared" si="8"/>
        <v>7829.4981906523299</v>
      </c>
      <c r="S21" s="1341">
        <f t="shared" si="8"/>
        <v>7850.9488706267202</v>
      </c>
      <c r="T21" s="1341">
        <f t="shared" si="8"/>
        <v>7829.4981906523299</v>
      </c>
    </row>
    <row r="22" spans="1:20">
      <c r="B22" s="6"/>
      <c r="C22" s="1344" t="s">
        <v>936</v>
      </c>
      <c r="D22" s="1370">
        <v>3.5</v>
      </c>
      <c r="E22" s="1345">
        <f>D22</f>
        <v>3.5</v>
      </c>
      <c r="F22" s="1345">
        <f t="shared" ref="F22:T22" si="9">E22</f>
        <v>3.5</v>
      </c>
      <c r="G22" s="1345">
        <f t="shared" si="9"/>
        <v>3.5</v>
      </c>
      <c r="H22" s="1345">
        <f t="shared" si="9"/>
        <v>3.5</v>
      </c>
      <c r="I22" s="1345">
        <f t="shared" si="9"/>
        <v>3.5</v>
      </c>
      <c r="J22" s="1345">
        <f t="shared" si="9"/>
        <v>3.5</v>
      </c>
      <c r="K22" s="1345">
        <f t="shared" si="9"/>
        <v>3.5</v>
      </c>
      <c r="L22" s="1345">
        <f t="shared" si="9"/>
        <v>3.5</v>
      </c>
      <c r="M22" s="1345">
        <f t="shared" si="9"/>
        <v>3.5</v>
      </c>
      <c r="N22" s="1345">
        <f t="shared" si="9"/>
        <v>3.5</v>
      </c>
      <c r="O22" s="1345">
        <f t="shared" si="9"/>
        <v>3.5</v>
      </c>
      <c r="P22" s="1345">
        <f t="shared" si="9"/>
        <v>3.5</v>
      </c>
      <c r="Q22" s="1345">
        <f t="shared" si="9"/>
        <v>3.5</v>
      </c>
      <c r="R22" s="1345">
        <f t="shared" si="9"/>
        <v>3.5</v>
      </c>
      <c r="S22" s="1345">
        <f t="shared" si="9"/>
        <v>3.5</v>
      </c>
      <c r="T22" s="1345">
        <f t="shared" si="9"/>
        <v>3.5</v>
      </c>
    </row>
    <row r="23" spans="1:20">
      <c r="C23" s="1344" t="s">
        <v>937</v>
      </c>
      <c r="D23" s="1341">
        <f>(D21+D19)/D22</f>
        <v>1902.3650596387363</v>
      </c>
      <c r="E23" s="1341">
        <f t="shared" ref="E23:T23" si="10">(E21+E19)/E22</f>
        <v>7016.6845413457831</v>
      </c>
      <c r="F23" s="1341">
        <f t="shared" si="10"/>
        <v>7923.6616184588283</v>
      </c>
      <c r="G23" s="1341">
        <f t="shared" si="10"/>
        <v>8743.7457606013595</v>
      </c>
      <c r="H23" s="1341">
        <f t="shared" si="10"/>
        <v>9553.3331959825919</v>
      </c>
      <c r="I23" s="1341">
        <f t="shared" si="10"/>
        <v>9693.6644265219329</v>
      </c>
      <c r="J23" s="1341">
        <f t="shared" si="10"/>
        <v>9693.6644265219329</v>
      </c>
      <c r="K23" s="1341">
        <f t="shared" si="10"/>
        <v>9720.2224112521308</v>
      </c>
      <c r="L23" s="1341">
        <f t="shared" si="10"/>
        <v>9693.6644265219329</v>
      </c>
      <c r="M23" s="1341">
        <f t="shared" si="10"/>
        <v>9693.6644265219329</v>
      </c>
      <c r="N23" s="1341">
        <f t="shared" si="10"/>
        <v>9693.6644265219329</v>
      </c>
      <c r="O23" s="1341">
        <f t="shared" si="10"/>
        <v>9720.2224112521308</v>
      </c>
      <c r="P23" s="1341">
        <f t="shared" si="10"/>
        <v>9693.6644265219329</v>
      </c>
      <c r="Q23" s="1341">
        <f t="shared" si="10"/>
        <v>9693.6644265219329</v>
      </c>
      <c r="R23" s="1341">
        <f t="shared" si="10"/>
        <v>9693.6644265219329</v>
      </c>
      <c r="S23" s="1341">
        <f t="shared" si="10"/>
        <v>9720.2224112521308</v>
      </c>
      <c r="T23" s="1341">
        <f t="shared" si="10"/>
        <v>9693.6644265219329</v>
      </c>
    </row>
    <row r="24" spans="1:20">
      <c r="A24" s="1149" t="s">
        <v>938</v>
      </c>
      <c r="B24" s="1346">
        <f>MAX(D24:T24)</f>
        <v>0.71706558771532103</v>
      </c>
      <c r="C24" s="1344" t="s">
        <v>14</v>
      </c>
      <c r="D24" s="1346">
        <f t="shared" ref="D24:T24" si="11">D23/D15</f>
        <v>0.27915139462090149</v>
      </c>
      <c r="E24" s="1346">
        <f t="shared" si="11"/>
        <v>0.5190424181269484</v>
      </c>
      <c r="F24" s="1346">
        <f t="shared" si="11"/>
        <v>0.58613387314626952</v>
      </c>
      <c r="G24" s="1346">
        <f t="shared" si="11"/>
        <v>0.64503042496239538</v>
      </c>
      <c r="H24" s="1346">
        <f t="shared" si="11"/>
        <v>0.7066849213466575</v>
      </c>
      <c r="I24" s="1346">
        <f t="shared" si="11"/>
        <v>0.71706558771532103</v>
      </c>
      <c r="J24" s="1346">
        <f t="shared" si="11"/>
        <v>0.71706558771532103</v>
      </c>
      <c r="K24" s="1346">
        <f t="shared" si="11"/>
        <v>0.71706558771532103</v>
      </c>
      <c r="L24" s="1346">
        <f t="shared" si="11"/>
        <v>0.71706558771532103</v>
      </c>
      <c r="M24" s="1346">
        <f t="shared" si="11"/>
        <v>0.71706558771532103</v>
      </c>
      <c r="N24" s="1346">
        <f t="shared" si="11"/>
        <v>0.71706558771532103</v>
      </c>
      <c r="O24" s="1346">
        <f t="shared" si="11"/>
        <v>0.71706558771532103</v>
      </c>
      <c r="P24" s="1346">
        <f t="shared" si="11"/>
        <v>0.71706558771532103</v>
      </c>
      <c r="Q24" s="1346">
        <f t="shared" si="11"/>
        <v>0.71706558771532103</v>
      </c>
      <c r="R24" s="1346">
        <f t="shared" si="11"/>
        <v>0.71706558771532103</v>
      </c>
      <c r="S24" s="1346">
        <f t="shared" si="11"/>
        <v>0.71706558771532103</v>
      </c>
      <c r="T24" s="1346">
        <f t="shared" si="11"/>
        <v>0.71706558771532103</v>
      </c>
    </row>
    <row r="25" spans="1:20">
      <c r="A25" s="1149" t="s">
        <v>939</v>
      </c>
      <c r="B25" s="1347">
        <f>150/1.2</f>
        <v>125</v>
      </c>
      <c r="C25" s="1344" t="s">
        <v>940</v>
      </c>
      <c r="D25" s="1341">
        <f>$B25*D$13</f>
        <v>144.80549261078218</v>
      </c>
      <c r="E25" s="1341">
        <f t="shared" ref="E25:T26" si="12">$B25*E$13</f>
        <v>147.6732064995588</v>
      </c>
      <c r="F25" s="1341">
        <f t="shared" si="12"/>
        <v>153.58013475954112</v>
      </c>
      <c r="G25" s="1341">
        <f t="shared" si="12"/>
        <v>159.72334014992276</v>
      </c>
      <c r="H25" s="1341">
        <f t="shared" si="12"/>
        <v>166.11227375591966</v>
      </c>
      <c r="I25" s="1341">
        <f t="shared" si="12"/>
        <v>172.75676470615642</v>
      </c>
      <c r="J25" s="1341">
        <f t="shared" si="12"/>
        <v>179.66703529440264</v>
      </c>
      <c r="K25" s="1341">
        <f t="shared" si="12"/>
        <v>186.85371670617872</v>
      </c>
      <c r="L25" s="1341">
        <f t="shared" si="12"/>
        <v>194.32786537442584</v>
      </c>
      <c r="M25" s="1341">
        <f t="shared" si="12"/>
        <v>202.10097998940284</v>
      </c>
      <c r="N25" s="1341">
        <f t="shared" si="12"/>
        <v>210.18501918897894</v>
      </c>
      <c r="O25" s="1341">
        <f t="shared" si="12"/>
        <v>218.59241995653809</v>
      </c>
      <c r="P25" s="1341">
        <f t="shared" si="12"/>
        <v>225.11793818836401</v>
      </c>
      <c r="Q25" s="1341">
        <f t="shared" si="12"/>
        <v>225.11793818836401</v>
      </c>
      <c r="R25" s="1341">
        <f t="shared" si="12"/>
        <v>225.11793818836401</v>
      </c>
      <c r="S25" s="1341">
        <f t="shared" si="12"/>
        <v>225.11793818836401</v>
      </c>
      <c r="T25" s="1341">
        <f t="shared" si="12"/>
        <v>225.11793818836401</v>
      </c>
    </row>
    <row r="26" spans="1:20">
      <c r="B26" s="1347">
        <f>250/1.2</f>
        <v>208.33333333333334</v>
      </c>
      <c r="C26" s="1344" t="s">
        <v>941</v>
      </c>
      <c r="D26" s="1341">
        <f>$B26*D$13</f>
        <v>241.34248768463698</v>
      </c>
      <c r="E26" s="1341">
        <f t="shared" si="12"/>
        <v>246.12201083259802</v>
      </c>
      <c r="F26" s="1341">
        <f t="shared" si="12"/>
        <v>255.96689126590189</v>
      </c>
      <c r="G26" s="1341">
        <f t="shared" si="12"/>
        <v>266.20556691653792</v>
      </c>
      <c r="H26" s="1341">
        <f t="shared" si="12"/>
        <v>276.85378959319945</v>
      </c>
      <c r="I26" s="1341">
        <f t="shared" si="12"/>
        <v>287.92794117692739</v>
      </c>
      <c r="J26" s="1341">
        <f t="shared" si="12"/>
        <v>299.44505882400443</v>
      </c>
      <c r="K26" s="1341">
        <f t="shared" si="12"/>
        <v>311.42286117696455</v>
      </c>
      <c r="L26" s="1341">
        <f t="shared" si="12"/>
        <v>323.87977562404308</v>
      </c>
      <c r="M26" s="1341">
        <f t="shared" si="12"/>
        <v>336.83496664900474</v>
      </c>
      <c r="N26" s="1341">
        <f t="shared" si="12"/>
        <v>350.30836531496493</v>
      </c>
      <c r="O26" s="1341">
        <f t="shared" si="12"/>
        <v>364.32069992756351</v>
      </c>
      <c r="P26" s="1341">
        <f t="shared" si="12"/>
        <v>375.19656364727336</v>
      </c>
      <c r="Q26" s="1341">
        <f t="shared" si="12"/>
        <v>375.19656364727336</v>
      </c>
      <c r="R26" s="1341">
        <f t="shared" si="12"/>
        <v>375.19656364727336</v>
      </c>
      <c r="S26" s="1341">
        <f t="shared" si="12"/>
        <v>375.19656364727336</v>
      </c>
      <c r="T26" s="1341">
        <f t="shared" si="12"/>
        <v>375.19656364727336</v>
      </c>
    </row>
    <row r="27" spans="1:20">
      <c r="C27" s="1340" t="s">
        <v>942</v>
      </c>
      <c r="D27" s="1341">
        <f>D19*D25</f>
        <v>876504.71232076851</v>
      </c>
      <c r="E27" s="1341">
        <f t="shared" ref="E27:T27" si="13">E19*E25</f>
        <v>3267222.5840157317</v>
      </c>
      <c r="F27" s="1341">
        <f t="shared" si="13"/>
        <v>3549341.305859739</v>
      </c>
      <c r="G27" s="1341">
        <f t="shared" si="13"/>
        <v>3910424.7792539331</v>
      </c>
      <c r="H27" s="1341">
        <f t="shared" si="13"/>
        <v>4272492.8053569328</v>
      </c>
      <c r="I27" s="1341">
        <f t="shared" si="13"/>
        <v>4508662.5889660073</v>
      </c>
      <c r="J27" s="1341">
        <f t="shared" si="13"/>
        <v>4689009.0925246459</v>
      </c>
      <c r="K27" s="1341">
        <f t="shared" si="13"/>
        <v>4889929.9204892637</v>
      </c>
      <c r="L27" s="1341">
        <f t="shared" si="13"/>
        <v>5071632.2344746562</v>
      </c>
      <c r="M27" s="1341">
        <f t="shared" si="13"/>
        <v>5274497.5238536419</v>
      </c>
      <c r="N27" s="1341">
        <f t="shared" si="13"/>
        <v>5485477.4248077869</v>
      </c>
      <c r="O27" s="1341">
        <f t="shared" si="13"/>
        <v>5720526.3752844818</v>
      </c>
      <c r="P27" s="1341">
        <f t="shared" si="13"/>
        <v>5875201.6324305972</v>
      </c>
      <c r="Q27" s="1341">
        <f t="shared" si="13"/>
        <v>5875201.6324305972</v>
      </c>
      <c r="R27" s="1341">
        <f t="shared" si="13"/>
        <v>5875201.6324305972</v>
      </c>
      <c r="S27" s="1341">
        <f t="shared" si="13"/>
        <v>5891298.0752591742</v>
      </c>
      <c r="T27" s="1341">
        <f t="shared" si="13"/>
        <v>5875201.6324305972</v>
      </c>
    </row>
    <row r="28" spans="1:20">
      <c r="C28" s="1340" t="s">
        <v>943</v>
      </c>
      <c r="D28" s="1341">
        <f>D21*D26</f>
        <v>146084.11872012808</v>
      </c>
      <c r="E28" s="1341">
        <f t="shared" ref="E28:T28" si="14">E21*E26</f>
        <v>598990.80706955085</v>
      </c>
      <c r="F28" s="1341">
        <f t="shared" si="14"/>
        <v>1183113.7686199131</v>
      </c>
      <c r="G28" s="1341">
        <f t="shared" si="14"/>
        <v>1629343.6580224719</v>
      </c>
      <c r="H28" s="1341">
        <f t="shared" si="14"/>
        <v>2136246.4026784669</v>
      </c>
      <c r="I28" s="1341">
        <f t="shared" si="14"/>
        <v>2254331.2944830037</v>
      </c>
      <c r="J28" s="1341">
        <f t="shared" si="14"/>
        <v>2344504.5462623234</v>
      </c>
      <c r="K28" s="1341">
        <f t="shared" si="14"/>
        <v>2444964.9602446319</v>
      </c>
      <c r="L28" s="1341">
        <f t="shared" si="14"/>
        <v>2535816.1172373276</v>
      </c>
      <c r="M28" s="1341">
        <f t="shared" si="14"/>
        <v>2637248.7619268205</v>
      </c>
      <c r="N28" s="1341">
        <f t="shared" si="14"/>
        <v>2742738.7124038935</v>
      </c>
      <c r="O28" s="1341">
        <f t="shared" si="14"/>
        <v>2860263.1876422409</v>
      </c>
      <c r="P28" s="1341">
        <f t="shared" si="14"/>
        <v>2937600.8162152986</v>
      </c>
      <c r="Q28" s="1341">
        <f t="shared" si="14"/>
        <v>2937600.8162152986</v>
      </c>
      <c r="R28" s="1341">
        <f t="shared" si="14"/>
        <v>2937600.8162152986</v>
      </c>
      <c r="S28" s="1341">
        <f t="shared" si="14"/>
        <v>2945649.0376295871</v>
      </c>
      <c r="T28" s="1341">
        <f t="shared" si="14"/>
        <v>2937600.8162152986</v>
      </c>
    </row>
    <row r="29" spans="1:20">
      <c r="B29" s="1338"/>
      <c r="C29" s="1348" t="s">
        <v>944</v>
      </c>
      <c r="D29" s="1528">
        <f>D27+D28</f>
        <v>1022588.8310408966</v>
      </c>
      <c r="E29" s="1349">
        <f t="shared" ref="E29:T29" si="15">E27+E28</f>
        <v>3866213.3910852824</v>
      </c>
      <c r="F29" s="1349">
        <f t="shared" si="15"/>
        <v>4732455.0744796526</v>
      </c>
      <c r="G29" s="1349">
        <f t="shared" si="15"/>
        <v>5539768.4372764053</v>
      </c>
      <c r="H29" s="1349">
        <f t="shared" si="15"/>
        <v>6408739.2080354001</v>
      </c>
      <c r="I29" s="1349">
        <f t="shared" si="15"/>
        <v>6762993.8834490106</v>
      </c>
      <c r="J29" s="1349">
        <f t="shared" si="15"/>
        <v>7033513.6387869697</v>
      </c>
      <c r="K29" s="1349">
        <f t="shared" si="15"/>
        <v>7334894.880733896</v>
      </c>
      <c r="L29" s="1349">
        <f t="shared" si="15"/>
        <v>7607448.3517119838</v>
      </c>
      <c r="M29" s="1349">
        <f t="shared" si="15"/>
        <v>7911746.2857804624</v>
      </c>
      <c r="N29" s="1349">
        <f t="shared" si="15"/>
        <v>8228216.1372116804</v>
      </c>
      <c r="O29" s="1349">
        <f t="shared" si="15"/>
        <v>8580789.5629267227</v>
      </c>
      <c r="P29" s="1349">
        <f t="shared" si="15"/>
        <v>8812802.4486458953</v>
      </c>
      <c r="Q29" s="1349">
        <f t="shared" si="15"/>
        <v>8812802.4486458953</v>
      </c>
      <c r="R29" s="1349">
        <f t="shared" si="15"/>
        <v>8812802.4486458953</v>
      </c>
      <c r="S29" s="1349">
        <f t="shared" si="15"/>
        <v>8836947.1128887609</v>
      </c>
      <c r="T29" s="1349">
        <f t="shared" si="15"/>
        <v>8812802.4486458953</v>
      </c>
    </row>
    <row r="30" spans="1:20">
      <c r="B30" s="1338"/>
      <c r="C30" s="1362" t="s">
        <v>956</v>
      </c>
      <c r="D30" s="1363">
        <f>D29/D13</f>
        <v>882726.21138539852</v>
      </c>
      <c r="E30" s="1363">
        <f t="shared" ref="E30:T30" si="16">E29/E13</f>
        <v>3272609.0625458462</v>
      </c>
      <c r="F30" s="1363">
        <f t="shared" si="16"/>
        <v>3851779.953417486</v>
      </c>
      <c r="G30" s="1363">
        <f t="shared" si="16"/>
        <v>4335440.6062981747</v>
      </c>
      <c r="H30" s="1363">
        <f t="shared" si="16"/>
        <v>4822596.0845104428</v>
      </c>
      <c r="I30" s="1363">
        <f t="shared" si="16"/>
        <v>4893436.3691577064</v>
      </c>
      <c r="J30" s="1363">
        <f t="shared" si="16"/>
        <v>4893436.3691577064</v>
      </c>
      <c r="K30" s="1363">
        <f t="shared" si="16"/>
        <v>4906843.0441417005</v>
      </c>
      <c r="L30" s="1363">
        <f t="shared" si="16"/>
        <v>4893436.3691577064</v>
      </c>
      <c r="M30" s="1363">
        <f t="shared" si="16"/>
        <v>4893436.3691577064</v>
      </c>
      <c r="N30" s="1363">
        <f t="shared" si="16"/>
        <v>4893436.3691577064</v>
      </c>
      <c r="O30" s="1363">
        <f t="shared" si="16"/>
        <v>4906843.0441417005</v>
      </c>
      <c r="P30" s="1363">
        <f t="shared" si="16"/>
        <v>4893436.3691577064</v>
      </c>
      <c r="Q30" s="1363">
        <f t="shared" si="16"/>
        <v>4893436.3691577064</v>
      </c>
      <c r="R30" s="1363">
        <f t="shared" si="16"/>
        <v>4893436.3691577064</v>
      </c>
      <c r="S30" s="1363">
        <f t="shared" si="16"/>
        <v>4906843.0441416996</v>
      </c>
      <c r="T30" s="1363">
        <f t="shared" si="16"/>
        <v>4893436.3691577064</v>
      </c>
    </row>
    <row r="31" spans="1:20">
      <c r="B31" s="1338"/>
      <c r="C31" s="1364" t="s">
        <v>957</v>
      </c>
      <c r="D31" s="1365"/>
      <c r="E31" s="1365">
        <f>E30/D30-1</f>
        <v>2.7073885654869541</v>
      </c>
      <c r="F31" s="1365">
        <f t="shared" ref="F31:T31" si="17">F30/E30-1</f>
        <v>0.17697527562949666</v>
      </c>
      <c r="G31" s="1365">
        <f t="shared" si="17"/>
        <v>0.12556809026734816</v>
      </c>
      <c r="H31" s="1365">
        <f t="shared" si="17"/>
        <v>0.11236585215919415</v>
      </c>
      <c r="I31" s="1365">
        <f t="shared" si="17"/>
        <v>1.4689242765902222E-2</v>
      </c>
      <c r="J31" s="1365">
        <f t="shared" si="17"/>
        <v>0</v>
      </c>
      <c r="K31" s="1365">
        <f t="shared" si="17"/>
        <v>2.73972602739736E-3</v>
      </c>
      <c r="L31" s="1365">
        <f t="shared" si="17"/>
        <v>-2.732240437158584E-3</v>
      </c>
      <c r="M31" s="1365">
        <f t="shared" si="17"/>
        <v>0</v>
      </c>
      <c r="N31" s="1365">
        <f t="shared" si="17"/>
        <v>0</v>
      </c>
      <c r="O31" s="1365">
        <f t="shared" si="17"/>
        <v>2.73972602739736E-3</v>
      </c>
      <c r="P31" s="1365">
        <f t="shared" si="17"/>
        <v>-2.732240437158584E-3</v>
      </c>
      <c r="Q31" s="1365">
        <f t="shared" si="17"/>
        <v>0</v>
      </c>
      <c r="R31" s="1365">
        <f t="shared" si="17"/>
        <v>0</v>
      </c>
      <c r="S31" s="1365">
        <f t="shared" si="17"/>
        <v>2.739726027397138E-3</v>
      </c>
      <c r="T31" s="1365">
        <f t="shared" si="17"/>
        <v>-2.732240437158362E-3</v>
      </c>
    </row>
    <row r="33" spans="3:20">
      <c r="C33" s="1335" t="s">
        <v>945</v>
      </c>
    </row>
    <row r="34" spans="3:20" s="21" customFormat="1">
      <c r="C34" s="1339"/>
      <c r="D34" s="11">
        <f t="shared" ref="D34:T34" si="18">D9</f>
        <v>2025</v>
      </c>
      <c r="E34" s="11">
        <f t="shared" si="18"/>
        <v>2026</v>
      </c>
      <c r="F34" s="11">
        <f t="shared" si="18"/>
        <v>2027</v>
      </c>
      <c r="G34" s="11">
        <f t="shared" si="18"/>
        <v>2028</v>
      </c>
      <c r="H34" s="11">
        <f t="shared" si="18"/>
        <v>2029</v>
      </c>
      <c r="I34" s="11">
        <f t="shared" si="18"/>
        <v>2030</v>
      </c>
      <c r="J34" s="11">
        <f t="shared" si="18"/>
        <v>2031</v>
      </c>
      <c r="K34" s="11">
        <f t="shared" si="18"/>
        <v>2032</v>
      </c>
      <c r="L34" s="11">
        <f t="shared" si="18"/>
        <v>2033</v>
      </c>
      <c r="M34" s="11">
        <f t="shared" si="18"/>
        <v>2034</v>
      </c>
      <c r="N34" s="11">
        <f t="shared" si="18"/>
        <v>2035</v>
      </c>
      <c r="O34" s="11">
        <f t="shared" si="18"/>
        <v>2036</v>
      </c>
      <c r="P34" s="11">
        <f t="shared" si="18"/>
        <v>2037</v>
      </c>
      <c r="Q34" s="11">
        <f t="shared" si="18"/>
        <v>2038</v>
      </c>
      <c r="R34" s="11">
        <f t="shared" si="18"/>
        <v>2039</v>
      </c>
      <c r="S34" s="11">
        <f t="shared" si="18"/>
        <v>2040</v>
      </c>
      <c r="T34" s="11">
        <f t="shared" si="18"/>
        <v>2041</v>
      </c>
    </row>
    <row r="35" spans="3:20">
      <c r="C35" s="1344" t="str">
        <f>C10</f>
        <v>Начало периода</v>
      </c>
      <c r="D35" s="147">
        <f t="shared" ref="D35:T35" si="19">D10</f>
        <v>45839</v>
      </c>
      <c r="E35" s="147">
        <f t="shared" si="19"/>
        <v>46023</v>
      </c>
      <c r="F35" s="147">
        <f t="shared" si="19"/>
        <v>46388</v>
      </c>
      <c r="G35" s="147">
        <f t="shared" si="19"/>
        <v>46753</v>
      </c>
      <c r="H35" s="147">
        <f t="shared" si="19"/>
        <v>47119</v>
      </c>
      <c r="I35" s="147">
        <f t="shared" si="19"/>
        <v>47484</v>
      </c>
      <c r="J35" s="147">
        <f t="shared" si="19"/>
        <v>47849</v>
      </c>
      <c r="K35" s="147">
        <f t="shared" si="19"/>
        <v>48214</v>
      </c>
      <c r="L35" s="147">
        <f t="shared" si="19"/>
        <v>48580</v>
      </c>
      <c r="M35" s="147">
        <f t="shared" si="19"/>
        <v>48945</v>
      </c>
      <c r="N35" s="147">
        <f t="shared" si="19"/>
        <v>49310</v>
      </c>
      <c r="O35" s="147">
        <f t="shared" si="19"/>
        <v>49675</v>
      </c>
      <c r="P35" s="147">
        <f t="shared" si="19"/>
        <v>50041</v>
      </c>
      <c r="Q35" s="147">
        <f t="shared" si="19"/>
        <v>50406</v>
      </c>
      <c r="R35" s="147">
        <f t="shared" si="19"/>
        <v>50771</v>
      </c>
      <c r="S35" s="147">
        <f t="shared" si="19"/>
        <v>51136</v>
      </c>
      <c r="T35" s="147">
        <f t="shared" si="19"/>
        <v>51502</v>
      </c>
    </row>
    <row r="36" spans="3:20">
      <c r="C36" s="1344" t="s">
        <v>946</v>
      </c>
      <c r="D36" s="1350">
        <v>0.94</v>
      </c>
      <c r="E36" s="1350">
        <v>0.53</v>
      </c>
      <c r="F36" s="1350">
        <v>0.42</v>
      </c>
      <c r="G36" s="1350">
        <v>0.33</v>
      </c>
      <c r="H36" s="1346">
        <f>G36</f>
        <v>0.33</v>
      </c>
      <c r="I36" s="1346">
        <f t="shared" ref="I36:T36" si="20">H36</f>
        <v>0.33</v>
      </c>
      <c r="J36" s="1346">
        <f t="shared" si="20"/>
        <v>0.33</v>
      </c>
      <c r="K36" s="1346">
        <f t="shared" si="20"/>
        <v>0.33</v>
      </c>
      <c r="L36" s="1346">
        <f t="shared" si="20"/>
        <v>0.33</v>
      </c>
      <c r="M36" s="1346">
        <f t="shared" si="20"/>
        <v>0.33</v>
      </c>
      <c r="N36" s="1346">
        <f t="shared" si="20"/>
        <v>0.33</v>
      </c>
      <c r="O36" s="1346">
        <f t="shared" si="20"/>
        <v>0.33</v>
      </c>
      <c r="P36" s="1346">
        <f t="shared" si="20"/>
        <v>0.33</v>
      </c>
      <c r="Q36" s="1346">
        <f t="shared" si="20"/>
        <v>0.33</v>
      </c>
      <c r="R36" s="1346">
        <f t="shared" si="20"/>
        <v>0.33</v>
      </c>
      <c r="S36" s="1346">
        <f t="shared" si="20"/>
        <v>0.33</v>
      </c>
      <c r="T36" s="1346">
        <f t="shared" si="20"/>
        <v>0.33</v>
      </c>
    </row>
    <row r="37" spans="3:20">
      <c r="C37" s="1344" t="s">
        <v>27</v>
      </c>
      <c r="D37" s="1341">
        <f t="shared" ref="D37:T37" si="21">D29*D36</f>
        <v>961233.50117844273</v>
      </c>
      <c r="E37" s="1341">
        <f t="shared" si="21"/>
        <v>2049093.0972751998</v>
      </c>
      <c r="F37" s="1341">
        <f t="shared" si="21"/>
        <v>1987631.1312814541</v>
      </c>
      <c r="G37" s="1341">
        <f t="shared" si="21"/>
        <v>1828123.5843012137</v>
      </c>
      <c r="H37" s="1341">
        <f t="shared" si="21"/>
        <v>2114883.9386516823</v>
      </c>
      <c r="I37" s="1341">
        <f t="shared" si="21"/>
        <v>2231787.9815381737</v>
      </c>
      <c r="J37" s="1341">
        <f t="shared" si="21"/>
        <v>2321059.5007997002</v>
      </c>
      <c r="K37" s="1341">
        <f t="shared" si="21"/>
        <v>2420515.3106421856</v>
      </c>
      <c r="L37" s="1341">
        <f t="shared" si="21"/>
        <v>2510457.9560649549</v>
      </c>
      <c r="M37" s="1341">
        <f t="shared" si="21"/>
        <v>2610876.2743075527</v>
      </c>
      <c r="N37" s="1341">
        <f t="shared" si="21"/>
        <v>2715311.3252798547</v>
      </c>
      <c r="O37" s="1341">
        <f t="shared" si="21"/>
        <v>2831660.5557658188</v>
      </c>
      <c r="P37" s="1341">
        <f t="shared" si="21"/>
        <v>2908224.8080531457</v>
      </c>
      <c r="Q37" s="1341">
        <f t="shared" si="21"/>
        <v>2908224.8080531457</v>
      </c>
      <c r="R37" s="1341">
        <f t="shared" si="21"/>
        <v>2908224.8080531457</v>
      </c>
      <c r="S37" s="1341">
        <f t="shared" si="21"/>
        <v>2916192.5472532911</v>
      </c>
      <c r="T37" s="1341">
        <f t="shared" si="21"/>
        <v>2908224.8080531457</v>
      </c>
    </row>
    <row r="38" spans="3:20">
      <c r="C38" s="1351" t="s">
        <v>947</v>
      </c>
      <c r="D38" s="1352">
        <f t="shared" ref="D38:T38" si="22">D37</f>
        <v>961233.50117844273</v>
      </c>
      <c r="E38" s="1352">
        <f t="shared" si="22"/>
        <v>2049093.0972751998</v>
      </c>
      <c r="F38" s="1352">
        <f t="shared" si="22"/>
        <v>1987631.1312814541</v>
      </c>
      <c r="G38" s="1352">
        <f t="shared" si="22"/>
        <v>1828123.5843012137</v>
      </c>
      <c r="H38" s="1352">
        <f t="shared" si="22"/>
        <v>2114883.9386516823</v>
      </c>
      <c r="I38" s="1352">
        <f t="shared" si="22"/>
        <v>2231787.9815381737</v>
      </c>
      <c r="J38" s="1352">
        <f t="shared" si="22"/>
        <v>2321059.5007997002</v>
      </c>
      <c r="K38" s="1352">
        <f t="shared" si="22"/>
        <v>2420515.3106421856</v>
      </c>
      <c r="L38" s="1352">
        <f t="shared" si="22"/>
        <v>2510457.9560649549</v>
      </c>
      <c r="M38" s="1352">
        <f t="shared" si="22"/>
        <v>2610876.2743075527</v>
      </c>
      <c r="N38" s="1352">
        <f t="shared" si="22"/>
        <v>2715311.3252798547</v>
      </c>
      <c r="O38" s="1352">
        <f t="shared" si="22"/>
        <v>2831660.5557658188</v>
      </c>
      <c r="P38" s="1352">
        <f t="shared" si="22"/>
        <v>2908224.8080531457</v>
      </c>
      <c r="Q38" s="1352">
        <f t="shared" si="22"/>
        <v>2908224.8080531457</v>
      </c>
      <c r="R38" s="1352">
        <f t="shared" si="22"/>
        <v>2908224.8080531457</v>
      </c>
      <c r="S38" s="1352">
        <f t="shared" si="22"/>
        <v>2916192.5472532911</v>
      </c>
      <c r="T38" s="1352">
        <f t="shared" si="22"/>
        <v>2908224.8080531457</v>
      </c>
    </row>
    <row r="39" spans="3:20" ht="9.9499999999999993" customHeight="1"/>
    <row r="40" spans="3:20">
      <c r="C40" s="1335" t="s">
        <v>948</v>
      </c>
    </row>
    <row r="41" spans="3:20">
      <c r="C41" s="1353"/>
      <c r="D41" s="1354">
        <f>D35</f>
        <v>45839</v>
      </c>
      <c r="E41" s="1354">
        <f t="shared" ref="E41:T41" si="23">E35</f>
        <v>46023</v>
      </c>
      <c r="F41" s="1354">
        <f t="shared" si="23"/>
        <v>46388</v>
      </c>
      <c r="G41" s="1354">
        <f t="shared" si="23"/>
        <v>46753</v>
      </c>
      <c r="H41" s="1354">
        <f t="shared" si="23"/>
        <v>47119</v>
      </c>
      <c r="I41" s="1354">
        <f t="shared" si="23"/>
        <v>47484</v>
      </c>
      <c r="J41" s="1354">
        <f t="shared" si="23"/>
        <v>47849</v>
      </c>
      <c r="K41" s="1354">
        <f t="shared" si="23"/>
        <v>48214</v>
      </c>
      <c r="L41" s="1354">
        <f t="shared" si="23"/>
        <v>48580</v>
      </c>
      <c r="M41" s="1354">
        <f t="shared" si="23"/>
        <v>48945</v>
      </c>
      <c r="N41" s="1354">
        <f t="shared" si="23"/>
        <v>49310</v>
      </c>
      <c r="O41" s="1354">
        <f t="shared" si="23"/>
        <v>49675</v>
      </c>
      <c r="P41" s="1354">
        <f t="shared" si="23"/>
        <v>50041</v>
      </c>
      <c r="Q41" s="1354">
        <f t="shared" si="23"/>
        <v>50406</v>
      </c>
      <c r="R41" s="1354">
        <f t="shared" si="23"/>
        <v>50771</v>
      </c>
      <c r="S41" s="1354">
        <f t="shared" si="23"/>
        <v>51136</v>
      </c>
      <c r="T41" s="1354">
        <f t="shared" si="23"/>
        <v>51502</v>
      </c>
    </row>
    <row r="42" spans="3:20" s="21" customFormat="1">
      <c r="C42" s="1655" t="s">
        <v>798</v>
      </c>
      <c r="D42" s="1366">
        <f t="shared" ref="D42:T42" si="24">D29-D38</f>
        <v>61355.329862453858</v>
      </c>
      <c r="E42" s="1366">
        <f t="shared" si="24"/>
        <v>1817120.2938100826</v>
      </c>
      <c r="F42" s="1366">
        <f t="shared" si="24"/>
        <v>2744823.9431981985</v>
      </c>
      <c r="G42" s="1366">
        <f t="shared" si="24"/>
        <v>3711644.8529751915</v>
      </c>
      <c r="H42" s="1366">
        <f t="shared" si="24"/>
        <v>4293855.2693837173</v>
      </c>
      <c r="I42" s="1366">
        <f t="shared" si="24"/>
        <v>4531205.9019108368</v>
      </c>
      <c r="J42" s="1366">
        <f t="shared" si="24"/>
        <v>4712454.1379872691</v>
      </c>
      <c r="K42" s="1366">
        <f t="shared" si="24"/>
        <v>4914379.5700917104</v>
      </c>
      <c r="L42" s="1366">
        <f t="shared" si="24"/>
        <v>5096990.3956470285</v>
      </c>
      <c r="M42" s="1366">
        <f t="shared" si="24"/>
        <v>5300870.0114729097</v>
      </c>
      <c r="N42" s="1366">
        <f t="shared" si="24"/>
        <v>5512904.8119318262</v>
      </c>
      <c r="O42" s="1366">
        <f t="shared" si="24"/>
        <v>5749129.0071609039</v>
      </c>
      <c r="P42" s="1366">
        <f t="shared" si="24"/>
        <v>5904577.6405927502</v>
      </c>
      <c r="Q42" s="1366">
        <f t="shared" si="24"/>
        <v>5904577.6405927502</v>
      </c>
      <c r="R42" s="1366">
        <f t="shared" si="24"/>
        <v>5904577.6405927502</v>
      </c>
      <c r="S42" s="1366">
        <f t="shared" si="24"/>
        <v>5920754.5656354697</v>
      </c>
      <c r="T42" s="1366">
        <f t="shared" si="24"/>
        <v>5904577.6405927502</v>
      </c>
    </row>
    <row r="43" spans="3:20">
      <c r="C43" s="1355" t="s">
        <v>949</v>
      </c>
      <c r="D43" s="1356">
        <f t="shared" ref="D43:T43" si="25">D42/D29</f>
        <v>6.000000000000006E-2</v>
      </c>
      <c r="E43" s="1356">
        <f t="shared" si="25"/>
        <v>0.47</v>
      </c>
      <c r="F43" s="1356">
        <f t="shared" si="25"/>
        <v>0.57999999999999996</v>
      </c>
      <c r="G43" s="1356">
        <f t="shared" si="25"/>
        <v>0.67</v>
      </c>
      <c r="H43" s="1356">
        <f t="shared" si="25"/>
        <v>0.66999999999999993</v>
      </c>
      <c r="I43" s="1356">
        <f t="shared" si="25"/>
        <v>0.66999999999999993</v>
      </c>
      <c r="J43" s="1356">
        <f t="shared" si="25"/>
        <v>0.66999999999999993</v>
      </c>
      <c r="K43" s="1356">
        <f t="shared" si="25"/>
        <v>0.67</v>
      </c>
      <c r="L43" s="1356">
        <f t="shared" si="25"/>
        <v>0.66999999999999993</v>
      </c>
      <c r="M43" s="1356">
        <f t="shared" si="25"/>
        <v>0.67</v>
      </c>
      <c r="N43" s="1356">
        <f t="shared" si="25"/>
        <v>0.67</v>
      </c>
      <c r="O43" s="1356">
        <f t="shared" si="25"/>
        <v>0.66999999999999993</v>
      </c>
      <c r="P43" s="1356">
        <f t="shared" si="25"/>
        <v>0.67</v>
      </c>
      <c r="Q43" s="1356">
        <f t="shared" si="25"/>
        <v>0.67</v>
      </c>
      <c r="R43" s="1356">
        <f t="shared" si="25"/>
        <v>0.67</v>
      </c>
      <c r="S43" s="1356">
        <f t="shared" si="25"/>
        <v>0.67</v>
      </c>
      <c r="T43" s="1356">
        <f t="shared" si="25"/>
        <v>0.67</v>
      </c>
    </row>
  </sheetData>
  <conditionalFormatting sqref="C2">
    <cfRule type="cellIs" dxfId="155" priority="33" operator="equal">
      <formula>0</formula>
    </cfRule>
  </conditionalFormatting>
  <conditionalFormatting sqref="B25">
    <cfRule type="expression" dxfId="154" priority="25" stopIfTrue="1">
      <formula>$A$1=1</formula>
    </cfRule>
  </conditionalFormatting>
  <conditionalFormatting sqref="B25">
    <cfRule type="expression" dxfId="153" priority="26" stopIfTrue="1">
      <formula>$A$1=1</formula>
    </cfRule>
  </conditionalFormatting>
  <conditionalFormatting sqref="D10">
    <cfRule type="expression" dxfId="152" priority="30" stopIfTrue="1">
      <formula>$A$1=1</formula>
    </cfRule>
  </conditionalFormatting>
  <conditionalFormatting sqref="D10">
    <cfRule type="expression" dxfId="151" priority="29" stopIfTrue="1">
      <formula>$A$1=1</formula>
    </cfRule>
  </conditionalFormatting>
  <conditionalFormatting sqref="B26">
    <cfRule type="expression" dxfId="150" priority="23" stopIfTrue="1">
      <formula>$A$1=1</formula>
    </cfRule>
  </conditionalFormatting>
  <conditionalFormatting sqref="B26">
    <cfRule type="expression" dxfId="149" priority="24" stopIfTrue="1">
      <formula>$A$1=1</formula>
    </cfRule>
  </conditionalFormatting>
  <conditionalFormatting sqref="B19">
    <cfRule type="expression" dxfId="148" priority="21" stopIfTrue="1">
      <formula>$A$1=1</formula>
    </cfRule>
  </conditionalFormatting>
  <conditionalFormatting sqref="B19">
    <cfRule type="expression" dxfId="147" priority="22" stopIfTrue="1">
      <formula>$A$1=1</formula>
    </cfRule>
  </conditionalFormatting>
  <conditionalFormatting sqref="D36:G36">
    <cfRule type="expression" dxfId="146" priority="17" stopIfTrue="1">
      <formula>$A$1=1</formula>
    </cfRule>
  </conditionalFormatting>
  <conditionalFormatting sqref="D36:G36">
    <cfRule type="expression" dxfId="145" priority="18" stopIfTrue="1">
      <formula>$A$1=1</formula>
    </cfRule>
  </conditionalFormatting>
  <conditionalFormatting sqref="D20:G20">
    <cfRule type="expression" dxfId="144" priority="9" stopIfTrue="1">
      <formula>$A$1=1</formula>
    </cfRule>
  </conditionalFormatting>
  <conditionalFormatting sqref="D20:G20">
    <cfRule type="expression" dxfId="143" priority="10" stopIfTrue="1">
      <formula>$A$1=1</formula>
    </cfRule>
  </conditionalFormatting>
  <conditionalFormatting sqref="H20">
    <cfRule type="expression" dxfId="142" priority="7" stopIfTrue="1">
      <formula>$A$1=1</formula>
    </cfRule>
  </conditionalFormatting>
  <conditionalFormatting sqref="H20">
    <cfRule type="expression" dxfId="141" priority="8" stopIfTrue="1">
      <formula>$A$1=1</formula>
    </cfRule>
  </conditionalFormatting>
  <conditionalFormatting sqref="D17">
    <cfRule type="expression" dxfId="140" priority="5" stopIfTrue="1">
      <formula>$A$1=1</formula>
    </cfRule>
  </conditionalFormatting>
  <conditionalFormatting sqref="D17">
    <cfRule type="expression" dxfId="139" priority="6" stopIfTrue="1">
      <formula>$A$1=1</formula>
    </cfRule>
  </conditionalFormatting>
  <conditionalFormatting sqref="D22">
    <cfRule type="expression" dxfId="138" priority="3" stopIfTrue="1">
      <formula>$A$1=1</formula>
    </cfRule>
  </conditionalFormatting>
  <conditionalFormatting sqref="D22">
    <cfRule type="expression" dxfId="137" priority="4" stopIfTrue="1">
      <formula>$A$1=1</formula>
    </cfRule>
  </conditionalFormatting>
  <conditionalFormatting sqref="D24:T24">
    <cfRule type="cellIs" dxfId="136" priority="2" operator="greaterThan">
      <formula>0.95</formula>
    </cfRule>
  </conditionalFormatting>
  <conditionalFormatting sqref="B24">
    <cfRule type="cellIs" dxfId="135" priority="1" operator="greaterThan">
      <formula>0.95</formula>
    </cfRule>
  </conditionalFormatting>
  <pageMargins left="0.7" right="0.7" top="0.75" bottom="0.75" header="0.3" footer="0.3"/>
  <pageSetup paperSize="9" orientation="portrait" r:id="rId1"/>
  <ignoredErrors>
    <ignoredError sqref="H21:T21" formula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41"/>
  <sheetViews>
    <sheetView showGridLines="0" zoomScale="85" zoomScaleNormal="85" workbookViewId="0">
      <pane xSplit="3" ySplit="14" topLeftCell="R15" activePane="bottomRight" state="frozen"/>
      <selection activeCell="F41" sqref="F41"/>
      <selection pane="topRight" activeCell="F41" sqref="F41"/>
      <selection pane="bottomLeft" activeCell="F41" sqref="F41"/>
      <selection pane="bottomRight" activeCell="B34" sqref="B34"/>
    </sheetView>
  </sheetViews>
  <sheetFormatPr defaultColWidth="9.140625" defaultRowHeight="15" outlineLevelRow="1" outlineLevelCol="1"/>
  <cols>
    <col min="1" max="1" width="8.140625" style="19" customWidth="1"/>
    <col min="2" max="2" width="14.7109375" style="19" customWidth="1"/>
    <col min="3" max="3" width="44.85546875" style="19" customWidth="1"/>
    <col min="4" max="4" width="17" style="19" customWidth="1" outlineLevel="1"/>
    <col min="5" max="7" width="10.28515625" style="19" customWidth="1" outlineLevel="1"/>
    <col min="8" max="8" width="13.42578125" style="19" customWidth="1" outlineLevel="1"/>
    <col min="9" max="9" width="14.28515625" style="19" customWidth="1" outlineLevel="1"/>
    <col min="10" max="10" width="14.28515625" style="19" customWidth="1" outlineLevel="1" collapsed="1"/>
    <col min="11" max="11" width="14.28515625" style="19" customWidth="1" outlineLevel="1"/>
    <col min="12" max="12" width="15.42578125" style="19" customWidth="1" outlineLevel="1"/>
    <col min="13" max="13" width="14.5703125" style="19" customWidth="1" outlineLevel="1"/>
    <col min="14" max="16" width="14.140625" style="19" customWidth="1" outlineLevel="1"/>
    <col min="17" max="17" width="14.28515625" style="19" customWidth="1" outlineLevel="1"/>
    <col min="18" max="18" width="14.28515625" style="19" customWidth="1"/>
    <col min="19" max="28" width="16" style="19" customWidth="1"/>
    <col min="29" max="29" width="14.5703125" style="19" customWidth="1"/>
    <col min="30" max="42" width="15.140625" style="19" customWidth="1"/>
    <col min="43" max="46" width="17.7109375" style="19" customWidth="1"/>
    <col min="47" max="47" width="13" style="19" customWidth="1"/>
    <col min="48" max="50" width="14.28515625" style="19" customWidth="1"/>
    <col min="51" max="51" width="13" style="19" customWidth="1"/>
    <col min="52" max="54" width="14.28515625" style="19" customWidth="1"/>
    <col min="55" max="55" width="13" style="19" customWidth="1"/>
    <col min="56" max="58" width="14.28515625" style="19" customWidth="1"/>
    <col min="59" max="59" width="13" style="19" customWidth="1"/>
    <col min="60" max="62" width="14.28515625" style="19" customWidth="1"/>
    <col min="63" max="63" width="13" style="19" customWidth="1"/>
    <col min="64" max="66" width="14.28515625" style="19" customWidth="1"/>
    <col min="67" max="67" width="13" style="19" customWidth="1"/>
    <col min="68" max="70" width="14.28515625" style="19" customWidth="1"/>
    <col min="71" max="71" width="13" style="19" customWidth="1"/>
    <col min="72" max="74" width="14.28515625" style="19" customWidth="1"/>
    <col min="75" max="75" width="13" style="19" customWidth="1"/>
    <col min="76" max="78" width="14.28515625" style="19" customWidth="1"/>
    <col min="79" max="79" width="13" style="19" customWidth="1"/>
    <col min="80" max="91" width="14.28515625" style="19" customWidth="1"/>
    <col min="92" max="92" width="14.28515625" style="19" customWidth="1" collapsed="1"/>
    <col min="93" max="94" width="14.28515625" style="19" customWidth="1"/>
    <col min="95" max="95" width="14.42578125" style="19" customWidth="1"/>
    <col min="96" max="96" width="4.5703125" style="19" customWidth="1"/>
    <col min="97" max="97" width="9.42578125" style="19" customWidth="1" collapsed="1"/>
    <col min="98" max="98" width="9.140625" style="19" customWidth="1" collapsed="1"/>
    <col min="99" max="99" width="9.85546875" style="19" bestFit="1" customWidth="1"/>
    <col min="100" max="102" width="9.140625" style="19"/>
    <col min="103" max="103" width="10.42578125" style="19" customWidth="1"/>
    <col min="104" max="105" width="9.5703125" style="19" bestFit="1" customWidth="1"/>
    <col min="106" max="106" width="10.7109375" style="19" customWidth="1"/>
    <col min="107" max="107" width="9.140625" style="19"/>
    <col min="108" max="109" width="9.140625" style="19" customWidth="1"/>
    <col min="110" max="114" width="9.140625" style="19" hidden="1" customWidth="1"/>
    <col min="115" max="119" width="9.140625" style="19" hidden="1" customWidth="1" outlineLevel="1"/>
    <col min="120" max="120" width="9.140625" style="19" customWidth="1" collapsed="1"/>
    <col min="121" max="16384" width="9.140625" style="19"/>
  </cols>
  <sheetData>
    <row r="1" spans="1:120" ht="15.75" thickBot="1">
      <c r="A1" s="189">
        <v>0</v>
      </c>
      <c r="D1" s="230"/>
    </row>
    <row r="2" spans="1:120">
      <c r="C2" s="26" t="s">
        <v>1015</v>
      </c>
      <c r="D2" s="230">
        <f>CF_15!D71</f>
        <v>67805055.417616993</v>
      </c>
    </row>
    <row r="3" spans="1:120">
      <c r="C3" s="26" t="s">
        <v>1017</v>
      </c>
      <c r="D3" s="230">
        <f>CF_15!D72</f>
        <v>998279653.79703546</v>
      </c>
    </row>
    <row r="4" spans="1:120">
      <c r="C4" s="26" t="s">
        <v>987</v>
      </c>
      <c r="D4" s="246">
        <f>CF_15!D85</f>
        <v>0.14418346312725339</v>
      </c>
    </row>
    <row r="5" spans="1:120">
      <c r="C5" s="26" t="s">
        <v>1016</v>
      </c>
      <c r="D5" s="246">
        <f>CF_15!D86</f>
        <v>0.22612660540241736</v>
      </c>
    </row>
    <row r="6" spans="1:120">
      <c r="C6" s="251"/>
      <c r="D6" s="1316"/>
    </row>
    <row r="7" spans="1:120">
      <c r="CS7" s="256"/>
      <c r="CT7" s="127" t="s">
        <v>192</v>
      </c>
      <c r="CU7" s="128">
        <f>10^6</f>
        <v>1000000</v>
      </c>
      <c r="CV7" s="129" t="str">
        <f>IF(CU7=1,"руб.",IF(CU7=1000,"тыс. руб.",IF(CU7=1000000,"млн руб.",IF(CU7=1000000000,"млрд руб.","Ошибка"))))</f>
        <v>млн руб.</v>
      </c>
    </row>
    <row r="8" spans="1:120">
      <c r="C8" s="232" t="str">
        <f>Резиденции_PL!C3</f>
        <v>Туристские резиденции</v>
      </c>
      <c r="D8" s="232">
        <f>YEAR(D11)</f>
        <v>2022</v>
      </c>
      <c r="E8" s="232">
        <f t="shared" ref="E8:BP8" si="0">YEAR(E11)</f>
        <v>2022</v>
      </c>
      <c r="F8" s="232">
        <f t="shared" si="0"/>
        <v>2022</v>
      </c>
      <c r="G8" s="232">
        <f t="shared" si="0"/>
        <v>2022</v>
      </c>
      <c r="H8" s="232">
        <f t="shared" si="0"/>
        <v>2023</v>
      </c>
      <c r="I8" s="232">
        <f t="shared" si="0"/>
        <v>2023</v>
      </c>
      <c r="J8" s="232">
        <f t="shared" si="0"/>
        <v>2023</v>
      </c>
      <c r="K8" s="232">
        <f t="shared" si="0"/>
        <v>2023</v>
      </c>
      <c r="L8" s="232">
        <f t="shared" si="0"/>
        <v>2024</v>
      </c>
      <c r="M8" s="232">
        <f t="shared" si="0"/>
        <v>2024</v>
      </c>
      <c r="N8" s="232">
        <f t="shared" si="0"/>
        <v>2024</v>
      </c>
      <c r="O8" s="232">
        <f t="shared" si="0"/>
        <v>2024</v>
      </c>
      <c r="P8" s="232">
        <f t="shared" si="0"/>
        <v>2025</v>
      </c>
      <c r="Q8" s="232">
        <f t="shared" si="0"/>
        <v>2025</v>
      </c>
      <c r="R8" s="232">
        <f t="shared" si="0"/>
        <v>2025</v>
      </c>
      <c r="S8" s="232">
        <f t="shared" si="0"/>
        <v>2025</v>
      </c>
      <c r="T8" s="232">
        <f t="shared" si="0"/>
        <v>2026</v>
      </c>
      <c r="U8" s="232">
        <f t="shared" si="0"/>
        <v>2026</v>
      </c>
      <c r="V8" s="232">
        <f t="shared" si="0"/>
        <v>2026</v>
      </c>
      <c r="W8" s="232">
        <f t="shared" si="0"/>
        <v>2026</v>
      </c>
      <c r="X8" s="232">
        <f t="shared" si="0"/>
        <v>2027</v>
      </c>
      <c r="Y8" s="232">
        <f t="shared" si="0"/>
        <v>2027</v>
      </c>
      <c r="Z8" s="232">
        <f t="shared" si="0"/>
        <v>2027</v>
      </c>
      <c r="AA8" s="232">
        <f t="shared" si="0"/>
        <v>2027</v>
      </c>
      <c r="AB8" s="232">
        <f t="shared" si="0"/>
        <v>2028</v>
      </c>
      <c r="AC8" s="232">
        <f t="shared" si="0"/>
        <v>2028</v>
      </c>
      <c r="AD8" s="232">
        <f t="shared" si="0"/>
        <v>2028</v>
      </c>
      <c r="AE8" s="232">
        <f t="shared" si="0"/>
        <v>2028</v>
      </c>
      <c r="AF8" s="232">
        <f t="shared" si="0"/>
        <v>2029</v>
      </c>
      <c r="AG8" s="232">
        <f t="shared" si="0"/>
        <v>2029</v>
      </c>
      <c r="AH8" s="232">
        <f t="shared" si="0"/>
        <v>2029</v>
      </c>
      <c r="AI8" s="232">
        <f t="shared" si="0"/>
        <v>2029</v>
      </c>
      <c r="AJ8" s="232">
        <f t="shared" si="0"/>
        <v>2030</v>
      </c>
      <c r="AK8" s="232">
        <f t="shared" si="0"/>
        <v>2030</v>
      </c>
      <c r="AL8" s="232">
        <f t="shared" si="0"/>
        <v>2030</v>
      </c>
      <c r="AM8" s="232">
        <f t="shared" si="0"/>
        <v>2030</v>
      </c>
      <c r="AN8" s="232">
        <f t="shared" si="0"/>
        <v>2031</v>
      </c>
      <c r="AO8" s="232">
        <f t="shared" si="0"/>
        <v>2031</v>
      </c>
      <c r="AP8" s="232">
        <f t="shared" si="0"/>
        <v>2031</v>
      </c>
      <c r="AQ8" s="232">
        <f t="shared" si="0"/>
        <v>2031</v>
      </c>
      <c r="AR8" s="232">
        <f t="shared" si="0"/>
        <v>2032</v>
      </c>
      <c r="AS8" s="232">
        <f t="shared" si="0"/>
        <v>2032</v>
      </c>
      <c r="AT8" s="232">
        <f t="shared" si="0"/>
        <v>2032</v>
      </c>
      <c r="AU8" s="232">
        <f t="shared" si="0"/>
        <v>2032</v>
      </c>
      <c r="AV8" s="232">
        <f t="shared" si="0"/>
        <v>2033</v>
      </c>
      <c r="AW8" s="232">
        <f t="shared" si="0"/>
        <v>2033</v>
      </c>
      <c r="AX8" s="232">
        <f t="shared" si="0"/>
        <v>2033</v>
      </c>
      <c r="AY8" s="232">
        <f t="shared" si="0"/>
        <v>2033</v>
      </c>
      <c r="AZ8" s="232">
        <f t="shared" si="0"/>
        <v>2034</v>
      </c>
      <c r="BA8" s="232">
        <f t="shared" si="0"/>
        <v>2034</v>
      </c>
      <c r="BB8" s="232">
        <f t="shared" si="0"/>
        <v>2034</v>
      </c>
      <c r="BC8" s="232">
        <f t="shared" si="0"/>
        <v>2034</v>
      </c>
      <c r="BD8" s="232">
        <f t="shared" si="0"/>
        <v>2035</v>
      </c>
      <c r="BE8" s="232">
        <f t="shared" si="0"/>
        <v>2035</v>
      </c>
      <c r="BF8" s="232">
        <f t="shared" si="0"/>
        <v>2035</v>
      </c>
      <c r="BG8" s="232">
        <f t="shared" si="0"/>
        <v>2035</v>
      </c>
      <c r="BH8" s="232">
        <f t="shared" si="0"/>
        <v>2036</v>
      </c>
      <c r="BI8" s="232">
        <f t="shared" si="0"/>
        <v>2036</v>
      </c>
      <c r="BJ8" s="232">
        <f t="shared" si="0"/>
        <v>2036</v>
      </c>
      <c r="BK8" s="232">
        <f t="shared" si="0"/>
        <v>2036</v>
      </c>
      <c r="BL8" s="232">
        <f t="shared" si="0"/>
        <v>2037</v>
      </c>
      <c r="BM8" s="232">
        <f t="shared" si="0"/>
        <v>2037</v>
      </c>
      <c r="BN8" s="232">
        <f t="shared" si="0"/>
        <v>2037</v>
      </c>
      <c r="BO8" s="232">
        <f t="shared" si="0"/>
        <v>2037</v>
      </c>
      <c r="BP8" s="232">
        <f t="shared" si="0"/>
        <v>2038</v>
      </c>
      <c r="BQ8" s="232">
        <f t="shared" ref="BQ8:CQ8" si="1">YEAR(BQ11)</f>
        <v>2038</v>
      </c>
      <c r="BR8" s="232">
        <f t="shared" si="1"/>
        <v>2038</v>
      </c>
      <c r="BS8" s="232">
        <f t="shared" si="1"/>
        <v>2038</v>
      </c>
      <c r="BT8" s="232">
        <f t="shared" si="1"/>
        <v>2039</v>
      </c>
      <c r="BU8" s="232">
        <f t="shared" si="1"/>
        <v>2039</v>
      </c>
      <c r="BV8" s="232">
        <f t="shared" si="1"/>
        <v>2039</v>
      </c>
      <c r="BW8" s="232">
        <f t="shared" si="1"/>
        <v>2039</v>
      </c>
      <c r="BX8" s="232">
        <f t="shared" si="1"/>
        <v>2040</v>
      </c>
      <c r="BY8" s="232">
        <f t="shared" si="1"/>
        <v>2040</v>
      </c>
      <c r="BZ8" s="232">
        <f t="shared" si="1"/>
        <v>2040</v>
      </c>
      <c r="CA8" s="232">
        <f t="shared" si="1"/>
        <v>2040</v>
      </c>
      <c r="CB8" s="232">
        <f t="shared" si="1"/>
        <v>2041</v>
      </c>
      <c r="CC8" s="232">
        <f t="shared" si="1"/>
        <v>2041</v>
      </c>
      <c r="CD8" s="232">
        <f t="shared" si="1"/>
        <v>2041</v>
      </c>
      <c r="CE8" s="232">
        <f t="shared" si="1"/>
        <v>2041</v>
      </c>
      <c r="CF8" s="232">
        <f t="shared" si="1"/>
        <v>2042</v>
      </c>
      <c r="CG8" s="232">
        <f t="shared" si="1"/>
        <v>2042</v>
      </c>
      <c r="CH8" s="232">
        <f t="shared" si="1"/>
        <v>2042</v>
      </c>
      <c r="CI8" s="232">
        <f t="shared" si="1"/>
        <v>2042</v>
      </c>
      <c r="CJ8" s="232">
        <f t="shared" si="1"/>
        <v>2043</v>
      </c>
      <c r="CK8" s="232">
        <f t="shared" si="1"/>
        <v>2043</v>
      </c>
      <c r="CL8" s="232">
        <f t="shared" si="1"/>
        <v>2043</v>
      </c>
      <c r="CM8" s="232">
        <f t="shared" si="1"/>
        <v>2043</v>
      </c>
      <c r="CN8" s="281">
        <f t="shared" si="1"/>
        <v>2044</v>
      </c>
      <c r="CO8" s="281">
        <f t="shared" si="1"/>
        <v>2044</v>
      </c>
      <c r="CP8" s="281">
        <f t="shared" si="1"/>
        <v>2044</v>
      </c>
      <c r="CQ8" s="281">
        <f t="shared" si="1"/>
        <v>2044</v>
      </c>
      <c r="CS8" s="254" t="s">
        <v>60</v>
      </c>
      <c r="CT8" s="255">
        <f>D8</f>
        <v>2022</v>
      </c>
      <c r="CU8" s="255">
        <f>CT8+1</f>
        <v>2023</v>
      </c>
      <c r="CV8" s="255">
        <f t="shared" ref="CV8:DP8" si="2">CU8+1</f>
        <v>2024</v>
      </c>
      <c r="CW8" s="11">
        <f t="shared" si="2"/>
        <v>2025</v>
      </c>
      <c r="CX8" s="11">
        <f t="shared" si="2"/>
        <v>2026</v>
      </c>
      <c r="CY8" s="11">
        <f t="shared" si="2"/>
        <v>2027</v>
      </c>
      <c r="CZ8" s="11">
        <f t="shared" si="2"/>
        <v>2028</v>
      </c>
      <c r="DA8" s="11">
        <f t="shared" si="2"/>
        <v>2029</v>
      </c>
      <c r="DB8" s="11">
        <f t="shared" si="2"/>
        <v>2030</v>
      </c>
      <c r="DC8" s="11">
        <f t="shared" si="2"/>
        <v>2031</v>
      </c>
      <c r="DD8" s="11">
        <f t="shared" si="2"/>
        <v>2032</v>
      </c>
      <c r="DE8" s="11">
        <f t="shared" si="2"/>
        <v>2033</v>
      </c>
      <c r="DF8" s="11">
        <f t="shared" si="2"/>
        <v>2034</v>
      </c>
      <c r="DG8" s="11">
        <f t="shared" si="2"/>
        <v>2035</v>
      </c>
      <c r="DH8" s="11">
        <f t="shared" si="2"/>
        <v>2036</v>
      </c>
      <c r="DI8" s="11">
        <f t="shared" si="2"/>
        <v>2037</v>
      </c>
      <c r="DJ8" s="11">
        <f t="shared" si="2"/>
        <v>2038</v>
      </c>
      <c r="DK8" s="11">
        <f t="shared" si="2"/>
        <v>2039</v>
      </c>
      <c r="DL8" s="11">
        <f t="shared" si="2"/>
        <v>2040</v>
      </c>
      <c r="DM8" s="11">
        <f t="shared" si="2"/>
        <v>2041</v>
      </c>
      <c r="DN8" s="11">
        <f t="shared" si="2"/>
        <v>2042</v>
      </c>
      <c r="DO8" s="11">
        <f t="shared" si="2"/>
        <v>2043</v>
      </c>
      <c r="DP8" s="266">
        <f t="shared" si="2"/>
        <v>2044</v>
      </c>
    </row>
    <row r="9" spans="1:120">
      <c r="C9" s="25" t="s">
        <v>67</v>
      </c>
      <c r="D9" s="248">
        <v>1</v>
      </c>
      <c r="E9" s="230">
        <f>D9+1</f>
        <v>2</v>
      </c>
      <c r="F9" s="230">
        <f t="shared" ref="F9:BQ9" si="3">E9+1</f>
        <v>3</v>
      </c>
      <c r="G9" s="230">
        <f t="shared" si="3"/>
        <v>4</v>
      </c>
      <c r="H9" s="230">
        <f t="shared" si="3"/>
        <v>5</v>
      </c>
      <c r="I9" s="230">
        <f t="shared" si="3"/>
        <v>6</v>
      </c>
      <c r="J9" s="230">
        <f t="shared" si="3"/>
        <v>7</v>
      </c>
      <c r="K9" s="230">
        <f t="shared" si="3"/>
        <v>8</v>
      </c>
      <c r="L9" s="230">
        <f t="shared" si="3"/>
        <v>9</v>
      </c>
      <c r="M9" s="230">
        <f t="shared" si="3"/>
        <v>10</v>
      </c>
      <c r="N9" s="230">
        <f t="shared" si="3"/>
        <v>11</v>
      </c>
      <c r="O9" s="230">
        <f t="shared" si="3"/>
        <v>12</v>
      </c>
      <c r="P9" s="230">
        <f t="shared" si="3"/>
        <v>13</v>
      </c>
      <c r="Q9" s="230">
        <f t="shared" si="3"/>
        <v>14</v>
      </c>
      <c r="R9" s="230">
        <f t="shared" si="3"/>
        <v>15</v>
      </c>
      <c r="S9" s="230">
        <f t="shared" si="3"/>
        <v>16</v>
      </c>
      <c r="T9" s="230">
        <f t="shared" si="3"/>
        <v>17</v>
      </c>
      <c r="U9" s="230">
        <f t="shared" si="3"/>
        <v>18</v>
      </c>
      <c r="V9" s="230">
        <f t="shared" si="3"/>
        <v>19</v>
      </c>
      <c r="W9" s="230">
        <f t="shared" si="3"/>
        <v>20</v>
      </c>
      <c r="X9" s="230">
        <f t="shared" si="3"/>
        <v>21</v>
      </c>
      <c r="Y9" s="230">
        <f t="shared" si="3"/>
        <v>22</v>
      </c>
      <c r="Z9" s="230">
        <f t="shared" si="3"/>
        <v>23</v>
      </c>
      <c r="AA9" s="230">
        <f t="shared" si="3"/>
        <v>24</v>
      </c>
      <c r="AB9" s="230">
        <f t="shared" si="3"/>
        <v>25</v>
      </c>
      <c r="AC9" s="230">
        <f t="shared" si="3"/>
        <v>26</v>
      </c>
      <c r="AD9" s="230">
        <f t="shared" si="3"/>
        <v>27</v>
      </c>
      <c r="AE9" s="230">
        <f t="shared" si="3"/>
        <v>28</v>
      </c>
      <c r="AF9" s="230">
        <f t="shared" si="3"/>
        <v>29</v>
      </c>
      <c r="AG9" s="230">
        <f t="shared" si="3"/>
        <v>30</v>
      </c>
      <c r="AH9" s="230">
        <f t="shared" si="3"/>
        <v>31</v>
      </c>
      <c r="AI9" s="230">
        <f t="shared" si="3"/>
        <v>32</v>
      </c>
      <c r="AJ9" s="230">
        <f t="shared" si="3"/>
        <v>33</v>
      </c>
      <c r="AK9" s="230">
        <f t="shared" si="3"/>
        <v>34</v>
      </c>
      <c r="AL9" s="230">
        <f t="shared" si="3"/>
        <v>35</v>
      </c>
      <c r="AM9" s="230">
        <f t="shared" si="3"/>
        <v>36</v>
      </c>
      <c r="AN9" s="230">
        <f t="shared" si="3"/>
        <v>37</v>
      </c>
      <c r="AO9" s="230">
        <f t="shared" si="3"/>
        <v>38</v>
      </c>
      <c r="AP9" s="230">
        <f t="shared" si="3"/>
        <v>39</v>
      </c>
      <c r="AQ9" s="230">
        <f t="shared" si="3"/>
        <v>40</v>
      </c>
      <c r="AR9" s="230">
        <f t="shared" si="3"/>
        <v>41</v>
      </c>
      <c r="AS9" s="230">
        <f t="shared" si="3"/>
        <v>42</v>
      </c>
      <c r="AT9" s="230">
        <f t="shared" si="3"/>
        <v>43</v>
      </c>
      <c r="AU9" s="230">
        <f t="shared" si="3"/>
        <v>44</v>
      </c>
      <c r="AV9" s="230">
        <f t="shared" si="3"/>
        <v>45</v>
      </c>
      <c r="AW9" s="230">
        <f t="shared" si="3"/>
        <v>46</v>
      </c>
      <c r="AX9" s="230">
        <f t="shared" si="3"/>
        <v>47</v>
      </c>
      <c r="AY9" s="230">
        <f t="shared" si="3"/>
        <v>48</v>
      </c>
      <c r="AZ9" s="230">
        <f t="shared" si="3"/>
        <v>49</v>
      </c>
      <c r="BA9" s="230">
        <f t="shared" si="3"/>
        <v>50</v>
      </c>
      <c r="BB9" s="230">
        <f t="shared" si="3"/>
        <v>51</v>
      </c>
      <c r="BC9" s="230">
        <f t="shared" si="3"/>
        <v>52</v>
      </c>
      <c r="BD9" s="230">
        <f t="shared" si="3"/>
        <v>53</v>
      </c>
      <c r="BE9" s="230">
        <f t="shared" si="3"/>
        <v>54</v>
      </c>
      <c r="BF9" s="230">
        <f t="shared" si="3"/>
        <v>55</v>
      </c>
      <c r="BG9" s="230">
        <f t="shared" si="3"/>
        <v>56</v>
      </c>
      <c r="BH9" s="230">
        <f t="shared" si="3"/>
        <v>57</v>
      </c>
      <c r="BI9" s="230">
        <f t="shared" si="3"/>
        <v>58</v>
      </c>
      <c r="BJ9" s="230">
        <f t="shared" si="3"/>
        <v>59</v>
      </c>
      <c r="BK9" s="230">
        <f t="shared" si="3"/>
        <v>60</v>
      </c>
      <c r="BL9" s="230">
        <f t="shared" si="3"/>
        <v>61</v>
      </c>
      <c r="BM9" s="230">
        <f t="shared" si="3"/>
        <v>62</v>
      </c>
      <c r="BN9" s="230">
        <f t="shared" si="3"/>
        <v>63</v>
      </c>
      <c r="BO9" s="230">
        <f t="shared" si="3"/>
        <v>64</v>
      </c>
      <c r="BP9" s="230">
        <f t="shared" si="3"/>
        <v>65</v>
      </c>
      <c r="BQ9" s="230">
        <f t="shared" si="3"/>
        <v>66</v>
      </c>
      <c r="BR9" s="230">
        <f t="shared" ref="BR9:CQ9" si="4">BQ9+1</f>
        <v>67</v>
      </c>
      <c r="BS9" s="230">
        <f t="shared" si="4"/>
        <v>68</v>
      </c>
      <c r="BT9" s="230">
        <f t="shared" si="4"/>
        <v>69</v>
      </c>
      <c r="BU9" s="230">
        <f t="shared" si="4"/>
        <v>70</v>
      </c>
      <c r="BV9" s="230">
        <f t="shared" si="4"/>
        <v>71</v>
      </c>
      <c r="BW9" s="230">
        <f t="shared" si="4"/>
        <v>72</v>
      </c>
      <c r="BX9" s="230">
        <f t="shared" si="4"/>
        <v>73</v>
      </c>
      <c r="BY9" s="230">
        <f t="shared" si="4"/>
        <v>74</v>
      </c>
      <c r="BZ9" s="230">
        <f t="shared" si="4"/>
        <v>75</v>
      </c>
      <c r="CA9" s="230">
        <f t="shared" si="4"/>
        <v>76</v>
      </c>
      <c r="CB9" s="230">
        <f t="shared" si="4"/>
        <v>77</v>
      </c>
      <c r="CC9" s="230">
        <f t="shared" si="4"/>
        <v>78</v>
      </c>
      <c r="CD9" s="230">
        <f t="shared" si="4"/>
        <v>79</v>
      </c>
      <c r="CE9" s="230">
        <f t="shared" si="4"/>
        <v>80</v>
      </c>
      <c r="CF9" s="230">
        <f t="shared" si="4"/>
        <v>81</v>
      </c>
      <c r="CG9" s="230">
        <f t="shared" si="4"/>
        <v>82</v>
      </c>
      <c r="CH9" s="230">
        <f t="shared" si="4"/>
        <v>83</v>
      </c>
      <c r="CI9" s="230">
        <f t="shared" si="4"/>
        <v>84</v>
      </c>
      <c r="CJ9" s="230">
        <f t="shared" si="4"/>
        <v>85</v>
      </c>
      <c r="CK9" s="230">
        <f t="shared" si="4"/>
        <v>86</v>
      </c>
      <c r="CL9" s="230">
        <f t="shared" si="4"/>
        <v>87</v>
      </c>
      <c r="CM9" s="230">
        <f t="shared" si="4"/>
        <v>88</v>
      </c>
      <c r="CN9" s="230">
        <f t="shared" si="4"/>
        <v>89</v>
      </c>
      <c r="CO9" s="230">
        <f t="shared" si="4"/>
        <v>90</v>
      </c>
      <c r="CP9" s="230">
        <f t="shared" si="4"/>
        <v>91</v>
      </c>
      <c r="CQ9" s="230">
        <f t="shared" si="4"/>
        <v>92</v>
      </c>
    </row>
    <row r="10" spans="1:120">
      <c r="C10" s="26" t="s">
        <v>8</v>
      </c>
      <c r="D10" s="248">
        <v>2</v>
      </c>
      <c r="E10" s="248">
        <v>3</v>
      </c>
      <c r="F10" s="248">
        <v>4</v>
      </c>
      <c r="G10" s="248">
        <v>1</v>
      </c>
      <c r="H10" s="230">
        <f>D10</f>
        <v>2</v>
      </c>
      <c r="I10" s="230">
        <f t="shared" ref="I10:BT10" si="5">E10</f>
        <v>3</v>
      </c>
      <c r="J10" s="230">
        <f t="shared" si="5"/>
        <v>4</v>
      </c>
      <c r="K10" s="230">
        <f t="shared" si="5"/>
        <v>1</v>
      </c>
      <c r="L10" s="230">
        <f t="shared" si="5"/>
        <v>2</v>
      </c>
      <c r="M10" s="230">
        <f t="shared" si="5"/>
        <v>3</v>
      </c>
      <c r="N10" s="230">
        <f t="shared" si="5"/>
        <v>4</v>
      </c>
      <c r="O10" s="230">
        <f t="shared" si="5"/>
        <v>1</v>
      </c>
      <c r="P10" s="230">
        <f t="shared" si="5"/>
        <v>2</v>
      </c>
      <c r="Q10" s="230">
        <f t="shared" si="5"/>
        <v>3</v>
      </c>
      <c r="R10" s="230">
        <f t="shared" si="5"/>
        <v>4</v>
      </c>
      <c r="S10" s="230">
        <f t="shared" si="5"/>
        <v>1</v>
      </c>
      <c r="T10" s="230">
        <f t="shared" si="5"/>
        <v>2</v>
      </c>
      <c r="U10" s="230">
        <f t="shared" si="5"/>
        <v>3</v>
      </c>
      <c r="V10" s="230">
        <f t="shared" si="5"/>
        <v>4</v>
      </c>
      <c r="W10" s="230">
        <f t="shared" si="5"/>
        <v>1</v>
      </c>
      <c r="X10" s="230">
        <f t="shared" si="5"/>
        <v>2</v>
      </c>
      <c r="Y10" s="230">
        <f t="shared" si="5"/>
        <v>3</v>
      </c>
      <c r="Z10" s="230">
        <f t="shared" si="5"/>
        <v>4</v>
      </c>
      <c r="AA10" s="230">
        <f t="shared" si="5"/>
        <v>1</v>
      </c>
      <c r="AB10" s="230">
        <f t="shared" si="5"/>
        <v>2</v>
      </c>
      <c r="AC10" s="230">
        <f t="shared" si="5"/>
        <v>3</v>
      </c>
      <c r="AD10" s="230">
        <f t="shared" si="5"/>
        <v>4</v>
      </c>
      <c r="AE10" s="230">
        <f t="shared" si="5"/>
        <v>1</v>
      </c>
      <c r="AF10" s="230">
        <f t="shared" si="5"/>
        <v>2</v>
      </c>
      <c r="AG10" s="230">
        <f t="shared" si="5"/>
        <v>3</v>
      </c>
      <c r="AH10" s="230">
        <f t="shared" si="5"/>
        <v>4</v>
      </c>
      <c r="AI10" s="230">
        <f t="shared" si="5"/>
        <v>1</v>
      </c>
      <c r="AJ10" s="230">
        <f t="shared" si="5"/>
        <v>2</v>
      </c>
      <c r="AK10" s="230">
        <f t="shared" si="5"/>
        <v>3</v>
      </c>
      <c r="AL10" s="230">
        <f t="shared" si="5"/>
        <v>4</v>
      </c>
      <c r="AM10" s="230">
        <f t="shared" si="5"/>
        <v>1</v>
      </c>
      <c r="AN10" s="230">
        <f t="shared" si="5"/>
        <v>2</v>
      </c>
      <c r="AO10" s="230">
        <f t="shared" si="5"/>
        <v>3</v>
      </c>
      <c r="AP10" s="230">
        <f t="shared" si="5"/>
        <v>4</v>
      </c>
      <c r="AQ10" s="230">
        <f t="shared" si="5"/>
        <v>1</v>
      </c>
      <c r="AR10" s="230">
        <f t="shared" si="5"/>
        <v>2</v>
      </c>
      <c r="AS10" s="230">
        <f t="shared" si="5"/>
        <v>3</v>
      </c>
      <c r="AT10" s="230">
        <f t="shared" si="5"/>
        <v>4</v>
      </c>
      <c r="AU10" s="230">
        <f t="shared" si="5"/>
        <v>1</v>
      </c>
      <c r="AV10" s="230">
        <f t="shared" si="5"/>
        <v>2</v>
      </c>
      <c r="AW10" s="230">
        <f t="shared" si="5"/>
        <v>3</v>
      </c>
      <c r="AX10" s="230">
        <f t="shared" si="5"/>
        <v>4</v>
      </c>
      <c r="AY10" s="230">
        <f t="shared" si="5"/>
        <v>1</v>
      </c>
      <c r="AZ10" s="230">
        <f t="shared" si="5"/>
        <v>2</v>
      </c>
      <c r="BA10" s="230">
        <f t="shared" si="5"/>
        <v>3</v>
      </c>
      <c r="BB10" s="230">
        <f t="shared" si="5"/>
        <v>4</v>
      </c>
      <c r="BC10" s="230">
        <f t="shared" si="5"/>
        <v>1</v>
      </c>
      <c r="BD10" s="230">
        <f t="shared" si="5"/>
        <v>2</v>
      </c>
      <c r="BE10" s="230">
        <f t="shared" si="5"/>
        <v>3</v>
      </c>
      <c r="BF10" s="230">
        <f t="shared" si="5"/>
        <v>4</v>
      </c>
      <c r="BG10" s="230">
        <f t="shared" si="5"/>
        <v>1</v>
      </c>
      <c r="BH10" s="230">
        <f t="shared" si="5"/>
        <v>2</v>
      </c>
      <c r="BI10" s="230">
        <f t="shared" si="5"/>
        <v>3</v>
      </c>
      <c r="BJ10" s="230">
        <f t="shared" si="5"/>
        <v>4</v>
      </c>
      <c r="BK10" s="230">
        <f t="shared" si="5"/>
        <v>1</v>
      </c>
      <c r="BL10" s="230">
        <f t="shared" si="5"/>
        <v>2</v>
      </c>
      <c r="BM10" s="230">
        <f t="shared" si="5"/>
        <v>3</v>
      </c>
      <c r="BN10" s="230">
        <f t="shared" si="5"/>
        <v>4</v>
      </c>
      <c r="BO10" s="230">
        <f t="shared" si="5"/>
        <v>1</v>
      </c>
      <c r="BP10" s="230">
        <f t="shared" si="5"/>
        <v>2</v>
      </c>
      <c r="BQ10" s="230">
        <f t="shared" si="5"/>
        <v>3</v>
      </c>
      <c r="BR10" s="230">
        <f t="shared" si="5"/>
        <v>4</v>
      </c>
      <c r="BS10" s="230">
        <f t="shared" si="5"/>
        <v>1</v>
      </c>
      <c r="BT10" s="230">
        <f t="shared" si="5"/>
        <v>2</v>
      </c>
      <c r="BU10" s="230">
        <f t="shared" ref="BU10:CJ10" si="6">BQ10</f>
        <v>3</v>
      </c>
      <c r="BV10" s="230">
        <f t="shared" si="6"/>
        <v>4</v>
      </c>
      <c r="BW10" s="230">
        <f t="shared" si="6"/>
        <v>1</v>
      </c>
      <c r="BX10" s="230">
        <f t="shared" si="6"/>
        <v>2</v>
      </c>
      <c r="BY10" s="230">
        <f t="shared" si="6"/>
        <v>3</v>
      </c>
      <c r="BZ10" s="230">
        <f t="shared" si="6"/>
        <v>4</v>
      </c>
      <c r="CA10" s="230">
        <f t="shared" si="6"/>
        <v>1</v>
      </c>
      <c r="CB10" s="230">
        <f t="shared" si="6"/>
        <v>2</v>
      </c>
      <c r="CC10" s="230">
        <f t="shared" si="6"/>
        <v>3</v>
      </c>
      <c r="CD10" s="230">
        <f t="shared" si="6"/>
        <v>4</v>
      </c>
      <c r="CE10" s="230">
        <f t="shared" si="6"/>
        <v>1</v>
      </c>
      <c r="CF10" s="230">
        <f t="shared" si="6"/>
        <v>2</v>
      </c>
      <c r="CG10" s="230">
        <f t="shared" si="6"/>
        <v>3</v>
      </c>
      <c r="CH10" s="230">
        <f t="shared" si="6"/>
        <v>4</v>
      </c>
      <c r="CI10" s="230">
        <f t="shared" si="6"/>
        <v>1</v>
      </c>
      <c r="CJ10" s="230">
        <f t="shared" si="6"/>
        <v>2</v>
      </c>
      <c r="CK10" s="230">
        <f>CG10</f>
        <v>3</v>
      </c>
      <c r="CL10" s="230">
        <f t="shared" ref="CL10:CQ10" si="7">CH10</f>
        <v>4</v>
      </c>
      <c r="CM10" s="230">
        <f t="shared" si="7"/>
        <v>1</v>
      </c>
      <c r="CN10" s="230">
        <f t="shared" si="7"/>
        <v>2</v>
      </c>
      <c r="CO10" s="230">
        <f t="shared" si="7"/>
        <v>3</v>
      </c>
      <c r="CP10" s="230">
        <f t="shared" si="7"/>
        <v>4</v>
      </c>
      <c r="CQ10" s="230">
        <f t="shared" si="7"/>
        <v>1</v>
      </c>
      <c r="CT10" s="21"/>
    </row>
    <row r="11" spans="1:120">
      <c r="C11" s="26" t="s">
        <v>1</v>
      </c>
      <c r="D11" s="195">
        <f>Вводные!$D$4</f>
        <v>44593</v>
      </c>
      <c r="E11" s="268">
        <f>DATE(YEAR(D12),(TRUNC((MONTH(D12)-1)/3,0)+1)*3+1,1)</f>
        <v>44652</v>
      </c>
      <c r="F11" s="268">
        <f t="shared" ref="F11:BQ11" si="8">DATE(YEAR(E12),(TRUNC((MONTH(E12)-1)/3,0)+1)*3+1,1)</f>
        <v>44743</v>
      </c>
      <c r="G11" s="268">
        <f t="shared" si="8"/>
        <v>44835</v>
      </c>
      <c r="H11" s="268">
        <f t="shared" si="8"/>
        <v>44927</v>
      </c>
      <c r="I11" s="268">
        <f t="shared" si="8"/>
        <v>45017</v>
      </c>
      <c r="J11" s="268">
        <f t="shared" si="8"/>
        <v>45108</v>
      </c>
      <c r="K11" s="268">
        <f t="shared" si="8"/>
        <v>45200</v>
      </c>
      <c r="L11" s="268">
        <f t="shared" si="8"/>
        <v>45292</v>
      </c>
      <c r="M11" s="268">
        <f t="shared" si="8"/>
        <v>45383</v>
      </c>
      <c r="N11" s="268">
        <f t="shared" si="8"/>
        <v>45474</v>
      </c>
      <c r="O11" s="268">
        <f t="shared" si="8"/>
        <v>45566</v>
      </c>
      <c r="P11" s="268">
        <f t="shared" si="8"/>
        <v>45658</v>
      </c>
      <c r="Q11" s="268">
        <f t="shared" si="8"/>
        <v>45748</v>
      </c>
      <c r="R11" s="268">
        <f t="shared" si="8"/>
        <v>45839</v>
      </c>
      <c r="S11" s="268">
        <f t="shared" si="8"/>
        <v>45931</v>
      </c>
      <c r="T11" s="268">
        <f t="shared" si="8"/>
        <v>46023</v>
      </c>
      <c r="U11" s="268">
        <f t="shared" si="8"/>
        <v>46113</v>
      </c>
      <c r="V11" s="268">
        <f t="shared" si="8"/>
        <v>46204</v>
      </c>
      <c r="W11" s="268">
        <f t="shared" si="8"/>
        <v>46296</v>
      </c>
      <c r="X11" s="268">
        <f t="shared" si="8"/>
        <v>46388</v>
      </c>
      <c r="Y11" s="268">
        <f t="shared" si="8"/>
        <v>46478</v>
      </c>
      <c r="Z11" s="268">
        <f t="shared" si="8"/>
        <v>46569</v>
      </c>
      <c r="AA11" s="268">
        <f t="shared" si="8"/>
        <v>46661</v>
      </c>
      <c r="AB11" s="268">
        <f t="shared" si="8"/>
        <v>46753</v>
      </c>
      <c r="AC11" s="268">
        <f t="shared" si="8"/>
        <v>46844</v>
      </c>
      <c r="AD11" s="268">
        <f t="shared" si="8"/>
        <v>46935</v>
      </c>
      <c r="AE11" s="268">
        <f t="shared" si="8"/>
        <v>47027</v>
      </c>
      <c r="AF11" s="268">
        <f t="shared" si="8"/>
        <v>47119</v>
      </c>
      <c r="AG11" s="268">
        <f t="shared" si="8"/>
        <v>47209</v>
      </c>
      <c r="AH11" s="268">
        <f t="shared" si="8"/>
        <v>47300</v>
      </c>
      <c r="AI11" s="268">
        <f t="shared" si="8"/>
        <v>47392</v>
      </c>
      <c r="AJ11" s="268">
        <f t="shared" si="8"/>
        <v>47484</v>
      </c>
      <c r="AK11" s="268">
        <f t="shared" si="8"/>
        <v>47574</v>
      </c>
      <c r="AL11" s="268">
        <f t="shared" si="8"/>
        <v>47665</v>
      </c>
      <c r="AM11" s="268">
        <f t="shared" si="8"/>
        <v>47757</v>
      </c>
      <c r="AN11" s="268">
        <f t="shared" si="8"/>
        <v>47849</v>
      </c>
      <c r="AO11" s="268">
        <f t="shared" si="8"/>
        <v>47939</v>
      </c>
      <c r="AP11" s="268">
        <f t="shared" si="8"/>
        <v>48030</v>
      </c>
      <c r="AQ11" s="268">
        <f t="shared" si="8"/>
        <v>48122</v>
      </c>
      <c r="AR11" s="268">
        <f t="shared" si="8"/>
        <v>48214</v>
      </c>
      <c r="AS11" s="268">
        <f t="shared" si="8"/>
        <v>48305</v>
      </c>
      <c r="AT11" s="268">
        <f t="shared" si="8"/>
        <v>48396</v>
      </c>
      <c r="AU11" s="268">
        <f t="shared" si="8"/>
        <v>48488</v>
      </c>
      <c r="AV11" s="268">
        <f t="shared" si="8"/>
        <v>48580</v>
      </c>
      <c r="AW11" s="268">
        <f t="shared" si="8"/>
        <v>48670</v>
      </c>
      <c r="AX11" s="268">
        <f t="shared" si="8"/>
        <v>48761</v>
      </c>
      <c r="AY11" s="268">
        <f t="shared" si="8"/>
        <v>48853</v>
      </c>
      <c r="AZ11" s="268">
        <f t="shared" si="8"/>
        <v>48945</v>
      </c>
      <c r="BA11" s="268">
        <f t="shared" si="8"/>
        <v>49035</v>
      </c>
      <c r="BB11" s="268">
        <f t="shared" si="8"/>
        <v>49126</v>
      </c>
      <c r="BC11" s="268">
        <f t="shared" si="8"/>
        <v>49218</v>
      </c>
      <c r="BD11" s="268">
        <f t="shared" si="8"/>
        <v>49310</v>
      </c>
      <c r="BE11" s="268">
        <f t="shared" si="8"/>
        <v>49400</v>
      </c>
      <c r="BF11" s="268">
        <f t="shared" si="8"/>
        <v>49491</v>
      </c>
      <c r="BG11" s="268">
        <f t="shared" si="8"/>
        <v>49583</v>
      </c>
      <c r="BH11" s="268">
        <f t="shared" si="8"/>
        <v>49675</v>
      </c>
      <c r="BI11" s="268">
        <f t="shared" si="8"/>
        <v>49766</v>
      </c>
      <c r="BJ11" s="268">
        <f t="shared" si="8"/>
        <v>49857</v>
      </c>
      <c r="BK11" s="268">
        <f t="shared" si="8"/>
        <v>49949</v>
      </c>
      <c r="BL11" s="268">
        <f t="shared" si="8"/>
        <v>50041</v>
      </c>
      <c r="BM11" s="268">
        <f t="shared" si="8"/>
        <v>50131</v>
      </c>
      <c r="BN11" s="268">
        <f t="shared" si="8"/>
        <v>50222</v>
      </c>
      <c r="BO11" s="268">
        <f t="shared" si="8"/>
        <v>50314</v>
      </c>
      <c r="BP11" s="268">
        <f t="shared" si="8"/>
        <v>50406</v>
      </c>
      <c r="BQ11" s="268">
        <f t="shared" si="8"/>
        <v>50496</v>
      </c>
      <c r="BR11" s="268">
        <f t="shared" ref="BR11:CQ11" si="9">DATE(YEAR(BQ12),(TRUNC((MONTH(BQ12)-1)/3,0)+1)*3+1,1)</f>
        <v>50587</v>
      </c>
      <c r="BS11" s="268">
        <f t="shared" si="9"/>
        <v>50679</v>
      </c>
      <c r="BT11" s="268">
        <f t="shared" si="9"/>
        <v>50771</v>
      </c>
      <c r="BU11" s="268">
        <f t="shared" si="9"/>
        <v>50861</v>
      </c>
      <c r="BV11" s="268">
        <f t="shared" si="9"/>
        <v>50952</v>
      </c>
      <c r="BW11" s="268">
        <f t="shared" si="9"/>
        <v>51044</v>
      </c>
      <c r="BX11" s="268">
        <f t="shared" si="9"/>
        <v>51136</v>
      </c>
      <c r="BY11" s="268">
        <f t="shared" si="9"/>
        <v>51227</v>
      </c>
      <c r="BZ11" s="268">
        <f t="shared" si="9"/>
        <v>51318</v>
      </c>
      <c r="CA11" s="268">
        <f t="shared" si="9"/>
        <v>51410</v>
      </c>
      <c r="CB11" s="268">
        <f t="shared" si="9"/>
        <v>51502</v>
      </c>
      <c r="CC11" s="268">
        <f t="shared" si="9"/>
        <v>51592</v>
      </c>
      <c r="CD11" s="268">
        <f t="shared" si="9"/>
        <v>51683</v>
      </c>
      <c r="CE11" s="268">
        <f t="shared" si="9"/>
        <v>51775</v>
      </c>
      <c r="CF11" s="268">
        <f t="shared" si="9"/>
        <v>51867</v>
      </c>
      <c r="CG11" s="268">
        <f t="shared" si="9"/>
        <v>51957</v>
      </c>
      <c r="CH11" s="268">
        <f t="shared" si="9"/>
        <v>52048</v>
      </c>
      <c r="CI11" s="268">
        <f t="shared" si="9"/>
        <v>52140</v>
      </c>
      <c r="CJ11" s="268">
        <f t="shared" si="9"/>
        <v>52232</v>
      </c>
      <c r="CK11" s="268">
        <f t="shared" si="9"/>
        <v>52322</v>
      </c>
      <c r="CL11" s="268">
        <f t="shared" si="9"/>
        <v>52413</v>
      </c>
      <c r="CM11" s="268">
        <f t="shared" si="9"/>
        <v>52505</v>
      </c>
      <c r="CN11" s="268">
        <f t="shared" si="9"/>
        <v>52597</v>
      </c>
      <c r="CO11" s="268">
        <f t="shared" si="9"/>
        <v>52688</v>
      </c>
      <c r="CP11" s="268">
        <f t="shared" si="9"/>
        <v>52779</v>
      </c>
      <c r="CQ11" s="268">
        <f t="shared" si="9"/>
        <v>52871</v>
      </c>
    </row>
    <row r="12" spans="1:120">
      <c r="C12" s="26" t="s">
        <v>2</v>
      </c>
      <c r="D12" s="195">
        <f>DATE(YEAR(D11),((TRUNC((MONTH(D11)-1),0)+1)+2),1)-1</f>
        <v>44651</v>
      </c>
      <c r="E12" s="147">
        <f>DATE(YEAR(E11),((TRUNC((MONTH(E11)-1),0)+1)+1)+2,1)-1</f>
        <v>44742</v>
      </c>
      <c r="F12" s="147">
        <f t="shared" ref="F12:BQ12" si="10">DATE(YEAR(F11),((TRUNC((MONTH(F11)-1),0)+1)+1)+2,1)-1</f>
        <v>44834</v>
      </c>
      <c r="G12" s="147">
        <f t="shared" si="10"/>
        <v>44926</v>
      </c>
      <c r="H12" s="147">
        <f t="shared" si="10"/>
        <v>45016</v>
      </c>
      <c r="I12" s="147">
        <f t="shared" si="10"/>
        <v>45107</v>
      </c>
      <c r="J12" s="147">
        <f t="shared" si="10"/>
        <v>45199</v>
      </c>
      <c r="K12" s="147">
        <f t="shared" si="10"/>
        <v>45291</v>
      </c>
      <c r="L12" s="147">
        <f t="shared" si="10"/>
        <v>45382</v>
      </c>
      <c r="M12" s="147">
        <f t="shared" si="10"/>
        <v>45473</v>
      </c>
      <c r="N12" s="147">
        <f t="shared" si="10"/>
        <v>45565</v>
      </c>
      <c r="O12" s="147">
        <f t="shared" si="10"/>
        <v>45657</v>
      </c>
      <c r="P12" s="147">
        <f t="shared" si="10"/>
        <v>45747</v>
      </c>
      <c r="Q12" s="147">
        <f t="shared" si="10"/>
        <v>45838</v>
      </c>
      <c r="R12" s="147">
        <f t="shared" si="10"/>
        <v>45930</v>
      </c>
      <c r="S12" s="147">
        <f t="shared" si="10"/>
        <v>46022</v>
      </c>
      <c r="T12" s="147">
        <f t="shared" si="10"/>
        <v>46112</v>
      </c>
      <c r="U12" s="147">
        <f t="shared" si="10"/>
        <v>46203</v>
      </c>
      <c r="V12" s="147">
        <f t="shared" si="10"/>
        <v>46295</v>
      </c>
      <c r="W12" s="147">
        <f t="shared" si="10"/>
        <v>46387</v>
      </c>
      <c r="X12" s="147">
        <f t="shared" si="10"/>
        <v>46477</v>
      </c>
      <c r="Y12" s="147">
        <f t="shared" si="10"/>
        <v>46568</v>
      </c>
      <c r="Z12" s="147">
        <f t="shared" si="10"/>
        <v>46660</v>
      </c>
      <c r="AA12" s="147">
        <f t="shared" si="10"/>
        <v>46752</v>
      </c>
      <c r="AB12" s="147">
        <f t="shared" si="10"/>
        <v>46843</v>
      </c>
      <c r="AC12" s="147">
        <f t="shared" si="10"/>
        <v>46934</v>
      </c>
      <c r="AD12" s="147">
        <f t="shared" si="10"/>
        <v>47026</v>
      </c>
      <c r="AE12" s="147">
        <f t="shared" si="10"/>
        <v>47118</v>
      </c>
      <c r="AF12" s="147">
        <f t="shared" si="10"/>
        <v>47208</v>
      </c>
      <c r="AG12" s="147">
        <f t="shared" si="10"/>
        <v>47299</v>
      </c>
      <c r="AH12" s="147">
        <f t="shared" si="10"/>
        <v>47391</v>
      </c>
      <c r="AI12" s="147">
        <f t="shared" si="10"/>
        <v>47483</v>
      </c>
      <c r="AJ12" s="147">
        <f t="shared" si="10"/>
        <v>47573</v>
      </c>
      <c r="AK12" s="147">
        <f t="shared" si="10"/>
        <v>47664</v>
      </c>
      <c r="AL12" s="147">
        <f t="shared" si="10"/>
        <v>47756</v>
      </c>
      <c r="AM12" s="147">
        <f t="shared" si="10"/>
        <v>47848</v>
      </c>
      <c r="AN12" s="147">
        <f t="shared" si="10"/>
        <v>47938</v>
      </c>
      <c r="AO12" s="147">
        <f t="shared" si="10"/>
        <v>48029</v>
      </c>
      <c r="AP12" s="147">
        <f t="shared" si="10"/>
        <v>48121</v>
      </c>
      <c r="AQ12" s="147">
        <f t="shared" si="10"/>
        <v>48213</v>
      </c>
      <c r="AR12" s="147">
        <f t="shared" si="10"/>
        <v>48304</v>
      </c>
      <c r="AS12" s="147">
        <f t="shared" si="10"/>
        <v>48395</v>
      </c>
      <c r="AT12" s="147">
        <f t="shared" si="10"/>
        <v>48487</v>
      </c>
      <c r="AU12" s="147">
        <f t="shared" si="10"/>
        <v>48579</v>
      </c>
      <c r="AV12" s="147">
        <f t="shared" si="10"/>
        <v>48669</v>
      </c>
      <c r="AW12" s="147">
        <f t="shared" si="10"/>
        <v>48760</v>
      </c>
      <c r="AX12" s="147">
        <f t="shared" si="10"/>
        <v>48852</v>
      </c>
      <c r="AY12" s="147">
        <f t="shared" si="10"/>
        <v>48944</v>
      </c>
      <c r="AZ12" s="147">
        <f t="shared" si="10"/>
        <v>49034</v>
      </c>
      <c r="BA12" s="147">
        <f t="shared" si="10"/>
        <v>49125</v>
      </c>
      <c r="BB12" s="147">
        <f t="shared" si="10"/>
        <v>49217</v>
      </c>
      <c r="BC12" s="147">
        <f t="shared" si="10"/>
        <v>49309</v>
      </c>
      <c r="BD12" s="147">
        <f t="shared" si="10"/>
        <v>49399</v>
      </c>
      <c r="BE12" s="147">
        <f t="shared" si="10"/>
        <v>49490</v>
      </c>
      <c r="BF12" s="147">
        <f t="shared" si="10"/>
        <v>49582</v>
      </c>
      <c r="BG12" s="147">
        <f t="shared" si="10"/>
        <v>49674</v>
      </c>
      <c r="BH12" s="147">
        <f t="shared" si="10"/>
        <v>49765</v>
      </c>
      <c r="BI12" s="147">
        <f t="shared" si="10"/>
        <v>49856</v>
      </c>
      <c r="BJ12" s="147">
        <f t="shared" si="10"/>
        <v>49948</v>
      </c>
      <c r="BK12" s="147">
        <f t="shared" si="10"/>
        <v>50040</v>
      </c>
      <c r="BL12" s="147">
        <f t="shared" si="10"/>
        <v>50130</v>
      </c>
      <c r="BM12" s="147">
        <f t="shared" si="10"/>
        <v>50221</v>
      </c>
      <c r="BN12" s="147">
        <f t="shared" si="10"/>
        <v>50313</v>
      </c>
      <c r="BO12" s="147">
        <f t="shared" si="10"/>
        <v>50405</v>
      </c>
      <c r="BP12" s="147">
        <f t="shared" si="10"/>
        <v>50495</v>
      </c>
      <c r="BQ12" s="147">
        <f t="shared" si="10"/>
        <v>50586</v>
      </c>
      <c r="BR12" s="147">
        <f t="shared" ref="BR12:CM12" si="11">DATE(YEAR(BR11),((TRUNC((MONTH(BR11)-1),0)+1)+1)+2,1)-1</f>
        <v>50678</v>
      </c>
      <c r="BS12" s="147">
        <f t="shared" si="11"/>
        <v>50770</v>
      </c>
      <c r="BT12" s="147">
        <f t="shared" si="11"/>
        <v>50860</v>
      </c>
      <c r="BU12" s="147">
        <f t="shared" si="11"/>
        <v>50951</v>
      </c>
      <c r="BV12" s="147">
        <f t="shared" si="11"/>
        <v>51043</v>
      </c>
      <c r="BW12" s="147">
        <f t="shared" si="11"/>
        <v>51135</v>
      </c>
      <c r="BX12" s="147">
        <f t="shared" si="11"/>
        <v>51226</v>
      </c>
      <c r="BY12" s="147">
        <f t="shared" si="11"/>
        <v>51317</v>
      </c>
      <c r="BZ12" s="147">
        <f t="shared" si="11"/>
        <v>51409</v>
      </c>
      <c r="CA12" s="147">
        <f t="shared" si="11"/>
        <v>51501</v>
      </c>
      <c r="CB12" s="147">
        <f t="shared" si="11"/>
        <v>51591</v>
      </c>
      <c r="CC12" s="147">
        <f t="shared" si="11"/>
        <v>51682</v>
      </c>
      <c r="CD12" s="147">
        <f t="shared" si="11"/>
        <v>51774</v>
      </c>
      <c r="CE12" s="147">
        <f t="shared" si="11"/>
        <v>51866</v>
      </c>
      <c r="CF12" s="147">
        <f t="shared" si="11"/>
        <v>51956</v>
      </c>
      <c r="CG12" s="147">
        <f t="shared" si="11"/>
        <v>52047</v>
      </c>
      <c r="CH12" s="147">
        <f t="shared" si="11"/>
        <v>52139</v>
      </c>
      <c r="CI12" s="147">
        <f t="shared" si="11"/>
        <v>52231</v>
      </c>
      <c r="CJ12" s="147">
        <f t="shared" si="11"/>
        <v>52321</v>
      </c>
      <c r="CK12" s="147">
        <f t="shared" si="11"/>
        <v>52412</v>
      </c>
      <c r="CL12" s="147">
        <f t="shared" si="11"/>
        <v>52504</v>
      </c>
      <c r="CM12" s="147">
        <f t="shared" si="11"/>
        <v>52596</v>
      </c>
      <c r="CN12" s="147">
        <f>DATE(YEAR(CN11),((TRUNC((MONTH(CN11)-1),0)+1)+1)+2,1)-1</f>
        <v>52687</v>
      </c>
      <c r="CO12" s="147">
        <f>DATE(YEAR(CO11),((TRUNC((MONTH(CO11)-1),0)+1)+1)+2,1)-1</f>
        <v>52778</v>
      </c>
      <c r="CP12" s="147">
        <f>DATE(YEAR(CP11),((TRUNC((MONTH(CP11)-1),0)+1)+1)+2,1)-1</f>
        <v>52870</v>
      </c>
      <c r="CQ12" s="147">
        <f>DATE(YEAR(CQ11),((TRUNC((MONTH(CQ11)-1),0)+1)+1)+2,1)-1</f>
        <v>52962</v>
      </c>
    </row>
    <row r="13" spans="1:120">
      <c r="C13" s="26" t="s">
        <v>5</v>
      </c>
      <c r="D13" s="249">
        <v>1</v>
      </c>
      <c r="E13" s="250">
        <f>LOOKUP(E$11,CPI!15:15,CPI!24:24)</f>
        <v>1.0198039027185568</v>
      </c>
      <c r="F13" s="250">
        <f>LOOKUP(F$11,CPI!15:15,CPI!24:24)</f>
        <v>1.0298524451722677</v>
      </c>
      <c r="G13" s="250">
        <f>LOOKUP(G$11,CPI!15:15,CPI!24:24)</f>
        <v>1.0399999999999996</v>
      </c>
      <c r="H13" s="250">
        <f>LOOKUP(H$11,CPI!15:15,CPI!24:24)</f>
        <v>1.0502475428109272</v>
      </c>
      <c r="I13" s="250">
        <f>LOOKUP(I$11,CPI!15:15,CPI!24:24)</f>
        <v>1.0605960588272989</v>
      </c>
      <c r="J13" s="250">
        <f>LOOKUP(J$11,CPI!15:15,CPI!24:24)</f>
        <v>1.0710465429791582</v>
      </c>
      <c r="K13" s="250">
        <f>LOOKUP(K$11,CPI!15:15,CPI!24:24)</f>
        <v>1.0815999999999995</v>
      </c>
      <c r="L13" s="250">
        <f>LOOKUP(L$11,CPI!15:15,CPI!24:24)</f>
        <v>1.0922574445233642</v>
      </c>
      <c r="M13" s="250">
        <f>LOOKUP(M$11,CPI!15:15,CPI!24:24)</f>
        <v>1.1030199011803907</v>
      </c>
      <c r="N13" s="250">
        <f>LOOKUP(N$11,CPI!15:15,CPI!24:24)</f>
        <v>1.1138884046983246</v>
      </c>
      <c r="O13" s="250">
        <f>LOOKUP(O$11,CPI!15:15,CPI!24:24)</f>
        <v>1.1248639999999994</v>
      </c>
      <c r="P13" s="250">
        <f>LOOKUP(P$11,CPI!15:15,CPI!24:24)</f>
        <v>1.1359477423042987</v>
      </c>
      <c r="Q13" s="250">
        <f>LOOKUP(Q$11,CPI!15:15,CPI!24:24)</f>
        <v>1.1471406972276064</v>
      </c>
      <c r="R13" s="250">
        <f>LOOKUP(R$11,CPI!15:15,CPI!24:24)</f>
        <v>1.1584439408862575</v>
      </c>
      <c r="S13" s="250">
        <f>LOOKUP(S$11,CPI!15:15,CPI!24:24)</f>
        <v>1.1698585599999993</v>
      </c>
      <c r="T13" s="250">
        <f>LOOKUP(T$11,CPI!15:15,CPI!24:24)</f>
        <v>1.1813856519964705</v>
      </c>
      <c r="U13" s="250">
        <f>LOOKUP(U$11,CPI!15:15,CPI!24:24)</f>
        <v>1.1930263251167104</v>
      </c>
      <c r="V13" s="250">
        <f>LOOKUP(V$11,CPI!15:15,CPI!24:24)</f>
        <v>1.2047816985217075</v>
      </c>
      <c r="W13" s="250">
        <f>LOOKUP(W$11,CPI!15:15,CPI!24:24)</f>
        <v>1.216652902399999</v>
      </c>
      <c r="X13" s="250">
        <f>LOOKUP(X$11,CPI!15:15,CPI!24:24)</f>
        <v>1.2286410780763291</v>
      </c>
      <c r="Y13" s="250">
        <f>LOOKUP(Y$11,CPI!15:15,CPI!24:24)</f>
        <v>1.2407473781213785</v>
      </c>
      <c r="Z13" s="250">
        <f>LOOKUP(Z$11,CPI!15:15,CPI!24:24)</f>
        <v>1.2529729664625755</v>
      </c>
      <c r="AA13" s="250">
        <f>LOOKUP(AA$11,CPI!15:15,CPI!24:24)</f>
        <v>1.2653190184959988</v>
      </c>
      <c r="AB13" s="250">
        <f>LOOKUP(AB$11,CPI!15:15,CPI!24:24)</f>
        <v>1.2777867211993821</v>
      </c>
      <c r="AC13" s="250">
        <f>LOOKUP(AC$11,CPI!15:15,CPI!24:24)</f>
        <v>1.2903772732462335</v>
      </c>
      <c r="AD13" s="250">
        <f>LOOKUP(AD$11,CPI!15:15,CPI!24:24)</f>
        <v>1.3030918851210784</v>
      </c>
      <c r="AE13" s="250">
        <f>LOOKUP(AE$11,CPI!15:15,CPI!24:24)</f>
        <v>1.3159317792358387</v>
      </c>
      <c r="AF13" s="250">
        <f>LOOKUP(AF$11,CPI!15:15,CPI!24:24)</f>
        <v>1.3288981900473573</v>
      </c>
      <c r="AG13" s="250">
        <f>LOOKUP(AG$11,CPI!15:15,CPI!24:24)</f>
        <v>1.3419923641760827</v>
      </c>
      <c r="AH13" s="250">
        <f>LOOKUP(AH$11,CPI!15:15,CPI!24:24)</f>
        <v>1.3552155605259215</v>
      </c>
      <c r="AI13" s="250">
        <f>LOOKUP(AI$11,CPI!15:15,CPI!24:24)</f>
        <v>1.3685690504052721</v>
      </c>
      <c r="AJ13" s="250">
        <f>LOOKUP(AJ$11,CPI!15:15,CPI!24:24)</f>
        <v>1.3820541176492513</v>
      </c>
      <c r="AK13" s="250">
        <f>LOOKUP(AK$11,CPI!15:15,CPI!24:24)</f>
        <v>1.3956720587431257</v>
      </c>
      <c r="AL13" s="250">
        <f>LOOKUP(AL$11,CPI!15:15,CPI!24:24)</f>
        <v>1.409424182946958</v>
      </c>
      <c r="AM13" s="250">
        <f>LOOKUP(AM$11,CPI!15:15,CPI!24:24)</f>
        <v>1.4233118124214825</v>
      </c>
      <c r="AN13" s="250">
        <f>LOOKUP(AN$11,CPI!15:15,CPI!24:24)</f>
        <v>1.4373362823552212</v>
      </c>
      <c r="AO13" s="250">
        <f>LOOKUP(AO$11,CPI!15:15,CPI!24:24)</f>
        <v>1.4514989410928505</v>
      </c>
      <c r="AP13" s="250">
        <f>LOOKUP(AP$11,CPI!15:15,CPI!24:24)</f>
        <v>1.465801150264836</v>
      </c>
      <c r="AQ13" s="250">
        <f>LOOKUP(AQ$11,CPI!15:15,CPI!24:24)</f>
        <v>1.4802442849183417</v>
      </c>
      <c r="AR13" s="250">
        <f>LOOKUP(AR$11,CPI!15:15,CPI!24:24)</f>
        <v>1.4948297336494298</v>
      </c>
      <c r="AS13" s="250">
        <f>LOOKUP(AS$11,CPI!15:15,CPI!24:24)</f>
        <v>1.5095588987365645</v>
      </c>
      <c r="AT13" s="250">
        <f>LOOKUP(AT$11,CPI!15:15,CPI!24:24)</f>
        <v>1.5244331962754294</v>
      </c>
      <c r="AU13" s="250">
        <f>LOOKUP(AU$11,CPI!15:15,CPI!24:24)</f>
        <v>1.5394540563150751</v>
      </c>
      <c r="AV13" s="250">
        <f>LOOKUP(AV$11,CPI!15:15,CPI!24:24)</f>
        <v>1.5546229229954067</v>
      </c>
      <c r="AW13" s="250">
        <f>LOOKUP(AW$11,CPI!15:15,CPI!24:24)</f>
        <v>1.5699412546860267</v>
      </c>
      <c r="AX13" s="250">
        <f>LOOKUP(AX$11,CPI!15:15,CPI!24:24)</f>
        <v>1.5854105241264465</v>
      </c>
      <c r="AY13" s="250">
        <f>LOOKUP(AY$11,CPI!15:15,CPI!24:24)</f>
        <v>1.601032218567678</v>
      </c>
      <c r="AZ13" s="250">
        <f>LOOKUP(AZ$11,CPI!15:15,CPI!24:24)</f>
        <v>1.6168078399152228</v>
      </c>
      <c r="BA13" s="250">
        <f>LOOKUP(BA$11,CPI!15:15,CPI!24:24)</f>
        <v>1.6327389048734675</v>
      </c>
      <c r="BB13" s="250">
        <f>LOOKUP(BB$11,CPI!15:15,CPI!24:24)</f>
        <v>1.6488269450915038</v>
      </c>
      <c r="BC13" s="250">
        <f>LOOKUP(BC$11,CPI!15:15,CPI!24:24)</f>
        <v>1.6650735073103848</v>
      </c>
      <c r="BD13" s="250">
        <f>LOOKUP(BD$11,CPI!15:15,CPI!24:24)</f>
        <v>1.6814801535118316</v>
      </c>
      <c r="BE13" s="250">
        <f>LOOKUP(BE$11,CPI!15:15,CPI!24:24)</f>
        <v>1.6980484610684061</v>
      </c>
      <c r="BF13" s="250">
        <f>LOOKUP(BF$11,CPI!15:15,CPI!24:24)</f>
        <v>1.714780022895164</v>
      </c>
      <c r="BG13" s="250">
        <f>LOOKUP(BG$11,CPI!15:15,CPI!24:24)</f>
        <v>1.7316764476028002</v>
      </c>
      <c r="BH13" s="250">
        <f>LOOKUP(BH$11,CPI!15:15,CPI!24:24)</f>
        <v>1.7487393596523046</v>
      </c>
      <c r="BI13" s="250">
        <f>LOOKUP(BI$11,CPI!15:15,CPI!24:24)</f>
        <v>1.7659703995111422</v>
      </c>
      <c r="BJ13" s="250">
        <f>LOOKUP(BJ$11,CPI!15:15,CPI!24:24)</f>
        <v>1.7833712238109705</v>
      </c>
      <c r="BK13" s="250">
        <f>LOOKUP(BK$11,CPI!15:15,CPI!24:24)</f>
        <v>1.8009435055069121</v>
      </c>
      <c r="BL13" s="250">
        <f>LOOKUP(BL$11,CPI!15:15,CPI!24:24)</f>
        <v>1.8009435055069121</v>
      </c>
      <c r="BM13" s="250">
        <f>LOOKUP(BM$11,CPI!15:15,CPI!24:24)</f>
        <v>1.8009435055069121</v>
      </c>
      <c r="BN13" s="250">
        <f>LOOKUP(BN$11,CPI!15:15,CPI!24:24)</f>
        <v>1.8009435055069121</v>
      </c>
      <c r="BO13" s="250">
        <f>LOOKUP(BO$11,CPI!15:15,CPI!24:24)</f>
        <v>1.8009435055069121</v>
      </c>
      <c r="BP13" s="250">
        <f>LOOKUP(BP$11,CPI!15:15,CPI!24:24)</f>
        <v>1.8009435055069121</v>
      </c>
      <c r="BQ13" s="250">
        <f>LOOKUP(BQ$11,CPI!15:15,CPI!24:24)</f>
        <v>1.8009435055069121</v>
      </c>
      <c r="BR13" s="250">
        <f>LOOKUP(BR$11,CPI!15:15,CPI!24:24)</f>
        <v>1.8009435055069121</v>
      </c>
      <c r="BS13" s="250">
        <f>LOOKUP(BS$11,CPI!15:15,CPI!24:24)</f>
        <v>1.8009435055069121</v>
      </c>
      <c r="BT13" s="250">
        <f>LOOKUP(BT$11,CPI!15:15,CPI!24:24)</f>
        <v>1.8009435055069121</v>
      </c>
      <c r="BU13" s="250">
        <f>LOOKUP(BU$11,CPI!15:15,CPI!24:24)</f>
        <v>1.8009435055069121</v>
      </c>
      <c r="BV13" s="250">
        <f>LOOKUP(BV$11,CPI!15:15,CPI!24:24)</f>
        <v>1.8009435055069121</v>
      </c>
      <c r="BW13" s="250">
        <f>LOOKUP(BW$11,CPI!15:15,CPI!24:24)</f>
        <v>1.8009435055069121</v>
      </c>
      <c r="BX13" s="250">
        <f>LOOKUP(BX$11,CPI!15:15,CPI!24:24)</f>
        <v>1.8009435055069121</v>
      </c>
      <c r="BY13" s="250">
        <f>LOOKUP(BY$11,CPI!15:15,CPI!24:24)</f>
        <v>1.8009435055069121</v>
      </c>
      <c r="BZ13" s="250">
        <f>LOOKUP(BZ$11,CPI!15:15,CPI!24:24)</f>
        <v>1.8009435055069121</v>
      </c>
      <c r="CA13" s="250">
        <f>LOOKUP(CA$11,CPI!15:15,CPI!24:24)</f>
        <v>1.8009435055069121</v>
      </c>
      <c r="CB13" s="250">
        <f>LOOKUP(CB$11,CPI!15:15,CPI!24:24)</f>
        <v>1.8009435055069121</v>
      </c>
      <c r="CC13" s="250">
        <f>LOOKUP(CC$11,CPI!15:15,CPI!24:24)</f>
        <v>1.8009435055069121</v>
      </c>
      <c r="CD13" s="250">
        <f>LOOKUP(CD$11,CPI!15:15,CPI!24:24)</f>
        <v>1.8009435055069121</v>
      </c>
      <c r="CE13" s="250">
        <f>LOOKUP(CE$11,CPI!15:15,CPI!24:24)</f>
        <v>1.8009435055069121</v>
      </c>
      <c r="CF13" s="250">
        <f>LOOKUP(CF$11,CPI!15:15,CPI!24:24)</f>
        <v>1.8009435055069121</v>
      </c>
      <c r="CG13" s="250">
        <f>LOOKUP(CG$11,CPI!15:15,CPI!24:24)</f>
        <v>1.8009435055069121</v>
      </c>
      <c r="CH13" s="250">
        <f>LOOKUP(CH$11,CPI!15:15,CPI!24:24)</f>
        <v>1.8009435055069121</v>
      </c>
      <c r="CI13" s="250">
        <f>LOOKUP(CI$11,CPI!15:15,CPI!24:24)</f>
        <v>1.8009435055069121</v>
      </c>
      <c r="CJ13" s="250">
        <f>LOOKUP(CJ$11,CPI!15:15,CPI!24:24)</f>
        <v>1.8009435055069121</v>
      </c>
      <c r="CK13" s="250">
        <f>LOOKUP(CK$11,CPI!15:15,CPI!24:24)</f>
        <v>1.8009435055069121</v>
      </c>
      <c r="CL13" s="250">
        <f>LOOKUP(CL$11,CPI!15:15,CPI!24:24)</f>
        <v>1.8009435055069121</v>
      </c>
      <c r="CM13" s="250">
        <f>LOOKUP(CM$11,CPI!15:15,CPI!24:24)</f>
        <v>1.8009435055069121</v>
      </c>
      <c r="CN13" s="250">
        <f>LOOKUP(CN$11,CPI!15:15,CPI!24:24)</f>
        <v>1.8009435055069121</v>
      </c>
      <c r="CO13" s="250">
        <f>LOOKUP(CO$11,CPI!15:15,CPI!24:24)</f>
        <v>1.8009435055069121</v>
      </c>
      <c r="CP13" s="250">
        <f>LOOKUP(CP$11,CPI!15:15,CPI!24:24)</f>
        <v>1.8009435055069121</v>
      </c>
      <c r="CQ13" s="250">
        <f>LOOKUP(CQ$11,CPI!15:15,CPI!24:24)</f>
        <v>1.8009435055069121</v>
      </c>
    </row>
    <row r="14" spans="1:120">
      <c r="B14" s="195">
        <f>Объекты!K13</f>
        <v>45839</v>
      </c>
      <c r="C14" s="251" t="s">
        <v>913</v>
      </c>
      <c r="D14" s="252">
        <f>IF($B$14&lt;=D11,1,0)</f>
        <v>0</v>
      </c>
      <c r="E14" s="252">
        <f t="shared" ref="E14:BP14" si="12">IF($B$14&lt;=E11,1,0)</f>
        <v>0</v>
      </c>
      <c r="F14" s="252">
        <f t="shared" si="12"/>
        <v>0</v>
      </c>
      <c r="G14" s="252">
        <f t="shared" si="12"/>
        <v>0</v>
      </c>
      <c r="H14" s="252">
        <f t="shared" si="12"/>
        <v>0</v>
      </c>
      <c r="I14" s="252">
        <f t="shared" si="12"/>
        <v>0</v>
      </c>
      <c r="J14" s="252">
        <f t="shared" si="12"/>
        <v>0</v>
      </c>
      <c r="K14" s="252">
        <f t="shared" si="12"/>
        <v>0</v>
      </c>
      <c r="L14" s="252">
        <f t="shared" si="12"/>
        <v>0</v>
      </c>
      <c r="M14" s="252">
        <f t="shared" si="12"/>
        <v>0</v>
      </c>
      <c r="N14" s="252">
        <f t="shared" si="12"/>
        <v>0</v>
      </c>
      <c r="O14" s="252">
        <f t="shared" si="12"/>
        <v>0</v>
      </c>
      <c r="P14" s="252">
        <f t="shared" si="12"/>
        <v>0</v>
      </c>
      <c r="Q14" s="252">
        <f t="shared" si="12"/>
        <v>0</v>
      </c>
      <c r="R14" s="252">
        <f t="shared" si="12"/>
        <v>1</v>
      </c>
      <c r="S14" s="252">
        <f t="shared" si="12"/>
        <v>1</v>
      </c>
      <c r="T14" s="252">
        <f t="shared" si="12"/>
        <v>1</v>
      </c>
      <c r="U14" s="252">
        <f t="shared" si="12"/>
        <v>1</v>
      </c>
      <c r="V14" s="252">
        <f t="shared" si="12"/>
        <v>1</v>
      </c>
      <c r="W14" s="252">
        <f t="shared" si="12"/>
        <v>1</v>
      </c>
      <c r="X14" s="252">
        <f t="shared" si="12"/>
        <v>1</v>
      </c>
      <c r="Y14" s="252">
        <f t="shared" si="12"/>
        <v>1</v>
      </c>
      <c r="Z14" s="252">
        <f t="shared" si="12"/>
        <v>1</v>
      </c>
      <c r="AA14" s="252">
        <f t="shared" si="12"/>
        <v>1</v>
      </c>
      <c r="AB14" s="252">
        <f t="shared" si="12"/>
        <v>1</v>
      </c>
      <c r="AC14" s="252">
        <f t="shared" si="12"/>
        <v>1</v>
      </c>
      <c r="AD14" s="252">
        <f t="shared" si="12"/>
        <v>1</v>
      </c>
      <c r="AE14" s="252">
        <f t="shared" si="12"/>
        <v>1</v>
      </c>
      <c r="AF14" s="252">
        <f t="shared" si="12"/>
        <v>1</v>
      </c>
      <c r="AG14" s="252">
        <f t="shared" si="12"/>
        <v>1</v>
      </c>
      <c r="AH14" s="252">
        <f t="shared" si="12"/>
        <v>1</v>
      </c>
      <c r="AI14" s="252">
        <f t="shared" si="12"/>
        <v>1</v>
      </c>
      <c r="AJ14" s="252">
        <f t="shared" si="12"/>
        <v>1</v>
      </c>
      <c r="AK14" s="252">
        <f t="shared" si="12"/>
        <v>1</v>
      </c>
      <c r="AL14" s="252">
        <f t="shared" si="12"/>
        <v>1</v>
      </c>
      <c r="AM14" s="252">
        <f t="shared" si="12"/>
        <v>1</v>
      </c>
      <c r="AN14" s="252">
        <f t="shared" si="12"/>
        <v>1</v>
      </c>
      <c r="AO14" s="252">
        <f t="shared" si="12"/>
        <v>1</v>
      </c>
      <c r="AP14" s="252">
        <f t="shared" si="12"/>
        <v>1</v>
      </c>
      <c r="AQ14" s="252">
        <f t="shared" si="12"/>
        <v>1</v>
      </c>
      <c r="AR14" s="252">
        <f t="shared" si="12"/>
        <v>1</v>
      </c>
      <c r="AS14" s="252">
        <f t="shared" si="12"/>
        <v>1</v>
      </c>
      <c r="AT14" s="252">
        <f t="shared" si="12"/>
        <v>1</v>
      </c>
      <c r="AU14" s="252">
        <f t="shared" si="12"/>
        <v>1</v>
      </c>
      <c r="AV14" s="252">
        <f t="shared" si="12"/>
        <v>1</v>
      </c>
      <c r="AW14" s="252">
        <f t="shared" si="12"/>
        <v>1</v>
      </c>
      <c r="AX14" s="252">
        <f t="shared" si="12"/>
        <v>1</v>
      </c>
      <c r="AY14" s="252">
        <f t="shared" si="12"/>
        <v>1</v>
      </c>
      <c r="AZ14" s="252">
        <f t="shared" si="12"/>
        <v>1</v>
      </c>
      <c r="BA14" s="252">
        <f t="shared" si="12"/>
        <v>1</v>
      </c>
      <c r="BB14" s="252">
        <f t="shared" si="12"/>
        <v>1</v>
      </c>
      <c r="BC14" s="252">
        <f t="shared" si="12"/>
        <v>1</v>
      </c>
      <c r="BD14" s="252">
        <f t="shared" si="12"/>
        <v>1</v>
      </c>
      <c r="BE14" s="252">
        <f t="shared" si="12"/>
        <v>1</v>
      </c>
      <c r="BF14" s="252">
        <f t="shared" si="12"/>
        <v>1</v>
      </c>
      <c r="BG14" s="252">
        <f t="shared" si="12"/>
        <v>1</v>
      </c>
      <c r="BH14" s="252">
        <f t="shared" si="12"/>
        <v>1</v>
      </c>
      <c r="BI14" s="252">
        <f t="shared" si="12"/>
        <v>1</v>
      </c>
      <c r="BJ14" s="252">
        <f t="shared" si="12"/>
        <v>1</v>
      </c>
      <c r="BK14" s="252">
        <f t="shared" si="12"/>
        <v>1</v>
      </c>
      <c r="BL14" s="252">
        <f t="shared" si="12"/>
        <v>1</v>
      </c>
      <c r="BM14" s="252">
        <f t="shared" si="12"/>
        <v>1</v>
      </c>
      <c r="BN14" s="252">
        <f t="shared" si="12"/>
        <v>1</v>
      </c>
      <c r="BO14" s="252">
        <f t="shared" si="12"/>
        <v>1</v>
      </c>
      <c r="BP14" s="252">
        <f t="shared" si="12"/>
        <v>1</v>
      </c>
      <c r="BQ14" s="252">
        <f t="shared" ref="BQ14:CQ14" si="13">IF($B$14&lt;=BQ11,1,0)</f>
        <v>1</v>
      </c>
      <c r="BR14" s="252">
        <f t="shared" si="13"/>
        <v>1</v>
      </c>
      <c r="BS14" s="252">
        <f t="shared" si="13"/>
        <v>1</v>
      </c>
      <c r="BT14" s="252">
        <f t="shared" si="13"/>
        <v>1</v>
      </c>
      <c r="BU14" s="252">
        <f t="shared" si="13"/>
        <v>1</v>
      </c>
      <c r="BV14" s="252">
        <f t="shared" si="13"/>
        <v>1</v>
      </c>
      <c r="BW14" s="252">
        <f t="shared" si="13"/>
        <v>1</v>
      </c>
      <c r="BX14" s="252">
        <f t="shared" si="13"/>
        <v>1</v>
      </c>
      <c r="BY14" s="252">
        <f t="shared" si="13"/>
        <v>1</v>
      </c>
      <c r="BZ14" s="252">
        <f t="shared" si="13"/>
        <v>1</v>
      </c>
      <c r="CA14" s="252">
        <f t="shared" si="13"/>
        <v>1</v>
      </c>
      <c r="CB14" s="252">
        <f t="shared" si="13"/>
        <v>1</v>
      </c>
      <c r="CC14" s="252">
        <f t="shared" si="13"/>
        <v>1</v>
      </c>
      <c r="CD14" s="252">
        <f t="shared" si="13"/>
        <v>1</v>
      </c>
      <c r="CE14" s="252">
        <f t="shared" si="13"/>
        <v>1</v>
      </c>
      <c r="CF14" s="252">
        <f t="shared" si="13"/>
        <v>1</v>
      </c>
      <c r="CG14" s="252">
        <f t="shared" si="13"/>
        <v>1</v>
      </c>
      <c r="CH14" s="252">
        <f t="shared" si="13"/>
        <v>1</v>
      </c>
      <c r="CI14" s="252">
        <f t="shared" si="13"/>
        <v>1</v>
      </c>
      <c r="CJ14" s="252">
        <f t="shared" si="13"/>
        <v>1</v>
      </c>
      <c r="CK14" s="252">
        <f t="shared" si="13"/>
        <v>1</v>
      </c>
      <c r="CL14" s="252">
        <f t="shared" si="13"/>
        <v>1</v>
      </c>
      <c r="CM14" s="252">
        <f t="shared" si="13"/>
        <v>1</v>
      </c>
      <c r="CN14" s="252">
        <f t="shared" si="13"/>
        <v>1</v>
      </c>
      <c r="CO14" s="252">
        <f t="shared" si="13"/>
        <v>1</v>
      </c>
      <c r="CP14" s="252">
        <f t="shared" si="13"/>
        <v>1</v>
      </c>
      <c r="CQ14" s="252">
        <f t="shared" si="13"/>
        <v>1</v>
      </c>
    </row>
    <row r="15" spans="1:120">
      <c r="B15" s="195">
        <f>B14</f>
        <v>45839</v>
      </c>
      <c r="C15" s="270" t="s">
        <v>912</v>
      </c>
      <c r="D15" s="1315"/>
      <c r="E15" s="1315"/>
      <c r="F15" s="1315"/>
      <c r="G15" s="1315"/>
      <c r="H15" s="1315"/>
      <c r="I15" s="1315"/>
      <c r="J15" s="1315"/>
      <c r="K15" s="1315"/>
      <c r="L15" s="1315"/>
      <c r="M15" s="1315"/>
      <c r="N15" s="1315"/>
      <c r="O15" s="1315"/>
      <c r="P15" s="1315"/>
      <c r="Q15" s="1315"/>
      <c r="R15" s="1315"/>
      <c r="S15" s="1315"/>
      <c r="T15" s="1315"/>
      <c r="U15" s="1315"/>
      <c r="V15" s="1315"/>
      <c r="W15" s="1315"/>
      <c r="X15" s="1315"/>
      <c r="Y15" s="1315"/>
      <c r="Z15" s="1315"/>
      <c r="AA15" s="1315"/>
      <c r="AB15" s="1315"/>
      <c r="AC15" s="1315"/>
      <c r="AD15" s="1315"/>
      <c r="AE15" s="1315"/>
      <c r="AF15" s="1315"/>
      <c r="AG15" s="1315"/>
      <c r="AH15" s="1315"/>
      <c r="AI15" s="1315"/>
      <c r="AJ15" s="1315"/>
      <c r="AK15" s="1315"/>
      <c r="AL15" s="1315"/>
      <c r="AM15" s="1315"/>
      <c r="AN15" s="1315"/>
      <c r="AO15" s="1315"/>
      <c r="AP15" s="1315"/>
      <c r="AQ15" s="1315"/>
      <c r="AR15" s="1315"/>
      <c r="AS15" s="1315"/>
      <c r="AT15" s="1315"/>
      <c r="AU15" s="1315"/>
      <c r="AV15" s="1315"/>
      <c r="AW15" s="1315"/>
      <c r="AX15" s="1315"/>
      <c r="AY15" s="1315"/>
      <c r="AZ15" s="1315"/>
      <c r="BA15" s="1315"/>
      <c r="BB15" s="1315"/>
      <c r="BC15" s="1315"/>
      <c r="BD15" s="1315"/>
      <c r="BE15" s="1315"/>
      <c r="BF15" s="1315"/>
      <c r="BG15" s="1315"/>
      <c r="BH15" s="1315"/>
      <c r="BI15" s="1315"/>
      <c r="BJ15" s="1315"/>
      <c r="BK15" s="1315"/>
      <c r="BL15" s="1315"/>
      <c r="BM15" s="1315"/>
      <c r="BN15" s="1315"/>
      <c r="BO15" s="1315"/>
      <c r="BP15" s="1315"/>
      <c r="BQ15" s="1315"/>
      <c r="BR15" s="1315"/>
      <c r="BS15" s="1315"/>
      <c r="BT15" s="1315"/>
      <c r="BU15" s="1315"/>
      <c r="BV15" s="1315"/>
      <c r="BW15" s="1315"/>
      <c r="BX15" s="1315"/>
      <c r="BY15" s="1315"/>
      <c r="BZ15" s="1315"/>
      <c r="CA15" s="1315"/>
      <c r="CB15" s="1315"/>
      <c r="CC15" s="1315"/>
      <c r="CD15" s="1315"/>
      <c r="CE15" s="1315"/>
      <c r="CF15" s="1315"/>
      <c r="CG15" s="1315"/>
      <c r="CH15" s="1315"/>
      <c r="CI15" s="1315"/>
      <c r="CJ15" s="1315"/>
      <c r="CK15" s="1315"/>
      <c r="CL15" s="1315"/>
      <c r="CM15" s="1315"/>
      <c r="CN15" s="1315"/>
      <c r="CO15" s="1315"/>
      <c r="CP15" s="1315"/>
      <c r="CQ15" s="1315"/>
    </row>
    <row r="16" spans="1:120" s="1148" customFormat="1" outlineLevel="1">
      <c r="B16" s="1328"/>
      <c r="C16" s="1331" t="s">
        <v>983</v>
      </c>
      <c r="D16" s="1329">
        <f>LOOKUP(DATE(YEAR(B14)-1,12,31),12:12,21:21)/D19</f>
        <v>0</v>
      </c>
      <c r="E16" s="1330"/>
      <c r="F16" s="1330"/>
      <c r="G16" s="1330"/>
      <c r="H16" s="1330"/>
      <c r="I16" s="1330"/>
      <c r="J16" s="1330"/>
      <c r="K16" s="1330"/>
      <c r="L16" s="1330"/>
      <c r="M16" s="1330"/>
      <c r="N16" s="1330"/>
      <c r="O16" s="1330"/>
      <c r="P16" s="1330"/>
      <c r="Q16" s="1330"/>
      <c r="R16" s="1330"/>
      <c r="S16" s="1330"/>
      <c r="T16" s="1330"/>
      <c r="U16" s="1330"/>
      <c r="V16" s="1330"/>
      <c r="W16" s="1330"/>
      <c r="X16" s="1330"/>
      <c r="Y16" s="1330"/>
      <c r="Z16" s="1330"/>
      <c r="AA16" s="1330"/>
      <c r="AB16" s="1330"/>
      <c r="AC16" s="1330"/>
      <c r="AD16" s="1330"/>
      <c r="AE16" s="1330"/>
      <c r="AF16" s="1330"/>
      <c r="AG16" s="1330"/>
      <c r="AH16" s="1330"/>
      <c r="AI16" s="1330"/>
      <c r="AJ16" s="1330"/>
      <c r="AK16" s="1330"/>
      <c r="AL16" s="1330"/>
      <c r="AM16" s="1330"/>
      <c r="AN16" s="1330"/>
      <c r="AO16" s="1330"/>
      <c r="AP16" s="1330"/>
      <c r="AQ16" s="1330"/>
      <c r="AR16" s="1330"/>
      <c r="AS16" s="1330"/>
      <c r="AT16" s="1330"/>
      <c r="AU16" s="1330"/>
      <c r="AV16" s="1330"/>
      <c r="AW16" s="1330"/>
      <c r="AX16" s="1330"/>
      <c r="AY16" s="1330"/>
      <c r="AZ16" s="1330"/>
      <c r="BA16" s="1330"/>
      <c r="BB16" s="1330"/>
      <c r="BC16" s="1330"/>
      <c r="BD16" s="1330"/>
      <c r="BE16" s="1330"/>
      <c r="BF16" s="1330"/>
      <c r="BG16" s="1330"/>
      <c r="BH16" s="1330"/>
      <c r="BI16" s="1330"/>
      <c r="BJ16" s="1330"/>
      <c r="BK16" s="1330"/>
      <c r="BL16" s="1330"/>
      <c r="BM16" s="1330"/>
      <c r="BN16" s="1330"/>
      <c r="BO16" s="1330"/>
      <c r="BP16" s="1330"/>
      <c r="BQ16" s="1330"/>
      <c r="BR16" s="1330"/>
      <c r="BS16" s="1330"/>
      <c r="BT16" s="1330"/>
      <c r="BU16" s="1330"/>
      <c r="BV16" s="1330"/>
      <c r="BW16" s="1330"/>
      <c r="BX16" s="1330"/>
      <c r="BY16" s="1330"/>
      <c r="BZ16" s="1330"/>
      <c r="CA16" s="1330"/>
      <c r="CB16" s="1330"/>
      <c r="CC16" s="1330"/>
      <c r="CD16" s="1330"/>
      <c r="CE16" s="1330"/>
      <c r="CF16" s="1330"/>
      <c r="CG16" s="1330"/>
      <c r="CH16" s="1330"/>
      <c r="CI16" s="1330"/>
      <c r="CJ16" s="1330"/>
      <c r="CK16" s="1330"/>
      <c r="CL16" s="1330"/>
      <c r="CM16" s="1330"/>
      <c r="CN16" s="1330"/>
      <c r="CO16" s="1330"/>
      <c r="CP16" s="1330"/>
      <c r="CQ16" s="1330"/>
    </row>
    <row r="17" spans="1:120" s="1148" customFormat="1" outlineLevel="1">
      <c r="B17" s="1328"/>
      <c r="C17" s="1331" t="s">
        <v>927</v>
      </c>
      <c r="D17" s="1329">
        <f>1-D16</f>
        <v>1</v>
      </c>
      <c r="E17" s="1330"/>
      <c r="F17" s="1330"/>
      <c r="G17" s="1330"/>
      <c r="H17" s="1330"/>
      <c r="I17" s="1330"/>
      <c r="J17" s="1330"/>
      <c r="K17" s="1330"/>
      <c r="L17" s="1330"/>
      <c r="M17" s="1330"/>
      <c r="N17" s="1330"/>
      <c r="O17" s="1330"/>
      <c r="P17" s="1330"/>
      <c r="Q17" s="1330"/>
      <c r="R17" s="1330"/>
      <c r="S17" s="1330"/>
      <c r="T17" s="1330"/>
      <c r="U17" s="1330"/>
      <c r="V17" s="1330"/>
      <c r="W17" s="1330"/>
      <c r="X17" s="1330"/>
      <c r="Y17" s="1330"/>
      <c r="Z17" s="1330"/>
      <c r="AA17" s="1330"/>
      <c r="AB17" s="1330"/>
      <c r="AC17" s="1330"/>
      <c r="AD17" s="1330"/>
      <c r="AE17" s="1330"/>
      <c r="AF17" s="1330"/>
      <c r="AG17" s="1330"/>
      <c r="AH17" s="1330"/>
      <c r="AI17" s="1330"/>
      <c r="AJ17" s="1330"/>
      <c r="AK17" s="1330"/>
      <c r="AL17" s="1330"/>
      <c r="AM17" s="1330"/>
      <c r="AN17" s="1330"/>
      <c r="AO17" s="1330"/>
      <c r="AP17" s="1330"/>
      <c r="AQ17" s="1330"/>
      <c r="AR17" s="1330"/>
      <c r="AS17" s="1330"/>
      <c r="AT17" s="1330"/>
      <c r="AU17" s="1330"/>
      <c r="AV17" s="1330"/>
      <c r="AW17" s="1330"/>
      <c r="AX17" s="1330"/>
      <c r="AY17" s="1330"/>
      <c r="AZ17" s="1330"/>
      <c r="BA17" s="1330"/>
      <c r="BB17" s="1330"/>
      <c r="BC17" s="1330"/>
      <c r="BD17" s="1330"/>
      <c r="BE17" s="1330"/>
      <c r="BF17" s="1330"/>
      <c r="BG17" s="1330"/>
      <c r="BH17" s="1330"/>
      <c r="BI17" s="1330"/>
      <c r="BJ17" s="1330"/>
      <c r="BK17" s="1330"/>
      <c r="BL17" s="1330"/>
      <c r="BM17" s="1330"/>
      <c r="BN17" s="1330"/>
      <c r="BO17" s="1330"/>
      <c r="BP17" s="1330"/>
      <c r="BQ17" s="1330"/>
      <c r="BR17" s="1330"/>
      <c r="BS17" s="1330"/>
      <c r="BT17" s="1330"/>
      <c r="BU17" s="1330"/>
      <c r="BV17" s="1330"/>
      <c r="BW17" s="1330"/>
      <c r="BX17" s="1330"/>
      <c r="BY17" s="1330"/>
      <c r="BZ17" s="1330"/>
      <c r="CA17" s="1330"/>
      <c r="CB17" s="1330"/>
      <c r="CC17" s="1330"/>
      <c r="CD17" s="1330"/>
      <c r="CE17" s="1330"/>
      <c r="CF17" s="1330"/>
      <c r="CG17" s="1330"/>
      <c r="CH17" s="1330"/>
      <c r="CI17" s="1330"/>
      <c r="CJ17" s="1330"/>
      <c r="CK17" s="1330"/>
      <c r="CL17" s="1330"/>
      <c r="CM17" s="1330"/>
      <c r="CN17" s="1330"/>
      <c r="CO17" s="1330"/>
      <c r="CP17" s="1330"/>
      <c r="CQ17" s="1330"/>
    </row>
    <row r="18" spans="1:120">
      <c r="B18" s="1308">
        <f>SUM(D18:CQ18)</f>
        <v>0.99999999999999978</v>
      </c>
      <c r="C18" s="234" t="s">
        <v>271</v>
      </c>
      <c r="D18" s="271"/>
      <c r="E18" s="271"/>
      <c r="F18" s="271"/>
      <c r="G18" s="271"/>
      <c r="H18" s="271"/>
      <c r="I18" s="271"/>
      <c r="J18" s="1330"/>
      <c r="K18" s="1330"/>
      <c r="L18" s="1330"/>
      <c r="M18" s="1330"/>
      <c r="N18" s="1330"/>
      <c r="O18" s="1330"/>
      <c r="P18" s="1330"/>
      <c r="Q18" s="1330"/>
      <c r="R18" s="1330"/>
      <c r="S18" s="1330"/>
      <c r="T18" s="1873">
        <v>0.05</v>
      </c>
      <c r="U18" s="1873">
        <v>0.05</v>
      </c>
      <c r="V18" s="1873">
        <v>7.0000000000000007E-2</v>
      </c>
      <c r="W18" s="1873">
        <v>0.08</v>
      </c>
      <c r="X18" s="1873">
        <v>0.1</v>
      </c>
      <c r="Y18" s="1873">
        <v>0.1</v>
      </c>
      <c r="Z18" s="1873">
        <v>0.1</v>
      </c>
      <c r="AA18" s="1873">
        <v>0.1</v>
      </c>
      <c r="AB18" s="1873">
        <v>0.1</v>
      </c>
      <c r="AC18" s="1873">
        <v>0.1</v>
      </c>
      <c r="AD18" s="1873">
        <v>0.08</v>
      </c>
      <c r="AE18" s="1873">
        <v>7.0000000000000007E-2</v>
      </c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2"/>
      <c r="BC18" s="272"/>
      <c r="BD18" s="272"/>
      <c r="BE18" s="272"/>
      <c r="BF18" s="272"/>
      <c r="BG18" s="272"/>
      <c r="BH18" s="272"/>
      <c r="BI18" s="272"/>
      <c r="BJ18" s="272"/>
      <c r="BK18" s="272"/>
      <c r="BL18" s="272"/>
      <c r="BM18" s="272"/>
      <c r="BN18" s="272"/>
      <c r="BO18" s="272"/>
      <c r="BP18" s="272"/>
      <c r="BQ18" s="272"/>
      <c r="BR18" s="272"/>
      <c r="BS18" s="272"/>
      <c r="BT18" s="272"/>
      <c r="BU18" s="272"/>
      <c r="BV18" s="272"/>
      <c r="BW18" s="272"/>
      <c r="BX18" s="272"/>
      <c r="BY18" s="272"/>
      <c r="BZ18" s="272"/>
      <c r="CA18" s="272"/>
      <c r="CB18" s="272"/>
      <c r="CC18" s="272"/>
      <c r="CD18" s="272"/>
      <c r="CE18" s="272"/>
      <c r="CF18" s="272"/>
      <c r="CG18" s="272"/>
      <c r="CH18" s="272"/>
      <c r="CI18" s="272"/>
      <c r="CJ18" s="272"/>
      <c r="CK18" s="272"/>
      <c r="CL18" s="272"/>
      <c r="CM18" s="272"/>
      <c r="CN18" s="272"/>
      <c r="CO18" s="272"/>
      <c r="CP18" s="272"/>
      <c r="CQ18" s="272"/>
      <c r="CT18" s="246">
        <f t="shared" ref="CT18:CZ18" si="14">CT20/$D$19</f>
        <v>0</v>
      </c>
      <c r="CU18" s="246">
        <f t="shared" si="14"/>
        <v>0</v>
      </c>
      <c r="CV18" s="246">
        <f t="shared" si="14"/>
        <v>0</v>
      </c>
      <c r="CW18" s="246">
        <f t="shared" si="14"/>
        <v>0</v>
      </c>
      <c r="CX18" s="246">
        <f t="shared" si="14"/>
        <v>0.24935064935064935</v>
      </c>
      <c r="CY18" s="246">
        <f t="shared" si="14"/>
        <v>0.4</v>
      </c>
      <c r="CZ18" s="246">
        <f t="shared" si="14"/>
        <v>0.34987012987012983</v>
      </c>
      <c r="DA18" s="246">
        <f>DA20/$D$19</f>
        <v>0</v>
      </c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</row>
    <row r="19" spans="1:120" outlineLevel="1">
      <c r="C19" s="235" t="s">
        <v>285</v>
      </c>
      <c r="D19" s="236">
        <f>Объекты!F13</f>
        <v>385</v>
      </c>
      <c r="E19" s="237">
        <f t="shared" ref="E19:BP19" si="15">D19-D20</f>
        <v>385</v>
      </c>
      <c r="F19" s="237">
        <f t="shared" si="15"/>
        <v>385</v>
      </c>
      <c r="G19" s="237">
        <f t="shared" si="15"/>
        <v>385</v>
      </c>
      <c r="H19" s="237">
        <f t="shared" si="15"/>
        <v>385</v>
      </c>
      <c r="I19" s="237">
        <f t="shared" si="15"/>
        <v>385</v>
      </c>
      <c r="J19" s="237">
        <f t="shared" si="15"/>
        <v>385</v>
      </c>
      <c r="K19" s="237">
        <f t="shared" si="15"/>
        <v>385</v>
      </c>
      <c r="L19" s="237">
        <f t="shared" si="15"/>
        <v>385</v>
      </c>
      <c r="M19" s="237">
        <f t="shared" si="15"/>
        <v>385</v>
      </c>
      <c r="N19" s="237">
        <f t="shared" si="15"/>
        <v>385</v>
      </c>
      <c r="O19" s="237">
        <f t="shared" si="15"/>
        <v>385</v>
      </c>
      <c r="P19" s="237">
        <f t="shared" si="15"/>
        <v>385</v>
      </c>
      <c r="Q19" s="237">
        <f t="shared" si="15"/>
        <v>385</v>
      </c>
      <c r="R19" s="237">
        <f t="shared" si="15"/>
        <v>385</v>
      </c>
      <c r="S19" s="237">
        <f t="shared" si="15"/>
        <v>385</v>
      </c>
      <c r="T19" s="237">
        <f t="shared" si="15"/>
        <v>385</v>
      </c>
      <c r="U19" s="237">
        <f t="shared" si="15"/>
        <v>365.75</v>
      </c>
      <c r="V19" s="237">
        <f t="shared" si="15"/>
        <v>346.5</v>
      </c>
      <c r="W19" s="237">
        <f t="shared" si="15"/>
        <v>319.55</v>
      </c>
      <c r="X19" s="237">
        <f t="shared" si="15"/>
        <v>288.75</v>
      </c>
      <c r="Y19" s="237">
        <f t="shared" si="15"/>
        <v>250.25</v>
      </c>
      <c r="Z19" s="237">
        <f t="shared" si="15"/>
        <v>211.75</v>
      </c>
      <c r="AA19" s="237">
        <f t="shared" si="15"/>
        <v>173.25</v>
      </c>
      <c r="AB19" s="237">
        <f t="shared" si="15"/>
        <v>134.75</v>
      </c>
      <c r="AC19" s="237">
        <f t="shared" si="15"/>
        <v>96.25</v>
      </c>
      <c r="AD19" s="237">
        <f t="shared" si="15"/>
        <v>57.75</v>
      </c>
      <c r="AE19" s="237">
        <f t="shared" si="15"/>
        <v>26.95</v>
      </c>
      <c r="AF19" s="237">
        <f t="shared" si="15"/>
        <v>0</v>
      </c>
      <c r="AG19" s="237">
        <f t="shared" si="15"/>
        <v>0</v>
      </c>
      <c r="AH19" s="237">
        <f t="shared" si="15"/>
        <v>0</v>
      </c>
      <c r="AI19" s="237">
        <f t="shared" si="15"/>
        <v>0</v>
      </c>
      <c r="AJ19" s="237">
        <f t="shared" si="15"/>
        <v>0</v>
      </c>
      <c r="AK19" s="237">
        <f t="shared" si="15"/>
        <v>0</v>
      </c>
      <c r="AL19" s="237">
        <f t="shared" si="15"/>
        <v>0</v>
      </c>
      <c r="AM19" s="237">
        <f t="shared" si="15"/>
        <v>0</v>
      </c>
      <c r="AN19" s="237">
        <f t="shared" si="15"/>
        <v>0</v>
      </c>
      <c r="AO19" s="237">
        <f t="shared" si="15"/>
        <v>0</v>
      </c>
      <c r="AP19" s="237">
        <f t="shared" si="15"/>
        <v>0</v>
      </c>
      <c r="AQ19" s="237">
        <f t="shared" si="15"/>
        <v>0</v>
      </c>
      <c r="AR19" s="237">
        <f t="shared" si="15"/>
        <v>0</v>
      </c>
      <c r="AS19" s="237">
        <f t="shared" si="15"/>
        <v>0</v>
      </c>
      <c r="AT19" s="237">
        <f t="shared" si="15"/>
        <v>0</v>
      </c>
      <c r="AU19" s="237">
        <f t="shared" si="15"/>
        <v>0</v>
      </c>
      <c r="AV19" s="237">
        <f t="shared" si="15"/>
        <v>0</v>
      </c>
      <c r="AW19" s="237">
        <f t="shared" si="15"/>
        <v>0</v>
      </c>
      <c r="AX19" s="237">
        <f t="shared" si="15"/>
        <v>0</v>
      </c>
      <c r="AY19" s="237">
        <f t="shared" si="15"/>
        <v>0</v>
      </c>
      <c r="AZ19" s="237">
        <f t="shared" si="15"/>
        <v>0</v>
      </c>
      <c r="BA19" s="237">
        <f t="shared" si="15"/>
        <v>0</v>
      </c>
      <c r="BB19" s="237">
        <f t="shared" si="15"/>
        <v>0</v>
      </c>
      <c r="BC19" s="237">
        <f t="shared" si="15"/>
        <v>0</v>
      </c>
      <c r="BD19" s="237">
        <f t="shared" si="15"/>
        <v>0</v>
      </c>
      <c r="BE19" s="237">
        <f t="shared" si="15"/>
        <v>0</v>
      </c>
      <c r="BF19" s="237">
        <f t="shared" si="15"/>
        <v>0</v>
      </c>
      <c r="BG19" s="237">
        <f t="shared" si="15"/>
        <v>0</v>
      </c>
      <c r="BH19" s="237">
        <f t="shared" si="15"/>
        <v>0</v>
      </c>
      <c r="BI19" s="237">
        <f t="shared" si="15"/>
        <v>0</v>
      </c>
      <c r="BJ19" s="237">
        <f t="shared" si="15"/>
        <v>0</v>
      </c>
      <c r="BK19" s="237">
        <f t="shared" si="15"/>
        <v>0</v>
      </c>
      <c r="BL19" s="237">
        <f t="shared" si="15"/>
        <v>0</v>
      </c>
      <c r="BM19" s="237">
        <f t="shared" si="15"/>
        <v>0</v>
      </c>
      <c r="BN19" s="237">
        <f t="shared" si="15"/>
        <v>0</v>
      </c>
      <c r="BO19" s="237">
        <f t="shared" si="15"/>
        <v>0</v>
      </c>
      <c r="BP19" s="237">
        <f t="shared" si="15"/>
        <v>0</v>
      </c>
      <c r="BQ19" s="237">
        <f t="shared" ref="BQ19:CM19" si="16">BP19-BP20</f>
        <v>0</v>
      </c>
      <c r="BR19" s="237">
        <f t="shared" si="16"/>
        <v>0</v>
      </c>
      <c r="BS19" s="237">
        <f t="shared" si="16"/>
        <v>0</v>
      </c>
      <c r="BT19" s="237">
        <f t="shared" si="16"/>
        <v>0</v>
      </c>
      <c r="BU19" s="237">
        <f t="shared" si="16"/>
        <v>0</v>
      </c>
      <c r="BV19" s="237">
        <f t="shared" si="16"/>
        <v>0</v>
      </c>
      <c r="BW19" s="237">
        <f t="shared" si="16"/>
        <v>0</v>
      </c>
      <c r="BX19" s="237">
        <f t="shared" si="16"/>
        <v>0</v>
      </c>
      <c r="BY19" s="237">
        <f t="shared" si="16"/>
        <v>0</v>
      </c>
      <c r="BZ19" s="237">
        <f t="shared" si="16"/>
        <v>0</v>
      </c>
      <c r="CA19" s="237">
        <f t="shared" si="16"/>
        <v>0</v>
      </c>
      <c r="CB19" s="237">
        <f t="shared" si="16"/>
        <v>0</v>
      </c>
      <c r="CC19" s="237">
        <f t="shared" si="16"/>
        <v>0</v>
      </c>
      <c r="CD19" s="237">
        <f t="shared" si="16"/>
        <v>0</v>
      </c>
      <c r="CE19" s="237">
        <f t="shared" si="16"/>
        <v>0</v>
      </c>
      <c r="CF19" s="237">
        <f t="shared" si="16"/>
        <v>0</v>
      </c>
      <c r="CG19" s="237">
        <f t="shared" si="16"/>
        <v>0</v>
      </c>
      <c r="CH19" s="237">
        <f t="shared" si="16"/>
        <v>0</v>
      </c>
      <c r="CI19" s="237">
        <f t="shared" si="16"/>
        <v>0</v>
      </c>
      <c r="CJ19" s="237">
        <f t="shared" si="16"/>
        <v>0</v>
      </c>
      <c r="CK19" s="237">
        <f t="shared" si="16"/>
        <v>0</v>
      </c>
      <c r="CL19" s="237">
        <f t="shared" si="16"/>
        <v>0</v>
      </c>
      <c r="CM19" s="237">
        <f t="shared" si="16"/>
        <v>0</v>
      </c>
      <c r="CN19" s="237">
        <f>CM19-CM20</f>
        <v>0</v>
      </c>
      <c r="CO19" s="237">
        <f>CN19-CN20</f>
        <v>0</v>
      </c>
      <c r="CP19" s="237">
        <f>CO19-CO20</f>
        <v>0</v>
      </c>
      <c r="CQ19" s="237">
        <f>CP19-CP20</f>
        <v>0</v>
      </c>
    </row>
    <row r="20" spans="1:120">
      <c r="C20" s="267" t="s">
        <v>1384</v>
      </c>
      <c r="D20" s="245"/>
      <c r="E20" s="245"/>
      <c r="F20" s="245"/>
      <c r="G20" s="245"/>
      <c r="H20" s="237">
        <f t="shared" ref="H20:BO20" si="17">$D$19*H18</f>
        <v>0</v>
      </c>
      <c r="I20" s="237">
        <f t="shared" si="17"/>
        <v>0</v>
      </c>
      <c r="J20" s="237">
        <f t="shared" si="17"/>
        <v>0</v>
      </c>
      <c r="K20" s="237">
        <f t="shared" si="17"/>
        <v>0</v>
      </c>
      <c r="L20" s="237">
        <f t="shared" si="17"/>
        <v>0</v>
      </c>
      <c r="M20" s="237">
        <f t="shared" si="17"/>
        <v>0</v>
      </c>
      <c r="N20" s="237">
        <f>$D$19*N18</f>
        <v>0</v>
      </c>
      <c r="O20" s="237">
        <f t="shared" si="17"/>
        <v>0</v>
      </c>
      <c r="P20" s="237">
        <f t="shared" si="17"/>
        <v>0</v>
      </c>
      <c r="Q20" s="237">
        <f t="shared" si="17"/>
        <v>0</v>
      </c>
      <c r="R20" s="237">
        <f t="shared" si="17"/>
        <v>0</v>
      </c>
      <c r="S20" s="237">
        <f t="shared" si="17"/>
        <v>0</v>
      </c>
      <c r="T20" s="237">
        <f t="shared" si="17"/>
        <v>19.25</v>
      </c>
      <c r="U20" s="237">
        <f t="shared" si="17"/>
        <v>19.25</v>
      </c>
      <c r="V20" s="237">
        <f t="shared" si="17"/>
        <v>26.950000000000003</v>
      </c>
      <c r="W20" s="237">
        <f t="shared" si="17"/>
        <v>30.8</v>
      </c>
      <c r="X20" s="237">
        <f t="shared" si="17"/>
        <v>38.5</v>
      </c>
      <c r="Y20" s="237">
        <f t="shared" si="17"/>
        <v>38.5</v>
      </c>
      <c r="Z20" s="237">
        <f t="shared" si="17"/>
        <v>38.5</v>
      </c>
      <c r="AA20" s="237">
        <f t="shared" si="17"/>
        <v>38.5</v>
      </c>
      <c r="AB20" s="237">
        <f t="shared" si="17"/>
        <v>38.5</v>
      </c>
      <c r="AC20" s="237">
        <f t="shared" si="17"/>
        <v>38.5</v>
      </c>
      <c r="AD20" s="237">
        <f t="shared" si="17"/>
        <v>30.8</v>
      </c>
      <c r="AE20" s="237">
        <f t="shared" si="17"/>
        <v>26.950000000000003</v>
      </c>
      <c r="AF20" s="237">
        <f t="shared" si="17"/>
        <v>0</v>
      </c>
      <c r="AG20" s="237">
        <f t="shared" si="17"/>
        <v>0</v>
      </c>
      <c r="AH20" s="237">
        <f t="shared" si="17"/>
        <v>0</v>
      </c>
      <c r="AI20" s="237">
        <f t="shared" si="17"/>
        <v>0</v>
      </c>
      <c r="AJ20" s="237">
        <f t="shared" si="17"/>
        <v>0</v>
      </c>
      <c r="AK20" s="237">
        <f t="shared" si="17"/>
        <v>0</v>
      </c>
      <c r="AL20" s="237">
        <f t="shared" si="17"/>
        <v>0</v>
      </c>
      <c r="AM20" s="237">
        <f t="shared" si="17"/>
        <v>0</v>
      </c>
      <c r="AN20" s="237">
        <f t="shared" si="17"/>
        <v>0</v>
      </c>
      <c r="AO20" s="237">
        <f t="shared" si="17"/>
        <v>0</v>
      </c>
      <c r="AP20" s="237">
        <f t="shared" si="17"/>
        <v>0</v>
      </c>
      <c r="AQ20" s="237">
        <f t="shared" si="17"/>
        <v>0</v>
      </c>
      <c r="AR20" s="237">
        <f t="shared" si="17"/>
        <v>0</v>
      </c>
      <c r="AS20" s="237">
        <f t="shared" si="17"/>
        <v>0</v>
      </c>
      <c r="AT20" s="237">
        <f t="shared" si="17"/>
        <v>0</v>
      </c>
      <c r="AU20" s="237">
        <f t="shared" si="17"/>
        <v>0</v>
      </c>
      <c r="AV20" s="237">
        <f t="shared" si="17"/>
        <v>0</v>
      </c>
      <c r="AW20" s="237">
        <f t="shared" si="17"/>
        <v>0</v>
      </c>
      <c r="AX20" s="237">
        <f t="shared" si="17"/>
        <v>0</v>
      </c>
      <c r="AY20" s="237">
        <f t="shared" si="17"/>
        <v>0</v>
      </c>
      <c r="AZ20" s="237">
        <f t="shared" si="17"/>
        <v>0</v>
      </c>
      <c r="BA20" s="237">
        <f t="shared" si="17"/>
        <v>0</v>
      </c>
      <c r="BB20" s="237">
        <f t="shared" si="17"/>
        <v>0</v>
      </c>
      <c r="BC20" s="237">
        <f t="shared" si="17"/>
        <v>0</v>
      </c>
      <c r="BD20" s="237">
        <f t="shared" si="17"/>
        <v>0</v>
      </c>
      <c r="BE20" s="237">
        <f t="shared" si="17"/>
        <v>0</v>
      </c>
      <c r="BF20" s="237">
        <f t="shared" si="17"/>
        <v>0</v>
      </c>
      <c r="BG20" s="237">
        <f t="shared" si="17"/>
        <v>0</v>
      </c>
      <c r="BH20" s="237">
        <f t="shared" si="17"/>
        <v>0</v>
      </c>
      <c r="BI20" s="237">
        <f t="shared" si="17"/>
        <v>0</v>
      </c>
      <c r="BJ20" s="237">
        <f t="shared" si="17"/>
        <v>0</v>
      </c>
      <c r="BK20" s="237">
        <f t="shared" si="17"/>
        <v>0</v>
      </c>
      <c r="BL20" s="237">
        <f t="shared" si="17"/>
        <v>0</v>
      </c>
      <c r="BM20" s="237">
        <f t="shared" si="17"/>
        <v>0</v>
      </c>
      <c r="BN20" s="237">
        <f t="shared" si="17"/>
        <v>0</v>
      </c>
      <c r="BO20" s="237">
        <f t="shared" si="17"/>
        <v>0</v>
      </c>
      <c r="BP20" s="237">
        <f t="shared" ref="BP20:CQ20" si="18">$D$19*BP18</f>
        <v>0</v>
      </c>
      <c r="BQ20" s="237">
        <f t="shared" si="18"/>
        <v>0</v>
      </c>
      <c r="BR20" s="237">
        <f t="shared" si="18"/>
        <v>0</v>
      </c>
      <c r="BS20" s="237">
        <f t="shared" si="18"/>
        <v>0</v>
      </c>
      <c r="BT20" s="237">
        <f t="shared" si="18"/>
        <v>0</v>
      </c>
      <c r="BU20" s="237">
        <f t="shared" si="18"/>
        <v>0</v>
      </c>
      <c r="BV20" s="237">
        <f t="shared" si="18"/>
        <v>0</v>
      </c>
      <c r="BW20" s="237">
        <f t="shared" si="18"/>
        <v>0</v>
      </c>
      <c r="BX20" s="237">
        <f t="shared" si="18"/>
        <v>0</v>
      </c>
      <c r="BY20" s="237">
        <f t="shared" si="18"/>
        <v>0</v>
      </c>
      <c r="BZ20" s="237">
        <f t="shared" si="18"/>
        <v>0</v>
      </c>
      <c r="CA20" s="237">
        <f t="shared" si="18"/>
        <v>0</v>
      </c>
      <c r="CB20" s="237">
        <f t="shared" si="18"/>
        <v>0</v>
      </c>
      <c r="CC20" s="237">
        <f t="shared" si="18"/>
        <v>0</v>
      </c>
      <c r="CD20" s="237">
        <f t="shared" si="18"/>
        <v>0</v>
      </c>
      <c r="CE20" s="237">
        <f t="shared" si="18"/>
        <v>0</v>
      </c>
      <c r="CF20" s="237">
        <f t="shared" si="18"/>
        <v>0</v>
      </c>
      <c r="CG20" s="237">
        <f t="shared" si="18"/>
        <v>0</v>
      </c>
      <c r="CH20" s="237">
        <f t="shared" si="18"/>
        <v>0</v>
      </c>
      <c r="CI20" s="237">
        <f t="shared" si="18"/>
        <v>0</v>
      </c>
      <c r="CJ20" s="237">
        <f t="shared" si="18"/>
        <v>0</v>
      </c>
      <c r="CK20" s="237">
        <f t="shared" si="18"/>
        <v>0</v>
      </c>
      <c r="CL20" s="237">
        <f t="shared" si="18"/>
        <v>0</v>
      </c>
      <c r="CM20" s="237">
        <f t="shared" si="18"/>
        <v>0</v>
      </c>
      <c r="CN20" s="237">
        <f t="shared" si="18"/>
        <v>0</v>
      </c>
      <c r="CO20" s="237">
        <f t="shared" si="18"/>
        <v>0</v>
      </c>
      <c r="CP20" s="237">
        <f t="shared" si="18"/>
        <v>0</v>
      </c>
      <c r="CQ20" s="237">
        <f t="shared" si="18"/>
        <v>0</v>
      </c>
      <c r="CS20" s="235" t="s">
        <v>280</v>
      </c>
      <c r="CT20" s="237">
        <f>ROUNDDOWN(SUMIF($D$8:$CQ$8,CT$8,$D20:$CQ20),1)</f>
        <v>0</v>
      </c>
      <c r="CU20" s="237">
        <f>ROUNDUP(SUMIF($D$8:$CQ$8,CU$8,$D20:$CQ20),0)</f>
        <v>0</v>
      </c>
      <c r="CV20" s="237">
        <f>ROUNDUP(SUMIF($D$8:$CQ$8,CV$8,$D20:$CQ20),0)</f>
        <v>0</v>
      </c>
      <c r="CW20" s="237">
        <f>ROUNDUP(SUMIF($D$8:$CQ$8,CW$8,$D20:$CQ20),0)</f>
        <v>0</v>
      </c>
      <c r="CX20" s="237">
        <f>ROUNDDOWN(SUMIF($D$8:$CQ$8,CX$8,$D20:$CQ20),0)</f>
        <v>96</v>
      </c>
      <c r="CY20" s="237">
        <f t="shared" ref="CY20:DP20" si="19">ROUNDDOWN(SUMIF($D$8:$CQ$8,CY$8,$D20:$CQ20),1)</f>
        <v>154</v>
      </c>
      <c r="CZ20" s="237">
        <f t="shared" si="19"/>
        <v>134.69999999999999</v>
      </c>
      <c r="DA20" s="237">
        <f t="shared" si="19"/>
        <v>0</v>
      </c>
      <c r="DB20" s="237">
        <f t="shared" si="19"/>
        <v>0</v>
      </c>
      <c r="DC20" s="237">
        <f t="shared" si="19"/>
        <v>0</v>
      </c>
      <c r="DD20" s="237">
        <f t="shared" si="19"/>
        <v>0</v>
      </c>
      <c r="DE20" s="237">
        <f t="shared" si="19"/>
        <v>0</v>
      </c>
      <c r="DF20" s="237">
        <f t="shared" si="19"/>
        <v>0</v>
      </c>
      <c r="DG20" s="237">
        <f t="shared" si="19"/>
        <v>0</v>
      </c>
      <c r="DH20" s="237">
        <f t="shared" si="19"/>
        <v>0</v>
      </c>
      <c r="DI20" s="237">
        <f t="shared" si="19"/>
        <v>0</v>
      </c>
      <c r="DJ20" s="237">
        <f t="shared" si="19"/>
        <v>0</v>
      </c>
      <c r="DK20" s="237">
        <f t="shared" si="19"/>
        <v>0</v>
      </c>
      <c r="DL20" s="237">
        <f t="shared" si="19"/>
        <v>0</v>
      </c>
      <c r="DM20" s="237">
        <f t="shared" si="19"/>
        <v>0</v>
      </c>
      <c r="DN20" s="237">
        <f t="shared" si="19"/>
        <v>0</v>
      </c>
      <c r="DO20" s="237">
        <f t="shared" si="19"/>
        <v>0</v>
      </c>
      <c r="DP20" s="237">
        <f t="shared" si="19"/>
        <v>0</v>
      </c>
    </row>
    <row r="21" spans="1:120">
      <c r="B21" s="1308" t="b">
        <f>D19=CQ21</f>
        <v>1</v>
      </c>
      <c r="C21" s="267" t="s">
        <v>1385</v>
      </c>
      <c r="D21" s="245"/>
      <c r="E21" s="245"/>
      <c r="F21" s="245"/>
      <c r="G21" s="245"/>
      <c r="H21" s="237">
        <f>G20+H20</f>
        <v>0</v>
      </c>
      <c r="I21" s="237">
        <f t="shared" ref="I21:Q21" si="20">H21+I20</f>
        <v>0</v>
      </c>
      <c r="J21" s="237">
        <f t="shared" si="20"/>
        <v>0</v>
      </c>
      <c r="K21" s="237">
        <f t="shared" si="20"/>
        <v>0</v>
      </c>
      <c r="L21" s="237">
        <f t="shared" si="20"/>
        <v>0</v>
      </c>
      <c r="M21" s="237">
        <f t="shared" si="20"/>
        <v>0</v>
      </c>
      <c r="N21" s="237">
        <f t="shared" si="20"/>
        <v>0</v>
      </c>
      <c r="O21" s="237">
        <f t="shared" si="20"/>
        <v>0</v>
      </c>
      <c r="P21" s="237">
        <f t="shared" si="20"/>
        <v>0</v>
      </c>
      <c r="Q21" s="237">
        <f t="shared" si="20"/>
        <v>0</v>
      </c>
      <c r="R21" s="237">
        <f t="shared" ref="R21:CC21" si="21">Q21+R20</f>
        <v>0</v>
      </c>
      <c r="S21" s="237">
        <f t="shared" si="21"/>
        <v>0</v>
      </c>
      <c r="T21" s="237">
        <f t="shared" si="21"/>
        <v>19.25</v>
      </c>
      <c r="U21" s="237">
        <f t="shared" si="21"/>
        <v>38.5</v>
      </c>
      <c r="V21" s="237">
        <f t="shared" si="21"/>
        <v>65.45</v>
      </c>
      <c r="W21" s="237">
        <f t="shared" si="21"/>
        <v>96.25</v>
      </c>
      <c r="X21" s="237">
        <f t="shared" si="21"/>
        <v>134.75</v>
      </c>
      <c r="Y21" s="237">
        <f t="shared" si="21"/>
        <v>173.25</v>
      </c>
      <c r="Z21" s="237">
        <f t="shared" si="21"/>
        <v>211.75</v>
      </c>
      <c r="AA21" s="237">
        <f t="shared" si="21"/>
        <v>250.25</v>
      </c>
      <c r="AB21" s="237">
        <f t="shared" si="21"/>
        <v>288.75</v>
      </c>
      <c r="AC21" s="237">
        <f t="shared" si="21"/>
        <v>327.25</v>
      </c>
      <c r="AD21" s="237">
        <f t="shared" si="21"/>
        <v>358.05</v>
      </c>
      <c r="AE21" s="237">
        <f t="shared" si="21"/>
        <v>385</v>
      </c>
      <c r="AF21" s="237">
        <f t="shared" si="21"/>
        <v>385</v>
      </c>
      <c r="AG21" s="237">
        <f t="shared" si="21"/>
        <v>385</v>
      </c>
      <c r="AH21" s="237">
        <f t="shared" si="21"/>
        <v>385</v>
      </c>
      <c r="AI21" s="237">
        <f t="shared" si="21"/>
        <v>385</v>
      </c>
      <c r="AJ21" s="237">
        <f t="shared" si="21"/>
        <v>385</v>
      </c>
      <c r="AK21" s="237">
        <f t="shared" si="21"/>
        <v>385</v>
      </c>
      <c r="AL21" s="237">
        <f t="shared" si="21"/>
        <v>385</v>
      </c>
      <c r="AM21" s="237">
        <f t="shared" si="21"/>
        <v>385</v>
      </c>
      <c r="AN21" s="237">
        <f t="shared" si="21"/>
        <v>385</v>
      </c>
      <c r="AO21" s="237">
        <f t="shared" si="21"/>
        <v>385</v>
      </c>
      <c r="AP21" s="237">
        <f t="shared" si="21"/>
        <v>385</v>
      </c>
      <c r="AQ21" s="237">
        <f t="shared" si="21"/>
        <v>385</v>
      </c>
      <c r="AR21" s="237">
        <f t="shared" si="21"/>
        <v>385</v>
      </c>
      <c r="AS21" s="237">
        <f t="shared" si="21"/>
        <v>385</v>
      </c>
      <c r="AT21" s="237">
        <f t="shared" si="21"/>
        <v>385</v>
      </c>
      <c r="AU21" s="237">
        <f t="shared" si="21"/>
        <v>385</v>
      </c>
      <c r="AV21" s="237">
        <f t="shared" si="21"/>
        <v>385</v>
      </c>
      <c r="AW21" s="237">
        <f t="shared" si="21"/>
        <v>385</v>
      </c>
      <c r="AX21" s="237">
        <f t="shared" si="21"/>
        <v>385</v>
      </c>
      <c r="AY21" s="237">
        <f t="shared" si="21"/>
        <v>385</v>
      </c>
      <c r="AZ21" s="237">
        <f t="shared" si="21"/>
        <v>385</v>
      </c>
      <c r="BA21" s="237">
        <f t="shared" si="21"/>
        <v>385</v>
      </c>
      <c r="BB21" s="237">
        <f t="shared" si="21"/>
        <v>385</v>
      </c>
      <c r="BC21" s="237">
        <f t="shared" si="21"/>
        <v>385</v>
      </c>
      <c r="BD21" s="237">
        <f t="shared" si="21"/>
        <v>385</v>
      </c>
      <c r="BE21" s="237">
        <f t="shared" si="21"/>
        <v>385</v>
      </c>
      <c r="BF21" s="237">
        <f t="shared" si="21"/>
        <v>385</v>
      </c>
      <c r="BG21" s="237">
        <f t="shared" si="21"/>
        <v>385</v>
      </c>
      <c r="BH21" s="237">
        <f t="shared" si="21"/>
        <v>385</v>
      </c>
      <c r="BI21" s="237">
        <f t="shared" si="21"/>
        <v>385</v>
      </c>
      <c r="BJ21" s="237">
        <f t="shared" si="21"/>
        <v>385</v>
      </c>
      <c r="BK21" s="237">
        <f t="shared" si="21"/>
        <v>385</v>
      </c>
      <c r="BL21" s="237">
        <f t="shared" si="21"/>
        <v>385</v>
      </c>
      <c r="BM21" s="237">
        <f t="shared" si="21"/>
        <v>385</v>
      </c>
      <c r="BN21" s="237">
        <f t="shared" si="21"/>
        <v>385</v>
      </c>
      <c r="BO21" s="237">
        <f t="shared" si="21"/>
        <v>385</v>
      </c>
      <c r="BP21" s="237">
        <f t="shared" si="21"/>
        <v>385</v>
      </c>
      <c r="BQ21" s="237">
        <f t="shared" si="21"/>
        <v>385</v>
      </c>
      <c r="BR21" s="237">
        <f t="shared" si="21"/>
        <v>385</v>
      </c>
      <c r="BS21" s="237">
        <f t="shared" si="21"/>
        <v>385</v>
      </c>
      <c r="BT21" s="237">
        <f t="shared" si="21"/>
        <v>385</v>
      </c>
      <c r="BU21" s="237">
        <f t="shared" si="21"/>
        <v>385</v>
      </c>
      <c r="BV21" s="237">
        <f t="shared" si="21"/>
        <v>385</v>
      </c>
      <c r="BW21" s="237">
        <f t="shared" si="21"/>
        <v>385</v>
      </c>
      <c r="BX21" s="237">
        <f t="shared" si="21"/>
        <v>385</v>
      </c>
      <c r="BY21" s="237">
        <f t="shared" si="21"/>
        <v>385</v>
      </c>
      <c r="BZ21" s="237">
        <f t="shared" si="21"/>
        <v>385</v>
      </c>
      <c r="CA21" s="237">
        <f t="shared" si="21"/>
        <v>385</v>
      </c>
      <c r="CB21" s="237">
        <f t="shared" si="21"/>
        <v>385</v>
      </c>
      <c r="CC21" s="237">
        <f t="shared" si="21"/>
        <v>385</v>
      </c>
      <c r="CD21" s="237">
        <f t="shared" ref="CD21:CM21" si="22">CC21+CD20</f>
        <v>385</v>
      </c>
      <c r="CE21" s="237">
        <f t="shared" si="22"/>
        <v>385</v>
      </c>
      <c r="CF21" s="237">
        <f t="shared" si="22"/>
        <v>385</v>
      </c>
      <c r="CG21" s="237">
        <f t="shared" si="22"/>
        <v>385</v>
      </c>
      <c r="CH21" s="237">
        <f t="shared" si="22"/>
        <v>385</v>
      </c>
      <c r="CI21" s="237">
        <f t="shared" si="22"/>
        <v>385</v>
      </c>
      <c r="CJ21" s="237">
        <f t="shared" si="22"/>
        <v>385</v>
      </c>
      <c r="CK21" s="237">
        <f t="shared" si="22"/>
        <v>385</v>
      </c>
      <c r="CL21" s="237">
        <f t="shared" si="22"/>
        <v>385</v>
      </c>
      <c r="CM21" s="237">
        <f t="shared" si="22"/>
        <v>385</v>
      </c>
      <c r="CN21" s="237">
        <f>CM21+CN20</f>
        <v>385</v>
      </c>
      <c r="CO21" s="237">
        <f>CN21+CO20</f>
        <v>385</v>
      </c>
      <c r="CP21" s="237">
        <f>CO21+CP20</f>
        <v>385</v>
      </c>
      <c r="CQ21" s="237">
        <f>CP21+CQ20</f>
        <v>385</v>
      </c>
      <c r="CS21" s="235" t="s">
        <v>286</v>
      </c>
      <c r="CT21" s="237"/>
      <c r="CU21" s="237">
        <f>CT21+CU20</f>
        <v>0</v>
      </c>
      <c r="CV21" s="237">
        <f t="shared" ref="CV21:DP21" si="23">CU21+CV20</f>
        <v>0</v>
      </c>
      <c r="CW21" s="237">
        <f t="shared" si="23"/>
        <v>0</v>
      </c>
      <c r="CX21" s="237">
        <f t="shared" si="23"/>
        <v>96</v>
      </c>
      <c r="CY21" s="237">
        <f t="shared" si="23"/>
        <v>250</v>
      </c>
      <c r="CZ21" s="237">
        <f t="shared" si="23"/>
        <v>384.7</v>
      </c>
      <c r="DA21" s="237">
        <f t="shared" si="23"/>
        <v>384.7</v>
      </c>
      <c r="DB21" s="237">
        <f t="shared" si="23"/>
        <v>384.7</v>
      </c>
      <c r="DC21" s="237">
        <f t="shared" si="23"/>
        <v>384.7</v>
      </c>
      <c r="DD21" s="237">
        <f t="shared" si="23"/>
        <v>384.7</v>
      </c>
      <c r="DE21" s="237">
        <f t="shared" si="23"/>
        <v>384.7</v>
      </c>
      <c r="DF21" s="237">
        <f t="shared" si="23"/>
        <v>384.7</v>
      </c>
      <c r="DG21" s="237">
        <f t="shared" si="23"/>
        <v>384.7</v>
      </c>
      <c r="DH21" s="237">
        <f t="shared" si="23"/>
        <v>384.7</v>
      </c>
      <c r="DI21" s="237">
        <f t="shared" si="23"/>
        <v>384.7</v>
      </c>
      <c r="DJ21" s="237">
        <f t="shared" si="23"/>
        <v>384.7</v>
      </c>
      <c r="DK21" s="237">
        <f t="shared" si="23"/>
        <v>384.7</v>
      </c>
      <c r="DL21" s="237">
        <f t="shared" si="23"/>
        <v>384.7</v>
      </c>
      <c r="DM21" s="237">
        <f t="shared" si="23"/>
        <v>384.7</v>
      </c>
      <c r="DN21" s="237">
        <f t="shared" si="23"/>
        <v>384.7</v>
      </c>
      <c r="DO21" s="237">
        <f t="shared" si="23"/>
        <v>384.7</v>
      </c>
      <c r="DP21" s="237">
        <f t="shared" si="23"/>
        <v>384.7</v>
      </c>
    </row>
    <row r="22" spans="1:120">
      <c r="B22" s="238">
        <f>Резиденции!F12/Резиденции!F6</f>
        <v>36.363636363636367</v>
      </c>
      <c r="C22" s="235" t="s">
        <v>272</v>
      </c>
      <c r="D22" s="245"/>
      <c r="E22" s="245"/>
      <c r="F22" s="245"/>
      <c r="G22" s="245"/>
      <c r="H22" s="237">
        <f t="shared" ref="H22:BO22" si="24">$B22*H20</f>
        <v>0</v>
      </c>
      <c r="I22" s="237">
        <f t="shared" si="24"/>
        <v>0</v>
      </c>
      <c r="J22" s="237">
        <f t="shared" si="24"/>
        <v>0</v>
      </c>
      <c r="K22" s="237">
        <f t="shared" si="24"/>
        <v>0</v>
      </c>
      <c r="L22" s="237">
        <f t="shared" si="24"/>
        <v>0</v>
      </c>
      <c r="M22" s="237">
        <f t="shared" si="24"/>
        <v>0</v>
      </c>
      <c r="N22" s="237">
        <f>$B22*N20</f>
        <v>0</v>
      </c>
      <c r="O22" s="237">
        <f t="shared" si="24"/>
        <v>0</v>
      </c>
      <c r="P22" s="237">
        <f t="shared" si="24"/>
        <v>0</v>
      </c>
      <c r="Q22" s="237">
        <f t="shared" si="24"/>
        <v>0</v>
      </c>
      <c r="R22" s="237">
        <f t="shared" si="24"/>
        <v>0</v>
      </c>
      <c r="S22" s="237">
        <f t="shared" si="24"/>
        <v>0</v>
      </c>
      <c r="T22" s="237">
        <f t="shared" si="24"/>
        <v>700.00000000000011</v>
      </c>
      <c r="U22" s="237">
        <f t="shared" si="24"/>
        <v>700.00000000000011</v>
      </c>
      <c r="V22" s="237">
        <f t="shared" si="24"/>
        <v>980.00000000000023</v>
      </c>
      <c r="W22" s="237">
        <f t="shared" si="24"/>
        <v>1120.0000000000002</v>
      </c>
      <c r="X22" s="237">
        <f t="shared" si="24"/>
        <v>1400.0000000000002</v>
      </c>
      <c r="Y22" s="237">
        <f t="shared" si="24"/>
        <v>1400.0000000000002</v>
      </c>
      <c r="Z22" s="237">
        <f t="shared" si="24"/>
        <v>1400.0000000000002</v>
      </c>
      <c r="AA22" s="237">
        <f t="shared" si="24"/>
        <v>1400.0000000000002</v>
      </c>
      <c r="AB22" s="237">
        <f t="shared" si="24"/>
        <v>1400.0000000000002</v>
      </c>
      <c r="AC22" s="237">
        <f t="shared" si="24"/>
        <v>1400.0000000000002</v>
      </c>
      <c r="AD22" s="237">
        <f t="shared" si="24"/>
        <v>1120.0000000000002</v>
      </c>
      <c r="AE22" s="237">
        <f t="shared" si="24"/>
        <v>980.00000000000023</v>
      </c>
      <c r="AF22" s="237">
        <f t="shared" si="24"/>
        <v>0</v>
      </c>
      <c r="AG22" s="237">
        <f t="shared" si="24"/>
        <v>0</v>
      </c>
      <c r="AH22" s="237">
        <f t="shared" si="24"/>
        <v>0</v>
      </c>
      <c r="AI22" s="237">
        <f t="shared" si="24"/>
        <v>0</v>
      </c>
      <c r="AJ22" s="237">
        <f t="shared" si="24"/>
        <v>0</v>
      </c>
      <c r="AK22" s="237">
        <f t="shared" si="24"/>
        <v>0</v>
      </c>
      <c r="AL22" s="237">
        <f t="shared" si="24"/>
        <v>0</v>
      </c>
      <c r="AM22" s="237">
        <f>$B22*AM20</f>
        <v>0</v>
      </c>
      <c r="AN22" s="237">
        <f t="shared" si="24"/>
        <v>0</v>
      </c>
      <c r="AO22" s="237">
        <f t="shared" si="24"/>
        <v>0</v>
      </c>
      <c r="AP22" s="237">
        <f t="shared" si="24"/>
        <v>0</v>
      </c>
      <c r="AQ22" s="237">
        <f t="shared" si="24"/>
        <v>0</v>
      </c>
      <c r="AR22" s="237">
        <f t="shared" si="24"/>
        <v>0</v>
      </c>
      <c r="AS22" s="237">
        <f t="shared" si="24"/>
        <v>0</v>
      </c>
      <c r="AT22" s="237">
        <f t="shared" si="24"/>
        <v>0</v>
      </c>
      <c r="AU22" s="237">
        <f t="shared" si="24"/>
        <v>0</v>
      </c>
      <c r="AV22" s="237">
        <f t="shared" si="24"/>
        <v>0</v>
      </c>
      <c r="AW22" s="237">
        <f t="shared" si="24"/>
        <v>0</v>
      </c>
      <c r="AX22" s="237">
        <f t="shared" si="24"/>
        <v>0</v>
      </c>
      <c r="AY22" s="237">
        <f t="shared" si="24"/>
        <v>0</v>
      </c>
      <c r="AZ22" s="237">
        <f t="shared" si="24"/>
        <v>0</v>
      </c>
      <c r="BA22" s="237">
        <f t="shared" si="24"/>
        <v>0</v>
      </c>
      <c r="BB22" s="237">
        <f t="shared" si="24"/>
        <v>0</v>
      </c>
      <c r="BC22" s="237">
        <f t="shared" si="24"/>
        <v>0</v>
      </c>
      <c r="BD22" s="237">
        <f t="shared" si="24"/>
        <v>0</v>
      </c>
      <c r="BE22" s="237">
        <f t="shared" si="24"/>
        <v>0</v>
      </c>
      <c r="BF22" s="237">
        <f t="shared" si="24"/>
        <v>0</v>
      </c>
      <c r="BG22" s="237">
        <f t="shared" si="24"/>
        <v>0</v>
      </c>
      <c r="BH22" s="237">
        <f t="shared" si="24"/>
        <v>0</v>
      </c>
      <c r="BI22" s="237">
        <f t="shared" si="24"/>
        <v>0</v>
      </c>
      <c r="BJ22" s="237">
        <f t="shared" si="24"/>
        <v>0</v>
      </c>
      <c r="BK22" s="237">
        <f t="shared" si="24"/>
        <v>0</v>
      </c>
      <c r="BL22" s="237">
        <f t="shared" si="24"/>
        <v>0</v>
      </c>
      <c r="BM22" s="237">
        <f t="shared" si="24"/>
        <v>0</v>
      </c>
      <c r="BN22" s="237">
        <f t="shared" si="24"/>
        <v>0</v>
      </c>
      <c r="BO22" s="237">
        <f t="shared" si="24"/>
        <v>0</v>
      </c>
      <c r="BP22" s="237">
        <f t="shared" ref="BP22:CQ22" si="25">$B22*BP20</f>
        <v>0</v>
      </c>
      <c r="BQ22" s="237">
        <f t="shared" si="25"/>
        <v>0</v>
      </c>
      <c r="BR22" s="237">
        <f t="shared" si="25"/>
        <v>0</v>
      </c>
      <c r="BS22" s="237">
        <f t="shared" si="25"/>
        <v>0</v>
      </c>
      <c r="BT22" s="237">
        <f t="shared" si="25"/>
        <v>0</v>
      </c>
      <c r="BU22" s="237">
        <f t="shared" si="25"/>
        <v>0</v>
      </c>
      <c r="BV22" s="237">
        <f t="shared" si="25"/>
        <v>0</v>
      </c>
      <c r="BW22" s="237">
        <f t="shared" si="25"/>
        <v>0</v>
      </c>
      <c r="BX22" s="237">
        <f t="shared" si="25"/>
        <v>0</v>
      </c>
      <c r="BY22" s="237">
        <f t="shared" si="25"/>
        <v>0</v>
      </c>
      <c r="BZ22" s="237">
        <f t="shared" si="25"/>
        <v>0</v>
      </c>
      <c r="CA22" s="237">
        <f t="shared" si="25"/>
        <v>0</v>
      </c>
      <c r="CB22" s="237">
        <f t="shared" si="25"/>
        <v>0</v>
      </c>
      <c r="CC22" s="237">
        <f t="shared" si="25"/>
        <v>0</v>
      </c>
      <c r="CD22" s="237">
        <f t="shared" si="25"/>
        <v>0</v>
      </c>
      <c r="CE22" s="237">
        <f t="shared" si="25"/>
        <v>0</v>
      </c>
      <c r="CF22" s="237">
        <f t="shared" si="25"/>
        <v>0</v>
      </c>
      <c r="CG22" s="237">
        <f t="shared" si="25"/>
        <v>0</v>
      </c>
      <c r="CH22" s="237">
        <f t="shared" si="25"/>
        <v>0</v>
      </c>
      <c r="CI22" s="237">
        <f t="shared" si="25"/>
        <v>0</v>
      </c>
      <c r="CJ22" s="237">
        <f t="shared" si="25"/>
        <v>0</v>
      </c>
      <c r="CK22" s="237">
        <f t="shared" si="25"/>
        <v>0</v>
      </c>
      <c r="CL22" s="237">
        <f t="shared" si="25"/>
        <v>0</v>
      </c>
      <c r="CM22" s="237">
        <f t="shared" si="25"/>
        <v>0</v>
      </c>
      <c r="CN22" s="237">
        <f t="shared" si="25"/>
        <v>0</v>
      </c>
      <c r="CO22" s="237">
        <f t="shared" si="25"/>
        <v>0</v>
      </c>
      <c r="CP22" s="237">
        <f t="shared" si="25"/>
        <v>0</v>
      </c>
      <c r="CQ22" s="237">
        <f t="shared" si="25"/>
        <v>0</v>
      </c>
      <c r="CS22" s="235" t="s">
        <v>216</v>
      </c>
      <c r="CT22" s="237">
        <f t="shared" ref="CT22:DP22" si="26">SUMIF($D$8:$CQ$8,CT$8,$D22:$CQ22)</f>
        <v>0</v>
      </c>
      <c r="CU22" s="237">
        <f t="shared" si="26"/>
        <v>0</v>
      </c>
      <c r="CV22" s="237">
        <f t="shared" si="26"/>
        <v>0</v>
      </c>
      <c r="CW22" s="237">
        <f t="shared" si="26"/>
        <v>0</v>
      </c>
      <c r="CX22" s="237">
        <f t="shared" si="26"/>
        <v>3500.0000000000009</v>
      </c>
      <c r="CY22" s="237">
        <f t="shared" si="26"/>
        <v>5600.0000000000009</v>
      </c>
      <c r="CZ22" s="237">
        <f t="shared" si="26"/>
        <v>4900.0000000000009</v>
      </c>
      <c r="DA22" s="237">
        <f t="shared" si="26"/>
        <v>0</v>
      </c>
      <c r="DB22" s="237">
        <f t="shared" si="26"/>
        <v>0</v>
      </c>
      <c r="DC22" s="237">
        <f t="shared" si="26"/>
        <v>0</v>
      </c>
      <c r="DD22" s="237">
        <f t="shared" si="26"/>
        <v>0</v>
      </c>
      <c r="DE22" s="237">
        <f t="shared" si="26"/>
        <v>0</v>
      </c>
      <c r="DF22" s="237">
        <f t="shared" si="26"/>
        <v>0</v>
      </c>
      <c r="DG22" s="237">
        <f t="shared" si="26"/>
        <v>0</v>
      </c>
      <c r="DH22" s="237">
        <f t="shared" si="26"/>
        <v>0</v>
      </c>
      <c r="DI22" s="237">
        <f t="shared" si="26"/>
        <v>0</v>
      </c>
      <c r="DJ22" s="237">
        <f t="shared" si="26"/>
        <v>0</v>
      </c>
      <c r="DK22" s="237">
        <f t="shared" si="26"/>
        <v>0</v>
      </c>
      <c r="DL22" s="237">
        <f t="shared" si="26"/>
        <v>0</v>
      </c>
      <c r="DM22" s="237">
        <f t="shared" si="26"/>
        <v>0</v>
      </c>
      <c r="DN22" s="237">
        <f t="shared" si="26"/>
        <v>0</v>
      </c>
      <c r="DO22" s="237">
        <f t="shared" si="26"/>
        <v>0</v>
      </c>
      <c r="DP22" s="237">
        <f t="shared" si="26"/>
        <v>0</v>
      </c>
    </row>
    <row r="23" spans="1:120" outlineLevel="1">
      <c r="A23" s="273"/>
      <c r="C23" s="270" t="s">
        <v>904</v>
      </c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U23" s="1872">
        <f>CU18</f>
        <v>0</v>
      </c>
      <c r="CV23" s="1872">
        <f>CU23+CV18</f>
        <v>0</v>
      </c>
      <c r="CW23" s="1872">
        <f t="shared" ref="CW23:CX23" si="27">CV23+CW18</f>
        <v>0</v>
      </c>
      <c r="CX23" s="1872">
        <f t="shared" si="27"/>
        <v>0.24935064935064935</v>
      </c>
    </row>
    <row r="24" spans="1:120" ht="25.5" outlineLevel="1">
      <c r="C24" s="235" t="s">
        <v>908</v>
      </c>
      <c r="D24" s="1310">
        <f>SUM(D22:CQ22)</f>
        <v>14000.000000000002</v>
      </c>
      <c r="E24" s="1308" t="b">
        <f>D24=Резиденции!F12</f>
        <v>1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</row>
    <row r="25" spans="1:120" outlineLevel="1">
      <c r="C25" s="235" t="s">
        <v>905</v>
      </c>
      <c r="D25" s="1309">
        <f>YEAR(B14)+4</f>
        <v>2029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</row>
    <row r="26" spans="1:120" outlineLevel="1">
      <c r="C26" s="235" t="s">
        <v>906</v>
      </c>
      <c r="D26" s="1310">
        <f>LOOKUP(D25,Резиденции_PL!$D$3:$V$3,Резиденции_PL!$D$85:$V$85)-LOOKUP(D25,Резиденции_PL!$D$3:$V$3,Резиденции_PL!$D$87:$V$87)</f>
        <v>564873247.15181577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</row>
    <row r="27" spans="1:120" outlineLevel="1">
      <c r="C27" s="235" t="s">
        <v>907</v>
      </c>
      <c r="D27" s="247">
        <v>0.14000000000000001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</row>
    <row r="28" spans="1:120" ht="25.5" outlineLevel="1">
      <c r="C28" s="235" t="s">
        <v>909</v>
      </c>
      <c r="D28" s="1311">
        <f>LOOKUP(D25,CPI!3:3,CPI!5:5)</f>
        <v>1.3685690504052741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</row>
    <row r="29" spans="1:120" outlineLevel="1">
      <c r="C29" s="1312" t="s">
        <v>911</v>
      </c>
      <c r="D29" s="1313">
        <f>D26/D27/D28/D24*1.2</f>
        <v>252702.45842540596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</row>
    <row r="30" spans="1:120" outlineLevel="1">
      <c r="C30" s="235" t="s">
        <v>273</v>
      </c>
      <c r="D30" s="245"/>
      <c r="E30" s="245"/>
      <c r="F30" s="245"/>
      <c r="G30" s="245"/>
      <c r="H30" s="245"/>
      <c r="I30" s="245"/>
      <c r="J30" s="159">
        <v>0</v>
      </c>
      <c r="K30" s="159">
        <v>0</v>
      </c>
      <c r="L30" s="159">
        <v>0</v>
      </c>
      <c r="M30" s="159">
        <v>0</v>
      </c>
      <c r="N30" s="159">
        <v>0</v>
      </c>
      <c r="O30" s="159">
        <v>0</v>
      </c>
      <c r="P30" s="159">
        <v>0</v>
      </c>
      <c r="Q30" s="159">
        <v>0</v>
      </c>
      <c r="R30" s="159">
        <v>0</v>
      </c>
      <c r="S30" s="159">
        <v>0</v>
      </c>
      <c r="T30" s="159">
        <v>0</v>
      </c>
      <c r="U30" s="159">
        <v>0.05</v>
      </c>
      <c r="V30" s="159">
        <v>0.05</v>
      </c>
      <c r="W30" s="159">
        <v>0.1</v>
      </c>
      <c r="X30" s="159">
        <f t="shared" ref="X30:AE30" si="28">W30</f>
        <v>0.1</v>
      </c>
      <c r="Y30" s="159">
        <f t="shared" si="28"/>
        <v>0.1</v>
      </c>
      <c r="Z30" s="159">
        <f t="shared" si="28"/>
        <v>0.1</v>
      </c>
      <c r="AA30" s="159">
        <f t="shared" si="28"/>
        <v>0.1</v>
      </c>
      <c r="AB30" s="159">
        <f t="shared" si="28"/>
        <v>0.1</v>
      </c>
      <c r="AC30" s="159">
        <f t="shared" si="28"/>
        <v>0.1</v>
      </c>
      <c r="AD30" s="159">
        <f t="shared" si="28"/>
        <v>0.1</v>
      </c>
      <c r="AE30" s="159">
        <f t="shared" si="28"/>
        <v>0.1</v>
      </c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3"/>
      <c r="BL30" s="253"/>
      <c r="BM30" s="253"/>
      <c r="BN30" s="253"/>
      <c r="BO30" s="253"/>
      <c r="BP30" s="253"/>
      <c r="BQ30" s="253"/>
      <c r="BR30" s="253"/>
      <c r="BS30" s="253"/>
      <c r="BT30" s="253"/>
      <c r="BU30" s="253"/>
      <c r="BV30" s="253"/>
      <c r="BW30" s="253"/>
      <c r="BX30" s="253"/>
      <c r="BY30" s="253"/>
      <c r="BZ30" s="253"/>
      <c r="CA30" s="253"/>
      <c r="CB30" s="253"/>
      <c r="CC30" s="253"/>
      <c r="CD30" s="253"/>
      <c r="CE30" s="253"/>
      <c r="CF30" s="253"/>
      <c r="CG30" s="253"/>
      <c r="CH30" s="253"/>
      <c r="CI30" s="253"/>
      <c r="CJ30" s="253"/>
      <c r="CK30" s="253"/>
      <c r="CL30" s="253"/>
      <c r="CM30" s="253"/>
      <c r="CN30" s="253"/>
      <c r="CO30" s="253"/>
      <c r="CP30" s="253"/>
      <c r="CQ30" s="253"/>
    </row>
    <row r="31" spans="1:120">
      <c r="C31" s="235" t="s">
        <v>910</v>
      </c>
      <c r="D31" s="1310">
        <f t="shared" ref="D31:AE31" si="29">$D29*D$13*(1+D30)</f>
        <v>252702.45842540596</v>
      </c>
      <c r="E31" s="1310">
        <f t="shared" si="29"/>
        <v>257706.95332880283</v>
      </c>
      <c r="F31" s="1310">
        <f t="shared" si="29"/>
        <v>260246.24471044765</v>
      </c>
      <c r="G31" s="1310">
        <f t="shared" si="29"/>
        <v>262810.55676242209</v>
      </c>
      <c r="H31" s="1310">
        <f t="shared" si="29"/>
        <v>265400.1360235631</v>
      </c>
      <c r="I31" s="1310">
        <f t="shared" si="29"/>
        <v>268015.23146195489</v>
      </c>
      <c r="J31" s="1310">
        <f t="shared" si="29"/>
        <v>270656.09449886554</v>
      </c>
      <c r="K31" s="1310">
        <f t="shared" si="29"/>
        <v>273322.97903291893</v>
      </c>
      <c r="L31" s="1310">
        <f t="shared" si="29"/>
        <v>276016.14146450558</v>
      </c>
      <c r="M31" s="1310">
        <f t="shared" si="29"/>
        <v>278735.8407204331</v>
      </c>
      <c r="N31" s="1310">
        <f t="shared" si="29"/>
        <v>281482.33827882016</v>
      </c>
      <c r="O31" s="1310">
        <f t="shared" si="29"/>
        <v>284255.89819423569</v>
      </c>
      <c r="P31" s="1310">
        <f t="shared" si="29"/>
        <v>287056.78712308581</v>
      </c>
      <c r="Q31" s="1310">
        <f t="shared" si="29"/>
        <v>289885.27434925042</v>
      </c>
      <c r="R31" s="1310">
        <f t="shared" si="29"/>
        <v>292741.63180997293</v>
      </c>
      <c r="S31" s="1310">
        <f t="shared" si="29"/>
        <v>295626.13412200514</v>
      </c>
      <c r="T31" s="1310">
        <f t="shared" si="29"/>
        <v>298539.05860800919</v>
      </c>
      <c r="U31" s="1310">
        <f t="shared" si="29"/>
        <v>316554.71958938136</v>
      </c>
      <c r="V31" s="1310">
        <f t="shared" si="29"/>
        <v>319673.8619364904</v>
      </c>
      <c r="W31" s="1310">
        <f t="shared" si="29"/>
        <v>338196.29743557383</v>
      </c>
      <c r="X31" s="1310">
        <f t="shared" si="29"/>
        <v>341528.68304756243</v>
      </c>
      <c r="Y31" s="1310">
        <f t="shared" si="29"/>
        <v>344893.90400976402</v>
      </c>
      <c r="Z31" s="1310">
        <f t="shared" si="29"/>
        <v>348292.28386223322</v>
      </c>
      <c r="AA31" s="1310">
        <f t="shared" si="29"/>
        <v>351724.14933299669</v>
      </c>
      <c r="AB31" s="1310">
        <f t="shared" si="29"/>
        <v>355189.83036946494</v>
      </c>
      <c r="AC31" s="1310">
        <f t="shared" si="29"/>
        <v>358689.66017015453</v>
      </c>
      <c r="AD31" s="1310">
        <f t="shared" si="29"/>
        <v>362223.97521672252</v>
      </c>
      <c r="AE31" s="1310">
        <f t="shared" si="29"/>
        <v>365793.11530631653</v>
      </c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3"/>
      <c r="BK31" s="253"/>
      <c r="BL31" s="253"/>
      <c r="BM31" s="253"/>
      <c r="BN31" s="253"/>
      <c r="BO31" s="253"/>
      <c r="BP31" s="253"/>
      <c r="BQ31" s="253"/>
      <c r="BR31" s="253"/>
      <c r="BS31" s="253"/>
      <c r="BT31" s="253"/>
      <c r="BU31" s="253"/>
      <c r="BV31" s="253"/>
      <c r="BW31" s="253"/>
      <c r="BX31" s="253"/>
      <c r="BY31" s="253"/>
      <c r="BZ31" s="253"/>
      <c r="CA31" s="253"/>
      <c r="CB31" s="253"/>
      <c r="CC31" s="253"/>
      <c r="CD31" s="253"/>
      <c r="CE31" s="253"/>
      <c r="CF31" s="253"/>
      <c r="CG31" s="253"/>
      <c r="CH31" s="253"/>
      <c r="CI31" s="253"/>
      <c r="CJ31" s="253"/>
      <c r="CK31" s="253"/>
      <c r="CL31" s="253"/>
      <c r="CM31" s="253"/>
      <c r="CN31" s="253"/>
      <c r="CO31" s="253"/>
      <c r="CP31" s="253"/>
      <c r="CQ31" s="253"/>
    </row>
    <row r="32" spans="1:120">
      <c r="C32" s="270" t="s">
        <v>274</v>
      </c>
      <c r="D32" s="1314">
        <f t="shared" ref="D32:AI32" si="30">D31*D22</f>
        <v>0</v>
      </c>
      <c r="E32" s="1314">
        <f t="shared" si="30"/>
        <v>0</v>
      </c>
      <c r="F32" s="1314">
        <f t="shared" si="30"/>
        <v>0</v>
      </c>
      <c r="G32" s="1314">
        <f t="shared" si="30"/>
        <v>0</v>
      </c>
      <c r="H32" s="1314">
        <f t="shared" si="30"/>
        <v>0</v>
      </c>
      <c r="I32" s="1314">
        <f t="shared" si="30"/>
        <v>0</v>
      </c>
      <c r="J32" s="1314">
        <f t="shared" si="30"/>
        <v>0</v>
      </c>
      <c r="K32" s="1314">
        <f t="shared" si="30"/>
        <v>0</v>
      </c>
      <c r="L32" s="1314">
        <f t="shared" si="30"/>
        <v>0</v>
      </c>
      <c r="M32" s="1314">
        <f t="shared" si="30"/>
        <v>0</v>
      </c>
      <c r="N32" s="1314">
        <f t="shared" si="30"/>
        <v>0</v>
      </c>
      <c r="O32" s="1314">
        <f t="shared" si="30"/>
        <v>0</v>
      </c>
      <c r="P32" s="1314">
        <f t="shared" si="30"/>
        <v>0</v>
      </c>
      <c r="Q32" s="1314">
        <f t="shared" si="30"/>
        <v>0</v>
      </c>
      <c r="R32" s="1314">
        <f t="shared" si="30"/>
        <v>0</v>
      </c>
      <c r="S32" s="1529">
        <f t="shared" si="30"/>
        <v>0</v>
      </c>
      <c r="T32" s="1314">
        <f t="shared" si="30"/>
        <v>208977341.02560645</v>
      </c>
      <c r="U32" s="1314">
        <f t="shared" si="30"/>
        <v>221588303.712567</v>
      </c>
      <c r="V32" s="1314">
        <f t="shared" si="30"/>
        <v>313280384.69776064</v>
      </c>
      <c r="W32" s="1314">
        <f t="shared" si="30"/>
        <v>378779853.12784278</v>
      </c>
      <c r="X32" s="1314">
        <f t="shared" si="30"/>
        <v>478140156.2665875</v>
      </c>
      <c r="Y32" s="1314">
        <f t="shared" si="30"/>
        <v>482851465.61366969</v>
      </c>
      <c r="Z32" s="1314">
        <f t="shared" si="30"/>
        <v>487609197.40712661</v>
      </c>
      <c r="AA32" s="1314">
        <f t="shared" si="30"/>
        <v>492413809.06619543</v>
      </c>
      <c r="AB32" s="1314">
        <f t="shared" si="30"/>
        <v>497265762.51725101</v>
      </c>
      <c r="AC32" s="1314">
        <f t="shared" si="30"/>
        <v>502165524.2382164</v>
      </c>
      <c r="AD32" s="1314">
        <f t="shared" si="30"/>
        <v>405690852.24272931</v>
      </c>
      <c r="AE32" s="1314">
        <f t="shared" si="30"/>
        <v>358477253.00019026</v>
      </c>
      <c r="AF32" s="1314">
        <f t="shared" si="30"/>
        <v>0</v>
      </c>
      <c r="AG32" s="1314">
        <f t="shared" si="30"/>
        <v>0</v>
      </c>
      <c r="AH32" s="1314">
        <f t="shared" si="30"/>
        <v>0</v>
      </c>
      <c r="AI32" s="1314">
        <f t="shared" si="30"/>
        <v>0</v>
      </c>
      <c r="AJ32" s="1314">
        <f t="shared" ref="AJ32:BO32" si="31">AJ31*AJ22</f>
        <v>0</v>
      </c>
      <c r="AK32" s="1314">
        <f t="shared" si="31"/>
        <v>0</v>
      </c>
      <c r="AL32" s="1314">
        <f t="shared" si="31"/>
        <v>0</v>
      </c>
      <c r="AM32" s="1314">
        <f t="shared" si="31"/>
        <v>0</v>
      </c>
      <c r="AN32" s="1314">
        <f t="shared" si="31"/>
        <v>0</v>
      </c>
      <c r="AO32" s="1314">
        <f t="shared" si="31"/>
        <v>0</v>
      </c>
      <c r="AP32" s="1314">
        <f t="shared" si="31"/>
        <v>0</v>
      </c>
      <c r="AQ32" s="1314">
        <f t="shared" si="31"/>
        <v>0</v>
      </c>
      <c r="AR32" s="1314">
        <f t="shared" si="31"/>
        <v>0</v>
      </c>
      <c r="AS32" s="1314">
        <f t="shared" si="31"/>
        <v>0</v>
      </c>
      <c r="AT32" s="1314">
        <f t="shared" si="31"/>
        <v>0</v>
      </c>
      <c r="AU32" s="1314">
        <f t="shared" si="31"/>
        <v>0</v>
      </c>
      <c r="AV32" s="1314">
        <f t="shared" si="31"/>
        <v>0</v>
      </c>
      <c r="AW32" s="1314">
        <f t="shared" si="31"/>
        <v>0</v>
      </c>
      <c r="AX32" s="1314">
        <f t="shared" si="31"/>
        <v>0</v>
      </c>
      <c r="AY32" s="1314">
        <f t="shared" si="31"/>
        <v>0</v>
      </c>
      <c r="AZ32" s="1314">
        <f t="shared" si="31"/>
        <v>0</v>
      </c>
      <c r="BA32" s="1314">
        <f t="shared" si="31"/>
        <v>0</v>
      </c>
      <c r="BB32" s="1314">
        <f t="shared" si="31"/>
        <v>0</v>
      </c>
      <c r="BC32" s="1314">
        <f t="shared" si="31"/>
        <v>0</v>
      </c>
      <c r="BD32" s="1314">
        <f t="shared" si="31"/>
        <v>0</v>
      </c>
      <c r="BE32" s="1314">
        <f t="shared" si="31"/>
        <v>0</v>
      </c>
      <c r="BF32" s="1314">
        <f t="shared" si="31"/>
        <v>0</v>
      </c>
      <c r="BG32" s="1314">
        <f t="shared" si="31"/>
        <v>0</v>
      </c>
      <c r="BH32" s="1314">
        <f t="shared" si="31"/>
        <v>0</v>
      </c>
      <c r="BI32" s="1314">
        <f t="shared" si="31"/>
        <v>0</v>
      </c>
      <c r="BJ32" s="1314">
        <f t="shared" si="31"/>
        <v>0</v>
      </c>
      <c r="BK32" s="1314">
        <f t="shared" si="31"/>
        <v>0</v>
      </c>
      <c r="BL32" s="1314">
        <f t="shared" si="31"/>
        <v>0</v>
      </c>
      <c r="BM32" s="1314">
        <f t="shared" si="31"/>
        <v>0</v>
      </c>
      <c r="BN32" s="1314">
        <f t="shared" si="31"/>
        <v>0</v>
      </c>
      <c r="BO32" s="1314">
        <f t="shared" si="31"/>
        <v>0</v>
      </c>
      <c r="BP32" s="1314">
        <f t="shared" ref="BP32:CQ32" si="32">BP31*BP22</f>
        <v>0</v>
      </c>
      <c r="BQ32" s="1314">
        <f t="shared" si="32"/>
        <v>0</v>
      </c>
      <c r="BR32" s="1314">
        <f t="shared" si="32"/>
        <v>0</v>
      </c>
      <c r="BS32" s="1314">
        <f t="shared" si="32"/>
        <v>0</v>
      </c>
      <c r="BT32" s="1314">
        <f t="shared" si="32"/>
        <v>0</v>
      </c>
      <c r="BU32" s="1314">
        <f t="shared" si="32"/>
        <v>0</v>
      </c>
      <c r="BV32" s="1314">
        <f t="shared" si="32"/>
        <v>0</v>
      </c>
      <c r="BW32" s="1314">
        <f t="shared" si="32"/>
        <v>0</v>
      </c>
      <c r="BX32" s="1314">
        <f t="shared" si="32"/>
        <v>0</v>
      </c>
      <c r="BY32" s="1314">
        <f t="shared" si="32"/>
        <v>0</v>
      </c>
      <c r="BZ32" s="1314">
        <f t="shared" si="32"/>
        <v>0</v>
      </c>
      <c r="CA32" s="1314">
        <f t="shared" si="32"/>
        <v>0</v>
      </c>
      <c r="CB32" s="1314">
        <f t="shared" si="32"/>
        <v>0</v>
      </c>
      <c r="CC32" s="1314">
        <f t="shared" si="32"/>
        <v>0</v>
      </c>
      <c r="CD32" s="1314">
        <f t="shared" si="32"/>
        <v>0</v>
      </c>
      <c r="CE32" s="1314">
        <f t="shared" si="32"/>
        <v>0</v>
      </c>
      <c r="CF32" s="1314">
        <f t="shared" si="32"/>
        <v>0</v>
      </c>
      <c r="CG32" s="1314">
        <f t="shared" si="32"/>
        <v>0</v>
      </c>
      <c r="CH32" s="1314">
        <f t="shared" si="32"/>
        <v>0</v>
      </c>
      <c r="CI32" s="1314">
        <f t="shared" si="32"/>
        <v>0</v>
      </c>
      <c r="CJ32" s="1314">
        <f t="shared" si="32"/>
        <v>0</v>
      </c>
      <c r="CK32" s="1314">
        <f t="shared" si="32"/>
        <v>0</v>
      </c>
      <c r="CL32" s="1314">
        <f t="shared" si="32"/>
        <v>0</v>
      </c>
      <c r="CM32" s="1314">
        <f t="shared" si="32"/>
        <v>0</v>
      </c>
      <c r="CN32" s="1314">
        <f t="shared" si="32"/>
        <v>0</v>
      </c>
      <c r="CO32" s="1314">
        <f t="shared" si="32"/>
        <v>0</v>
      </c>
      <c r="CP32" s="1314">
        <f t="shared" si="32"/>
        <v>0</v>
      </c>
      <c r="CQ32" s="1314">
        <f t="shared" si="32"/>
        <v>0</v>
      </c>
      <c r="CS32" s="235" t="str">
        <f>$CV$7</f>
        <v>млн руб.</v>
      </c>
      <c r="CT32" s="239">
        <f t="shared" ref="CT32:DP32" si="33">SUMIF($D$8:$CQ$8,CT$8,$D32:$CQ32)/$CU$7</f>
        <v>0</v>
      </c>
      <c r="CU32" s="239">
        <f t="shared" si="33"/>
        <v>0</v>
      </c>
      <c r="CV32" s="239">
        <f t="shared" si="33"/>
        <v>0</v>
      </c>
      <c r="CW32" s="239">
        <f t="shared" si="33"/>
        <v>0</v>
      </c>
      <c r="CX32" s="239">
        <f t="shared" si="33"/>
        <v>1122.6258825637769</v>
      </c>
      <c r="CY32" s="239">
        <f t="shared" si="33"/>
        <v>1941.0146283535794</v>
      </c>
      <c r="CZ32" s="239">
        <f t="shared" si="33"/>
        <v>1763.5993919983869</v>
      </c>
      <c r="DA32" s="239">
        <f t="shared" si="33"/>
        <v>0</v>
      </c>
      <c r="DB32" s="239">
        <f t="shared" si="33"/>
        <v>0</v>
      </c>
      <c r="DC32" s="239">
        <f t="shared" si="33"/>
        <v>0</v>
      </c>
      <c r="DD32" s="239">
        <f t="shared" si="33"/>
        <v>0</v>
      </c>
      <c r="DE32" s="239">
        <f t="shared" si="33"/>
        <v>0</v>
      </c>
      <c r="DF32" s="239">
        <f t="shared" si="33"/>
        <v>0</v>
      </c>
      <c r="DG32" s="239">
        <f t="shared" si="33"/>
        <v>0</v>
      </c>
      <c r="DH32" s="239">
        <f t="shared" si="33"/>
        <v>0</v>
      </c>
      <c r="DI32" s="239">
        <f t="shared" si="33"/>
        <v>0</v>
      </c>
      <c r="DJ32" s="239">
        <f t="shared" si="33"/>
        <v>0</v>
      </c>
      <c r="DK32" s="239">
        <f t="shared" si="33"/>
        <v>0</v>
      </c>
      <c r="DL32" s="239">
        <f t="shared" si="33"/>
        <v>0</v>
      </c>
      <c r="DM32" s="239">
        <f t="shared" si="33"/>
        <v>0</v>
      </c>
      <c r="DN32" s="239">
        <f t="shared" si="33"/>
        <v>0</v>
      </c>
      <c r="DO32" s="239">
        <f t="shared" si="33"/>
        <v>0</v>
      </c>
      <c r="DP32" s="239">
        <f t="shared" si="33"/>
        <v>0</v>
      </c>
    </row>
    <row r="33" spans="2:120" outlineLevel="1">
      <c r="C33" s="240" t="s">
        <v>978</v>
      </c>
      <c r="D33" s="245"/>
      <c r="E33" s="245"/>
      <c r="F33" s="245"/>
      <c r="G33" s="245"/>
      <c r="H33" s="241">
        <f>-H22*H34</f>
        <v>0</v>
      </c>
      <c r="I33" s="241">
        <f>-I22*I34</f>
        <v>0</v>
      </c>
      <c r="J33" s="241">
        <f>-J22*J34</f>
        <v>0</v>
      </c>
      <c r="K33" s="241">
        <f>-K22*K34</f>
        <v>0</v>
      </c>
      <c r="L33" s="241">
        <f>-L22*L34</f>
        <v>0</v>
      </c>
      <c r="M33" s="241">
        <f t="shared" ref="M33:AE33" si="34">-M22*M34</f>
        <v>0</v>
      </c>
      <c r="N33" s="241">
        <f t="shared" si="34"/>
        <v>0</v>
      </c>
      <c r="O33" s="241">
        <f t="shared" si="34"/>
        <v>0</v>
      </c>
      <c r="P33" s="241">
        <f t="shared" si="34"/>
        <v>0</v>
      </c>
      <c r="Q33" s="241">
        <f t="shared" si="34"/>
        <v>0</v>
      </c>
      <c r="R33" s="241">
        <f t="shared" si="34"/>
        <v>0</v>
      </c>
      <c r="S33" s="241">
        <f t="shared" si="34"/>
        <v>0</v>
      </c>
      <c r="T33" s="241">
        <f t="shared" si="34"/>
        <v>-81265191.848418623</v>
      </c>
      <c r="U33" s="241">
        <f t="shared" si="34"/>
        <v>-81265191.848418623</v>
      </c>
      <c r="V33" s="241">
        <f t="shared" si="34"/>
        <v>-113771268.58778608</v>
      </c>
      <c r="W33" s="241">
        <f t="shared" si="34"/>
        <v>-130024306.95746979</v>
      </c>
      <c r="X33" s="241">
        <f t="shared" si="34"/>
        <v>-162530383.69683725</v>
      </c>
      <c r="Y33" s="241">
        <f t="shared" si="34"/>
        <v>-162530383.69683725</v>
      </c>
      <c r="Z33" s="241">
        <f t="shared" si="34"/>
        <v>-162530383.69683725</v>
      </c>
      <c r="AA33" s="241">
        <f t="shared" si="34"/>
        <v>-162530383.69683725</v>
      </c>
      <c r="AB33" s="241">
        <f t="shared" si="34"/>
        <v>-162530383.69683725</v>
      </c>
      <c r="AC33" s="241">
        <f t="shared" si="34"/>
        <v>-162530383.69683725</v>
      </c>
      <c r="AD33" s="241">
        <f t="shared" si="34"/>
        <v>-130024306.95746979</v>
      </c>
      <c r="AE33" s="241">
        <f t="shared" si="34"/>
        <v>-113771268.58778608</v>
      </c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3"/>
      <c r="BL33" s="253"/>
      <c r="BM33" s="253"/>
      <c r="BN33" s="253"/>
      <c r="BO33" s="253"/>
      <c r="BP33" s="253"/>
      <c r="BQ33" s="253"/>
      <c r="BR33" s="253"/>
      <c r="BS33" s="253"/>
      <c r="BT33" s="253"/>
      <c r="BU33" s="253"/>
      <c r="BV33" s="253"/>
      <c r="BW33" s="253"/>
      <c r="BX33" s="253"/>
      <c r="BY33" s="253"/>
      <c r="BZ33" s="253"/>
      <c r="CA33" s="253"/>
      <c r="CB33" s="253"/>
      <c r="CC33" s="253"/>
      <c r="CD33" s="253"/>
      <c r="CE33" s="253"/>
      <c r="CF33" s="253"/>
      <c r="CG33" s="253"/>
      <c r="CH33" s="253"/>
      <c r="CI33" s="253"/>
      <c r="CJ33" s="253"/>
      <c r="CK33" s="253"/>
      <c r="CL33" s="253"/>
      <c r="CM33" s="253"/>
      <c r="CN33" s="253"/>
      <c r="CO33" s="253"/>
      <c r="CP33" s="253"/>
      <c r="CQ33" s="253"/>
      <c r="CV33" s="21"/>
      <c r="CX33" s="21"/>
    </row>
    <row r="34" spans="2:120" outlineLevel="1">
      <c r="B34" s="280">
        <f>Строительство!F39/1.2/Резиденции!F4</f>
        <v>116093.13121202658</v>
      </c>
      <c r="C34" s="278" t="str">
        <f>C8</f>
        <v>Туристские резиденции</v>
      </c>
      <c r="D34" s="245"/>
      <c r="E34" s="245"/>
      <c r="F34" s="245"/>
      <c r="G34" s="245"/>
      <c r="H34" s="1307">
        <f t="shared" ref="H34:O34" si="35">$B$34</f>
        <v>116093.13121202658</v>
      </c>
      <c r="I34" s="1307">
        <f t="shared" si="35"/>
        <v>116093.13121202658</v>
      </c>
      <c r="J34" s="1307">
        <f t="shared" si="35"/>
        <v>116093.13121202658</v>
      </c>
      <c r="K34" s="1307">
        <f t="shared" si="35"/>
        <v>116093.13121202658</v>
      </c>
      <c r="L34" s="1307">
        <f t="shared" si="35"/>
        <v>116093.13121202658</v>
      </c>
      <c r="M34" s="1307">
        <f t="shared" si="35"/>
        <v>116093.13121202658</v>
      </c>
      <c r="N34" s="1307">
        <f t="shared" si="35"/>
        <v>116093.13121202658</v>
      </c>
      <c r="O34" s="1307">
        <f t="shared" si="35"/>
        <v>116093.13121202658</v>
      </c>
      <c r="P34" s="1307">
        <f t="shared" ref="P34:X34" si="36">$B$34</f>
        <v>116093.13121202658</v>
      </c>
      <c r="Q34" s="1307">
        <f t="shared" si="36"/>
        <v>116093.13121202658</v>
      </c>
      <c r="R34" s="1307">
        <f t="shared" si="36"/>
        <v>116093.13121202658</v>
      </c>
      <c r="S34" s="1307">
        <f t="shared" si="36"/>
        <v>116093.13121202658</v>
      </c>
      <c r="T34" s="1307">
        <f t="shared" si="36"/>
        <v>116093.13121202658</v>
      </c>
      <c r="U34" s="1307">
        <f t="shared" si="36"/>
        <v>116093.13121202658</v>
      </c>
      <c r="V34" s="1307">
        <f t="shared" si="36"/>
        <v>116093.13121202658</v>
      </c>
      <c r="W34" s="1307">
        <f t="shared" si="36"/>
        <v>116093.13121202658</v>
      </c>
      <c r="X34" s="1307">
        <f t="shared" si="36"/>
        <v>116093.13121202658</v>
      </c>
      <c r="Y34" s="1307">
        <f>$B$34</f>
        <v>116093.13121202658</v>
      </c>
      <c r="Z34" s="1307">
        <f t="shared" ref="Z34:AE34" si="37">$B$34</f>
        <v>116093.13121202658</v>
      </c>
      <c r="AA34" s="1307">
        <f t="shared" si="37"/>
        <v>116093.13121202658</v>
      </c>
      <c r="AB34" s="1307">
        <f t="shared" si="37"/>
        <v>116093.13121202658</v>
      </c>
      <c r="AC34" s="1307">
        <f t="shared" si="37"/>
        <v>116093.13121202658</v>
      </c>
      <c r="AD34" s="1307">
        <f t="shared" si="37"/>
        <v>116093.13121202658</v>
      </c>
      <c r="AE34" s="1307">
        <f t="shared" si="37"/>
        <v>116093.13121202658</v>
      </c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/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/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/>
      <c r="CN34" s="253"/>
      <c r="CO34" s="253"/>
      <c r="CP34" s="253"/>
      <c r="CQ34" s="253"/>
    </row>
    <row r="35" spans="2:120">
      <c r="B35" s="231"/>
      <c r="C35" s="242" t="s">
        <v>275</v>
      </c>
      <c r="D35" s="237">
        <f t="shared" ref="D35:AE35" si="38">20%*(D32+D33)</f>
        <v>0</v>
      </c>
      <c r="E35" s="237">
        <f t="shared" si="38"/>
        <v>0</v>
      </c>
      <c r="F35" s="237">
        <f t="shared" si="38"/>
        <v>0</v>
      </c>
      <c r="G35" s="237">
        <f t="shared" si="38"/>
        <v>0</v>
      </c>
      <c r="H35" s="237">
        <f t="shared" si="38"/>
        <v>0</v>
      </c>
      <c r="I35" s="237">
        <f t="shared" si="38"/>
        <v>0</v>
      </c>
      <c r="J35" s="237">
        <f t="shared" si="38"/>
        <v>0</v>
      </c>
      <c r="K35" s="237">
        <f t="shared" si="38"/>
        <v>0</v>
      </c>
      <c r="L35" s="237">
        <f t="shared" si="38"/>
        <v>0</v>
      </c>
      <c r="M35" s="237">
        <f t="shared" si="38"/>
        <v>0</v>
      </c>
      <c r="N35" s="237">
        <f t="shared" si="38"/>
        <v>0</v>
      </c>
      <c r="O35" s="237">
        <f t="shared" si="38"/>
        <v>0</v>
      </c>
      <c r="P35" s="237">
        <f t="shared" si="38"/>
        <v>0</v>
      </c>
      <c r="Q35" s="237">
        <f t="shared" si="38"/>
        <v>0</v>
      </c>
      <c r="R35" s="237">
        <f t="shared" si="38"/>
        <v>0</v>
      </c>
      <c r="S35" s="237">
        <f t="shared" si="38"/>
        <v>0</v>
      </c>
      <c r="T35" s="237">
        <f t="shared" si="38"/>
        <v>25542429.835437566</v>
      </c>
      <c r="U35" s="237">
        <f t="shared" si="38"/>
        <v>28064622.372829676</v>
      </c>
      <c r="V35" s="237">
        <f t="shared" si="38"/>
        <v>39901823.221994914</v>
      </c>
      <c r="W35" s="237">
        <f t="shared" si="38"/>
        <v>49751109.2340746</v>
      </c>
      <c r="X35" s="237">
        <f t="shared" si="38"/>
        <v>63121954.51395005</v>
      </c>
      <c r="Y35" s="237">
        <f t="shared" si="38"/>
        <v>64064216.383366495</v>
      </c>
      <c r="Z35" s="237">
        <f t="shared" si="38"/>
        <v>65015762.742057875</v>
      </c>
      <c r="AA35" s="237">
        <f t="shared" si="38"/>
        <v>65976685.073871642</v>
      </c>
      <c r="AB35" s="237">
        <f t="shared" si="38"/>
        <v>66947075.76408276</v>
      </c>
      <c r="AC35" s="237">
        <f t="shared" si="38"/>
        <v>67927028.108275831</v>
      </c>
      <c r="AD35" s="237">
        <f t="shared" si="38"/>
        <v>55133309.057051897</v>
      </c>
      <c r="AE35" s="237">
        <f t="shared" si="38"/>
        <v>48941196.882480837</v>
      </c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S35" s="235" t="str">
        <f t="shared" ref="CS35:CS41" si="39">$CV$7</f>
        <v>млн руб.</v>
      </c>
      <c r="CT35" s="230">
        <f t="shared" ref="CT35:DP35" si="40">SUMIF($D$8:$CQ$8,CT$8,$D35:$CQ35)/$CU$7</f>
        <v>0</v>
      </c>
      <c r="CU35" s="230">
        <f t="shared" si="40"/>
        <v>0</v>
      </c>
      <c r="CV35" s="230">
        <f t="shared" si="40"/>
        <v>0</v>
      </c>
      <c r="CW35" s="230">
        <f t="shared" si="40"/>
        <v>0</v>
      </c>
      <c r="CX35" s="230">
        <f t="shared" si="40"/>
        <v>143.25998466433674</v>
      </c>
      <c r="CY35" s="230">
        <f t="shared" si="40"/>
        <v>258.17861871324607</v>
      </c>
      <c r="CZ35" s="230">
        <f t="shared" si="40"/>
        <v>238.94860981189132</v>
      </c>
      <c r="DA35" s="230">
        <f t="shared" si="40"/>
        <v>0</v>
      </c>
      <c r="DB35" s="230">
        <f t="shared" si="40"/>
        <v>0</v>
      </c>
      <c r="DC35" s="230">
        <f t="shared" si="40"/>
        <v>0</v>
      </c>
      <c r="DD35" s="230">
        <f t="shared" si="40"/>
        <v>0</v>
      </c>
      <c r="DE35" s="230">
        <f t="shared" si="40"/>
        <v>0</v>
      </c>
      <c r="DF35" s="230">
        <f t="shared" si="40"/>
        <v>0</v>
      </c>
      <c r="DG35" s="230">
        <f t="shared" si="40"/>
        <v>0</v>
      </c>
      <c r="DH35" s="230">
        <f t="shared" si="40"/>
        <v>0</v>
      </c>
      <c r="DI35" s="230">
        <f t="shared" si="40"/>
        <v>0</v>
      </c>
      <c r="DJ35" s="230">
        <f t="shared" si="40"/>
        <v>0</v>
      </c>
      <c r="DK35" s="230">
        <f t="shared" si="40"/>
        <v>0</v>
      </c>
      <c r="DL35" s="230">
        <f t="shared" si="40"/>
        <v>0</v>
      </c>
      <c r="DM35" s="230">
        <f t="shared" si="40"/>
        <v>0</v>
      </c>
      <c r="DN35" s="230">
        <f t="shared" si="40"/>
        <v>0</v>
      </c>
      <c r="DO35" s="230">
        <f t="shared" si="40"/>
        <v>0</v>
      </c>
      <c r="DP35" s="230">
        <f t="shared" si="40"/>
        <v>0</v>
      </c>
    </row>
    <row r="36" spans="2:120">
      <c r="B36" s="231"/>
      <c r="C36" s="243" t="s">
        <v>276</v>
      </c>
    </row>
    <row r="37" spans="2:120">
      <c r="B37" s="247">
        <v>0</v>
      </c>
      <c r="C37" s="235" t="s">
        <v>277</v>
      </c>
      <c r="D37" s="230">
        <f t="shared" ref="D37:I39" si="41">-$B37*D$32</f>
        <v>0</v>
      </c>
      <c r="E37" s="230">
        <f t="shared" si="41"/>
        <v>0</v>
      </c>
      <c r="F37" s="230">
        <f t="shared" si="41"/>
        <v>0</v>
      </c>
      <c r="G37" s="230">
        <f t="shared" si="41"/>
        <v>0</v>
      </c>
      <c r="H37" s="230">
        <f t="shared" si="41"/>
        <v>0</v>
      </c>
      <c r="I37" s="230">
        <f>-$B37*I$32</f>
        <v>0</v>
      </c>
      <c r="J37" s="230">
        <f t="shared" ref="J37:Y39" si="42">-$B37*J$32</f>
        <v>0</v>
      </c>
      <c r="K37" s="230">
        <f t="shared" si="42"/>
        <v>0</v>
      </c>
      <c r="L37" s="230">
        <f t="shared" si="42"/>
        <v>0</v>
      </c>
      <c r="M37" s="230">
        <f t="shared" si="42"/>
        <v>0</v>
      </c>
      <c r="N37" s="230">
        <f t="shared" si="42"/>
        <v>0</v>
      </c>
      <c r="O37" s="230">
        <f t="shared" si="42"/>
        <v>0</v>
      </c>
      <c r="P37" s="230">
        <f t="shared" si="42"/>
        <v>0</v>
      </c>
      <c r="Q37" s="230">
        <f t="shared" si="42"/>
        <v>0</v>
      </c>
      <c r="R37" s="230">
        <f t="shared" si="42"/>
        <v>0</v>
      </c>
      <c r="S37" s="230">
        <f t="shared" si="42"/>
        <v>0</v>
      </c>
      <c r="T37" s="230">
        <f t="shared" si="42"/>
        <v>0</v>
      </c>
      <c r="U37" s="230">
        <f t="shared" si="42"/>
        <v>0</v>
      </c>
      <c r="V37" s="230">
        <f t="shared" si="42"/>
        <v>0</v>
      </c>
      <c r="W37" s="230">
        <f t="shared" si="42"/>
        <v>0</v>
      </c>
      <c r="X37" s="230">
        <f t="shared" si="42"/>
        <v>0</v>
      </c>
      <c r="Y37" s="230">
        <f t="shared" si="42"/>
        <v>0</v>
      </c>
      <c r="Z37" s="230">
        <f t="shared" ref="Z37:AE39" si="43">-$B37*Z$32</f>
        <v>0</v>
      </c>
      <c r="AA37" s="230">
        <f t="shared" si="43"/>
        <v>0</v>
      </c>
      <c r="AB37" s="230">
        <f t="shared" si="43"/>
        <v>0</v>
      </c>
      <c r="AC37" s="230">
        <f t="shared" si="43"/>
        <v>0</v>
      </c>
      <c r="AD37" s="230">
        <f t="shared" si="43"/>
        <v>0</v>
      </c>
      <c r="AE37" s="230">
        <f t="shared" si="43"/>
        <v>0</v>
      </c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  <c r="BE37" s="253"/>
      <c r="BF37" s="253"/>
      <c r="BG37" s="253"/>
      <c r="BH37" s="253"/>
      <c r="BI37" s="253"/>
      <c r="BJ37" s="253"/>
      <c r="BK37" s="253"/>
      <c r="BL37" s="253"/>
      <c r="BM37" s="253"/>
      <c r="BN37" s="253"/>
      <c r="BO37" s="253"/>
      <c r="BP37" s="253"/>
      <c r="BQ37" s="253"/>
      <c r="BR37" s="253"/>
      <c r="BS37" s="253"/>
      <c r="BT37" s="253"/>
      <c r="BU37" s="253"/>
      <c r="BV37" s="253"/>
      <c r="BW37" s="253"/>
      <c r="BX37" s="253"/>
      <c r="BY37" s="253"/>
      <c r="BZ37" s="253"/>
      <c r="CA37" s="253"/>
      <c r="CB37" s="253"/>
      <c r="CC37" s="253"/>
      <c r="CD37" s="253"/>
      <c r="CE37" s="253"/>
      <c r="CF37" s="253"/>
      <c r="CG37" s="253"/>
      <c r="CH37" s="253"/>
      <c r="CI37" s="253"/>
      <c r="CJ37" s="253"/>
      <c r="CK37" s="253"/>
      <c r="CL37" s="253"/>
      <c r="CM37" s="253"/>
      <c r="CN37" s="253"/>
      <c r="CO37" s="253"/>
      <c r="CP37" s="253"/>
      <c r="CQ37" s="253"/>
      <c r="CS37" s="235" t="str">
        <f t="shared" si="39"/>
        <v>млн руб.</v>
      </c>
      <c r="CT37" s="230">
        <f t="shared" ref="CT37:DC40" si="44">SUMIF($D$8:$CQ$8,CT$8,$D37:$CQ37)/$CU$7</f>
        <v>0</v>
      </c>
      <c r="CU37" s="230">
        <f t="shared" si="44"/>
        <v>0</v>
      </c>
      <c r="CV37" s="230">
        <f t="shared" si="44"/>
        <v>0</v>
      </c>
      <c r="CW37" s="230">
        <f t="shared" si="44"/>
        <v>0</v>
      </c>
      <c r="CX37" s="230">
        <f t="shared" si="44"/>
        <v>0</v>
      </c>
      <c r="CY37" s="230">
        <f t="shared" si="44"/>
        <v>0</v>
      </c>
      <c r="CZ37" s="230">
        <f t="shared" si="44"/>
        <v>0</v>
      </c>
      <c r="DA37" s="230">
        <f t="shared" si="44"/>
        <v>0</v>
      </c>
      <c r="DB37" s="230">
        <f t="shared" si="44"/>
        <v>0</v>
      </c>
      <c r="DC37" s="230">
        <f t="shared" si="44"/>
        <v>0</v>
      </c>
      <c r="DD37" s="230">
        <f t="shared" ref="DD37:DP40" si="45">SUMIF($D$8:$CQ$8,DD$8,$D37:$CQ37)/$CU$7</f>
        <v>0</v>
      </c>
      <c r="DE37" s="230">
        <f t="shared" si="45"/>
        <v>0</v>
      </c>
      <c r="DF37" s="230">
        <f t="shared" si="45"/>
        <v>0</v>
      </c>
      <c r="DG37" s="230">
        <f t="shared" si="45"/>
        <v>0</v>
      </c>
      <c r="DH37" s="230">
        <f t="shared" si="45"/>
        <v>0</v>
      </c>
      <c r="DI37" s="230">
        <f t="shared" si="45"/>
        <v>0</v>
      </c>
      <c r="DJ37" s="230">
        <f t="shared" si="45"/>
        <v>0</v>
      </c>
      <c r="DK37" s="230">
        <f t="shared" si="45"/>
        <v>0</v>
      </c>
      <c r="DL37" s="230">
        <f t="shared" si="45"/>
        <v>0</v>
      </c>
      <c r="DM37" s="230">
        <f t="shared" si="45"/>
        <v>0</v>
      </c>
      <c r="DN37" s="230">
        <f t="shared" si="45"/>
        <v>0</v>
      </c>
      <c r="DO37" s="230">
        <f t="shared" si="45"/>
        <v>0</v>
      </c>
      <c r="DP37" s="230">
        <f t="shared" si="45"/>
        <v>0</v>
      </c>
    </row>
    <row r="38" spans="2:120">
      <c r="B38" s="247">
        <v>0.02</v>
      </c>
      <c r="C38" s="235" t="s">
        <v>278</v>
      </c>
      <c r="D38" s="230">
        <f t="shared" si="41"/>
        <v>0</v>
      </c>
      <c r="E38" s="230">
        <f t="shared" si="41"/>
        <v>0</v>
      </c>
      <c r="F38" s="230">
        <f t="shared" si="41"/>
        <v>0</v>
      </c>
      <c r="G38" s="230">
        <f t="shared" si="41"/>
        <v>0</v>
      </c>
      <c r="H38" s="230">
        <f t="shared" si="41"/>
        <v>0</v>
      </c>
      <c r="I38" s="230">
        <f t="shared" si="41"/>
        <v>0</v>
      </c>
      <c r="J38" s="230">
        <f t="shared" si="42"/>
        <v>0</v>
      </c>
      <c r="K38" s="230">
        <f t="shared" si="42"/>
        <v>0</v>
      </c>
      <c r="L38" s="230">
        <f t="shared" si="42"/>
        <v>0</v>
      </c>
      <c r="M38" s="230">
        <f t="shared" si="42"/>
        <v>0</v>
      </c>
      <c r="N38" s="230">
        <f t="shared" si="42"/>
        <v>0</v>
      </c>
      <c r="O38" s="230">
        <f t="shared" si="42"/>
        <v>0</v>
      </c>
      <c r="P38" s="230">
        <f t="shared" si="42"/>
        <v>0</v>
      </c>
      <c r="Q38" s="230">
        <f t="shared" si="42"/>
        <v>0</v>
      </c>
      <c r="R38" s="230">
        <f t="shared" si="42"/>
        <v>0</v>
      </c>
      <c r="S38" s="230">
        <f t="shared" si="42"/>
        <v>0</v>
      </c>
      <c r="T38" s="230">
        <f t="shared" si="42"/>
        <v>-4179546.820512129</v>
      </c>
      <c r="U38" s="230">
        <f t="shared" si="42"/>
        <v>-4431766.0742513398</v>
      </c>
      <c r="V38" s="230">
        <f t="shared" si="42"/>
        <v>-6265607.6939552128</v>
      </c>
      <c r="W38" s="230">
        <f t="shared" si="42"/>
        <v>-7575597.0625568554</v>
      </c>
      <c r="X38" s="230">
        <f t="shared" si="42"/>
        <v>-9562803.1253317501</v>
      </c>
      <c r="Y38" s="230">
        <f t="shared" si="42"/>
        <v>-9657029.3122733943</v>
      </c>
      <c r="Z38" s="230">
        <f t="shared" si="43"/>
        <v>-9752183.9481425323</v>
      </c>
      <c r="AA38" s="230">
        <f t="shared" si="43"/>
        <v>-9848276.1813239083</v>
      </c>
      <c r="AB38" s="230">
        <f t="shared" si="43"/>
        <v>-9945315.2503450196</v>
      </c>
      <c r="AC38" s="230">
        <f t="shared" si="43"/>
        <v>-10043310.484764328</v>
      </c>
      <c r="AD38" s="230">
        <f t="shared" si="43"/>
        <v>-8113817.044854586</v>
      </c>
      <c r="AE38" s="230">
        <f t="shared" si="43"/>
        <v>-7169545.060003805</v>
      </c>
      <c r="AF38" s="253"/>
      <c r="AG38" s="253"/>
      <c r="AH38" s="253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3"/>
      <c r="BK38" s="253"/>
      <c r="BL38" s="253"/>
      <c r="BM38" s="253"/>
      <c r="BN38" s="253"/>
      <c r="BO38" s="253"/>
      <c r="BP38" s="253"/>
      <c r="BQ38" s="253"/>
      <c r="BR38" s="253"/>
      <c r="BS38" s="253"/>
      <c r="BT38" s="253"/>
      <c r="BU38" s="253"/>
      <c r="BV38" s="253"/>
      <c r="BW38" s="253"/>
      <c r="BX38" s="253"/>
      <c r="BY38" s="253"/>
      <c r="BZ38" s="253"/>
      <c r="CA38" s="253"/>
      <c r="CB38" s="253"/>
      <c r="CC38" s="253"/>
      <c r="CD38" s="253"/>
      <c r="CE38" s="253"/>
      <c r="CF38" s="253"/>
      <c r="CG38" s="253"/>
      <c r="CH38" s="253"/>
      <c r="CI38" s="253"/>
      <c r="CJ38" s="253"/>
      <c r="CK38" s="253"/>
      <c r="CL38" s="253"/>
      <c r="CM38" s="253"/>
      <c r="CN38" s="253"/>
      <c r="CO38" s="253"/>
      <c r="CP38" s="253"/>
      <c r="CQ38" s="253"/>
      <c r="CS38" s="235" t="str">
        <f t="shared" si="39"/>
        <v>млн руб.</v>
      </c>
      <c r="CT38" s="230">
        <f t="shared" si="44"/>
        <v>0</v>
      </c>
      <c r="CU38" s="230">
        <f t="shared" si="44"/>
        <v>0</v>
      </c>
      <c r="CV38" s="230">
        <f t="shared" si="44"/>
        <v>0</v>
      </c>
      <c r="CW38" s="230">
        <f t="shared" si="44"/>
        <v>0</v>
      </c>
      <c r="CX38" s="230">
        <f t="shared" si="44"/>
        <v>-22.452517651275539</v>
      </c>
      <c r="CY38" s="230">
        <f t="shared" si="44"/>
        <v>-38.82029256707159</v>
      </c>
      <c r="CZ38" s="230">
        <f t="shared" si="44"/>
        <v>-35.271987839967736</v>
      </c>
      <c r="DA38" s="230">
        <f t="shared" si="44"/>
        <v>0</v>
      </c>
      <c r="DB38" s="230">
        <f t="shared" si="44"/>
        <v>0</v>
      </c>
      <c r="DC38" s="230">
        <f t="shared" si="44"/>
        <v>0</v>
      </c>
      <c r="DD38" s="230">
        <f t="shared" si="45"/>
        <v>0</v>
      </c>
      <c r="DE38" s="230">
        <f t="shared" si="45"/>
        <v>0</v>
      </c>
      <c r="DF38" s="230">
        <f t="shared" si="45"/>
        <v>0</v>
      </c>
      <c r="DG38" s="230">
        <f t="shared" si="45"/>
        <v>0</v>
      </c>
      <c r="DH38" s="230">
        <f t="shared" si="45"/>
        <v>0</v>
      </c>
      <c r="DI38" s="230">
        <f t="shared" si="45"/>
        <v>0</v>
      </c>
      <c r="DJ38" s="230">
        <f t="shared" si="45"/>
        <v>0</v>
      </c>
      <c r="DK38" s="230">
        <f t="shared" si="45"/>
        <v>0</v>
      </c>
      <c r="DL38" s="230">
        <f t="shared" si="45"/>
        <v>0</v>
      </c>
      <c r="DM38" s="230">
        <f t="shared" si="45"/>
        <v>0</v>
      </c>
      <c r="DN38" s="230">
        <f t="shared" si="45"/>
        <v>0</v>
      </c>
      <c r="DO38" s="230">
        <f t="shared" si="45"/>
        <v>0</v>
      </c>
      <c r="DP38" s="230">
        <f t="shared" si="45"/>
        <v>0</v>
      </c>
    </row>
    <row r="39" spans="2:120">
      <c r="B39" s="247">
        <v>0.03</v>
      </c>
      <c r="C39" s="235" t="s">
        <v>279</v>
      </c>
      <c r="D39" s="230">
        <f t="shared" si="41"/>
        <v>0</v>
      </c>
      <c r="E39" s="230">
        <f t="shared" si="41"/>
        <v>0</v>
      </c>
      <c r="F39" s="230">
        <f t="shared" si="41"/>
        <v>0</v>
      </c>
      <c r="G39" s="230">
        <f t="shared" si="41"/>
        <v>0</v>
      </c>
      <c r="H39" s="230">
        <f t="shared" si="41"/>
        <v>0</v>
      </c>
      <c r="I39" s="230">
        <f t="shared" si="41"/>
        <v>0</v>
      </c>
      <c r="J39" s="230">
        <f t="shared" si="42"/>
        <v>0</v>
      </c>
      <c r="K39" s="230">
        <f t="shared" si="42"/>
        <v>0</v>
      </c>
      <c r="L39" s="230">
        <f t="shared" si="42"/>
        <v>0</v>
      </c>
      <c r="M39" s="230">
        <f t="shared" si="42"/>
        <v>0</v>
      </c>
      <c r="N39" s="230">
        <f t="shared" si="42"/>
        <v>0</v>
      </c>
      <c r="O39" s="230">
        <f t="shared" si="42"/>
        <v>0</v>
      </c>
      <c r="P39" s="230">
        <f t="shared" si="42"/>
        <v>0</v>
      </c>
      <c r="Q39" s="230">
        <f t="shared" si="42"/>
        <v>0</v>
      </c>
      <c r="R39" s="230">
        <f t="shared" si="42"/>
        <v>0</v>
      </c>
      <c r="S39" s="230">
        <f t="shared" si="42"/>
        <v>0</v>
      </c>
      <c r="T39" s="230">
        <f t="shared" si="42"/>
        <v>-6269320.2307681935</v>
      </c>
      <c r="U39" s="230">
        <f t="shared" si="42"/>
        <v>-6647649.1113770101</v>
      </c>
      <c r="V39" s="230">
        <f t="shared" si="42"/>
        <v>-9398411.5409328192</v>
      </c>
      <c r="W39" s="230">
        <f t="shared" si="42"/>
        <v>-11363395.593835283</v>
      </c>
      <c r="X39" s="230">
        <f t="shared" si="42"/>
        <v>-14344204.687997624</v>
      </c>
      <c r="Y39" s="230">
        <f t="shared" si="42"/>
        <v>-14485543.96841009</v>
      </c>
      <c r="Z39" s="230">
        <f t="shared" si="43"/>
        <v>-14628275.922213798</v>
      </c>
      <c r="AA39" s="230">
        <f t="shared" si="43"/>
        <v>-14772414.271985862</v>
      </c>
      <c r="AB39" s="230">
        <f t="shared" si="43"/>
        <v>-14917972.87551753</v>
      </c>
      <c r="AC39" s="230">
        <f t="shared" si="43"/>
        <v>-15064965.727146491</v>
      </c>
      <c r="AD39" s="230">
        <f t="shared" si="43"/>
        <v>-12170725.567281879</v>
      </c>
      <c r="AE39" s="230">
        <f t="shared" si="43"/>
        <v>-10754317.590005707</v>
      </c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3"/>
      <c r="BK39" s="253"/>
      <c r="BL39" s="253"/>
      <c r="BM39" s="253"/>
      <c r="BN39" s="253"/>
      <c r="BO39" s="253"/>
      <c r="BP39" s="253"/>
      <c r="BQ39" s="253"/>
      <c r="BR39" s="253"/>
      <c r="BS39" s="253"/>
      <c r="BT39" s="253"/>
      <c r="BU39" s="253"/>
      <c r="BV39" s="253"/>
      <c r="BW39" s="253"/>
      <c r="BX39" s="253"/>
      <c r="BY39" s="253"/>
      <c r="BZ39" s="253"/>
      <c r="CA39" s="253"/>
      <c r="CB39" s="253"/>
      <c r="CC39" s="253"/>
      <c r="CD39" s="253"/>
      <c r="CE39" s="253"/>
      <c r="CF39" s="253"/>
      <c r="CG39" s="253"/>
      <c r="CH39" s="253"/>
      <c r="CI39" s="253"/>
      <c r="CJ39" s="253"/>
      <c r="CK39" s="253"/>
      <c r="CL39" s="253"/>
      <c r="CM39" s="253"/>
      <c r="CN39" s="253"/>
      <c r="CO39" s="253"/>
      <c r="CP39" s="253"/>
      <c r="CQ39" s="253"/>
      <c r="CS39" s="235" t="str">
        <f t="shared" si="39"/>
        <v>млн руб.</v>
      </c>
      <c r="CT39" s="230">
        <f t="shared" si="44"/>
        <v>0</v>
      </c>
      <c r="CU39" s="230">
        <f t="shared" si="44"/>
        <v>0</v>
      </c>
      <c r="CV39" s="230">
        <f t="shared" si="44"/>
        <v>0</v>
      </c>
      <c r="CW39" s="230">
        <f t="shared" si="44"/>
        <v>0</v>
      </c>
      <c r="CX39" s="230">
        <f t="shared" si="44"/>
        <v>-33.678776476913306</v>
      </c>
      <c r="CY39" s="230">
        <f t="shared" si="44"/>
        <v>-58.230438850607378</v>
      </c>
      <c r="CZ39" s="230">
        <f t="shared" si="44"/>
        <v>-52.907981759951603</v>
      </c>
      <c r="DA39" s="230">
        <f t="shared" si="44"/>
        <v>0</v>
      </c>
      <c r="DB39" s="230">
        <f t="shared" si="44"/>
        <v>0</v>
      </c>
      <c r="DC39" s="230">
        <f t="shared" si="44"/>
        <v>0</v>
      </c>
      <c r="DD39" s="230">
        <f t="shared" si="45"/>
        <v>0</v>
      </c>
      <c r="DE39" s="230">
        <f t="shared" si="45"/>
        <v>0</v>
      </c>
      <c r="DF39" s="230">
        <f t="shared" si="45"/>
        <v>0</v>
      </c>
      <c r="DG39" s="230">
        <f t="shared" si="45"/>
        <v>0</v>
      </c>
      <c r="DH39" s="230">
        <f t="shared" si="45"/>
        <v>0</v>
      </c>
      <c r="DI39" s="230">
        <f t="shared" si="45"/>
        <v>0</v>
      </c>
      <c r="DJ39" s="230">
        <f t="shared" si="45"/>
        <v>0</v>
      </c>
      <c r="DK39" s="230">
        <f t="shared" si="45"/>
        <v>0</v>
      </c>
      <c r="DL39" s="230">
        <f t="shared" si="45"/>
        <v>0</v>
      </c>
      <c r="DM39" s="230">
        <f t="shared" si="45"/>
        <v>0</v>
      </c>
      <c r="DN39" s="230">
        <f t="shared" si="45"/>
        <v>0</v>
      </c>
      <c r="DO39" s="230">
        <f t="shared" si="45"/>
        <v>0</v>
      </c>
      <c r="DP39" s="230">
        <f t="shared" si="45"/>
        <v>0</v>
      </c>
    </row>
    <row r="40" spans="2:120">
      <c r="B40" s="231"/>
      <c r="C40" s="244" t="s">
        <v>914</v>
      </c>
      <c r="D40" s="244">
        <f t="shared" ref="D40:AI40" si="46">D32+D37+D38+D39</f>
        <v>0</v>
      </c>
      <c r="E40" s="244">
        <f t="shared" si="46"/>
        <v>0</v>
      </c>
      <c r="F40" s="244">
        <f t="shared" si="46"/>
        <v>0</v>
      </c>
      <c r="G40" s="244">
        <f t="shared" si="46"/>
        <v>0</v>
      </c>
      <c r="H40" s="244">
        <f t="shared" si="46"/>
        <v>0</v>
      </c>
      <c r="I40" s="244">
        <f t="shared" si="46"/>
        <v>0</v>
      </c>
      <c r="J40" s="244">
        <f t="shared" si="46"/>
        <v>0</v>
      </c>
      <c r="K40" s="244">
        <f t="shared" si="46"/>
        <v>0</v>
      </c>
      <c r="L40" s="244">
        <f t="shared" si="46"/>
        <v>0</v>
      </c>
      <c r="M40" s="244">
        <f t="shared" si="46"/>
        <v>0</v>
      </c>
      <c r="N40" s="244">
        <f t="shared" si="46"/>
        <v>0</v>
      </c>
      <c r="O40" s="244">
        <f t="shared" si="46"/>
        <v>0</v>
      </c>
      <c r="P40" s="244">
        <f t="shared" si="46"/>
        <v>0</v>
      </c>
      <c r="Q40" s="244">
        <f t="shared" si="46"/>
        <v>0</v>
      </c>
      <c r="R40" s="244">
        <f t="shared" si="46"/>
        <v>0</v>
      </c>
      <c r="S40" s="244">
        <f t="shared" si="46"/>
        <v>0</v>
      </c>
      <c r="T40" s="244">
        <f t="shared" si="46"/>
        <v>198528473.97432613</v>
      </c>
      <c r="U40" s="244">
        <f t="shared" si="46"/>
        <v>210508888.52693865</v>
      </c>
      <c r="V40" s="244">
        <f t="shared" si="46"/>
        <v>297616365.46287256</v>
      </c>
      <c r="W40" s="244">
        <f t="shared" si="46"/>
        <v>359840860.47145063</v>
      </c>
      <c r="X40" s="244">
        <f t="shared" si="46"/>
        <v>454233148.4532581</v>
      </c>
      <c r="Y40" s="244">
        <f t="shared" si="46"/>
        <v>458708892.33298624</v>
      </c>
      <c r="Z40" s="244">
        <f t="shared" si="46"/>
        <v>463228737.53677028</v>
      </c>
      <c r="AA40" s="244">
        <f t="shared" si="46"/>
        <v>467793118.61288565</v>
      </c>
      <c r="AB40" s="244">
        <f t="shared" si="46"/>
        <v>472402474.39138848</v>
      </c>
      <c r="AC40" s="244">
        <f t="shared" si="46"/>
        <v>477057248.02630556</v>
      </c>
      <c r="AD40" s="244">
        <f t="shared" si="46"/>
        <v>385406309.63059282</v>
      </c>
      <c r="AE40" s="244">
        <f t="shared" si="46"/>
        <v>340553390.35018075</v>
      </c>
      <c r="AF40" s="244">
        <f t="shared" si="46"/>
        <v>0</v>
      </c>
      <c r="AG40" s="244">
        <f t="shared" si="46"/>
        <v>0</v>
      </c>
      <c r="AH40" s="244">
        <f t="shared" si="46"/>
        <v>0</v>
      </c>
      <c r="AI40" s="244">
        <f t="shared" si="46"/>
        <v>0</v>
      </c>
      <c r="AJ40" s="244">
        <f t="shared" ref="AJ40:BO40" si="47">AJ32+AJ37+AJ38+AJ39</f>
        <v>0</v>
      </c>
      <c r="AK40" s="244">
        <f t="shared" si="47"/>
        <v>0</v>
      </c>
      <c r="AL40" s="244">
        <f t="shared" si="47"/>
        <v>0</v>
      </c>
      <c r="AM40" s="244">
        <f t="shared" si="47"/>
        <v>0</v>
      </c>
      <c r="AN40" s="244">
        <f t="shared" si="47"/>
        <v>0</v>
      </c>
      <c r="AO40" s="244">
        <f t="shared" si="47"/>
        <v>0</v>
      </c>
      <c r="AP40" s="244">
        <f t="shared" si="47"/>
        <v>0</v>
      </c>
      <c r="AQ40" s="244">
        <f t="shared" si="47"/>
        <v>0</v>
      </c>
      <c r="AR40" s="244">
        <f t="shared" si="47"/>
        <v>0</v>
      </c>
      <c r="AS40" s="244">
        <f t="shared" si="47"/>
        <v>0</v>
      </c>
      <c r="AT40" s="244">
        <f t="shared" si="47"/>
        <v>0</v>
      </c>
      <c r="AU40" s="244">
        <f t="shared" si="47"/>
        <v>0</v>
      </c>
      <c r="AV40" s="244">
        <f t="shared" si="47"/>
        <v>0</v>
      </c>
      <c r="AW40" s="244">
        <f t="shared" si="47"/>
        <v>0</v>
      </c>
      <c r="AX40" s="244">
        <f t="shared" si="47"/>
        <v>0</v>
      </c>
      <c r="AY40" s="244">
        <f t="shared" si="47"/>
        <v>0</v>
      </c>
      <c r="AZ40" s="244">
        <f t="shared" si="47"/>
        <v>0</v>
      </c>
      <c r="BA40" s="244">
        <f t="shared" si="47"/>
        <v>0</v>
      </c>
      <c r="BB40" s="244">
        <f t="shared" si="47"/>
        <v>0</v>
      </c>
      <c r="BC40" s="244">
        <f t="shared" si="47"/>
        <v>0</v>
      </c>
      <c r="BD40" s="244">
        <f t="shared" si="47"/>
        <v>0</v>
      </c>
      <c r="BE40" s="244">
        <f t="shared" si="47"/>
        <v>0</v>
      </c>
      <c r="BF40" s="244">
        <f t="shared" si="47"/>
        <v>0</v>
      </c>
      <c r="BG40" s="244">
        <f t="shared" si="47"/>
        <v>0</v>
      </c>
      <c r="BH40" s="244">
        <f t="shared" si="47"/>
        <v>0</v>
      </c>
      <c r="BI40" s="244">
        <f t="shared" si="47"/>
        <v>0</v>
      </c>
      <c r="BJ40" s="244">
        <f t="shared" si="47"/>
        <v>0</v>
      </c>
      <c r="BK40" s="244">
        <f t="shared" si="47"/>
        <v>0</v>
      </c>
      <c r="BL40" s="244">
        <f t="shared" si="47"/>
        <v>0</v>
      </c>
      <c r="BM40" s="244">
        <f t="shared" si="47"/>
        <v>0</v>
      </c>
      <c r="BN40" s="244">
        <f t="shared" si="47"/>
        <v>0</v>
      </c>
      <c r="BO40" s="244">
        <f t="shared" si="47"/>
        <v>0</v>
      </c>
      <c r="BP40" s="244">
        <f t="shared" ref="BP40:CQ40" si="48">BP32+BP37+BP38+BP39</f>
        <v>0</v>
      </c>
      <c r="BQ40" s="244">
        <f t="shared" si="48"/>
        <v>0</v>
      </c>
      <c r="BR40" s="244">
        <f t="shared" si="48"/>
        <v>0</v>
      </c>
      <c r="BS40" s="244">
        <f t="shared" si="48"/>
        <v>0</v>
      </c>
      <c r="BT40" s="244">
        <f t="shared" si="48"/>
        <v>0</v>
      </c>
      <c r="BU40" s="244">
        <f t="shared" si="48"/>
        <v>0</v>
      </c>
      <c r="BV40" s="244">
        <f t="shared" si="48"/>
        <v>0</v>
      </c>
      <c r="BW40" s="244">
        <f t="shared" si="48"/>
        <v>0</v>
      </c>
      <c r="BX40" s="244">
        <f t="shared" si="48"/>
        <v>0</v>
      </c>
      <c r="BY40" s="244">
        <f t="shared" si="48"/>
        <v>0</v>
      </c>
      <c r="BZ40" s="244">
        <f t="shared" si="48"/>
        <v>0</v>
      </c>
      <c r="CA40" s="244">
        <f t="shared" si="48"/>
        <v>0</v>
      </c>
      <c r="CB40" s="244">
        <f t="shared" si="48"/>
        <v>0</v>
      </c>
      <c r="CC40" s="244">
        <f t="shared" si="48"/>
        <v>0</v>
      </c>
      <c r="CD40" s="244">
        <f t="shared" si="48"/>
        <v>0</v>
      </c>
      <c r="CE40" s="244">
        <f t="shared" si="48"/>
        <v>0</v>
      </c>
      <c r="CF40" s="244">
        <f t="shared" si="48"/>
        <v>0</v>
      </c>
      <c r="CG40" s="244">
        <f t="shared" si="48"/>
        <v>0</v>
      </c>
      <c r="CH40" s="244">
        <f t="shared" si="48"/>
        <v>0</v>
      </c>
      <c r="CI40" s="244">
        <f t="shared" si="48"/>
        <v>0</v>
      </c>
      <c r="CJ40" s="244">
        <f t="shared" si="48"/>
        <v>0</v>
      </c>
      <c r="CK40" s="244">
        <f t="shared" si="48"/>
        <v>0</v>
      </c>
      <c r="CL40" s="244">
        <f t="shared" si="48"/>
        <v>0</v>
      </c>
      <c r="CM40" s="244">
        <f t="shared" si="48"/>
        <v>0</v>
      </c>
      <c r="CN40" s="244">
        <f t="shared" si="48"/>
        <v>0</v>
      </c>
      <c r="CO40" s="244">
        <f t="shared" si="48"/>
        <v>0</v>
      </c>
      <c r="CP40" s="244">
        <f t="shared" si="48"/>
        <v>0</v>
      </c>
      <c r="CQ40" s="244">
        <f t="shared" si="48"/>
        <v>0</v>
      </c>
      <c r="CS40" s="235" t="str">
        <f t="shared" si="39"/>
        <v>млн руб.</v>
      </c>
      <c r="CT40" s="244">
        <f t="shared" si="44"/>
        <v>0</v>
      </c>
      <c r="CU40" s="244">
        <f t="shared" si="44"/>
        <v>0</v>
      </c>
      <c r="CV40" s="244">
        <f t="shared" si="44"/>
        <v>0</v>
      </c>
      <c r="CW40" s="244">
        <f t="shared" si="44"/>
        <v>0</v>
      </c>
      <c r="CX40" s="244">
        <f t="shared" si="44"/>
        <v>1066.494588435588</v>
      </c>
      <c r="CY40" s="244">
        <f t="shared" si="44"/>
        <v>1843.9638969359005</v>
      </c>
      <c r="CZ40" s="244">
        <f t="shared" si="44"/>
        <v>1675.4194223984675</v>
      </c>
      <c r="DA40" s="244">
        <f t="shared" si="44"/>
        <v>0</v>
      </c>
      <c r="DB40" s="244">
        <f t="shared" si="44"/>
        <v>0</v>
      </c>
      <c r="DC40" s="244">
        <f t="shared" si="44"/>
        <v>0</v>
      </c>
      <c r="DD40" s="244">
        <f t="shared" si="45"/>
        <v>0</v>
      </c>
      <c r="DE40" s="244">
        <f t="shared" si="45"/>
        <v>0</v>
      </c>
      <c r="DF40" s="244">
        <f t="shared" si="45"/>
        <v>0</v>
      </c>
      <c r="DG40" s="244">
        <f t="shared" si="45"/>
        <v>0</v>
      </c>
      <c r="DH40" s="244">
        <f t="shared" si="45"/>
        <v>0</v>
      </c>
      <c r="DI40" s="244">
        <f t="shared" si="45"/>
        <v>0</v>
      </c>
      <c r="DJ40" s="244">
        <f t="shared" si="45"/>
        <v>0</v>
      </c>
      <c r="DK40" s="244">
        <f t="shared" si="45"/>
        <v>0</v>
      </c>
      <c r="DL40" s="244">
        <f t="shared" si="45"/>
        <v>0</v>
      </c>
      <c r="DM40" s="244">
        <f t="shared" si="45"/>
        <v>0</v>
      </c>
      <c r="DN40" s="244">
        <f t="shared" si="45"/>
        <v>0</v>
      </c>
      <c r="DO40" s="244">
        <f t="shared" si="45"/>
        <v>0</v>
      </c>
      <c r="DP40" s="244">
        <f t="shared" si="45"/>
        <v>0</v>
      </c>
    </row>
    <row r="41" spans="2:120" s="116" customFormat="1">
      <c r="B41" s="1874"/>
      <c r="C41" s="1875" t="s">
        <v>915</v>
      </c>
      <c r="D41" s="1875">
        <f t="shared" ref="D41:AE41" si="49">D40-D35</f>
        <v>0</v>
      </c>
      <c r="E41" s="1875">
        <f t="shared" si="49"/>
        <v>0</v>
      </c>
      <c r="F41" s="1875">
        <f t="shared" si="49"/>
        <v>0</v>
      </c>
      <c r="G41" s="1875">
        <f t="shared" si="49"/>
        <v>0</v>
      </c>
      <c r="H41" s="1875">
        <f t="shared" si="49"/>
        <v>0</v>
      </c>
      <c r="I41" s="1875">
        <f t="shared" si="49"/>
        <v>0</v>
      </c>
      <c r="J41" s="1875">
        <f t="shared" si="49"/>
        <v>0</v>
      </c>
      <c r="K41" s="1875">
        <f t="shared" si="49"/>
        <v>0</v>
      </c>
      <c r="L41" s="1875">
        <f t="shared" si="49"/>
        <v>0</v>
      </c>
      <c r="M41" s="1875">
        <f t="shared" si="49"/>
        <v>0</v>
      </c>
      <c r="N41" s="1875">
        <f t="shared" si="49"/>
        <v>0</v>
      </c>
      <c r="O41" s="1875">
        <f t="shared" si="49"/>
        <v>0</v>
      </c>
      <c r="P41" s="1875">
        <f t="shared" si="49"/>
        <v>0</v>
      </c>
      <c r="Q41" s="1875">
        <f t="shared" si="49"/>
        <v>0</v>
      </c>
      <c r="R41" s="1875">
        <f t="shared" si="49"/>
        <v>0</v>
      </c>
      <c r="S41" s="1875">
        <f t="shared" si="49"/>
        <v>0</v>
      </c>
      <c r="T41" s="1875">
        <f t="shared" si="49"/>
        <v>172986044.13888857</v>
      </c>
      <c r="U41" s="1875">
        <f t="shared" si="49"/>
        <v>182444266.15410897</v>
      </c>
      <c r="V41" s="1875">
        <f t="shared" si="49"/>
        <v>257714542.24087766</v>
      </c>
      <c r="W41" s="1875">
        <f t="shared" si="49"/>
        <v>310089751.23737603</v>
      </c>
      <c r="X41" s="1875">
        <f t="shared" si="49"/>
        <v>391111193.93930805</v>
      </c>
      <c r="Y41" s="1875">
        <f t="shared" si="49"/>
        <v>394644675.94961977</v>
      </c>
      <c r="Z41" s="1875">
        <f t="shared" si="49"/>
        <v>398212974.79471242</v>
      </c>
      <c r="AA41" s="1875">
        <f t="shared" si="49"/>
        <v>401816433.53901398</v>
      </c>
      <c r="AB41" s="1875">
        <f t="shared" si="49"/>
        <v>405455398.62730575</v>
      </c>
      <c r="AC41" s="1875">
        <f t="shared" si="49"/>
        <v>409130219.91802973</v>
      </c>
      <c r="AD41" s="1875">
        <f t="shared" si="49"/>
        <v>330273000.57354093</v>
      </c>
      <c r="AE41" s="1875">
        <f t="shared" si="49"/>
        <v>291612193.46769989</v>
      </c>
      <c r="AF41" s="1876"/>
      <c r="AG41" s="1876"/>
      <c r="AH41" s="1876"/>
      <c r="AI41" s="1876"/>
      <c r="AJ41" s="1876"/>
      <c r="AK41" s="1876"/>
      <c r="AL41" s="1876"/>
      <c r="AM41" s="1876"/>
      <c r="AN41" s="1876"/>
      <c r="AO41" s="1876"/>
      <c r="AP41" s="1876"/>
      <c r="AQ41" s="1876"/>
      <c r="AR41" s="1876"/>
      <c r="AS41" s="1876"/>
      <c r="AT41" s="1876"/>
      <c r="AU41" s="1876"/>
      <c r="AV41" s="1876"/>
      <c r="AW41" s="1876"/>
      <c r="AX41" s="1876"/>
      <c r="AY41" s="1876"/>
      <c r="AZ41" s="1876"/>
      <c r="BA41" s="1876"/>
      <c r="BB41" s="1876"/>
      <c r="BC41" s="1876"/>
      <c r="BD41" s="1876"/>
      <c r="BE41" s="1876"/>
      <c r="BF41" s="1876"/>
      <c r="BG41" s="1876"/>
      <c r="BH41" s="1876"/>
      <c r="BI41" s="1876"/>
      <c r="BJ41" s="1876"/>
      <c r="BK41" s="1876"/>
      <c r="BL41" s="1876"/>
      <c r="BM41" s="1876"/>
      <c r="BN41" s="1876"/>
      <c r="BO41" s="1876"/>
      <c r="BP41" s="1876"/>
      <c r="BQ41" s="1876"/>
      <c r="BR41" s="1876"/>
      <c r="BS41" s="1876"/>
      <c r="BT41" s="1876"/>
      <c r="BU41" s="1876"/>
      <c r="BV41" s="1876"/>
      <c r="BW41" s="1876"/>
      <c r="BX41" s="1876"/>
      <c r="BY41" s="1876"/>
      <c r="BZ41" s="1876"/>
      <c r="CA41" s="1876"/>
      <c r="CB41" s="1876"/>
      <c r="CC41" s="1876"/>
      <c r="CD41" s="1876"/>
      <c r="CE41" s="1876"/>
      <c r="CF41" s="1876"/>
      <c r="CG41" s="1876"/>
      <c r="CH41" s="1876"/>
      <c r="CI41" s="1876"/>
      <c r="CJ41" s="1876"/>
      <c r="CK41" s="1876"/>
      <c r="CL41" s="1876"/>
      <c r="CM41" s="1876"/>
      <c r="CN41" s="1876"/>
      <c r="CO41" s="1876"/>
      <c r="CP41" s="1876"/>
      <c r="CQ41" s="1876"/>
      <c r="CS41" s="1312" t="str">
        <f t="shared" si="39"/>
        <v>млн руб.</v>
      </c>
      <c r="CT41" s="244">
        <f>SUMIF($D$8:$CQ$8,CT$8,$D41:$CQ41)/$CU$7</f>
        <v>0</v>
      </c>
      <c r="CU41" s="244">
        <f>SUMIF($D$8:$CQ$8,CU$8,$D41:$CQ41)/$CU$7</f>
        <v>0</v>
      </c>
      <c r="CV41" s="244">
        <f>SUMIF($D$8:$CQ$8,CV$8,$D41:$CQ41)/$CU$7</f>
        <v>0</v>
      </c>
      <c r="CW41" s="244">
        <f>SUMIF($D$8:$CQ$8,CW$8,$D41:$CQ41)/$CU$7</f>
        <v>0</v>
      </c>
      <c r="CX41" s="244">
        <f>SUMIF($D$8:$CQ$8,CX$8,$D41:$CQ41)/$CU$7</f>
        <v>923.23460377125116</v>
      </c>
      <c r="CY41" s="244">
        <f t="shared" ref="CY41:DP41" si="50">SUMIF($D$8:$CQ$8,CY$8,$D41:$CQ41)/$CU$7</f>
        <v>1585.7852782226544</v>
      </c>
      <c r="CZ41" s="244">
        <f t="shared" si="50"/>
        <v>1436.4708125865764</v>
      </c>
      <c r="DA41" s="244">
        <f t="shared" si="50"/>
        <v>0</v>
      </c>
      <c r="DB41" s="244">
        <f t="shared" si="50"/>
        <v>0</v>
      </c>
      <c r="DC41" s="244">
        <f t="shared" si="50"/>
        <v>0</v>
      </c>
      <c r="DD41" s="244">
        <f t="shared" si="50"/>
        <v>0</v>
      </c>
      <c r="DE41" s="244">
        <f t="shared" si="50"/>
        <v>0</v>
      </c>
      <c r="DF41" s="244">
        <f t="shared" si="50"/>
        <v>0</v>
      </c>
      <c r="DG41" s="244">
        <f t="shared" si="50"/>
        <v>0</v>
      </c>
      <c r="DH41" s="244">
        <f t="shared" si="50"/>
        <v>0</v>
      </c>
      <c r="DI41" s="244">
        <f t="shared" si="50"/>
        <v>0</v>
      </c>
      <c r="DJ41" s="244">
        <f t="shared" si="50"/>
        <v>0</v>
      </c>
      <c r="DK41" s="244">
        <f t="shared" si="50"/>
        <v>0</v>
      </c>
      <c r="DL41" s="244">
        <f t="shared" si="50"/>
        <v>0</v>
      </c>
      <c r="DM41" s="244">
        <f t="shared" si="50"/>
        <v>0</v>
      </c>
      <c r="DN41" s="244">
        <f t="shared" si="50"/>
        <v>0</v>
      </c>
      <c r="DO41" s="244">
        <f t="shared" si="50"/>
        <v>0</v>
      </c>
      <c r="DP41" s="244">
        <f t="shared" si="50"/>
        <v>0</v>
      </c>
    </row>
  </sheetData>
  <conditionalFormatting sqref="B37:B39">
    <cfRule type="expression" dxfId="134" priority="73">
      <formula>$A$1=1</formula>
    </cfRule>
  </conditionalFormatting>
  <conditionalFormatting sqref="B18">
    <cfRule type="cellIs" dxfId="133" priority="76" operator="notEqual">
      <formula>100%</formula>
    </cfRule>
  </conditionalFormatting>
  <conditionalFormatting sqref="B22">
    <cfRule type="expression" dxfId="132" priority="75">
      <formula>$A$1=1</formula>
    </cfRule>
  </conditionalFormatting>
  <conditionalFormatting sqref="B34">
    <cfRule type="expression" dxfId="131" priority="74">
      <formula>$A$1=1</formula>
    </cfRule>
  </conditionalFormatting>
  <conditionalFormatting sqref="D11">
    <cfRule type="expression" dxfId="130" priority="70" stopIfTrue="1">
      <formula>$A$1=1</formula>
    </cfRule>
  </conditionalFormatting>
  <conditionalFormatting sqref="D11">
    <cfRule type="expression" dxfId="129" priority="69" stopIfTrue="1">
      <formula>$A$1=1</formula>
    </cfRule>
  </conditionalFormatting>
  <conditionalFormatting sqref="D12">
    <cfRule type="expression" dxfId="128" priority="68" stopIfTrue="1">
      <formula>$A$1=1</formula>
    </cfRule>
  </conditionalFormatting>
  <conditionalFormatting sqref="D12">
    <cfRule type="expression" dxfId="127" priority="67" stopIfTrue="1">
      <formula>$A$1=1</formula>
    </cfRule>
  </conditionalFormatting>
  <conditionalFormatting sqref="D9">
    <cfRule type="expression" dxfId="126" priority="66">
      <formula>$A$1=1</formula>
    </cfRule>
  </conditionalFormatting>
  <conditionalFormatting sqref="D10">
    <cfRule type="expression" dxfId="125" priority="65">
      <formula>$A$1=1</formula>
    </cfRule>
  </conditionalFormatting>
  <conditionalFormatting sqref="E10">
    <cfRule type="expression" dxfId="124" priority="64">
      <formula>$A$1=1</formula>
    </cfRule>
  </conditionalFormatting>
  <conditionalFormatting sqref="F10">
    <cfRule type="expression" dxfId="123" priority="63">
      <formula>$A$1=1</formula>
    </cfRule>
  </conditionalFormatting>
  <conditionalFormatting sqref="G10">
    <cfRule type="expression" dxfId="122" priority="62">
      <formula>$A$1=1</formula>
    </cfRule>
  </conditionalFormatting>
  <conditionalFormatting sqref="D13">
    <cfRule type="expression" dxfId="121" priority="61">
      <formula>$A$1=1</formula>
    </cfRule>
  </conditionalFormatting>
  <conditionalFormatting sqref="B14">
    <cfRule type="expression" dxfId="120" priority="60" stopIfTrue="1">
      <formula>$A$1=1</formula>
    </cfRule>
  </conditionalFormatting>
  <conditionalFormatting sqref="B14">
    <cfRule type="expression" dxfId="119" priority="59" stopIfTrue="1">
      <formula>$A$1=1</formula>
    </cfRule>
  </conditionalFormatting>
  <conditionalFormatting sqref="D14:AE14 AK14:CQ14">
    <cfRule type="cellIs" dxfId="118" priority="57" operator="equal">
      <formula>1</formula>
    </cfRule>
    <cfRule type="cellIs" dxfId="117" priority="58" operator="equal">
      <formula>0</formula>
    </cfRule>
  </conditionalFormatting>
  <conditionalFormatting sqref="AF14:AJ14">
    <cfRule type="cellIs" dxfId="116" priority="51" operator="equal">
      <formula>1</formula>
    </cfRule>
    <cfRule type="cellIs" dxfId="115" priority="52" operator="equal">
      <formula>0</formula>
    </cfRule>
  </conditionalFormatting>
  <conditionalFormatting sqref="B15">
    <cfRule type="expression" dxfId="114" priority="46" stopIfTrue="1">
      <formula>$A$1=1</formula>
    </cfRule>
  </conditionalFormatting>
  <conditionalFormatting sqref="B15">
    <cfRule type="expression" dxfId="113" priority="45" stopIfTrue="1">
      <formula>$A$1=1</formula>
    </cfRule>
  </conditionalFormatting>
  <conditionalFormatting sqref="H34:AE34">
    <cfRule type="cellIs" dxfId="112" priority="35" operator="greaterThan">
      <formula>1</formula>
    </cfRule>
  </conditionalFormatting>
  <conditionalFormatting sqref="P30:R30">
    <cfRule type="expression" dxfId="111" priority="33">
      <formula>$A$1=1</formula>
    </cfRule>
  </conditionalFormatting>
  <conditionalFormatting sqref="P30:Y30">
    <cfRule type="expression" dxfId="110" priority="32">
      <formula>$A$1=1</formula>
    </cfRule>
  </conditionalFormatting>
  <conditionalFormatting sqref="D19">
    <cfRule type="expression" dxfId="109" priority="28">
      <formula>$A$1=1</formula>
    </cfRule>
  </conditionalFormatting>
  <conditionalFormatting sqref="A23">
    <cfRule type="cellIs" dxfId="108" priority="27" operator="notEqual">
      <formula>TRUE</formula>
    </cfRule>
  </conditionalFormatting>
  <conditionalFormatting sqref="D27">
    <cfRule type="expression" dxfId="107" priority="26">
      <formula>$A$1=1</formula>
    </cfRule>
  </conditionalFormatting>
  <conditionalFormatting sqref="T18:X18">
    <cfRule type="expression" dxfId="106" priority="25">
      <formula>$A$1=1</formula>
    </cfRule>
  </conditionalFormatting>
  <conditionalFormatting sqref="D25">
    <cfRule type="expression" dxfId="105" priority="22" stopIfTrue="1">
      <formula>$A$1=1</formula>
    </cfRule>
  </conditionalFormatting>
  <conditionalFormatting sqref="D25">
    <cfRule type="expression" dxfId="104" priority="21" stopIfTrue="1">
      <formula>$A$1=1</formula>
    </cfRule>
  </conditionalFormatting>
  <conditionalFormatting sqref="E24">
    <cfRule type="cellIs" dxfId="103" priority="20" operator="notEqual">
      <formula>TRUE</formula>
    </cfRule>
  </conditionalFormatting>
  <conditionalFormatting sqref="Z30:AE30">
    <cfRule type="expression" dxfId="102" priority="18">
      <formula>$A$1=1</formula>
    </cfRule>
  </conditionalFormatting>
  <conditionalFormatting sqref="B21">
    <cfRule type="cellIs" dxfId="101" priority="17" operator="notEqual">
      <formula>TRUE</formula>
    </cfRule>
  </conditionalFormatting>
  <conditionalFormatting sqref="L30:O30">
    <cfRule type="expression" dxfId="100" priority="6">
      <formula>$A$1=1</formula>
    </cfRule>
  </conditionalFormatting>
  <conditionalFormatting sqref="L30:O30">
    <cfRule type="expression" dxfId="99" priority="7">
      <formula>$A$1=1</formula>
    </cfRule>
  </conditionalFormatting>
  <conditionalFormatting sqref="K30">
    <cfRule type="expression" dxfId="98" priority="4">
      <formula>$A$1=1</formula>
    </cfRule>
  </conditionalFormatting>
  <conditionalFormatting sqref="K30">
    <cfRule type="expression" dxfId="97" priority="5">
      <formula>$A$1=1</formula>
    </cfRule>
  </conditionalFormatting>
  <conditionalFormatting sqref="J30">
    <cfRule type="expression" dxfId="96" priority="2">
      <formula>$A$1=1</formula>
    </cfRule>
  </conditionalFormatting>
  <conditionalFormatting sqref="J30">
    <cfRule type="expression" dxfId="95" priority="3">
      <formula>$A$1=1</formula>
    </cfRule>
  </conditionalFormatting>
  <conditionalFormatting sqref="Y18:AE18">
    <cfRule type="expression" dxfId="26" priority="1">
      <formula>$A$1=1</formula>
    </cfRule>
  </conditionalFormatting>
  <pageMargins left="0.7" right="0.7" top="0.75" bottom="0.75" header="0.3" footer="0.3"/>
  <pageSetup paperSize="9" orientation="portrait" r:id="rId1"/>
  <ignoredErrors>
    <ignoredError sqref="CU21:DP21" formula="1"/>
  </ignoredErrors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48"/>
  <sheetViews>
    <sheetView showGridLines="0" topLeftCell="A7" zoomScale="85" zoomScaleNormal="85" workbookViewId="0">
      <selection activeCell="H45" sqref="H45:L45"/>
    </sheetView>
  </sheetViews>
  <sheetFormatPr defaultColWidth="9.140625" defaultRowHeight="15" customHeight="1" outlineLevelRow="1" outlineLevelCol="1"/>
  <cols>
    <col min="1" max="1" width="5" style="747" customWidth="1"/>
    <col min="2" max="2" width="7.85546875" style="1218" customWidth="1"/>
    <col min="3" max="3" width="54.140625" style="747" customWidth="1"/>
    <col min="4" max="8" width="13.42578125" style="747" customWidth="1"/>
    <col min="9" max="11" width="15.42578125" style="747" customWidth="1"/>
    <col min="12" max="15" width="14.5703125" style="747" bestFit="1" customWidth="1"/>
    <col min="16" max="21" width="14.5703125" style="747" hidden="1" customWidth="1" outlineLevel="1"/>
    <col min="22" max="25" width="14.5703125" style="747" hidden="1" customWidth="1" outlineLevel="1" collapsed="1"/>
    <col min="26" max="26" width="14.5703125" style="747" customWidth="1" collapsed="1"/>
    <col min="27" max="16384" width="9.140625" style="747"/>
  </cols>
  <sheetData>
    <row r="1" spans="1:26" ht="15" customHeight="1" thickBot="1">
      <c r="A1" s="14">
        <v>1</v>
      </c>
    </row>
    <row r="3" spans="1:26" ht="15" customHeight="1">
      <c r="B3" s="1219"/>
      <c r="C3" s="1220"/>
      <c r="D3" s="1220">
        <f>YEAR(D4)</f>
        <v>2022</v>
      </c>
      <c r="E3" s="1220">
        <f>D3+1</f>
        <v>2023</v>
      </c>
      <c r="F3" s="1220">
        <f t="shared" ref="F3:Z3" si="0">E3+1</f>
        <v>2024</v>
      </c>
      <c r="G3" s="1220">
        <f t="shared" si="0"/>
        <v>2025</v>
      </c>
      <c r="H3" s="1220">
        <f t="shared" si="0"/>
        <v>2026</v>
      </c>
      <c r="I3" s="1220">
        <f t="shared" si="0"/>
        <v>2027</v>
      </c>
      <c r="J3" s="1220">
        <f t="shared" si="0"/>
        <v>2028</v>
      </c>
      <c r="K3" s="1220">
        <f t="shared" si="0"/>
        <v>2029</v>
      </c>
      <c r="L3" s="1220">
        <f t="shared" si="0"/>
        <v>2030</v>
      </c>
      <c r="M3" s="1220">
        <f t="shared" si="0"/>
        <v>2031</v>
      </c>
      <c r="N3" s="1220">
        <f t="shared" si="0"/>
        <v>2032</v>
      </c>
      <c r="O3" s="1220">
        <f t="shared" si="0"/>
        <v>2033</v>
      </c>
      <c r="P3" s="1220">
        <f t="shared" si="0"/>
        <v>2034</v>
      </c>
      <c r="Q3" s="1220">
        <f t="shared" si="0"/>
        <v>2035</v>
      </c>
      <c r="R3" s="1220">
        <f t="shared" si="0"/>
        <v>2036</v>
      </c>
      <c r="S3" s="1220">
        <f t="shared" si="0"/>
        <v>2037</v>
      </c>
      <c r="T3" s="1220">
        <f t="shared" si="0"/>
        <v>2038</v>
      </c>
      <c r="U3" s="1220">
        <f t="shared" si="0"/>
        <v>2039</v>
      </c>
      <c r="V3" s="1220">
        <f t="shared" si="0"/>
        <v>2040</v>
      </c>
      <c r="W3" s="1220">
        <f t="shared" si="0"/>
        <v>2041</v>
      </c>
      <c r="X3" s="1220">
        <f t="shared" si="0"/>
        <v>2042</v>
      </c>
      <c r="Y3" s="1220">
        <f t="shared" si="0"/>
        <v>2043</v>
      </c>
      <c r="Z3" s="1220">
        <f t="shared" si="0"/>
        <v>2044</v>
      </c>
    </row>
    <row r="4" spans="1:26" ht="15" customHeight="1">
      <c r="A4" s="1221"/>
      <c r="B4" s="1219"/>
      <c r="C4" s="1222" t="s">
        <v>1</v>
      </c>
      <c r="D4" s="1249">
        <f>Вводные!D4</f>
        <v>44593</v>
      </c>
      <c r="E4" s="514">
        <f>D5+1</f>
        <v>44927</v>
      </c>
      <c r="F4" s="514">
        <f t="shared" ref="F4:Z4" si="1">E5+1</f>
        <v>45292</v>
      </c>
      <c r="G4" s="514">
        <f t="shared" si="1"/>
        <v>45658</v>
      </c>
      <c r="H4" s="514">
        <f t="shared" si="1"/>
        <v>46023</v>
      </c>
      <c r="I4" s="514">
        <f t="shared" si="1"/>
        <v>46388</v>
      </c>
      <c r="J4" s="514">
        <f t="shared" si="1"/>
        <v>46753</v>
      </c>
      <c r="K4" s="514">
        <f t="shared" si="1"/>
        <v>47119</v>
      </c>
      <c r="L4" s="514">
        <f t="shared" si="1"/>
        <v>47484</v>
      </c>
      <c r="M4" s="514">
        <f t="shared" si="1"/>
        <v>47849</v>
      </c>
      <c r="N4" s="514">
        <f t="shared" si="1"/>
        <v>48214</v>
      </c>
      <c r="O4" s="514">
        <f t="shared" si="1"/>
        <v>48580</v>
      </c>
      <c r="P4" s="514">
        <f t="shared" si="1"/>
        <v>48945</v>
      </c>
      <c r="Q4" s="514">
        <f t="shared" si="1"/>
        <v>49310</v>
      </c>
      <c r="R4" s="514">
        <f t="shared" si="1"/>
        <v>49675</v>
      </c>
      <c r="S4" s="514">
        <f t="shared" si="1"/>
        <v>50041</v>
      </c>
      <c r="T4" s="514">
        <f t="shared" si="1"/>
        <v>50406</v>
      </c>
      <c r="U4" s="514">
        <f t="shared" si="1"/>
        <v>50771</v>
      </c>
      <c r="V4" s="514">
        <f t="shared" si="1"/>
        <v>51136</v>
      </c>
      <c r="W4" s="514">
        <f t="shared" si="1"/>
        <v>51502</v>
      </c>
      <c r="X4" s="514">
        <f t="shared" si="1"/>
        <v>51867</v>
      </c>
      <c r="Y4" s="514">
        <f t="shared" si="1"/>
        <v>52232</v>
      </c>
      <c r="Z4" s="514">
        <f t="shared" si="1"/>
        <v>52597</v>
      </c>
    </row>
    <row r="5" spans="1:26" ht="15" customHeight="1">
      <c r="A5" s="1221"/>
      <c r="B5" s="1219"/>
      <c r="C5" s="1222" t="s">
        <v>2</v>
      </c>
      <c r="D5" s="514">
        <f>DATE(D3,12,31)</f>
        <v>44926</v>
      </c>
      <c r="E5" s="514">
        <f>DATE(E3,12,31)</f>
        <v>45291</v>
      </c>
      <c r="F5" s="514">
        <f t="shared" ref="F5:V5" si="2">DATE(F3,12,31)</f>
        <v>45657</v>
      </c>
      <c r="G5" s="514">
        <f t="shared" si="2"/>
        <v>46022</v>
      </c>
      <c r="H5" s="514">
        <f t="shared" si="2"/>
        <v>46387</v>
      </c>
      <c r="I5" s="514">
        <f t="shared" si="2"/>
        <v>46752</v>
      </c>
      <c r="J5" s="514">
        <f t="shared" si="2"/>
        <v>47118</v>
      </c>
      <c r="K5" s="514">
        <f t="shared" si="2"/>
        <v>47483</v>
      </c>
      <c r="L5" s="514">
        <f t="shared" si="2"/>
        <v>47848</v>
      </c>
      <c r="M5" s="514">
        <f t="shared" si="2"/>
        <v>48213</v>
      </c>
      <c r="N5" s="514">
        <f t="shared" si="2"/>
        <v>48579</v>
      </c>
      <c r="O5" s="514">
        <f t="shared" si="2"/>
        <v>48944</v>
      </c>
      <c r="P5" s="514">
        <f t="shared" si="2"/>
        <v>49309</v>
      </c>
      <c r="Q5" s="514">
        <f t="shared" si="2"/>
        <v>49674</v>
      </c>
      <c r="R5" s="514">
        <f t="shared" si="2"/>
        <v>50040</v>
      </c>
      <c r="S5" s="514">
        <f t="shared" si="2"/>
        <v>50405</v>
      </c>
      <c r="T5" s="514">
        <f t="shared" si="2"/>
        <v>50770</v>
      </c>
      <c r="U5" s="514">
        <f t="shared" si="2"/>
        <v>51135</v>
      </c>
      <c r="V5" s="514">
        <f t="shared" si="2"/>
        <v>51501</v>
      </c>
      <c r="W5" s="514">
        <f>DATE(W3,12,31)</f>
        <v>51866</v>
      </c>
      <c r="X5" s="514">
        <f>DATE(X3,12,31)</f>
        <v>52231</v>
      </c>
      <c r="Y5" s="514">
        <f>DATE(Y3,12,31)</f>
        <v>52596</v>
      </c>
      <c r="Z5" s="514">
        <f>DATE(Z3,12,31)</f>
        <v>52962</v>
      </c>
    </row>
    <row r="6" spans="1:26" ht="15" customHeight="1">
      <c r="A6" s="1221"/>
      <c r="B6" s="1219"/>
      <c r="C6" s="1222" t="s">
        <v>9</v>
      </c>
      <c r="D6" s="1223">
        <f t="shared" ref="D6:V6" si="3">D5-D4+1</f>
        <v>334</v>
      </c>
      <c r="E6" s="1223">
        <f t="shared" si="3"/>
        <v>365</v>
      </c>
      <c r="F6" s="1223">
        <f t="shared" si="3"/>
        <v>366</v>
      </c>
      <c r="G6" s="1223">
        <f t="shared" si="3"/>
        <v>365</v>
      </c>
      <c r="H6" s="1223">
        <f t="shared" si="3"/>
        <v>365</v>
      </c>
      <c r="I6" s="1223">
        <f t="shared" si="3"/>
        <v>365</v>
      </c>
      <c r="J6" s="1223">
        <f t="shared" si="3"/>
        <v>366</v>
      </c>
      <c r="K6" s="1223">
        <f t="shared" si="3"/>
        <v>365</v>
      </c>
      <c r="L6" s="1223">
        <f t="shared" si="3"/>
        <v>365</v>
      </c>
      <c r="M6" s="1223">
        <f t="shared" si="3"/>
        <v>365</v>
      </c>
      <c r="N6" s="1223">
        <f t="shared" si="3"/>
        <v>366</v>
      </c>
      <c r="O6" s="1223">
        <f t="shared" si="3"/>
        <v>365</v>
      </c>
      <c r="P6" s="1223">
        <f t="shared" si="3"/>
        <v>365</v>
      </c>
      <c r="Q6" s="1223">
        <f t="shared" si="3"/>
        <v>365</v>
      </c>
      <c r="R6" s="1223">
        <f t="shared" si="3"/>
        <v>366</v>
      </c>
      <c r="S6" s="1223">
        <f t="shared" si="3"/>
        <v>365</v>
      </c>
      <c r="T6" s="1223">
        <f t="shared" si="3"/>
        <v>365</v>
      </c>
      <c r="U6" s="1223">
        <f t="shared" si="3"/>
        <v>365</v>
      </c>
      <c r="V6" s="1223">
        <f t="shared" si="3"/>
        <v>366</v>
      </c>
      <c r="W6" s="1223">
        <f>W5-W4+1</f>
        <v>365</v>
      </c>
      <c r="X6" s="1223">
        <f>X5-X4+1</f>
        <v>365</v>
      </c>
      <c r="Y6" s="1223">
        <f>Y5-Y4+1</f>
        <v>365</v>
      </c>
      <c r="Z6" s="1223">
        <f>Z5-Z4+1</f>
        <v>366</v>
      </c>
    </row>
    <row r="7" spans="1:26" ht="15" customHeight="1">
      <c r="A7" s="1221"/>
      <c r="B7" s="1219"/>
      <c r="C7" s="1222" t="s">
        <v>5</v>
      </c>
      <c r="D7" s="1224">
        <f>LOOKUP(D3,CPI!3:3,CPI!5:5)</f>
        <v>1.04</v>
      </c>
      <c r="E7" s="1224">
        <f>LOOKUP(E3,CPI!3:3,CPI!5:5)</f>
        <v>1.0816000000000001</v>
      </c>
      <c r="F7" s="1224">
        <f>LOOKUP(F3,CPI!3:3,CPI!5:5)</f>
        <v>1.1248640000000001</v>
      </c>
      <c r="G7" s="1224">
        <f>LOOKUP(G3,CPI!3:3,CPI!5:5)</f>
        <v>1.1698585600000002</v>
      </c>
      <c r="H7" s="1224">
        <f>LOOKUP(H3,CPI!3:3,CPI!5:5)</f>
        <v>1.2166529024000003</v>
      </c>
      <c r="I7" s="1224">
        <f>LOOKUP(I3,CPI!3:3,CPI!5:5)</f>
        <v>1.2653190184960004</v>
      </c>
      <c r="J7" s="1224">
        <f>LOOKUP(J3,CPI!3:3,CPI!5:5)</f>
        <v>1.3159317792358405</v>
      </c>
      <c r="K7" s="1224">
        <f>LOOKUP(K3,CPI!3:3,CPI!5:5)</f>
        <v>1.3685690504052741</v>
      </c>
      <c r="L7" s="1224">
        <f>LOOKUP(L3,CPI!3:3,CPI!5:5)</f>
        <v>1.4233118124214852</v>
      </c>
      <c r="M7" s="1224">
        <f>LOOKUP(M3,CPI!3:3,CPI!5:5)</f>
        <v>1.4802442849183446</v>
      </c>
      <c r="N7" s="1224">
        <f>LOOKUP(N3,CPI!3:3,CPI!5:5)</f>
        <v>1.5394540563150785</v>
      </c>
      <c r="O7" s="1224">
        <f>LOOKUP(O3,CPI!3:3,CPI!5:5)</f>
        <v>1.6010322185676817</v>
      </c>
      <c r="P7" s="1224">
        <f>LOOKUP(P3,CPI!3:3,CPI!5:5)</f>
        <v>1.6650735073103891</v>
      </c>
      <c r="Q7" s="1224">
        <f>LOOKUP(Q3,CPI!3:3,CPI!5:5)</f>
        <v>1.7316764476028046</v>
      </c>
      <c r="R7" s="1224">
        <f>LOOKUP(R3,CPI!3:3,CPI!5:5)</f>
        <v>1.8009435055069167</v>
      </c>
      <c r="S7" s="1224">
        <f>LOOKUP(S3,CPI!3:3,CPI!5:5)</f>
        <v>1.8729812457271935</v>
      </c>
      <c r="T7" s="1224">
        <f>LOOKUP(T3,CPI!3:3,CPI!5:5)</f>
        <v>1.9479004955562813</v>
      </c>
      <c r="U7" s="1224">
        <f>LOOKUP(U3,CPI!3:3,CPI!5:5)</f>
        <v>2.0258165153785326</v>
      </c>
      <c r="V7" s="1224">
        <f>LOOKUP(V3,CPI!3:3,CPI!5:5)</f>
        <v>2.1068491759936738</v>
      </c>
      <c r="W7" s="1224">
        <f>LOOKUP(W3,CPI!3:3,CPI!5:5)</f>
        <v>2.1911231430334208</v>
      </c>
      <c r="X7" s="1224">
        <f>LOOKUP(X3,CPI!3:3,CPI!5:5)</f>
        <v>2.2787680687547578</v>
      </c>
      <c r="Y7" s="1224">
        <f>LOOKUP(Y3,CPI!3:3,CPI!5:5)</f>
        <v>2.369918791504948</v>
      </c>
      <c r="Z7" s="1224">
        <f>LOOKUP(Z3,CPI!3:3,CPI!5:5)</f>
        <v>2.4647155431651462</v>
      </c>
    </row>
    <row r="8" spans="1:26" ht="15" customHeight="1">
      <c r="A8" s="1221"/>
      <c r="B8" s="1219"/>
      <c r="C8" s="1219"/>
      <c r="D8" s="1219"/>
      <c r="E8" s="1219"/>
      <c r="F8" s="1219"/>
      <c r="G8" s="1225"/>
      <c r="H8" s="1225"/>
      <c r="I8" s="1225"/>
      <c r="J8" s="1225"/>
      <c r="K8" s="1225"/>
      <c r="L8" s="1226"/>
      <c r="M8" s="1226"/>
      <c r="N8" s="1226"/>
      <c r="O8" s="1226"/>
      <c r="P8" s="1226"/>
      <c r="Q8" s="1226"/>
      <c r="R8" s="1226"/>
      <c r="S8" s="1226"/>
      <c r="T8" s="1226"/>
    </row>
    <row r="9" spans="1:26" ht="15" customHeight="1">
      <c r="A9" s="1221"/>
      <c r="B9" s="1219"/>
      <c r="C9" s="1219"/>
      <c r="D9" s="1219"/>
      <c r="E9" s="1219"/>
      <c r="F9" s="1219"/>
      <c r="G9" s="1225"/>
      <c r="H9" s="1225"/>
      <c r="I9" s="1225"/>
      <c r="J9" s="1225"/>
      <c r="K9" s="1225"/>
      <c r="L9" s="1226"/>
      <c r="M9" s="1226"/>
      <c r="N9" s="1226"/>
      <c r="O9" s="1226"/>
      <c r="P9" s="1226"/>
      <c r="Q9" s="1226"/>
      <c r="R9" s="1226"/>
      <c r="S9" s="1226"/>
      <c r="T9" s="1226"/>
    </row>
    <row r="10" spans="1:26" ht="15" customHeight="1">
      <c r="A10" s="1221"/>
      <c r="B10" s="1219"/>
      <c r="C10" s="1227"/>
      <c r="D10" s="1228">
        <f t="shared" ref="D10:V10" si="4">D3</f>
        <v>2022</v>
      </c>
      <c r="E10" s="1228">
        <f t="shared" si="4"/>
        <v>2023</v>
      </c>
      <c r="F10" s="1228">
        <f t="shared" si="4"/>
        <v>2024</v>
      </c>
      <c r="G10" s="1228">
        <f t="shared" si="4"/>
        <v>2025</v>
      </c>
      <c r="H10" s="1228">
        <f t="shared" si="4"/>
        <v>2026</v>
      </c>
      <c r="I10" s="1228">
        <f t="shared" si="4"/>
        <v>2027</v>
      </c>
      <c r="J10" s="1228">
        <f t="shared" si="4"/>
        <v>2028</v>
      </c>
      <c r="K10" s="1228">
        <f t="shared" si="4"/>
        <v>2029</v>
      </c>
      <c r="L10" s="1228">
        <f t="shared" si="4"/>
        <v>2030</v>
      </c>
      <c r="M10" s="1228">
        <f t="shared" si="4"/>
        <v>2031</v>
      </c>
      <c r="N10" s="1228">
        <f t="shared" si="4"/>
        <v>2032</v>
      </c>
      <c r="O10" s="1228">
        <f t="shared" si="4"/>
        <v>2033</v>
      </c>
      <c r="P10" s="1228">
        <f t="shared" si="4"/>
        <v>2034</v>
      </c>
      <c r="Q10" s="1228">
        <f t="shared" si="4"/>
        <v>2035</v>
      </c>
      <c r="R10" s="1228">
        <f t="shared" si="4"/>
        <v>2036</v>
      </c>
      <c r="S10" s="1228">
        <f t="shared" si="4"/>
        <v>2037</v>
      </c>
      <c r="T10" s="1228">
        <f t="shared" si="4"/>
        <v>2038</v>
      </c>
      <c r="U10" s="1228">
        <f t="shared" si="4"/>
        <v>2039</v>
      </c>
      <c r="V10" s="1228">
        <f t="shared" si="4"/>
        <v>2040</v>
      </c>
      <c r="W10" s="1228">
        <f>W3</f>
        <v>2041</v>
      </c>
      <c r="X10" s="1228">
        <f>X3</f>
        <v>2042</v>
      </c>
      <c r="Y10" s="1228">
        <f>Y3</f>
        <v>2043</v>
      </c>
      <c r="Z10" s="1228">
        <f>Z3</f>
        <v>2044</v>
      </c>
    </row>
    <row r="11" spans="1:26" s="765" customFormat="1" ht="15" customHeight="1">
      <c r="A11" s="1229"/>
      <c r="B11" s="1230"/>
      <c r="C11" s="1231" t="s">
        <v>879</v>
      </c>
      <c r="D11" s="1232">
        <f t="shared" ref="D11:Z11" si="5">SUM(D12:D20)</f>
        <v>0</v>
      </c>
      <c r="E11" s="1232">
        <f t="shared" si="5"/>
        <v>0</v>
      </c>
      <c r="F11" s="1232">
        <f t="shared" si="5"/>
        <v>0</v>
      </c>
      <c r="G11" s="1232">
        <f t="shared" si="5"/>
        <v>410470931.37580043</v>
      </c>
      <c r="H11" s="1232">
        <f t="shared" si="5"/>
        <v>1627017799.2684469</v>
      </c>
      <c r="I11" s="1232">
        <f t="shared" si="5"/>
        <v>2346680545.737823</v>
      </c>
      <c r="J11" s="1232">
        <f t="shared" si="5"/>
        <v>2431822334.7434201</v>
      </c>
      <c r="K11" s="1232">
        <f t="shared" si="5"/>
        <v>2640710276.621902</v>
      </c>
      <c r="L11" s="1232">
        <f t="shared" si="5"/>
        <v>2824480317.6676602</v>
      </c>
      <c r="M11" s="1232">
        <f t="shared" si="5"/>
        <v>2937459530.3743668</v>
      </c>
      <c r="N11" s="1232">
        <f t="shared" si="5"/>
        <v>3063557157.854609</v>
      </c>
      <c r="O11" s="1232">
        <f t="shared" si="5"/>
        <v>3177156228.0529151</v>
      </c>
      <c r="P11" s="1232">
        <f t="shared" si="5"/>
        <v>3304242477.1750321</v>
      </c>
      <c r="Q11" s="1232">
        <f t="shared" si="5"/>
        <v>3436412176.2620335</v>
      </c>
      <c r="R11" s="1232">
        <f t="shared" si="5"/>
        <v>3583928565.1654859</v>
      </c>
      <c r="S11" s="1232">
        <f t="shared" si="5"/>
        <v>3716823409.8450155</v>
      </c>
      <c r="T11" s="1232">
        <f t="shared" si="5"/>
        <v>3865496346.2388163</v>
      </c>
      <c r="U11" s="1232">
        <f t="shared" si="5"/>
        <v>4020116200.0883694</v>
      </c>
      <c r="V11" s="1232">
        <f t="shared" si="5"/>
        <v>4192689510.3873625</v>
      </c>
      <c r="W11" s="1232">
        <f t="shared" si="5"/>
        <v>4348157682.0155811</v>
      </c>
      <c r="X11" s="1232">
        <f t="shared" si="5"/>
        <v>4469810539.3118038</v>
      </c>
      <c r="Y11" s="1232">
        <f t="shared" si="5"/>
        <v>4491619600.4618053</v>
      </c>
      <c r="Z11" s="1232">
        <f t="shared" si="5"/>
        <v>4491619600.4618053</v>
      </c>
    </row>
    <row r="12" spans="1:26" ht="15" customHeight="1" outlineLevel="1">
      <c r="A12" s="1233"/>
      <c r="B12" s="1251">
        <f>YEAR(Объекты!K5)</f>
        <v>2026</v>
      </c>
      <c r="C12" s="1235" t="str">
        <f>СВОД_PL!C8</f>
        <v>Гостиница 5*</v>
      </c>
      <c r="D12" s="1236">
        <f>IFERROR(LOOKUP(D$10,Отель5_PL!$D$3:$T$3,Отель5_PL!$D$12:$T$12),0)</f>
        <v>0</v>
      </c>
      <c r="E12" s="1236">
        <f>IFERROR(LOOKUP(E$10,Отель5_PL!$D$3:$T$3,Отель5_PL!$D$12:$T$12),0)</f>
        <v>0</v>
      </c>
      <c r="F12" s="1236">
        <f>IFERROR(LOOKUP(F$10,Отель5_PL!$D$3:$T$3,Отель5_PL!$D$12:$T$12),0)</f>
        <v>0</v>
      </c>
      <c r="G12" s="1250">
        <f>IFERROR(LOOKUP(G$10,Отель5_PL!$D$3:$T$3,Отель5_PL!$D$12:$T$12),0)</f>
        <v>0</v>
      </c>
      <c r="H12" s="1236">
        <f>IFERROR(LOOKUP(H$10,Отель5_PL!$D$3:$T$3,Отель5_PL!$D$12:$T$12),0)</f>
        <v>228229538.9524439</v>
      </c>
      <c r="I12" s="1236">
        <f>IFERROR(LOOKUP(I$10,Отель5_PL!$D$3:$T$3,Отель5_PL!$D$12:$T$12),0)</f>
        <v>556527173.15704465</v>
      </c>
      <c r="J12" s="1236">
        <f>IFERROR(LOOKUP(J$10,Отель5_PL!$D$3:$T$3,Отель5_PL!$D$12:$T$12),0)</f>
        <v>637427055.48309934</v>
      </c>
      <c r="K12" s="1236">
        <f>IFERROR(LOOKUP(K$10,Отель5_PL!$D$3:$T$3,Отель5_PL!$D$12:$T$12),0)</f>
        <v>688344113.01064086</v>
      </c>
      <c r="L12" s="1236">
        <f>IFERROR(LOOKUP(L$10,Отель5_PL!$D$3:$T$3,Отель5_PL!$D$12:$T$12),0)</f>
        <v>748131144.70616293</v>
      </c>
      <c r="M12" s="1236">
        <f>IFERROR(LOOKUP(M$10,Отель5_PL!$D$3:$T$3,Отель5_PL!$D$12:$T$12),0)</f>
        <v>778056390.49440932</v>
      </c>
      <c r="N12" s="1236">
        <f>IFERROR(LOOKUP(N$10,Отель5_PL!$D$3:$T$3,Отель5_PL!$D$12:$T$12),0)</f>
        <v>811395573.9117589</v>
      </c>
      <c r="O12" s="1236">
        <f>IFERROR(LOOKUP(O$10,Отель5_PL!$D$3:$T$3,Отель5_PL!$D$12:$T$12),0)</f>
        <v>841545791.95875335</v>
      </c>
      <c r="P12" s="1236">
        <f>IFERROR(LOOKUP(P$10,Отель5_PL!$D$3:$T$3,Отель5_PL!$D$12:$T$12),0)</f>
        <v>875207623.63710344</v>
      </c>
      <c r="Q12" s="1236">
        <f>IFERROR(LOOKUP(Q$10,Отель5_PL!$D$3:$T$3,Отель5_PL!$D$12:$T$12),0)</f>
        <v>910215928.58258772</v>
      </c>
      <c r="R12" s="1236">
        <f>IFERROR(LOOKUP(R$10,Отель5_PL!$D$3:$T$3,Отель5_PL!$D$12:$T$12),0)</f>
        <v>949218057.68678379</v>
      </c>
      <c r="S12" s="1236">
        <f>IFERROR(LOOKUP(S$10,Отель5_PL!$D$3:$T$3,Отель5_PL!$D$12:$T$12),0)</f>
        <v>984489548.35492694</v>
      </c>
      <c r="T12" s="1236">
        <f>IFERROR(LOOKUP(T$10,Отель5_PL!$D$3:$T$3,Отель5_PL!$D$12:$T$12),0)</f>
        <v>1023869130.2891239</v>
      </c>
      <c r="U12" s="1236">
        <f>IFERROR(LOOKUP(U$10,Отель5_PL!$D$3:$T$3,Отель5_PL!$D$12:$T$12),0)</f>
        <v>1064823895.5006891</v>
      </c>
      <c r="V12" s="1236">
        <f>IFERROR(LOOKUP(V$10,Отель5_PL!$D$3:$T$3,Отель5_PL!$D$12:$T$12),0)</f>
        <v>1110450870.0914581</v>
      </c>
      <c r="W12" s="1236">
        <f>IFERROR(LOOKUP(W$10,Отель5_PL!$D$3:$T$3,Отель5_PL!$D$12:$T$12),0)</f>
        <v>1151713525.3735454</v>
      </c>
      <c r="X12" s="1236">
        <f>IFERROR(LOOKUP(X$10,Отель5_PL!$D$3:$T$3,Отель5_PL!$D$12:$T$12),0)</f>
        <v>1197782066.3884871</v>
      </c>
      <c r="Y12" s="1236">
        <f>IFERROR(LOOKUP(Y$10,Отель5_PL!$D$3:$T$3,Отель5_PL!$D$12:$T$12),0)</f>
        <v>1197782066.3884871</v>
      </c>
      <c r="Z12" s="1236">
        <f>IFERROR(LOOKUP(Z$10,Отель5_PL!$D$3:$T$3,Отель5_PL!$D$12:$T$12),0)</f>
        <v>1197782066.3884871</v>
      </c>
    </row>
    <row r="13" spans="1:26" ht="15" customHeight="1" outlineLevel="1">
      <c r="A13" s="1233"/>
      <c r="B13" s="1251">
        <f>YEAR(Объекты!K6)</f>
        <v>2026</v>
      </c>
      <c r="C13" s="1235" t="str">
        <f>СВОД_PL!C9</f>
        <v>Гостиница 4*</v>
      </c>
      <c r="D13" s="1250">
        <f>IFERROR(LOOKUP(D$10,Отель4_PL!$D$3:$T$3,Отель4_PL!$D$12:$T$12),0)</f>
        <v>0</v>
      </c>
      <c r="E13" s="1250">
        <f>IFERROR(LOOKUP(E$10,Отель4_PL!$D$3:$T$3,Отель4_PL!$D$12:$T$12),0)</f>
        <v>0</v>
      </c>
      <c r="F13" s="1250">
        <f>IFERROR(LOOKUP(F$10,Отель4_PL!$D$3:$T$3,Отель4_PL!$D$12:$T$12),0)</f>
        <v>0</v>
      </c>
      <c r="G13" s="1250">
        <f>IFERROR(LOOKUP(G$10,Отель4_PL!$D$3:$T$3,Отель4_PL!$D$12:$T$12),0)</f>
        <v>0</v>
      </c>
      <c r="H13" s="1250">
        <f>IFERROR(LOOKUP(H$10,Отель4_PL!$D$3:$T$3,Отель4_PL!$D$12:$T$12),0)</f>
        <v>172280200.27345532</v>
      </c>
      <c r="I13" s="1250">
        <f>IFERROR(LOOKUP(I$10,Отель4_PL!$D$3:$T$3,Отель4_PL!$D$12:$T$12),0)</f>
        <v>436336816.3410821</v>
      </c>
      <c r="J13" s="1250">
        <f>IFERROR(LOOKUP(J$10,Отель4_PL!$D$3:$T$3,Отель4_PL!$D$12:$T$12),0)</f>
        <v>504300907.35345399</v>
      </c>
      <c r="K13" s="1250">
        <f>IFERROR(LOOKUP(K$10,Отель4_PL!$D$3:$T$3,Отель4_PL!$D$12:$T$12),0)</f>
        <v>548969700.39646888</v>
      </c>
      <c r="L13" s="1250">
        <f>IFERROR(LOOKUP(L$10,Отель4_PL!$D$3:$T$3,Отель4_PL!$D$12:$T$12),0)</f>
        <v>600977356.22350287</v>
      </c>
      <c r="M13" s="1250">
        <f>IFERROR(LOOKUP(M$10,Отель4_PL!$D$3:$T$3,Отель4_PL!$D$12:$T$12),0)</f>
        <v>625016450.4724431</v>
      </c>
      <c r="N13" s="1250">
        <f>IFERROR(LOOKUP(N$10,Отель4_PL!$D$3:$T$3,Отель4_PL!$D$12:$T$12),0)</f>
        <v>651797977.28172815</v>
      </c>
      <c r="O13" s="1250">
        <f>IFERROR(LOOKUP(O$10,Отель4_PL!$D$3:$T$3,Отель4_PL!$D$12:$T$12),0)</f>
        <v>676017792.83099437</v>
      </c>
      <c r="P13" s="1250">
        <f>IFERROR(LOOKUP(P$10,Отель4_PL!$D$3:$T$3,Отель4_PL!$D$12:$T$12),0)</f>
        <v>703058504.54423428</v>
      </c>
      <c r="Q13" s="1250">
        <f>IFERROR(LOOKUP(Q$10,Отель4_PL!$D$3:$T$3,Отель4_PL!$D$12:$T$12),0)</f>
        <v>731180844.72600389</v>
      </c>
      <c r="R13" s="1250">
        <f>IFERROR(LOOKUP(R$10,Отель4_PL!$D$3:$T$3,Отель4_PL!$D$12:$T$12),0)</f>
        <v>762511443.11371541</v>
      </c>
      <c r="S13" s="1250">
        <f>IFERROR(LOOKUP(S$10,Отель4_PL!$D$3:$T$3,Отель4_PL!$D$12:$T$12),0)</f>
        <v>790845201.65564561</v>
      </c>
      <c r="T13" s="1250">
        <f>IFERROR(LOOKUP(T$10,Отель4_PL!$D$3:$T$3,Отель4_PL!$D$12:$T$12),0)</f>
        <v>822479009.7218715</v>
      </c>
      <c r="U13" s="1250">
        <f>IFERROR(LOOKUP(U$10,Отель4_PL!$D$3:$T$3,Отель4_PL!$D$12:$T$12),0)</f>
        <v>855378170.11074638</v>
      </c>
      <c r="V13" s="1250">
        <f>IFERROR(LOOKUP(V$10,Отель4_PL!$D$3:$T$3,Отель4_PL!$D$12:$T$12),0)</f>
        <v>892030538.82453322</v>
      </c>
      <c r="W13" s="1250">
        <f>IFERROR(LOOKUP(W$10,Отель4_PL!$D$3:$T$3,Отель4_PL!$D$12:$T$12),0)</f>
        <v>925177028.79178345</v>
      </c>
      <c r="X13" s="1250">
        <f>IFERROR(LOOKUP(X$10,Отель4_PL!$D$3:$T$3,Отель4_PL!$D$12:$T$12),0)</f>
        <v>962184109.94345474</v>
      </c>
      <c r="Y13" s="1250">
        <f>IFERROR(LOOKUP(Y$10,Отель4_PL!$D$3:$T$3,Отель4_PL!$D$12:$T$12),0)</f>
        <v>962184109.94345474</v>
      </c>
      <c r="Z13" s="1250">
        <f>IFERROR(LOOKUP(Z$10,Отель4_PL!$D$3:$T$3,Отель4_PL!$D$12:$T$12),0)</f>
        <v>962184109.94345474</v>
      </c>
    </row>
    <row r="14" spans="1:26" ht="15" customHeight="1" outlineLevel="1">
      <c r="A14" s="1233"/>
      <c r="B14" s="1251">
        <f>YEAR(Объекты!K7)</f>
        <v>2025</v>
      </c>
      <c r="C14" s="1235" t="str">
        <f>СВОД_PL!C10</f>
        <v>Гостиница 3*</v>
      </c>
      <c r="D14" s="1236">
        <f>IFERROR(LOOKUP(D$10,Отель3_PL!$D$3:$T$3,Отель3_PL!$D$12:$T$12),0)</f>
        <v>0</v>
      </c>
      <c r="E14" s="1236">
        <f>IFERROR(LOOKUP(E$10,Отель3_PL!$D$3:$T$3,Отель3_PL!$D$12:$T$12),0)</f>
        <v>0</v>
      </c>
      <c r="F14" s="1236">
        <f>IFERROR(LOOKUP(F$10,Отель3_PL!$D$3:$T$3,Отель3_PL!$D$12:$T$12),0)</f>
        <v>0</v>
      </c>
      <c r="G14" s="1250">
        <f>IFERROR(LOOKUP(G$10,Отель3_PL!$D$3:$T$3,Отель3_PL!$D$12:$T$12),0)</f>
        <v>120609348.14760539</v>
      </c>
      <c r="H14" s="1236">
        <f>IFERROR(LOOKUP(H$10,Отель3_PL!$D$3:$T$3,Отель3_PL!$D$12:$T$12),0)</f>
        <v>347320055.33002609</v>
      </c>
      <c r="I14" s="1236">
        <f>IFERROR(LOOKUP(I$10,Отель3_PL!$D$3:$T$3,Отель3_PL!$D$12:$T$12),0)</f>
        <v>400142825.0537675</v>
      </c>
      <c r="J14" s="1236">
        <f>IFERROR(LOOKUP(J$10,Отель3_PL!$D$3:$T$3,Отель3_PL!$D$12:$T$12),0)</f>
        <v>433736338.66865665</v>
      </c>
      <c r="K14" s="1236">
        <f>IFERROR(LOOKUP(K$10,Отель3_PL!$D$3:$T$3,Отель3_PL!$D$12:$T$12),0)</f>
        <v>470588628.83115721</v>
      </c>
      <c r="L14" s="1236">
        <f>IFERROR(LOOKUP(L$10,Отель3_PL!$D$3:$T$3,Отель3_PL!$D$12:$T$12),0)</f>
        <v>489412173.98440355</v>
      </c>
      <c r="M14" s="1236">
        <f>IFERROR(LOOKUP(M$10,Отель3_PL!$D$3:$T$3,Отель3_PL!$D$12:$T$12),0)</f>
        <v>508988660.94377971</v>
      </c>
      <c r="N14" s="1236">
        <f>IFERROR(LOOKUP(N$10,Отель3_PL!$D$3:$T$3,Отель3_PL!$D$12:$T$12),0)</f>
        <v>530798476.44285017</v>
      </c>
      <c r="O14" s="1236">
        <f>IFERROR(LOOKUP(O$10,Отель3_PL!$D$3:$T$3,Отель3_PL!$D$12:$T$12),0)</f>
        <v>550522135.67679226</v>
      </c>
      <c r="P14" s="1236">
        <f>IFERROR(LOOKUP(P$10,Отель3_PL!$D$3:$T$3,Отель3_PL!$D$12:$T$12),0)</f>
        <v>572543021.10386395</v>
      </c>
      <c r="Q14" s="1236">
        <f>IFERROR(LOOKUP(Q$10,Отель3_PL!$D$3:$T$3,Отель3_PL!$D$12:$T$12),0)</f>
        <v>595444741.94801855</v>
      </c>
      <c r="R14" s="1236">
        <f>IFERROR(LOOKUP(R$10,Отель3_PL!$D$3:$T$3,Отель3_PL!$D$12:$T$12),0)</f>
        <v>620959141.30162692</v>
      </c>
      <c r="S14" s="1236">
        <f>IFERROR(LOOKUP(S$10,Отель3_PL!$D$3:$T$3,Отель3_PL!$D$12:$T$12),0)</f>
        <v>644033032.89097691</v>
      </c>
      <c r="T14" s="1236">
        <f>IFERROR(LOOKUP(T$10,Отель3_PL!$D$3:$T$3,Отель3_PL!$D$12:$T$12),0)</f>
        <v>669794354.20661592</v>
      </c>
      <c r="U14" s="1236">
        <f>IFERROR(LOOKUP(U$10,Отель3_PL!$D$3:$T$3,Отель3_PL!$D$12:$T$12),0)</f>
        <v>696586128.37488067</v>
      </c>
      <c r="V14" s="1236">
        <f>IFERROR(LOOKUP(V$10,Отель3_PL!$D$3:$T$3,Отель3_PL!$D$12:$T$12),0)</f>
        <v>726434366.86195779</v>
      </c>
      <c r="W14" s="1236">
        <f>IFERROR(LOOKUP(W$10,Отель3_PL!$D$3:$T$3,Отель3_PL!$D$12:$T$12),0)</f>
        <v>753427556.45027113</v>
      </c>
      <c r="X14" s="1236">
        <f>IFERROR(LOOKUP(X$10,Отель3_PL!$D$3:$T$3,Отель3_PL!$D$12:$T$12),0)</f>
        <v>753427556.45027113</v>
      </c>
      <c r="Y14" s="1236">
        <f>IFERROR(LOOKUP(Y$10,Отель3_PL!$D$3:$T$3,Отель3_PL!$D$12:$T$12),0)</f>
        <v>753427556.45027113</v>
      </c>
      <c r="Z14" s="1250">
        <f>IFERROR(LOOKUP(Z$10,Отель3_PL!$D$3:$T$3,Отель3_PL!$D$12:$T$12),0)</f>
        <v>753427556.45027113</v>
      </c>
    </row>
    <row r="15" spans="1:26" ht="15" customHeight="1" outlineLevel="1">
      <c r="A15" s="1233"/>
      <c r="B15" s="1251">
        <f>YEAR(Объекты!K8)</f>
        <v>1900</v>
      </c>
      <c r="C15" s="1235" t="str">
        <f>СВОД_PL!C11</f>
        <v>Гостиница 2*</v>
      </c>
      <c r="D15" s="1250">
        <f>IFERROR(LOOKUP(D$10,Отель2_PL!$D$3:$T$3,Отель2_PL!$D$12:$T$12),0)</f>
        <v>0</v>
      </c>
      <c r="E15" s="1250">
        <f>IFERROR(LOOKUP(E$10,Отель2_PL!$D$3:$T$3,Отель2_PL!$D$12:$T$12),0)</f>
        <v>0</v>
      </c>
      <c r="F15" s="1250">
        <f>IFERROR(LOOKUP(F$10,Отель2_PL!$D$3:$T$3,Отель2_PL!$D$12:$T$12),0)</f>
        <v>0</v>
      </c>
      <c r="G15" s="1250">
        <f>IFERROR(LOOKUP(G$10,Отель2_PL!$D$3:$T$3,Отель2_PL!$D$12:$T$12),0)</f>
        <v>0</v>
      </c>
      <c r="H15" s="1250">
        <f>IFERROR(LOOKUP(H$10,Отель2_PL!$D$3:$T$3,Отель2_PL!$D$12:$T$12),0)</f>
        <v>0</v>
      </c>
      <c r="I15" s="1250">
        <f>IFERROR(LOOKUP(I$10,Отель2_PL!$D$3:$T$3,Отель2_PL!$D$12:$T$12),0)</f>
        <v>0</v>
      </c>
      <c r="J15" s="1250">
        <f>IFERROR(LOOKUP(J$10,Отель2_PL!$D$3:$T$3,Отель2_PL!$D$12:$T$12),0)</f>
        <v>0</v>
      </c>
      <c r="K15" s="1250">
        <f>IFERROR(LOOKUP(K$10,Отель2_PL!$D$3:$T$3,Отель2_PL!$D$12:$T$12),0)</f>
        <v>0</v>
      </c>
      <c r="L15" s="1250">
        <f>IFERROR(LOOKUP(L$10,Отель2_PL!$D$3:$T$3,Отель2_PL!$D$12:$T$12),0)</f>
        <v>0</v>
      </c>
      <c r="M15" s="1250">
        <f>IFERROR(LOOKUP(M$10,Отель2_PL!$D$3:$T$3,Отель2_PL!$D$12:$T$12),0)</f>
        <v>0</v>
      </c>
      <c r="N15" s="1250">
        <f>IFERROR(LOOKUP(N$10,Отель2_PL!$D$3:$T$3,Отель2_PL!$D$12:$T$12),0)</f>
        <v>0</v>
      </c>
      <c r="O15" s="1250">
        <f>IFERROR(LOOKUP(O$10,Отель2_PL!$D$3:$T$3,Отель2_PL!$D$12:$T$12),0)</f>
        <v>0</v>
      </c>
      <c r="P15" s="1250">
        <f>IFERROR(LOOKUP(P$10,Отель2_PL!$D$3:$T$3,Отель2_PL!$D$12:$T$12),0)</f>
        <v>0</v>
      </c>
      <c r="Q15" s="1250">
        <f>IFERROR(LOOKUP(Q$10,Отель2_PL!$D$3:$T$3,Отель2_PL!$D$12:$T$12),0)</f>
        <v>0</v>
      </c>
      <c r="R15" s="1250">
        <f>IFERROR(LOOKUP(R$10,Отель2_PL!$D$3:$T$3,Отель2_PL!$D$12:$T$12),0)</f>
        <v>0</v>
      </c>
      <c r="S15" s="1250">
        <f>IFERROR(LOOKUP(S$10,Отель2_PL!$D$3:$T$3,Отель2_PL!$D$12:$T$12),0)</f>
        <v>0</v>
      </c>
      <c r="T15" s="1250">
        <f>IFERROR(LOOKUP(T$10,Отель2_PL!$D$3:$T$3,Отель2_PL!$D$12:$T$12),0)</f>
        <v>0</v>
      </c>
      <c r="U15" s="1250">
        <f>IFERROR(LOOKUP(U$10,Отель2_PL!$D$3:$T$3,Отель2_PL!$D$12:$T$12),0)</f>
        <v>0</v>
      </c>
      <c r="V15" s="1250">
        <f>IFERROR(LOOKUP(V$10,Отель2_PL!$D$3:$T$3,Отель2_PL!$D$12:$T$12),0)</f>
        <v>0</v>
      </c>
      <c r="W15" s="1250">
        <f>IFERROR(LOOKUP(W$10,Отель2_PL!$D$3:$T$3,Отель2_PL!$D$12:$T$12),0)</f>
        <v>0</v>
      </c>
      <c r="X15" s="1250">
        <f>IFERROR(LOOKUP(X$10,Отель2_PL!$D$3:$T$3,Отель2_PL!$D$12:$T$12),0)</f>
        <v>0</v>
      </c>
      <c r="Y15" s="1250">
        <f>IFERROR(LOOKUP(Y$10,Отель2_PL!$D$3:$T$3,Отель2_PL!$D$12:$T$12),0)</f>
        <v>0</v>
      </c>
      <c r="Z15" s="1250">
        <f>IFERROR(LOOKUP(Z$10,Отель2_PL!$D$3:$T$3,Отель2_PL!$D$12:$T$12),0)</f>
        <v>0</v>
      </c>
    </row>
    <row r="16" spans="1:26" ht="15" customHeight="1" outlineLevel="1">
      <c r="A16" s="1233"/>
      <c r="B16" s="1251">
        <f>YEAR(Объекты!K9)</f>
        <v>2025</v>
      </c>
      <c r="C16" s="1235" t="str">
        <f>СВОД_PL!C12</f>
        <v>Хостел в составе МФЦ</v>
      </c>
      <c r="D16" s="1236">
        <f>IFERROR(LOOKUP(D$10,Хостел_PL!$D$3:$T$3,Хостел_PL!$D$12:$T$12),0)</f>
        <v>0</v>
      </c>
      <c r="E16" s="1236">
        <f>IFERROR(LOOKUP(E$10,Хостел_PL!$D$3:$T$3,Хостел_PL!$D$12:$T$12),0)</f>
        <v>0</v>
      </c>
      <c r="F16" s="1236">
        <f>IFERROR(LOOKUP(F$10,Хостел_PL!$D$3:$T$3,Хостел_PL!$D$12:$T$12),0)</f>
        <v>0</v>
      </c>
      <c r="G16" s="1250">
        <f>IFERROR(LOOKUP(G$10,Хостел_PL!$D$3:$T$3,Хостел_PL!$D$12:$T$12),0)</f>
        <v>34135304.280458957</v>
      </c>
      <c r="H16" s="1236">
        <f>IFERROR(LOOKUP(H$10,Хостел_PL!$D$3:$T$3,Хостел_PL!$D$12:$T$12),0)</f>
        <v>109956092.74458371</v>
      </c>
      <c r="I16" s="1236">
        <f>IFERROR(LOOKUP(I$10,Хостел_PL!$D$3:$T$3,Хостел_PL!$D$12:$T$12),0)</f>
        <v>129153132.93669695</v>
      </c>
      <c r="J16" s="1236">
        <f>IFERROR(LOOKUP(J$10,Хостел_PL!$D$3:$T$3,Хостел_PL!$D$12:$T$12),0)</f>
        <v>150332745.58110383</v>
      </c>
      <c r="K16" s="1236">
        <f>IFERROR(LOOKUP(K$10,Хостел_PL!$D$3:$T$3,Хостел_PL!$D$12:$T$12),0)</f>
        <v>173779557.09055579</v>
      </c>
      <c r="L16" s="1236">
        <f>IFERROR(LOOKUP(L$10,Хостел_PL!$D$3:$T$3,Хостел_PL!$D$12:$T$12),0)</f>
        <v>180730739.37417805</v>
      </c>
      <c r="M16" s="1236">
        <f>IFERROR(LOOKUP(M$10,Хостел_PL!$D$3:$T$3,Хостел_PL!$D$12:$T$12),0)</f>
        <v>187959968.94914514</v>
      </c>
      <c r="N16" s="1236">
        <f>IFERROR(LOOKUP(N$10,Хостел_PL!$D$3:$T$3,Хостел_PL!$D$12:$T$12),0)</f>
        <v>196013924.87891129</v>
      </c>
      <c r="O16" s="1236">
        <f>IFERROR(LOOKUP(O$10,Хостел_PL!$D$3:$T$3,Хостел_PL!$D$12:$T$12),0)</f>
        <v>203297502.41539544</v>
      </c>
      <c r="P16" s="1236">
        <f>IFERROR(LOOKUP(P$10,Хостел_PL!$D$3:$T$3,Хостел_PL!$D$12:$T$12),0)</f>
        <v>211429402.51201126</v>
      </c>
      <c r="Q16" s="1236">
        <f>IFERROR(LOOKUP(Q$10,Хостел_PL!$D$3:$T$3,Хостел_PL!$D$12:$T$12),0)</f>
        <v>219886578.61249173</v>
      </c>
      <c r="R16" s="1236">
        <f>IFERROR(LOOKUP(R$10,Хостел_PL!$D$3:$T$3,Хостел_PL!$D$12:$T$12),0)</f>
        <v>229308567.8987914</v>
      </c>
      <c r="S16" s="1236">
        <f>IFERROR(LOOKUP(S$10,Хостел_PL!$D$3:$T$3,Хостел_PL!$D$12:$T$12),0)</f>
        <v>237829323.42727107</v>
      </c>
      <c r="T16" s="1236">
        <f>IFERROR(LOOKUP(T$10,Хостел_PL!$D$3:$T$3,Хостел_PL!$D$12:$T$12),0)</f>
        <v>247342496.36436194</v>
      </c>
      <c r="U16" s="1236">
        <f>IFERROR(LOOKUP(U$10,Хостел_PL!$D$3:$T$3,Хостел_PL!$D$12:$T$12),0)</f>
        <v>257236196.21893638</v>
      </c>
      <c r="V16" s="1236">
        <f>IFERROR(LOOKUP(V$10,Хостел_PL!$D$3:$T$3,Хостел_PL!$D$12:$T$12),0)</f>
        <v>268258591.03774235</v>
      </c>
      <c r="W16" s="1236">
        <f>IFERROR(LOOKUP(W$10,Хостел_PL!$D$3:$T$3,Хостел_PL!$D$12:$T$12),0)</f>
        <v>278226669.83040166</v>
      </c>
      <c r="X16" s="1236">
        <f>IFERROR(LOOKUP(X$10,Хостел_PL!$D$3:$T$3,Хостел_PL!$D$12:$T$12),0)</f>
        <v>278226669.83040166</v>
      </c>
      <c r="Y16" s="1236">
        <f>IFERROR(LOOKUP(Y$10,Хостел_PL!$D$3:$T$3,Хостел_PL!$D$12:$T$12),0)</f>
        <v>278226669.83040166</v>
      </c>
      <c r="Z16" s="1236">
        <f>IFERROR(LOOKUP(Z$10,Хостел_PL!$D$3:$T$3,Хостел_PL!$D$12:$T$12),0)</f>
        <v>278226669.83040166</v>
      </c>
    </row>
    <row r="17" spans="1:26" ht="15" customHeight="1" outlineLevel="1">
      <c r="A17" s="1233"/>
      <c r="B17" s="1251">
        <f>YEAR(Объекты!K10)</f>
        <v>2026</v>
      </c>
      <c r="C17" s="1235" t="str">
        <f>СВОД_PL!C13</f>
        <v>Шале</v>
      </c>
      <c r="D17" s="1236">
        <f>IFERROR(LOOKUP(D$10,Шале_PL!$D$3:$T$3,Шале_PL!$D$12:$T$12),0)</f>
        <v>0</v>
      </c>
      <c r="E17" s="1236">
        <f>IFERROR(LOOKUP(E$10,Шале_PL!$D$3:$T$3,Шале_PL!$D$12:$T$12),0)</f>
        <v>0</v>
      </c>
      <c r="F17" s="1236">
        <f>IFERROR(LOOKUP(F$10,Шале_PL!$D$3:$T$3,Шале_PL!$D$12:$T$12),0)</f>
        <v>0</v>
      </c>
      <c r="G17" s="1250">
        <f>IFERROR(LOOKUP(G$10,Шале_PL!$D$3:$T$3,Шале_PL!$D$12:$T$12),0)</f>
        <v>0</v>
      </c>
      <c r="H17" s="1250">
        <f>IFERROR(LOOKUP(H$10,Шале_PL!$D$3:$T$3,Шале_PL!$D$12:$T$12),0)</f>
        <v>41864495.25108847</v>
      </c>
      <c r="I17" s="1236">
        <f>IFERROR(LOOKUP(I$10,Шале_PL!$D$3:$T$3,Шале_PL!$D$12:$T$12),0)</f>
        <v>207141418.93619078</v>
      </c>
      <c r="J17" s="1236">
        <f>IFERROR(LOOKUP(J$10,Шале_PL!$D$3:$T$3,Шале_PL!$D$12:$T$12),0)</f>
        <v>239667927.04807597</v>
      </c>
      <c r="K17" s="1236">
        <f>IFERROR(LOOKUP(K$10,Шале_PL!$D$3:$T$3,Шале_PL!$D$12:$T$12),0)</f>
        <v>261664407.83288902</v>
      </c>
      <c r="L17" s="1236">
        <f>IFERROR(LOOKUP(L$10,Шале_PL!$D$3:$T$3,Шале_PL!$D$12:$T$12),0)</f>
        <v>285929027.10561317</v>
      </c>
      <c r="M17" s="1236">
        <f>IFERROR(LOOKUP(M$10,Шале_PL!$D$3:$T$3,Шале_PL!$D$12:$T$12),0)</f>
        <v>297366188.18983763</v>
      </c>
      <c r="N17" s="1236">
        <f>IFERROR(LOOKUP(N$10,Шале_PL!$D$3:$T$3,Шале_PL!$D$12:$T$12),0)</f>
        <v>310108125.67830092</v>
      </c>
      <c r="O17" s="1236">
        <f>IFERROR(LOOKUP(O$10,Шале_PL!$D$3:$T$3,Шале_PL!$D$12:$T$12),0)</f>
        <v>321631269.14612842</v>
      </c>
      <c r="P17" s="1236">
        <f>IFERROR(LOOKUP(P$10,Шале_PL!$D$3:$T$3,Шале_PL!$D$12:$T$12),0)</f>
        <v>334496519.91197366</v>
      </c>
      <c r="Q17" s="1236">
        <f>IFERROR(LOOKUP(Q$10,Шале_PL!$D$3:$T$3,Шале_PL!$D$12:$T$12),0)</f>
        <v>347876380.70845264</v>
      </c>
      <c r="R17" s="1236">
        <f>IFERROR(LOOKUP(R$10,Шале_PL!$D$3:$T$3,Шале_PL!$D$12:$T$12),0)</f>
        <v>362782645.35031611</v>
      </c>
      <c r="S17" s="1236">
        <f>IFERROR(LOOKUP(S$10,Шале_PL!$D$3:$T$3,Шале_PL!$D$12:$T$12),0)</f>
        <v>376263093.37426227</v>
      </c>
      <c r="T17" s="1236">
        <f>IFERROR(LOOKUP(T$10,Шале_PL!$D$3:$T$3,Шале_PL!$D$12:$T$12),0)</f>
        <v>391313617.10923284</v>
      </c>
      <c r="U17" s="1236">
        <f>IFERROR(LOOKUP(U$10,Шале_PL!$D$3:$T$3,Шале_PL!$D$12:$T$12),0)</f>
        <v>406966161.79360211</v>
      </c>
      <c r="V17" s="1236">
        <f>IFERROR(LOOKUP(V$10,Шале_PL!$D$3:$T$3,Шале_PL!$D$12:$T$12),0)</f>
        <v>424404383.08251166</v>
      </c>
      <c r="W17" s="1236">
        <f>IFERROR(LOOKUP(W$10,Шале_PL!$D$3:$T$3,Шале_PL!$D$12:$T$12),0)</f>
        <v>440174600.59596014</v>
      </c>
      <c r="X17" s="1236">
        <f>IFERROR(LOOKUP(X$10,Шале_PL!$D$3:$T$3,Шале_PL!$D$12:$T$12),0)</f>
        <v>457781584.6197986</v>
      </c>
      <c r="Y17" s="1236">
        <f>IFERROR(LOOKUP(Y$10,Шале_PL!$D$3:$T$3,Шале_PL!$D$12:$T$12),0)</f>
        <v>457781584.6197986</v>
      </c>
      <c r="Z17" s="1236">
        <f>IFERROR(LOOKUP(Z$10,Шале_PL!$D$3:$T$3,Шале_PL!$D$12:$T$12),0)</f>
        <v>457781584.6197986</v>
      </c>
    </row>
    <row r="18" spans="1:26" ht="15" customHeight="1" outlineLevel="1">
      <c r="A18" s="1233"/>
      <c r="B18" s="1251">
        <f>YEAR(Объекты!K13)</f>
        <v>2025</v>
      </c>
      <c r="C18" s="1235" t="str">
        <f>СВОД_PL!C14</f>
        <v>Туристские резиденции</v>
      </c>
      <c r="D18" s="1236">
        <f>IFERROR(LOOKUP(D$10,Резиденции_PL!$53:$53,Резиденции_PL!$79:$79),0)+IFERROR(LOOKUP(D$10,Резиденции_PL!$53:$53,Резиденции_PL!$87:$87),0)</f>
        <v>0</v>
      </c>
      <c r="E18" s="1236">
        <f>IFERROR(LOOKUP(E$10,Резиденции_PL!$53:$53,Резиденции_PL!$79:$79),0)+IFERROR(LOOKUP(E$10,Резиденции_PL!$53:$53,Резиденции_PL!$87:$87),0)</f>
        <v>0</v>
      </c>
      <c r="F18" s="1236">
        <f>IFERROR(LOOKUP(F$10,Резиденции_PL!$53:$53,Резиденции_PL!$79:$79),0)+IFERROR(LOOKUP(F$10,Резиденции_PL!$53:$53,Резиденции_PL!$87:$87),0)</f>
        <v>0</v>
      </c>
      <c r="G18" s="1250">
        <f>IFERROR(LOOKUP(G$10,Резиденции_PL!$53:$53,Резиденции_PL!$79:$79),0)+IFERROR(LOOKUP(G$10,Резиденции_PL!$53:$53,Резиденции_PL!$87:$87),0)</f>
        <v>224800505.4880276</v>
      </c>
      <c r="H18" s="1236">
        <f>IFERROR(LOOKUP(H$10,Резиденции_PL!$53:$53,Резиденции_PL!$79:$79),0)+IFERROR(LOOKUP(H$10,Резиденции_PL!$53:$53,Резиденции_PL!$87:$87),0)</f>
        <v>575598276.53644824</v>
      </c>
      <c r="I18" s="1236">
        <f>IFERROR(LOOKUP(I$10,Резиденции_PL!$53:$53,Резиденции_PL!$79:$79),0)+IFERROR(LOOKUP(I$10,Резиденции_PL!$53:$53,Резиденции_PL!$87:$87),0)</f>
        <v>433942159.86783463</v>
      </c>
      <c r="J18" s="1236">
        <f>IFERROR(LOOKUP(J$10,Резиденции_PL!$53:$53,Резиденции_PL!$79:$79),0)+IFERROR(LOOKUP(J$10,Резиденции_PL!$53:$53,Резиденции_PL!$87:$87),0)</f>
        <v>259298898.11713171</v>
      </c>
      <c r="K18" s="1236">
        <f>IFERROR(LOOKUP(K$10,Резиденции_PL!$53:$53,Резиденции_PL!$79:$79),0)+IFERROR(LOOKUP(K$10,Резиденции_PL!$53:$53,Резиденции_PL!$87:$87),0)</f>
        <v>276011260.23046196</v>
      </c>
      <c r="L18" s="1250">
        <f>IFERROR(LOOKUP(L$10,Резиденции_PL!$53:$53,Резиденции_PL!$79:$79),0)+IFERROR(LOOKUP(L$10,Резиденции_PL!$53:$53,Резиденции_PL!$87:$87),0)</f>
        <v>287051710.6396805</v>
      </c>
      <c r="M18" s="1236">
        <f>IFERROR(LOOKUP(M$10,Резиденции_PL!$53:$53,Резиденции_PL!$79:$79),0)+IFERROR(LOOKUP(M$10,Резиденции_PL!$53:$53,Резиденции_PL!$87:$87),0)</f>
        <v>298533779.06526774</v>
      </c>
      <c r="N18" s="1236">
        <f>IFERROR(LOOKUP(N$10,Резиденции_PL!$53:$53,Резиденции_PL!$79:$79),0)+IFERROR(LOOKUP(N$10,Резиденции_PL!$53:$53,Резиденции_PL!$87:$87),0)</f>
        <v>311325747.02302331</v>
      </c>
      <c r="O18" s="1236">
        <f>IFERROR(LOOKUP(O$10,Резиденции_PL!$53:$53,Резиденции_PL!$79:$79),0)+IFERROR(LOOKUP(O$10,Резиденции_PL!$53:$53,Резиденции_PL!$87:$87),0)</f>
        <v>322894135.4369936</v>
      </c>
      <c r="P18" s="1236">
        <f>IFERROR(LOOKUP(P$10,Резиденции_PL!$53:$53,Резиденции_PL!$79:$79),0)+IFERROR(LOOKUP(P$10,Резиденции_PL!$53:$53,Резиденции_PL!$87:$87),0)</f>
        <v>335809900.85447335</v>
      </c>
      <c r="Q18" s="1236">
        <f>IFERROR(LOOKUP(Q$10,Резиденции_PL!$53:$53,Резиденции_PL!$79:$79),0)+IFERROR(LOOKUP(Q$10,Резиденции_PL!$53:$53,Резиденции_PL!$87:$87),0)</f>
        <v>349242296.88865232</v>
      </c>
      <c r="R18" s="1236">
        <f>IFERROR(LOOKUP(R$10,Резиденции_PL!$53:$53,Резиденции_PL!$79:$79),0)+IFERROR(LOOKUP(R$10,Резиденции_PL!$53:$53,Резиденции_PL!$87:$87),0)</f>
        <v>364207090.1032784</v>
      </c>
      <c r="S18" s="1236">
        <f>IFERROR(LOOKUP(S$10,Резиденции_PL!$53:$53,Резиденции_PL!$79:$79),0)+IFERROR(LOOKUP(S$10,Резиденции_PL!$53:$53,Резиденции_PL!$87:$87),0)</f>
        <v>377740468.31476635</v>
      </c>
      <c r="T18" s="1236">
        <f>IFERROR(LOOKUP(T$10,Резиденции_PL!$53:$53,Резиденции_PL!$79:$79),0)+IFERROR(LOOKUP(T$10,Резиденции_PL!$53:$53,Резиденции_PL!$87:$87),0)</f>
        <v>392850087.04735702</v>
      </c>
      <c r="U18" s="1236">
        <f>IFERROR(LOOKUP(U$10,Резиденции_PL!$53:$53,Резиденции_PL!$79:$79),0)+IFERROR(LOOKUP(U$10,Резиденции_PL!$53:$53,Резиденции_PL!$87:$87),0)</f>
        <v>408564090.5292514</v>
      </c>
      <c r="V18" s="1236">
        <f>IFERROR(LOOKUP(V$10,Резиденции_PL!$53:$53,Резиденции_PL!$79:$79),0)+IFERROR(LOOKUP(V$10,Резиденции_PL!$53:$53,Резиденции_PL!$87:$87),0)</f>
        <v>426070781.97001159</v>
      </c>
      <c r="W18" s="1236">
        <f>IFERROR(LOOKUP(W$10,Резиденции_PL!$53:$53,Резиденции_PL!$79:$79),0)+IFERROR(LOOKUP(W$10,Резиденции_PL!$53:$53,Резиденции_PL!$87:$87),0)</f>
        <v>441902920.31643832</v>
      </c>
      <c r="X18" s="1236">
        <f>IFERROR(LOOKUP(X$10,Резиденции_PL!$53:$53,Резиденции_PL!$79:$79),0)+IFERROR(LOOKUP(X$10,Резиденции_PL!$53:$53,Резиденции_PL!$87:$87),0)</f>
        <v>459579037.12909585</v>
      </c>
      <c r="Y18" s="1236">
        <f>IFERROR(LOOKUP(Y$10,Резиденции_PL!$53:$53,Резиденции_PL!$79:$79),0)+IFERROR(LOOKUP(Y$10,Резиденции_PL!$53:$53,Резиденции_PL!$87:$87),0)</f>
        <v>477962198.61425972</v>
      </c>
      <c r="Z18" s="1236">
        <f>IFERROR(LOOKUP(Z$10,Резиденции_PL!$53:$53,Резиденции_PL!$79:$79),0)+IFERROR(LOOKUP(Z$10,Резиденции_PL!$53:$53,Резиденции_PL!$87:$87),0)</f>
        <v>477962198.61425972</v>
      </c>
    </row>
    <row r="19" spans="1:26" ht="15" customHeight="1" outlineLevel="1">
      <c r="A19" s="1233"/>
      <c r="B19" s="1251">
        <f>Ресторан!F5</f>
        <v>2025</v>
      </c>
      <c r="C19" s="1235" t="s">
        <v>555</v>
      </c>
      <c r="D19" s="1236">
        <f>IFERROR(LOOKUP(D$10,Ресторан!5:5,Ресторан!62:62),0)</f>
        <v>0</v>
      </c>
      <c r="E19" s="1236">
        <f>IFERROR(LOOKUP(E$10,Ресторан!5:5,Ресторан!62:62),0)</f>
        <v>0</v>
      </c>
      <c r="F19" s="1236">
        <f>IFERROR(LOOKUP(F$10,Ресторан!5:5,Ресторан!62:62),0)</f>
        <v>0</v>
      </c>
      <c r="G19" s="1250">
        <f>IFERROR(LOOKUP(G$10,Ресторан!5:5,Ресторан!62:62),0)</f>
        <v>18032310.351984277</v>
      </c>
      <c r="H19" s="1236">
        <f>IFERROR(LOOKUP(H$10,Ресторан!5:5,Ресторан!62:62),0)</f>
        <v>117506074.47280082</v>
      </c>
      <c r="I19" s="1236">
        <f>IFERROR(LOOKUP(I$10,Ресторан!5:5,Ресторан!62:62),0)</f>
        <v>142853974.57027867</v>
      </c>
      <c r="J19" s="1236">
        <f>IFERROR(LOOKUP(J$10,Ресторан!5:5,Ресторан!62:62),0)</f>
        <v>157599170.1746124</v>
      </c>
      <c r="K19" s="1236">
        <f>IFERROR(LOOKUP(K$10,Ресторан!5:5,Ресторан!62:62),0)</f>
        <v>169914945.2197502</v>
      </c>
      <c r="L19" s="1236">
        <f>IFERROR(LOOKUP(L$10,Ресторан!5:5,Ресторан!62:62),0)</f>
        <v>178752995.06374204</v>
      </c>
      <c r="M19" s="1236">
        <f>IFERROR(LOOKUP(M$10,Ресторан!5:5,Ресторан!62:62),0)</f>
        <v>185903114.86629176</v>
      </c>
      <c r="N19" s="1236">
        <f>IFERROR(LOOKUP(N$10,Ресторан!5:5,Ресторан!62:62),0)</f>
        <v>194256956.14911652</v>
      </c>
      <c r="O19" s="1236">
        <f>IFERROR(LOOKUP(O$10,Ресторан!5:5,Ресторан!62:62),0)</f>
        <v>201072809.03938115</v>
      </c>
      <c r="P19" s="1236">
        <f>IFERROR(LOOKUP(P$10,Ресторан!5:5,Ресторан!62:62),0)</f>
        <v>209115721.40095645</v>
      </c>
      <c r="Q19" s="1236">
        <f>IFERROR(LOOKUP(Q$10,Ресторан!5:5,Ресторан!62:62),0)</f>
        <v>217480350.25699469</v>
      </c>
      <c r="R19" s="1236">
        <f>IFERROR(LOOKUP(R$10,Ресторан!5:5,Ресторан!62:62),0)</f>
        <v>227253162.99058864</v>
      </c>
      <c r="S19" s="1236">
        <f>IFERROR(LOOKUP(S$10,Ресторан!5:5,Ресторан!62:62),0)</f>
        <v>235226746.83796546</v>
      </c>
      <c r="T19" s="1236">
        <f>IFERROR(LOOKUP(T$10,Ресторан!5:5,Ресторан!62:62),0)</f>
        <v>244635816.71148404</v>
      </c>
      <c r="U19" s="1236">
        <f>IFERROR(LOOKUP(U$10,Ресторан!5:5,Ресторан!62:62),0)</f>
        <v>254421249.37994349</v>
      </c>
      <c r="V19" s="1236">
        <f>IFERROR(LOOKUP(V$10,Ресторан!5:5,Ресторан!62:62),0)</f>
        <v>265854058.01161531</v>
      </c>
      <c r="W19" s="1236">
        <f>IFERROR(LOOKUP(W$10,Ресторан!5:5,Ресторан!62:62),0)</f>
        <v>275182023.32934684</v>
      </c>
      <c r="X19" s="1236">
        <f>IFERROR(LOOKUP(X$10,Ресторан!5:5,Ресторан!62:62),0)</f>
        <v>275182023.32934684</v>
      </c>
      <c r="Y19" s="1236">
        <f>IFERROR(LOOKUP(Y$10,Ресторан!5:5,Ресторан!62:62),0)</f>
        <v>275182023.32934684</v>
      </c>
      <c r="Z19" s="1236">
        <f>IFERROR(LOOKUP(Z$10,Ресторан!5:5,Ресторан!62:62),0)</f>
        <v>275182023.32934684</v>
      </c>
    </row>
    <row r="20" spans="1:26" ht="15" customHeight="1" outlineLevel="1">
      <c r="A20" s="1233"/>
      <c r="B20" s="1251">
        <f>Retail!D21</f>
        <v>2025</v>
      </c>
      <c r="C20" s="1235" t="s">
        <v>886</v>
      </c>
      <c r="D20" s="1236">
        <f>IFERROR(LOOKUP(D$10,Retail!21:21,Retail!49:49),0)</f>
        <v>0</v>
      </c>
      <c r="E20" s="1236">
        <f>IFERROR(LOOKUP(E$10,Retail!21:21,Retail!49:49),0)</f>
        <v>0</v>
      </c>
      <c r="F20" s="1236">
        <f>IFERROR(LOOKUP(F$10,Retail!21:21,Retail!49:49),0)</f>
        <v>0</v>
      </c>
      <c r="G20" s="1250">
        <f>IFERROR(LOOKUP(G$10,Retail!21:21,Retail!49:49),0)</f>
        <v>12893463.107724277</v>
      </c>
      <c r="H20" s="1236">
        <f>IFERROR(LOOKUP(H$10,Retail!21:21,Retail!49:49),0)</f>
        <v>34263065.707600251</v>
      </c>
      <c r="I20" s="1236">
        <f>IFERROR(LOOKUP(I$10,Retail!21:21,Retail!49:49),0)</f>
        <v>40583044.874927692</v>
      </c>
      <c r="J20" s="1236">
        <f>IFERROR(LOOKUP(J$10,Retail!21:21,Retail!49:49),0)</f>
        <v>49459292.317286514</v>
      </c>
      <c r="K20" s="1236">
        <f>IFERROR(LOOKUP(K$10,Retail!21:21,Retail!49:49),0)</f>
        <v>51437664.009977981</v>
      </c>
      <c r="L20" s="1236">
        <f>IFERROR(LOOKUP(L$10,Retail!21:21,Retail!49:49),0)</f>
        <v>53495170.570377104</v>
      </c>
      <c r="M20" s="1236">
        <f>IFERROR(LOOKUP(M$10,Retail!21:21,Retail!49:49),0)</f>
        <v>55634977.393192194</v>
      </c>
      <c r="N20" s="1236">
        <f>IFERROR(LOOKUP(N$10,Retail!21:21,Retail!49:49),0)</f>
        <v>57860376.488919884</v>
      </c>
      <c r="O20" s="1236">
        <f>IFERROR(LOOKUP(O$10,Retail!21:21,Retail!49:49),0)</f>
        <v>60174791.548476681</v>
      </c>
      <c r="P20" s="1236">
        <f>IFERROR(LOOKUP(P$10,Retail!21:21,Retail!49:49),0)</f>
        <v>62581783.210415743</v>
      </c>
      <c r="Q20" s="1236">
        <f>IFERROR(LOOKUP(Q$10,Retail!21:21,Retail!49:49),0)</f>
        <v>65085054.538832374</v>
      </c>
      <c r="R20" s="1236">
        <f>IFERROR(LOOKUP(R$10,Retail!21:21,Retail!49:49),0)</f>
        <v>67688456.720385671</v>
      </c>
      <c r="S20" s="1236">
        <f>IFERROR(LOOKUP(S$10,Retail!21:21,Retail!49:49),0)</f>
        <v>70395994.989201099</v>
      </c>
      <c r="T20" s="1236">
        <f>IFERROR(LOOKUP(T$10,Retail!21:21,Retail!49:49),0)</f>
        <v>73211834.788769156</v>
      </c>
      <c r="U20" s="1236">
        <f>IFERROR(LOOKUP(U$10,Retail!21:21,Retail!49:49),0)</f>
        <v>76140308.180319905</v>
      </c>
      <c r="V20" s="1236">
        <f>IFERROR(LOOKUP(V$10,Retail!21:21,Retail!49:49),0)</f>
        <v>79185920.507532716</v>
      </c>
      <c r="W20" s="1236">
        <f>IFERROR(LOOKUP(W$10,Retail!21:21,Retail!49:49),0)</f>
        <v>82353357.32783401</v>
      </c>
      <c r="X20" s="1236">
        <f>IFERROR(LOOKUP(X$10,Retail!21:21,Retail!49:49),0)</f>
        <v>85647491.620947376</v>
      </c>
      <c r="Y20" s="1236">
        <f>IFERROR(LOOKUP(Y$10,Retail!21:21,Retail!49:49),0)</f>
        <v>89073391.285785288</v>
      </c>
      <c r="Z20" s="1236">
        <f>IFERROR(LOOKUP(Z$10,Retail!21:21,Retail!49:49),0)</f>
        <v>89073391.285785288</v>
      </c>
    </row>
    <row r="21" spans="1:26" s="1237" customFormat="1" ht="15" customHeight="1">
      <c r="B21" s="1238"/>
      <c r="C21" s="1239" t="s">
        <v>630</v>
      </c>
      <c r="D21" s="1240">
        <f t="shared" ref="D21:I21" si="6">D22+D24</f>
        <v>0</v>
      </c>
      <c r="E21" s="1240">
        <f t="shared" si="6"/>
        <v>0</v>
      </c>
      <c r="F21" s="1240">
        <f t="shared" si="6"/>
        <v>0</v>
      </c>
      <c r="G21" s="1297">
        <f t="shared" si="6"/>
        <v>29183266.110846408</v>
      </c>
      <c r="H21" s="1240">
        <f t="shared" si="6"/>
        <v>35884076.502210066</v>
      </c>
      <c r="I21" s="1240">
        <f t="shared" si="6"/>
        <v>39746300.479172073</v>
      </c>
      <c r="J21" s="1240">
        <f t="shared" ref="J21:V21" si="7">J22+J24</f>
        <v>40076614.166847669</v>
      </c>
      <c r="K21" s="1240">
        <f t="shared" si="7"/>
        <v>42181946.451720923</v>
      </c>
      <c r="L21" s="1240">
        <f t="shared" si="7"/>
        <v>44220861.644703731</v>
      </c>
      <c r="M21" s="1240">
        <f t="shared" si="7"/>
        <v>45989696.110491887</v>
      </c>
      <c r="N21" s="1240">
        <f t="shared" si="7"/>
        <v>47867980.56310527</v>
      </c>
      <c r="O21" s="1240">
        <f t="shared" si="7"/>
        <v>49742455.31310802</v>
      </c>
      <c r="P21" s="1240">
        <f t="shared" si="7"/>
        <v>51732153.525632352</v>
      </c>
      <c r="Q21" s="1240">
        <f t="shared" si="7"/>
        <v>53801439.666657649</v>
      </c>
      <c r="R21" s="1240">
        <f t="shared" si="7"/>
        <v>55998766.811662316</v>
      </c>
      <c r="S21" s="1240">
        <f t="shared" si="7"/>
        <v>58191637.143456906</v>
      </c>
      <c r="T21" s="1240">
        <f t="shared" si="7"/>
        <v>60519302.629195191</v>
      </c>
      <c r="U21" s="1240">
        <f t="shared" si="7"/>
        <v>62940074.734362997</v>
      </c>
      <c r="V21" s="1240">
        <f t="shared" si="7"/>
        <v>65510636.704067074</v>
      </c>
      <c r="W21" s="1240">
        <f>W22+W24</f>
        <v>68075984.83268702</v>
      </c>
      <c r="X21" s="1240">
        <f>X22+X24</f>
        <v>70563793.701064706</v>
      </c>
      <c r="Y21" s="1240">
        <f>Y22+Y24</f>
        <v>72679920.327206165</v>
      </c>
      <c r="Z21" s="1240">
        <f>Z22+Z24</f>
        <v>74778625.612211302</v>
      </c>
    </row>
    <row r="22" spans="1:26" ht="15" customHeight="1">
      <c r="A22" s="1233"/>
      <c r="B22" s="1234"/>
      <c r="C22" s="1241" t="s">
        <v>721</v>
      </c>
      <c r="D22" s="1236">
        <f>SUMIF(ФОТ_УК!$37:$37,D10,ФОТ_УК!$64:$64)</f>
        <v>0</v>
      </c>
      <c r="E22" s="1236">
        <f>SUMIF(ФОТ_УК!$37:$37,E10,ФОТ_УК!$64:$64)</f>
        <v>0</v>
      </c>
      <c r="F22" s="1250">
        <f>SUMIF(ФОТ_УК!$37:$37,F10,ФОТ_УК!$64:$64)</f>
        <v>0</v>
      </c>
      <c r="G22" s="1250">
        <f>SUMIF(ФОТ_УК!$37:$37,G10,ФОТ_УК!$64:$64)</f>
        <v>25899498.659840003</v>
      </c>
      <c r="H22" s="1236">
        <f>SUMIF(ФОТ_УК!$37:$37,H10,ФОТ_УК!$64:$64)</f>
        <v>26935478.606233604</v>
      </c>
      <c r="I22" s="1236">
        <f>SUMIF(ФОТ_УК!$37:$37,I10,ФОТ_УК!$64:$64)</f>
        <v>28012897.750482954</v>
      </c>
      <c r="J22" s="1236">
        <f>SUMIF(ФОТ_УК!$37:$37,J10,ФОТ_УК!$64:$64)</f>
        <v>29133413.660502277</v>
      </c>
      <c r="K22" s="1236">
        <f>SUMIF(ФОТ_УК!$37:$37,K10,ФОТ_УК!$64:$64)</f>
        <v>30298750.206922363</v>
      </c>
      <c r="L22" s="1236">
        <f>SUMIF(ФОТ_УК!$37:$37,L10,ФОТ_УК!$64:$64)</f>
        <v>31510700.215199258</v>
      </c>
      <c r="M22" s="1236">
        <f>SUMIF(ФОТ_УК!$37:$37,M10,ФОТ_УК!$64:$64)</f>
        <v>32771128.223807231</v>
      </c>
      <c r="N22" s="1236">
        <f>SUMIF(ФОТ_УК!$37:$37,N10,ФОТ_УК!$64:$64)</f>
        <v>34081973.352759533</v>
      </c>
      <c r="O22" s="1250">
        <f>SUMIF(ФОТ_УК!$37:$37,O10,ФОТ_УК!$64:$64)</f>
        <v>35445252.286869898</v>
      </c>
      <c r="P22" s="1236">
        <f>SUMIF(ФОТ_УК!$37:$37,P10,ФОТ_УК!$64:$64)</f>
        <v>36863062.378344707</v>
      </c>
      <c r="Q22" s="1236">
        <f>SUMIF(ФОТ_УК!$37:$37,Q10,ФОТ_УК!$64:$64)</f>
        <v>38337584.873478495</v>
      </c>
      <c r="R22" s="1236">
        <f>SUMIF(ФОТ_УК!$37:$37,R10,ФОТ_УК!$64:$64)</f>
        <v>39871088.268417627</v>
      </c>
      <c r="S22" s="1236">
        <f>SUMIF(ФОТ_УК!$37:$37,S10,ФОТ_УК!$64:$64)</f>
        <v>41465931.799154334</v>
      </c>
      <c r="T22" s="1236">
        <f>SUMIF(ФОТ_УК!$37:$37,T10,ФОТ_УК!$64:$64)</f>
        <v>43124569.071120515</v>
      </c>
      <c r="U22" s="1236">
        <f>SUMIF(ФОТ_УК!$37:$37,U10,ФОТ_УК!$64:$64)</f>
        <v>44849551.833965331</v>
      </c>
      <c r="V22" s="1236">
        <f>SUMIF(ФОТ_УК!$37:$37,V10,ФОТ_УК!$64:$64)</f>
        <v>46643533.907323942</v>
      </c>
      <c r="W22" s="1236">
        <f>SUMIF(ФОТ_УК!$37:$37,W10,ФОТ_УК!$64:$64)</f>
        <v>48509275.263616912</v>
      </c>
      <c r="X22" s="1236">
        <f>SUMIF(ФОТ_УК!$37:$37,X10,ФОТ_УК!$64:$64)</f>
        <v>50449646.274161577</v>
      </c>
      <c r="Y22" s="1236">
        <f>SUMIF(ФОТ_УК!$37:$37,Y10,ФОТ_УК!$64:$64)</f>
        <v>52467632.125128046</v>
      </c>
      <c r="Z22" s="1236">
        <f>SUMIF(ФОТ_УК!$37:$37,Z10,ФОТ_УК!$64:$64)</f>
        <v>54566337.410133176</v>
      </c>
    </row>
    <row r="23" spans="1:26" ht="15" customHeight="1">
      <c r="A23" s="1233"/>
      <c r="B23" s="747"/>
      <c r="C23" s="1241" t="s">
        <v>880</v>
      </c>
      <c r="D23" s="1242"/>
      <c r="E23" s="1242"/>
      <c r="F23" s="1242"/>
      <c r="G23" s="1248">
        <v>8.0000000000000002E-3</v>
      </c>
      <c r="H23" s="1248">
        <v>5.4999999999999997E-3</v>
      </c>
      <c r="I23" s="1248">
        <v>5.000000000000001E-3</v>
      </c>
      <c r="J23" s="1248">
        <v>4.5000000000000005E-3</v>
      </c>
      <c r="K23" s="1248">
        <f>J23</f>
        <v>4.5000000000000005E-3</v>
      </c>
      <c r="L23" s="1248">
        <f>K23</f>
        <v>4.5000000000000005E-3</v>
      </c>
      <c r="M23" s="1248">
        <f t="shared" ref="M23:R23" si="8">L23</f>
        <v>4.5000000000000005E-3</v>
      </c>
      <c r="N23" s="1248">
        <f t="shared" si="8"/>
        <v>4.5000000000000005E-3</v>
      </c>
      <c r="O23" s="1248">
        <f t="shared" si="8"/>
        <v>4.5000000000000005E-3</v>
      </c>
      <c r="P23" s="1248">
        <f t="shared" si="8"/>
        <v>4.5000000000000005E-3</v>
      </c>
      <c r="Q23" s="1248">
        <f t="shared" si="8"/>
        <v>4.5000000000000005E-3</v>
      </c>
      <c r="R23" s="1248">
        <f t="shared" si="8"/>
        <v>4.5000000000000005E-3</v>
      </c>
      <c r="S23" s="1248">
        <f>R23</f>
        <v>4.5000000000000005E-3</v>
      </c>
      <c r="T23" s="1248">
        <f t="shared" ref="T23:Z23" si="9">S23</f>
        <v>4.5000000000000005E-3</v>
      </c>
      <c r="U23" s="1248">
        <f t="shared" si="9"/>
        <v>4.5000000000000005E-3</v>
      </c>
      <c r="V23" s="1248">
        <f t="shared" si="9"/>
        <v>4.5000000000000005E-3</v>
      </c>
      <c r="W23" s="1248">
        <f t="shared" si="9"/>
        <v>4.5000000000000005E-3</v>
      </c>
      <c r="X23" s="1248">
        <f t="shared" si="9"/>
        <v>4.5000000000000005E-3</v>
      </c>
      <c r="Y23" s="1248">
        <f t="shared" si="9"/>
        <v>4.5000000000000005E-3</v>
      </c>
      <c r="Z23" s="1248">
        <f t="shared" si="9"/>
        <v>4.5000000000000005E-3</v>
      </c>
    </row>
    <row r="24" spans="1:26" ht="15" customHeight="1">
      <c r="C24" s="1241" t="s">
        <v>731</v>
      </c>
      <c r="E24" s="1243"/>
      <c r="F24" s="1243"/>
      <c r="G24" s="1236">
        <f t="shared" ref="G24:Z24" si="10">G23*G11</f>
        <v>3283767.4510064037</v>
      </c>
      <c r="H24" s="1236">
        <f t="shared" si="10"/>
        <v>8948597.8959764577</v>
      </c>
      <c r="I24" s="1236">
        <f t="shared" si="10"/>
        <v>11733402.728689117</v>
      </c>
      <c r="J24" s="1236">
        <f t="shared" si="10"/>
        <v>10943200.506345391</v>
      </c>
      <c r="K24" s="1236">
        <f t="shared" si="10"/>
        <v>11883196.24479856</v>
      </c>
      <c r="L24" s="1236">
        <f t="shared" si="10"/>
        <v>12710161.429504473</v>
      </c>
      <c r="M24" s="1236">
        <f t="shared" si="10"/>
        <v>13218567.886684652</v>
      </c>
      <c r="N24" s="1236">
        <f t="shared" si="10"/>
        <v>13786007.210345741</v>
      </c>
      <c r="O24" s="1236">
        <f t="shared" si="10"/>
        <v>14297203.026238119</v>
      </c>
      <c r="P24" s="1236">
        <f t="shared" si="10"/>
        <v>14869091.147287646</v>
      </c>
      <c r="Q24" s="1236">
        <f t="shared" si="10"/>
        <v>15463854.793179153</v>
      </c>
      <c r="R24" s="1236">
        <f t="shared" si="10"/>
        <v>16127678.543244688</v>
      </c>
      <c r="S24" s="1236">
        <f t="shared" si="10"/>
        <v>16725705.344302572</v>
      </c>
      <c r="T24" s="1236">
        <f t="shared" si="10"/>
        <v>17394733.558074676</v>
      </c>
      <c r="U24" s="1236">
        <f t="shared" si="10"/>
        <v>18090522.900397666</v>
      </c>
      <c r="V24" s="1236">
        <f t="shared" si="10"/>
        <v>18867102.796743132</v>
      </c>
      <c r="W24" s="1236">
        <f t="shared" si="10"/>
        <v>19566709.569070116</v>
      </c>
      <c r="X24" s="1236">
        <f t="shared" si="10"/>
        <v>20114147.426903121</v>
      </c>
      <c r="Y24" s="1236">
        <f t="shared" si="10"/>
        <v>20212288.202078126</v>
      </c>
      <c r="Z24" s="1236">
        <f t="shared" si="10"/>
        <v>20212288.202078126</v>
      </c>
    </row>
    <row r="25" spans="1:26" s="1245" customFormat="1" ht="15" customHeight="1" collapsed="1">
      <c r="A25" s="1244"/>
      <c r="C25" s="1246" t="s">
        <v>881</v>
      </c>
      <c r="D25" s="1247" t="e">
        <f t="shared" ref="D25:Z25" si="11">D21/D11</f>
        <v>#DIV/0!</v>
      </c>
      <c r="E25" s="1247" t="e">
        <f t="shared" si="11"/>
        <v>#DIV/0!</v>
      </c>
      <c r="F25" s="1247" t="e">
        <f t="shared" si="11"/>
        <v>#DIV/0!</v>
      </c>
      <c r="G25" s="1247">
        <f t="shared" si="11"/>
        <v>7.1097034844906259E-2</v>
      </c>
      <c r="H25" s="1247">
        <f t="shared" si="11"/>
        <v>2.2055122272383595E-2</v>
      </c>
      <c r="I25" s="1247">
        <f t="shared" si="11"/>
        <v>1.6937243780949053E-2</v>
      </c>
      <c r="J25" s="1247">
        <f t="shared" si="11"/>
        <v>1.6480074878116507E-2</v>
      </c>
      <c r="K25" s="1247">
        <f t="shared" si="11"/>
        <v>1.5973712385321456E-2</v>
      </c>
      <c r="L25" s="1247">
        <f t="shared" si="11"/>
        <v>1.5656282455959722E-2</v>
      </c>
      <c r="M25" s="1247">
        <f t="shared" si="11"/>
        <v>1.5656282455959722E-2</v>
      </c>
      <c r="N25" s="1247">
        <f t="shared" si="11"/>
        <v>1.5624967348945085E-2</v>
      </c>
      <c r="O25" s="1247">
        <f t="shared" si="11"/>
        <v>1.5656282455959722E-2</v>
      </c>
      <c r="P25" s="1247">
        <f t="shared" si="11"/>
        <v>1.5656282455959722E-2</v>
      </c>
      <c r="Q25" s="1247">
        <f t="shared" si="11"/>
        <v>1.5656282455959725E-2</v>
      </c>
      <c r="R25" s="1247">
        <f t="shared" si="11"/>
        <v>1.5624967348945083E-2</v>
      </c>
      <c r="S25" s="1247">
        <f t="shared" si="11"/>
        <v>1.5656282455959722E-2</v>
      </c>
      <c r="T25" s="1247">
        <f t="shared" si="11"/>
        <v>1.5656282455959722E-2</v>
      </c>
      <c r="U25" s="1247">
        <f t="shared" si="11"/>
        <v>1.5656282455959722E-2</v>
      </c>
      <c r="V25" s="1247">
        <f t="shared" si="11"/>
        <v>1.5624967348945079E-2</v>
      </c>
      <c r="W25" s="1247">
        <f t="shared" si="11"/>
        <v>1.5656282455959718E-2</v>
      </c>
      <c r="X25" s="1247">
        <f t="shared" si="11"/>
        <v>1.5786752722617432E-2</v>
      </c>
      <c r="Y25" s="1247">
        <f t="shared" si="11"/>
        <v>1.6181227884866648E-2</v>
      </c>
      <c r="Z25" s="1247">
        <f t="shared" si="11"/>
        <v>1.6648477000261321E-2</v>
      </c>
    </row>
    <row r="26" spans="1:26" s="1290" customFormat="1" ht="15" hidden="1" customHeight="1" outlineLevel="1">
      <c r="A26" s="1289"/>
      <c r="C26" s="1291" t="str">
        <f>C22</f>
        <v>Персонал</v>
      </c>
      <c r="D26" s="1292"/>
      <c r="E26" s="1292"/>
      <c r="F26" s="1292"/>
      <c r="G26" s="1292">
        <f>G22/G21</f>
        <v>0.88747772649799661</v>
      </c>
      <c r="H26" s="1292">
        <f>H22/H21</f>
        <v>0.75062482392641972</v>
      </c>
      <c r="I26" s="1292">
        <f t="shared" ref="I26:Z26" si="12">I22/I21</f>
        <v>0.70479258227221231</v>
      </c>
      <c r="J26" s="1292">
        <f t="shared" si="12"/>
        <v>0.72694298822783621</v>
      </c>
      <c r="K26" s="1292">
        <f t="shared" si="12"/>
        <v>0.71828715257605769</v>
      </c>
      <c r="L26" s="1292">
        <f t="shared" si="12"/>
        <v>0.71257544614066215</v>
      </c>
      <c r="M26" s="1292">
        <f t="shared" si="12"/>
        <v>0.71257544614066215</v>
      </c>
      <c r="N26" s="1292">
        <f t="shared" si="12"/>
        <v>0.71199939817449831</v>
      </c>
      <c r="O26" s="1292">
        <f t="shared" si="12"/>
        <v>0.71257544614066215</v>
      </c>
      <c r="P26" s="1292">
        <f t="shared" si="12"/>
        <v>0.71257544614066226</v>
      </c>
      <c r="Q26" s="1292">
        <f t="shared" si="12"/>
        <v>0.71257544614066215</v>
      </c>
      <c r="R26" s="1292">
        <f t="shared" si="12"/>
        <v>0.71199939817449809</v>
      </c>
      <c r="S26" s="1292">
        <f t="shared" si="12"/>
        <v>0.71257544614066215</v>
      </c>
      <c r="T26" s="1292">
        <f t="shared" si="12"/>
        <v>0.71257544614066226</v>
      </c>
      <c r="U26" s="1292">
        <f t="shared" si="12"/>
        <v>0.71257544614066215</v>
      </c>
      <c r="V26" s="1292">
        <f t="shared" si="12"/>
        <v>0.71199939817449809</v>
      </c>
      <c r="W26" s="1292">
        <f t="shared" si="12"/>
        <v>0.71257544614066226</v>
      </c>
      <c r="X26" s="1292">
        <f t="shared" si="12"/>
        <v>0.71495087817820036</v>
      </c>
      <c r="Y26" s="1292">
        <f t="shared" si="12"/>
        <v>0.72189996754148777</v>
      </c>
      <c r="Z26" s="1292">
        <f t="shared" si="12"/>
        <v>0.72970500545308936</v>
      </c>
    </row>
    <row r="27" spans="1:26" s="1290" customFormat="1" ht="15" hidden="1" customHeight="1" outlineLevel="1">
      <c r="A27" s="1289"/>
      <c r="C27" s="1291" t="str">
        <f>C23</f>
        <v>Прочие расходы, % от выручки</v>
      </c>
      <c r="D27" s="1292"/>
      <c r="E27" s="1292"/>
      <c r="F27" s="1292"/>
      <c r="G27" s="1292">
        <f>1-G26</f>
        <v>0.11252227350200339</v>
      </c>
      <c r="H27" s="1292">
        <f>1-H26</f>
        <v>0.24937517607358028</v>
      </c>
      <c r="I27" s="1292">
        <f t="shared" ref="I27:Z27" si="13">1-I26</f>
        <v>0.29520741772778769</v>
      </c>
      <c r="J27" s="1292">
        <f t="shared" si="13"/>
        <v>0.27305701177216379</v>
      </c>
      <c r="K27" s="1292">
        <f t="shared" si="13"/>
        <v>0.28171284742394231</v>
      </c>
      <c r="L27" s="1292">
        <f t="shared" si="13"/>
        <v>0.28742455385933785</v>
      </c>
      <c r="M27" s="1292">
        <f t="shared" si="13"/>
        <v>0.28742455385933785</v>
      </c>
      <c r="N27" s="1292">
        <f t="shared" si="13"/>
        <v>0.28800060182550169</v>
      </c>
      <c r="O27" s="1292">
        <f t="shared" si="13"/>
        <v>0.28742455385933785</v>
      </c>
      <c r="P27" s="1292">
        <f t="shared" si="13"/>
        <v>0.28742455385933774</v>
      </c>
      <c r="Q27" s="1292">
        <f t="shared" si="13"/>
        <v>0.28742455385933785</v>
      </c>
      <c r="R27" s="1292">
        <f t="shared" si="13"/>
        <v>0.28800060182550191</v>
      </c>
      <c r="S27" s="1292">
        <f t="shared" si="13"/>
        <v>0.28742455385933785</v>
      </c>
      <c r="T27" s="1292">
        <f t="shared" si="13"/>
        <v>0.28742455385933774</v>
      </c>
      <c r="U27" s="1292">
        <f t="shared" si="13"/>
        <v>0.28742455385933785</v>
      </c>
      <c r="V27" s="1292">
        <f t="shared" si="13"/>
        <v>0.28800060182550191</v>
      </c>
      <c r="W27" s="1292">
        <f t="shared" si="13"/>
        <v>0.28742455385933774</v>
      </c>
      <c r="X27" s="1292">
        <f t="shared" si="13"/>
        <v>0.28504912182179964</v>
      </c>
      <c r="Y27" s="1292">
        <f t="shared" si="13"/>
        <v>0.27810003245851223</v>
      </c>
      <c r="Z27" s="1292">
        <f t="shared" si="13"/>
        <v>0.27029499454691064</v>
      </c>
    </row>
    <row r="28" spans="1:26" s="1245" customFormat="1" ht="15" customHeight="1">
      <c r="A28" s="1244"/>
      <c r="C28" s="1239" t="s">
        <v>631</v>
      </c>
      <c r="D28" s="1240">
        <f t="shared" ref="D28:J28" si="14">D29+D31</f>
        <v>0</v>
      </c>
      <c r="E28" s="1240">
        <f t="shared" si="14"/>
        <v>0</v>
      </c>
      <c r="F28" s="1240">
        <f t="shared" si="14"/>
        <v>0</v>
      </c>
      <c r="G28" s="1240">
        <f t="shared" si="14"/>
        <v>16414221.638076011</v>
      </c>
      <c r="H28" s="1240">
        <f t="shared" si="14"/>
        <v>23176155.324398424</v>
      </c>
      <c r="I28" s="1240">
        <f t="shared" si="14"/>
        <v>32341120.393599927</v>
      </c>
      <c r="J28" s="1240">
        <f t="shared" si="14"/>
        <v>33547510.881104767</v>
      </c>
      <c r="K28" s="1240">
        <f t="shared" ref="K28:V28" si="15">K29+K31</f>
        <v>36005561.801236406</v>
      </c>
      <c r="L28" s="1240">
        <f t="shared" si="15"/>
        <v>38227200.573094688</v>
      </c>
      <c r="M28" s="1240">
        <f t="shared" si="15"/>
        <v>39756288.596018478</v>
      </c>
      <c r="N28" s="1240">
        <f t="shared" si="15"/>
        <v>41432532.602511898</v>
      </c>
      <c r="O28" s="1240">
        <f t="shared" si="15"/>
        <v>43000401.745453589</v>
      </c>
      <c r="P28" s="1240">
        <f t="shared" si="15"/>
        <v>44720417.815271735</v>
      </c>
      <c r="Q28" s="1240">
        <f t="shared" si="15"/>
        <v>46509234.527882606</v>
      </c>
      <c r="R28" s="1240">
        <f t="shared" si="15"/>
        <v>48470202.927527621</v>
      </c>
      <c r="S28" s="1240">
        <f t="shared" si="15"/>
        <v>50304388.065357827</v>
      </c>
      <c r="T28" s="1240">
        <f t="shared" si="15"/>
        <v>52316563.587972142</v>
      </c>
      <c r="U28" s="1240">
        <f t="shared" si="15"/>
        <v>54409226.131491028</v>
      </c>
      <c r="V28" s="1240">
        <f t="shared" si="15"/>
        <v>56703281.799705252</v>
      </c>
      <c r="W28" s="1240">
        <f>W29+W31</f>
        <v>58849018.983820707</v>
      </c>
      <c r="X28" s="1240">
        <f>X29+X31</f>
        <v>60680245.243329532</v>
      </c>
      <c r="Y28" s="1240">
        <f>Y29+Y31</f>
        <v>61537621.44883801</v>
      </c>
      <c r="Z28" s="1240">
        <f>Z29+Z31</f>
        <v>62202478.466606811</v>
      </c>
    </row>
    <row r="29" spans="1:26" ht="15" customHeight="1">
      <c r="A29" s="1233"/>
      <c r="B29" s="1234"/>
      <c r="C29" s="1241" t="s">
        <v>721</v>
      </c>
      <c r="D29" s="1236">
        <f>SUMIF(ФОТ_УК!$37:$37,D$10,ФОТ_УК!$65:$65)</f>
        <v>0</v>
      </c>
      <c r="E29" s="1236">
        <f>SUMIF(ФОТ_УК!$37:$37,E$10,ФОТ_УК!$65:$65)</f>
        <v>0</v>
      </c>
      <c r="F29" s="1236">
        <f>SUMIF(ФОТ_УК!$37:$37,F$10,ФОТ_УК!$65:$65)</f>
        <v>0</v>
      </c>
      <c r="G29" s="1236">
        <f>SUMIF(ФОТ_УК!$37:$37,G$10,ФОТ_УК!$65:$65)</f>
        <v>8204803.0105600022</v>
      </c>
      <c r="H29" s="1250">
        <f>SUMIF(ФОТ_УК!$37:$37,H$10,ФОТ_УК!$65:$65)</f>
        <v>8532995.1309824027</v>
      </c>
      <c r="I29" s="1236">
        <f>SUMIF(ФОТ_УК!$37:$37,I$10,ФОТ_УК!$65:$65)</f>
        <v>8874314.9362216983</v>
      </c>
      <c r="J29" s="1236">
        <f>SUMIF(ФОТ_УК!$37:$37,J$10,ФОТ_УК!$65:$65)</f>
        <v>9229287.533670567</v>
      </c>
      <c r="K29" s="1236">
        <f>SUMIF(ФОТ_УК!$37:$37,K$10,ФОТ_УК!$65:$65)</f>
        <v>9598459.0350173898</v>
      </c>
      <c r="L29" s="1236">
        <f>SUMIF(ФОТ_УК!$37:$37,L$10,ФОТ_УК!$65:$65)</f>
        <v>9982397.3964180872</v>
      </c>
      <c r="M29" s="1236">
        <f>SUMIF(ФОТ_УК!$37:$37,M$10,ФОТ_УК!$65:$65)</f>
        <v>10381693.29227481</v>
      </c>
      <c r="N29" s="1236">
        <f>SUMIF(ФОТ_УК!$37:$37,N$10,ФОТ_УК!$65:$65)</f>
        <v>10796961.023965804</v>
      </c>
      <c r="O29" s="1236">
        <f>SUMIF(ФОТ_УК!$37:$37,O$10,ФОТ_УК!$65:$65)</f>
        <v>11228839.464924438</v>
      </c>
      <c r="P29" s="1236">
        <f>SUMIF(ФОТ_УК!$37:$37,P$10,ФОТ_УК!$65:$65)</f>
        <v>11677993.043521414</v>
      </c>
      <c r="Q29" s="1236">
        <f>SUMIF(ФОТ_УК!$37:$37,Q$10,ФОТ_УК!$65:$65)</f>
        <v>12145112.765262268</v>
      </c>
      <c r="R29" s="1236">
        <f>SUMIF(ФОТ_УК!$37:$37,R$10,ФОТ_УК!$65:$65)</f>
        <v>12630917.275872761</v>
      </c>
      <c r="S29" s="1236">
        <f>SUMIF(ФОТ_УК!$37:$37,S$10,ФОТ_УК!$65:$65)</f>
        <v>13136153.966907671</v>
      </c>
      <c r="T29" s="1236">
        <f>SUMIF(ФОТ_УК!$37:$37,T$10,ФОТ_УК!$65:$65)</f>
        <v>13661600.125583977</v>
      </c>
      <c r="U29" s="1236">
        <f>SUMIF(ФОТ_УК!$37:$37,U$10,ФОТ_УК!$65:$65)</f>
        <v>14208064.130607337</v>
      </c>
      <c r="V29" s="1236">
        <f>SUMIF(ФОТ_УК!$37:$37,V$10,ФОТ_УК!$65:$65)</f>
        <v>14776386.69583163</v>
      </c>
      <c r="W29" s="1236">
        <f>SUMIF(ФОТ_УК!$37:$37,W$10,ФОТ_УК!$65:$65)</f>
        <v>15367442.163664896</v>
      </c>
      <c r="X29" s="1236">
        <f>SUMIF(ФОТ_УК!$37:$37,X$10,ФОТ_УК!$65:$65)</f>
        <v>15982139.850211496</v>
      </c>
      <c r="Y29" s="1236">
        <f>SUMIF(ФОТ_УК!$37:$37,Y$10,ФОТ_УК!$65:$65)</f>
        <v>16621425.444219952</v>
      </c>
      <c r="Z29" s="1236">
        <f>SUMIF(ФОТ_УК!$37:$37,Z$10,ФОТ_УК!$65:$65)</f>
        <v>17286282.461988755</v>
      </c>
    </row>
    <row r="30" spans="1:26" ht="15" customHeight="1">
      <c r="A30" s="1233"/>
      <c r="B30" s="747"/>
      <c r="C30" s="1241" t="s">
        <v>880</v>
      </c>
      <c r="D30" s="1242"/>
      <c r="E30" s="1242"/>
      <c r="F30" s="1242"/>
      <c r="G30" s="1248">
        <v>0.02</v>
      </c>
      <c r="H30" s="1248">
        <v>8.9999999999999993E-3</v>
      </c>
      <c r="I30" s="1248">
        <v>0.01</v>
      </c>
      <c r="J30" s="1248">
        <v>0.01</v>
      </c>
      <c r="K30" s="1248">
        <f>J30</f>
        <v>0.01</v>
      </c>
      <c r="L30" s="1248">
        <f>K30</f>
        <v>0.01</v>
      </c>
      <c r="M30" s="1248">
        <f t="shared" ref="M30:R30" si="16">L30</f>
        <v>0.01</v>
      </c>
      <c r="N30" s="1248">
        <f t="shared" si="16"/>
        <v>0.01</v>
      </c>
      <c r="O30" s="1248">
        <f t="shared" si="16"/>
        <v>0.01</v>
      </c>
      <c r="P30" s="1248">
        <f t="shared" si="16"/>
        <v>0.01</v>
      </c>
      <c r="Q30" s="1248">
        <f t="shared" si="16"/>
        <v>0.01</v>
      </c>
      <c r="R30" s="1248">
        <f t="shared" si="16"/>
        <v>0.01</v>
      </c>
      <c r="S30" s="1248">
        <f>R30</f>
        <v>0.01</v>
      </c>
      <c r="T30" s="1248">
        <f t="shared" ref="T30:Z30" si="17">S30</f>
        <v>0.01</v>
      </c>
      <c r="U30" s="1248">
        <f t="shared" si="17"/>
        <v>0.01</v>
      </c>
      <c r="V30" s="1248">
        <f t="shared" si="17"/>
        <v>0.01</v>
      </c>
      <c r="W30" s="1248">
        <f t="shared" si="17"/>
        <v>0.01</v>
      </c>
      <c r="X30" s="1248">
        <f t="shared" si="17"/>
        <v>0.01</v>
      </c>
      <c r="Y30" s="1248">
        <f t="shared" si="17"/>
        <v>0.01</v>
      </c>
      <c r="Z30" s="1248">
        <f t="shared" si="17"/>
        <v>0.01</v>
      </c>
    </row>
    <row r="31" spans="1:26" ht="15" customHeight="1">
      <c r="C31" s="1241" t="s">
        <v>731</v>
      </c>
      <c r="E31" s="1243"/>
      <c r="F31" s="1243"/>
      <c r="G31" s="1236">
        <f t="shared" ref="G31:Z31" si="18">G30*G11</f>
        <v>8209418.6275160089</v>
      </c>
      <c r="H31" s="1236">
        <f t="shared" si="18"/>
        <v>14643160.193416022</v>
      </c>
      <c r="I31" s="1236">
        <f t="shared" si="18"/>
        <v>23466805.457378231</v>
      </c>
      <c r="J31" s="1236">
        <f t="shared" si="18"/>
        <v>24318223.3474342</v>
      </c>
      <c r="K31" s="1236">
        <f t="shared" si="18"/>
        <v>26407102.76621902</v>
      </c>
      <c r="L31" s="1236">
        <f t="shared" si="18"/>
        <v>28244803.176676601</v>
      </c>
      <c r="M31" s="1236">
        <f t="shared" si="18"/>
        <v>29374595.303743668</v>
      </c>
      <c r="N31" s="1236">
        <f t="shared" si="18"/>
        <v>30635571.578546092</v>
      </c>
      <c r="O31" s="1236">
        <f t="shared" si="18"/>
        <v>31771562.280529153</v>
      </c>
      <c r="P31" s="1236">
        <f t="shared" si="18"/>
        <v>33042424.771750323</v>
      </c>
      <c r="Q31" s="1236">
        <f t="shared" si="18"/>
        <v>34364121.762620337</v>
      </c>
      <c r="R31" s="1236">
        <f t="shared" si="18"/>
        <v>35839285.651654862</v>
      </c>
      <c r="S31" s="1236">
        <f t="shared" si="18"/>
        <v>37168234.098450154</v>
      </c>
      <c r="T31" s="1236">
        <f t="shared" si="18"/>
        <v>38654963.462388165</v>
      </c>
      <c r="U31" s="1236">
        <f t="shared" si="18"/>
        <v>40201162.000883691</v>
      </c>
      <c r="V31" s="1236">
        <f t="shared" si="18"/>
        <v>41926895.103873625</v>
      </c>
      <c r="W31" s="1236">
        <f t="shared" si="18"/>
        <v>43481576.820155814</v>
      </c>
      <c r="X31" s="1236">
        <f t="shared" si="18"/>
        <v>44698105.393118039</v>
      </c>
      <c r="Y31" s="1236">
        <f t="shared" si="18"/>
        <v>44916196.004618056</v>
      </c>
      <c r="Z31" s="1236">
        <f t="shared" si="18"/>
        <v>44916196.004618056</v>
      </c>
    </row>
    <row r="32" spans="1:26" s="1245" customFormat="1" ht="15" customHeight="1" collapsed="1">
      <c r="A32" s="1244"/>
      <c r="C32" s="1246" t="s">
        <v>882</v>
      </c>
      <c r="D32" s="1247" t="e">
        <f t="shared" ref="D32:Z32" si="19">D28/D11</f>
        <v>#DIV/0!</v>
      </c>
      <c r="E32" s="1247" t="e">
        <f t="shared" si="19"/>
        <v>#DIV/0!</v>
      </c>
      <c r="F32" s="1247" t="e">
        <f t="shared" si="19"/>
        <v>#DIV/0!</v>
      </c>
      <c r="G32" s="1247">
        <f t="shared" si="19"/>
        <v>3.9988755313462673E-2</v>
      </c>
      <c r="H32" s="1247">
        <f t="shared" si="19"/>
        <v>1.4244561635907781E-2</v>
      </c>
      <c r="I32" s="1247">
        <f t="shared" si="19"/>
        <v>1.3781645930605997E-2</v>
      </c>
      <c r="J32" s="1247">
        <f t="shared" si="19"/>
        <v>1.3795214560624694E-2</v>
      </c>
      <c r="K32" s="1247">
        <f t="shared" si="19"/>
        <v>1.3634802015197253E-2</v>
      </c>
      <c r="L32" s="1247">
        <f t="shared" si="19"/>
        <v>1.3534242152078843E-2</v>
      </c>
      <c r="M32" s="1247">
        <f t="shared" si="19"/>
        <v>1.3534242152078843E-2</v>
      </c>
      <c r="N32" s="1247">
        <f t="shared" si="19"/>
        <v>1.3524321717413901E-2</v>
      </c>
      <c r="O32" s="1247">
        <f t="shared" si="19"/>
        <v>1.3534242152078844E-2</v>
      </c>
      <c r="P32" s="1247">
        <f t="shared" si="19"/>
        <v>1.3534242152078843E-2</v>
      </c>
      <c r="Q32" s="1247">
        <f t="shared" si="19"/>
        <v>1.3534242152078843E-2</v>
      </c>
      <c r="R32" s="1247">
        <f t="shared" si="19"/>
        <v>1.3524321717413901E-2</v>
      </c>
      <c r="S32" s="1247">
        <f t="shared" si="19"/>
        <v>1.3534242152078843E-2</v>
      </c>
      <c r="T32" s="1247">
        <f t="shared" si="19"/>
        <v>1.3534242152078843E-2</v>
      </c>
      <c r="U32" s="1247">
        <f t="shared" si="19"/>
        <v>1.3534242152078841E-2</v>
      </c>
      <c r="V32" s="1247">
        <f t="shared" si="19"/>
        <v>1.3524321717413898E-2</v>
      </c>
      <c r="W32" s="1247">
        <f t="shared" si="19"/>
        <v>1.3534242152078841E-2</v>
      </c>
      <c r="X32" s="1247">
        <f t="shared" si="19"/>
        <v>1.3575574335791018E-2</v>
      </c>
      <c r="Y32" s="1247">
        <f t="shared" si="19"/>
        <v>1.3700541658182947E-2</v>
      </c>
      <c r="Z32" s="1247">
        <f t="shared" si="19"/>
        <v>1.3848563324510265E-2</v>
      </c>
    </row>
    <row r="33" spans="1:45" s="1290" customFormat="1" ht="15" hidden="1" customHeight="1" outlineLevel="1">
      <c r="A33" s="1289"/>
      <c r="C33" s="1291" t="str">
        <f>C29</f>
        <v>Персонал</v>
      </c>
      <c r="D33" s="1292"/>
      <c r="E33" s="1292"/>
      <c r="F33" s="1292"/>
      <c r="G33" s="1292">
        <f>G29/G28</f>
        <v>0.49985940189374256</v>
      </c>
      <c r="H33" s="1292">
        <f>H29/H28</f>
        <v>0.3681799250801272</v>
      </c>
      <c r="I33" s="1292">
        <f t="shared" ref="I33:Z33" si="20">I29/I28</f>
        <v>0.27439726355237404</v>
      </c>
      <c r="J33" s="1292">
        <f t="shared" si="20"/>
        <v>0.27511094836156241</v>
      </c>
      <c r="K33" s="1292">
        <f t="shared" si="20"/>
        <v>0.26658267653215134</v>
      </c>
      <c r="L33" s="1292">
        <f t="shared" si="20"/>
        <v>0.26113336176240859</v>
      </c>
      <c r="M33" s="1292">
        <f t="shared" si="20"/>
        <v>0.26113336176240853</v>
      </c>
      <c r="N33" s="1292">
        <f t="shared" si="20"/>
        <v>0.26059138425226813</v>
      </c>
      <c r="O33" s="1292">
        <f t="shared" si="20"/>
        <v>0.26113336176240859</v>
      </c>
      <c r="P33" s="1292">
        <f t="shared" si="20"/>
        <v>0.26113336176240853</v>
      </c>
      <c r="Q33" s="1292">
        <f t="shared" si="20"/>
        <v>0.26113336176240848</v>
      </c>
      <c r="R33" s="1292">
        <f t="shared" si="20"/>
        <v>0.26059138425226813</v>
      </c>
      <c r="S33" s="1292">
        <f t="shared" si="20"/>
        <v>0.26113336176240853</v>
      </c>
      <c r="T33" s="1292">
        <f t="shared" si="20"/>
        <v>0.26113336176240848</v>
      </c>
      <c r="U33" s="1292">
        <f t="shared" si="20"/>
        <v>0.26113336176240848</v>
      </c>
      <c r="V33" s="1292">
        <f t="shared" si="20"/>
        <v>0.26059138425226808</v>
      </c>
      <c r="W33" s="1292">
        <f t="shared" si="20"/>
        <v>0.26113336176240848</v>
      </c>
      <c r="X33" s="1292">
        <f t="shared" si="20"/>
        <v>0.26338291458979202</v>
      </c>
      <c r="Y33" s="1292">
        <f t="shared" si="20"/>
        <v>0.27010185075220855</v>
      </c>
      <c r="Z33" s="1292">
        <f t="shared" si="20"/>
        <v>0.27790343549202523</v>
      </c>
    </row>
    <row r="34" spans="1:45" s="1290" customFormat="1" ht="15" hidden="1" customHeight="1" outlineLevel="1">
      <c r="A34" s="1289"/>
      <c r="C34" s="1291" t="str">
        <f>C30</f>
        <v>Прочие расходы, % от выручки</v>
      </c>
      <c r="D34" s="1292"/>
      <c r="E34" s="1292"/>
      <c r="F34" s="1292"/>
      <c r="G34" s="1292">
        <f t="shared" ref="G34:Z34" si="21">1-G33</f>
        <v>0.50014059810625744</v>
      </c>
      <c r="H34" s="1292">
        <f t="shared" si="21"/>
        <v>0.6318200749198728</v>
      </c>
      <c r="I34" s="1292">
        <f t="shared" si="21"/>
        <v>0.72560273644762596</v>
      </c>
      <c r="J34" s="1292">
        <f t="shared" si="21"/>
        <v>0.72488905163843764</v>
      </c>
      <c r="K34" s="1292">
        <f t="shared" si="21"/>
        <v>0.73341732346784871</v>
      </c>
      <c r="L34" s="1292">
        <f t="shared" si="21"/>
        <v>0.73886663823759147</v>
      </c>
      <c r="M34" s="1292">
        <f t="shared" si="21"/>
        <v>0.73886663823759147</v>
      </c>
      <c r="N34" s="1292">
        <f t="shared" si="21"/>
        <v>0.73940861574773187</v>
      </c>
      <c r="O34" s="1292">
        <f t="shared" si="21"/>
        <v>0.73886663823759147</v>
      </c>
      <c r="P34" s="1292">
        <f t="shared" si="21"/>
        <v>0.73886663823759147</v>
      </c>
      <c r="Q34" s="1292">
        <f t="shared" si="21"/>
        <v>0.73886663823759147</v>
      </c>
      <c r="R34" s="1292">
        <f t="shared" si="21"/>
        <v>0.73940861574773187</v>
      </c>
      <c r="S34" s="1292">
        <f t="shared" si="21"/>
        <v>0.73886663823759147</v>
      </c>
      <c r="T34" s="1292">
        <f t="shared" si="21"/>
        <v>0.73886663823759147</v>
      </c>
      <c r="U34" s="1292">
        <f t="shared" si="21"/>
        <v>0.73886663823759147</v>
      </c>
      <c r="V34" s="1292">
        <f t="shared" si="21"/>
        <v>0.73940861574773198</v>
      </c>
      <c r="W34" s="1292">
        <f t="shared" si="21"/>
        <v>0.73886663823759147</v>
      </c>
      <c r="X34" s="1292">
        <f t="shared" si="21"/>
        <v>0.73661708541020798</v>
      </c>
      <c r="Y34" s="1292">
        <f t="shared" si="21"/>
        <v>0.72989814924779139</v>
      </c>
      <c r="Z34" s="1292">
        <f t="shared" si="21"/>
        <v>0.72209656450797477</v>
      </c>
    </row>
    <row r="35" spans="1:45" s="1237" customFormat="1" ht="15" customHeight="1">
      <c r="B35" s="1238"/>
      <c r="C35" s="1239" t="s">
        <v>537</v>
      </c>
      <c r="D35" s="1240">
        <f t="shared" ref="D35:I35" si="22">D36+D38</f>
        <v>0</v>
      </c>
      <c r="E35" s="1240">
        <f t="shared" si="22"/>
        <v>0</v>
      </c>
      <c r="F35" s="1240">
        <f t="shared" si="22"/>
        <v>0</v>
      </c>
      <c r="G35" s="1240">
        <f t="shared" si="22"/>
        <v>20222371.806874014</v>
      </c>
      <c r="H35" s="1240">
        <f t="shared" si="22"/>
        <v>27252648.284957722</v>
      </c>
      <c r="I35" s="1240">
        <f t="shared" si="22"/>
        <v>28505888.7134507</v>
      </c>
      <c r="J35" s="1240">
        <f t="shared" ref="J35:V35" si="23">J36+J38</f>
        <v>28364772.348437648</v>
      </c>
      <c r="K35" s="1240">
        <f t="shared" si="23"/>
        <v>30280668.58179637</v>
      </c>
      <c r="L35" s="1240">
        <f t="shared" si="23"/>
        <v>32038886.734934404</v>
      </c>
      <c r="M35" s="1240">
        <f t="shared" si="23"/>
        <v>33320442.204331782</v>
      </c>
      <c r="N35" s="1240">
        <f t="shared" si="23"/>
        <v>34713454.616361931</v>
      </c>
      <c r="O35" s="1240">
        <f t="shared" si="23"/>
        <v>36039390.288205259</v>
      </c>
      <c r="P35" s="1240">
        <f t="shared" si="23"/>
        <v>37480965.899733469</v>
      </c>
      <c r="Q35" s="1240">
        <f t="shared" si="23"/>
        <v>38980204.535722807</v>
      </c>
      <c r="R35" s="1240">
        <f t="shared" si="23"/>
        <v>40609832.030122519</v>
      </c>
      <c r="S35" s="1240">
        <f t="shared" si="23"/>
        <v>42160989.225837797</v>
      </c>
      <c r="T35" s="1240">
        <f t="shared" si="23"/>
        <v>43847428.7948713</v>
      </c>
      <c r="U35" s="1240">
        <f t="shared" si="23"/>
        <v>45601325.946666159</v>
      </c>
      <c r="V35" s="1240">
        <f t="shared" si="23"/>
        <v>47507759.620601013</v>
      </c>
      <c r="W35" s="1240">
        <f>W36+W38</f>
        <v>49322394.143914118</v>
      </c>
      <c r="X35" s="1240">
        <f>X36+X38</f>
        <v>50929375.759779885</v>
      </c>
      <c r="Y35" s="1240">
        <f>Y36+Y38</f>
        <v>51867667.267213784</v>
      </c>
      <c r="Z35" s="1240">
        <f>Z36+Z38</f>
        <v>52684720.469773039</v>
      </c>
    </row>
    <row r="36" spans="1:45" ht="15" customHeight="1">
      <c r="A36" s="1233"/>
      <c r="B36" s="1238"/>
      <c r="C36" s="1241" t="s">
        <v>721</v>
      </c>
      <c r="D36" s="1236">
        <f>SUMIF(ФОТ_УК!$37:$37,D$10,ФОТ_УК!$66:$66)</f>
        <v>0</v>
      </c>
      <c r="E36" s="1236">
        <f>SUMIF(ФОТ_УК!$37:$37,E$10,ФОТ_УК!$66:$66)</f>
        <v>0</v>
      </c>
      <c r="F36" s="1236">
        <f>SUMIF(ФОТ_УК!$37:$37,F$10,ФОТ_УК!$66:$66)</f>
        <v>0</v>
      </c>
      <c r="G36" s="1236">
        <f>SUMIF(ФОТ_УК!$37:$37,G$10,ФОТ_УК!$66:$66)</f>
        <v>7908243.8656000011</v>
      </c>
      <c r="H36" s="1250">
        <f>SUMIF(ФОТ_УК!$37:$37,H$10,ФОТ_УК!$66:$66)</f>
        <v>9355452.4930048045</v>
      </c>
      <c r="I36" s="1236">
        <f>SUMIF(ФОТ_УК!$37:$37,I$10,ФОТ_УК!$66:$66)</f>
        <v>10905784.620417029</v>
      </c>
      <c r="J36" s="1236">
        <f>SUMIF(ФОТ_УК!$37:$37,J$10,ФОТ_УК!$66:$66)</f>
        <v>11342016.005233709</v>
      </c>
      <c r="K36" s="1250">
        <f>SUMIF(ФОТ_УК!$37:$37,K$10,ФОТ_УК!$66:$66)</f>
        <v>11795696.645443058</v>
      </c>
      <c r="L36" s="1236">
        <f>SUMIF(ФОТ_УК!$37:$37,L$10,ФОТ_УК!$66:$66)</f>
        <v>12267524.511260781</v>
      </c>
      <c r="M36" s="1236">
        <f>SUMIF(ФОТ_УК!$37:$37,M$10,ФОТ_УК!$66:$66)</f>
        <v>12758225.491711214</v>
      </c>
      <c r="N36" s="1236">
        <f>SUMIF(ФОТ_УК!$37:$37,N$10,ФОТ_УК!$66:$66)</f>
        <v>13268554.511379663</v>
      </c>
      <c r="O36" s="1236">
        <f>SUMIF(ФОТ_УК!$37:$37,O$10,ФОТ_УК!$66:$66)</f>
        <v>13799296.69183485</v>
      </c>
      <c r="P36" s="1236">
        <f>SUMIF(ФОТ_УК!$37:$37,P$10,ФОТ_УК!$66:$66)</f>
        <v>14351268.559508245</v>
      </c>
      <c r="Q36" s="1236">
        <f>SUMIF(ФОТ_УК!$37:$37,Q$10,ФОТ_УК!$66:$66)</f>
        <v>14925319.301888574</v>
      </c>
      <c r="R36" s="1236">
        <f>SUMIF(ФОТ_УК!$37:$37,R$10,ФОТ_УК!$66:$66)</f>
        <v>15522332.073964119</v>
      </c>
      <c r="S36" s="1236">
        <f>SUMIF(ФОТ_УК!$37:$37,S$10,ФОТ_УК!$66:$66)</f>
        <v>16143225.356922682</v>
      </c>
      <c r="T36" s="1236">
        <f>SUMIF(ФОТ_УК!$37:$37,T$10,ФОТ_УК!$66:$66)</f>
        <v>16788954.371199585</v>
      </c>
      <c r="U36" s="1236">
        <f>SUMIF(ФОТ_УК!$37:$37,U$10,ФОТ_УК!$66:$66)</f>
        <v>17460512.546047572</v>
      </c>
      <c r="V36" s="1236">
        <f>SUMIF(ФОТ_УК!$37:$37,V$10,ФОТ_УК!$66:$66)</f>
        <v>18158933.047889479</v>
      </c>
      <c r="W36" s="1236">
        <f>SUMIF(ФОТ_УК!$37:$37,W$10,ФОТ_УК!$66:$66)</f>
        <v>18885290.369805053</v>
      </c>
      <c r="X36" s="1236">
        <f>SUMIF(ФОТ_УК!$37:$37,X$10,ФОТ_УК!$66:$66)</f>
        <v>19640701.984597258</v>
      </c>
      <c r="Y36" s="1236">
        <f>SUMIF(ФОТ_УК!$37:$37,Y$10,ФОТ_УК!$66:$66)</f>
        <v>20426330.063981146</v>
      </c>
      <c r="Z36" s="1236">
        <f>SUMIF(ФОТ_УК!$37:$37,Z$10,ФОТ_УК!$66:$66)</f>
        <v>21243383.266540397</v>
      </c>
    </row>
    <row r="37" spans="1:45" ht="15" customHeight="1">
      <c r="A37" s="1233"/>
      <c r="B37" s="1238"/>
      <c r="C37" s="1241" t="s">
        <v>880</v>
      </c>
      <c r="D37" s="1242"/>
      <c r="E37" s="1242"/>
      <c r="F37" s="1242"/>
      <c r="G37" s="1248">
        <v>0.03</v>
      </c>
      <c r="H37" s="1248">
        <v>1.0999999999999999E-2</v>
      </c>
      <c r="I37" s="1248">
        <v>7.4999999999999997E-3</v>
      </c>
      <c r="J37" s="1248">
        <v>7.0000000000000001E-3</v>
      </c>
      <c r="K37" s="1242">
        <f t="shared" ref="K37:S37" si="24">J37</f>
        <v>7.0000000000000001E-3</v>
      </c>
      <c r="L37" s="1242">
        <f t="shared" si="24"/>
        <v>7.0000000000000001E-3</v>
      </c>
      <c r="M37" s="1242">
        <f t="shared" si="24"/>
        <v>7.0000000000000001E-3</v>
      </c>
      <c r="N37" s="1242">
        <f t="shared" si="24"/>
        <v>7.0000000000000001E-3</v>
      </c>
      <c r="O37" s="1242">
        <f t="shared" si="24"/>
        <v>7.0000000000000001E-3</v>
      </c>
      <c r="P37" s="1242">
        <f t="shared" si="24"/>
        <v>7.0000000000000001E-3</v>
      </c>
      <c r="Q37" s="1242">
        <f t="shared" si="24"/>
        <v>7.0000000000000001E-3</v>
      </c>
      <c r="R37" s="1242">
        <f t="shared" si="24"/>
        <v>7.0000000000000001E-3</v>
      </c>
      <c r="S37" s="1242">
        <f t="shared" si="24"/>
        <v>7.0000000000000001E-3</v>
      </c>
      <c r="T37" s="1242">
        <f t="shared" ref="T37:Z37" si="25">S37</f>
        <v>7.0000000000000001E-3</v>
      </c>
      <c r="U37" s="1242">
        <f t="shared" si="25"/>
        <v>7.0000000000000001E-3</v>
      </c>
      <c r="V37" s="1242">
        <f t="shared" si="25"/>
        <v>7.0000000000000001E-3</v>
      </c>
      <c r="W37" s="1242">
        <f t="shared" si="25"/>
        <v>7.0000000000000001E-3</v>
      </c>
      <c r="X37" s="1242">
        <f t="shared" si="25"/>
        <v>7.0000000000000001E-3</v>
      </c>
      <c r="Y37" s="1242">
        <f t="shared" si="25"/>
        <v>7.0000000000000001E-3</v>
      </c>
      <c r="Z37" s="1242">
        <f t="shared" si="25"/>
        <v>7.0000000000000001E-3</v>
      </c>
    </row>
    <row r="38" spans="1:45" ht="15" customHeight="1">
      <c r="B38" s="1238"/>
      <c r="C38" s="1241" t="s">
        <v>731</v>
      </c>
      <c r="D38" s="1236">
        <f>D37*D11</f>
        <v>0</v>
      </c>
      <c r="E38" s="1236">
        <f>E37*E11</f>
        <v>0</v>
      </c>
      <c r="F38" s="1236">
        <f>F37*F11</f>
        <v>0</v>
      </c>
      <c r="G38" s="1236">
        <f>G37*G11</f>
        <v>12314127.941274013</v>
      </c>
      <c r="H38" s="1236">
        <f>H37*H11</f>
        <v>17897195.791952915</v>
      </c>
      <c r="I38" s="1236">
        <f t="shared" ref="I38:Z38" si="26">I37*I11</f>
        <v>17600104.093033671</v>
      </c>
      <c r="J38" s="1236">
        <f t="shared" si="26"/>
        <v>17022756.343203939</v>
      </c>
      <c r="K38" s="1236">
        <f t="shared" si="26"/>
        <v>18484971.936353315</v>
      </c>
      <c r="L38" s="1236">
        <f t="shared" si="26"/>
        <v>19771362.223673623</v>
      </c>
      <c r="M38" s="1236">
        <f t="shared" si="26"/>
        <v>20562216.712620568</v>
      </c>
      <c r="N38" s="1236">
        <f t="shared" si="26"/>
        <v>21444900.104982264</v>
      </c>
      <c r="O38" s="1236">
        <f t="shared" si="26"/>
        <v>22240093.596370406</v>
      </c>
      <c r="P38" s="1236">
        <f t="shared" si="26"/>
        <v>23129697.340225227</v>
      </c>
      <c r="Q38" s="1236">
        <f t="shared" si="26"/>
        <v>24054885.233834233</v>
      </c>
      <c r="R38" s="1236">
        <f t="shared" si="26"/>
        <v>25087499.956158403</v>
      </c>
      <c r="S38" s="1236">
        <f t="shared" si="26"/>
        <v>26017763.868915111</v>
      </c>
      <c r="T38" s="1236">
        <f t="shared" si="26"/>
        <v>27058474.423671715</v>
      </c>
      <c r="U38" s="1236">
        <f t="shared" si="26"/>
        <v>28140813.400618587</v>
      </c>
      <c r="V38" s="1236">
        <f t="shared" si="26"/>
        <v>29348826.572711539</v>
      </c>
      <c r="W38" s="1236">
        <f t="shared" si="26"/>
        <v>30437103.774109069</v>
      </c>
      <c r="X38" s="1236">
        <f t="shared" si="26"/>
        <v>31288673.775182627</v>
      </c>
      <c r="Y38" s="1236">
        <f t="shared" si="26"/>
        <v>31441337.203232639</v>
      </c>
      <c r="Z38" s="1236">
        <f t="shared" si="26"/>
        <v>31441337.203232639</v>
      </c>
    </row>
    <row r="39" spans="1:45" s="1245" customFormat="1" ht="15" customHeight="1" collapsed="1">
      <c r="A39" s="1244"/>
      <c r="B39" s="1238"/>
      <c r="C39" s="1246" t="s">
        <v>883</v>
      </c>
      <c r="D39" s="1247" t="e">
        <f t="shared" ref="D39:Z39" si="27">D35/D11</f>
        <v>#DIV/0!</v>
      </c>
      <c r="E39" s="1247" t="e">
        <f t="shared" si="27"/>
        <v>#DIV/0!</v>
      </c>
      <c r="F39" s="1247" t="e">
        <f t="shared" si="27"/>
        <v>#DIV/0!</v>
      </c>
      <c r="G39" s="1247">
        <f t="shared" si="27"/>
        <v>4.9266270181650765E-2</v>
      </c>
      <c r="H39" s="1247">
        <f t="shared" si="27"/>
        <v>1.6750061552621785E-2</v>
      </c>
      <c r="I39" s="1247">
        <f t="shared" si="27"/>
        <v>1.2147323914720624E-2</v>
      </c>
      <c r="J39" s="1247">
        <f t="shared" si="27"/>
        <v>1.166399861667131E-2</v>
      </c>
      <c r="K39" s="1247">
        <f t="shared" si="27"/>
        <v>1.146686512710988E-2</v>
      </c>
      <c r="L39" s="1247">
        <f t="shared" si="27"/>
        <v>1.1343285536289664E-2</v>
      </c>
      <c r="M39" s="1247">
        <f t="shared" si="27"/>
        <v>1.1343285536289664E-2</v>
      </c>
      <c r="N39" s="1247">
        <f t="shared" si="27"/>
        <v>1.1331094158749614E-2</v>
      </c>
      <c r="O39" s="1247">
        <f t="shared" si="27"/>
        <v>1.1343285536289665E-2</v>
      </c>
      <c r="P39" s="1247">
        <f t="shared" si="27"/>
        <v>1.1343285536289664E-2</v>
      </c>
      <c r="Q39" s="1247">
        <f t="shared" si="27"/>
        <v>1.1343285536289662E-2</v>
      </c>
      <c r="R39" s="1247">
        <f t="shared" si="27"/>
        <v>1.1331094158749612E-2</v>
      </c>
      <c r="S39" s="1247">
        <f t="shared" si="27"/>
        <v>1.1343285536289665E-2</v>
      </c>
      <c r="T39" s="1247">
        <f t="shared" si="27"/>
        <v>1.1343285536289662E-2</v>
      </c>
      <c r="U39" s="1247">
        <f t="shared" si="27"/>
        <v>1.1343285536289662E-2</v>
      </c>
      <c r="V39" s="1247">
        <f t="shared" si="27"/>
        <v>1.1331094158749612E-2</v>
      </c>
      <c r="W39" s="1247">
        <f t="shared" si="27"/>
        <v>1.134328553628966E-2</v>
      </c>
      <c r="X39" s="1247">
        <f t="shared" si="27"/>
        <v>1.1394079304225107E-2</v>
      </c>
      <c r="Y39" s="1247">
        <f t="shared" si="27"/>
        <v>1.1547653604032055E-2</v>
      </c>
      <c r="Z39" s="1247">
        <f t="shared" si="27"/>
        <v>1.1729559748193339E-2</v>
      </c>
    </row>
    <row r="40" spans="1:45" s="1290" customFormat="1" ht="15" hidden="1" customHeight="1" outlineLevel="1">
      <c r="A40" s="1289"/>
      <c r="C40" s="1291" t="str">
        <f>C36</f>
        <v>Персонал</v>
      </c>
      <c r="D40" s="1292"/>
      <c r="E40" s="1292"/>
      <c r="F40" s="1292"/>
      <c r="G40" s="1292">
        <f>G36/G35</f>
        <v>0.39106411162472154</v>
      </c>
      <c r="H40" s="1292">
        <f>H36/H35</f>
        <v>0.34328599537126847</v>
      </c>
      <c r="I40" s="1292">
        <f t="shared" ref="I40:Z40" si="28">I36/I35</f>
        <v>0.3825800602129994</v>
      </c>
      <c r="J40" s="1292">
        <f t="shared" si="28"/>
        <v>0.3998627546135915</v>
      </c>
      <c r="K40" s="1292">
        <f t="shared" si="28"/>
        <v>0.38954544922215484</v>
      </c>
      <c r="L40" s="1292">
        <f t="shared" si="28"/>
        <v>0.38289484315585093</v>
      </c>
      <c r="M40" s="1292">
        <f t="shared" si="28"/>
        <v>0.38289484315585093</v>
      </c>
      <c r="N40" s="1292">
        <f t="shared" si="28"/>
        <v>0.38223088592068932</v>
      </c>
      <c r="O40" s="1292">
        <f t="shared" si="28"/>
        <v>0.38289484315585093</v>
      </c>
      <c r="P40" s="1292">
        <f t="shared" si="28"/>
        <v>0.38289484315585098</v>
      </c>
      <c r="Q40" s="1292">
        <f t="shared" si="28"/>
        <v>0.38289484315585093</v>
      </c>
      <c r="R40" s="1292">
        <f t="shared" si="28"/>
        <v>0.38223088592068938</v>
      </c>
      <c r="S40" s="1292">
        <f t="shared" si="28"/>
        <v>0.38289484315585087</v>
      </c>
      <c r="T40" s="1292">
        <f t="shared" si="28"/>
        <v>0.38289484315585087</v>
      </c>
      <c r="U40" s="1292">
        <f t="shared" si="28"/>
        <v>0.38289484315585087</v>
      </c>
      <c r="V40" s="1292">
        <f t="shared" si="28"/>
        <v>0.38223088592068938</v>
      </c>
      <c r="W40" s="1292">
        <f t="shared" si="28"/>
        <v>0.38289484315585087</v>
      </c>
      <c r="X40" s="1292">
        <f t="shared" si="28"/>
        <v>0.38564584174832905</v>
      </c>
      <c r="Y40" s="1292">
        <f t="shared" si="28"/>
        <v>0.39381624700312851</v>
      </c>
      <c r="Z40" s="1292">
        <f t="shared" si="28"/>
        <v>0.40321715816502102</v>
      </c>
    </row>
    <row r="41" spans="1:45" s="1290" customFormat="1" ht="15" hidden="1" customHeight="1" outlineLevel="1">
      <c r="A41" s="1289"/>
      <c r="C41" s="1291" t="str">
        <f>C37</f>
        <v>Прочие расходы, % от выручки</v>
      </c>
      <c r="D41" s="1292"/>
      <c r="E41" s="1292"/>
      <c r="F41" s="1292"/>
      <c r="G41" s="1292">
        <f t="shared" ref="G41:Z41" si="29">1-G40</f>
        <v>0.60893588837527846</v>
      </c>
      <c r="H41" s="1292">
        <f t="shared" si="29"/>
        <v>0.65671400462873153</v>
      </c>
      <c r="I41" s="1292">
        <f t="shared" si="29"/>
        <v>0.6174199397870006</v>
      </c>
      <c r="J41" s="1292">
        <f t="shared" si="29"/>
        <v>0.60013724538640845</v>
      </c>
      <c r="K41" s="1292">
        <f t="shared" si="29"/>
        <v>0.61045455077784516</v>
      </c>
      <c r="L41" s="1292">
        <f t="shared" si="29"/>
        <v>0.61710515684414902</v>
      </c>
      <c r="M41" s="1292">
        <f t="shared" si="29"/>
        <v>0.61710515684414902</v>
      </c>
      <c r="N41" s="1292">
        <f t="shared" si="29"/>
        <v>0.61776911407931068</v>
      </c>
      <c r="O41" s="1292">
        <f t="shared" si="29"/>
        <v>0.61710515684414902</v>
      </c>
      <c r="P41" s="1292">
        <f t="shared" si="29"/>
        <v>0.61710515684414902</v>
      </c>
      <c r="Q41" s="1292">
        <f t="shared" si="29"/>
        <v>0.61710515684414902</v>
      </c>
      <c r="R41" s="1292">
        <f t="shared" si="29"/>
        <v>0.61776911407931068</v>
      </c>
      <c r="S41" s="1292">
        <f t="shared" si="29"/>
        <v>0.61710515684414913</v>
      </c>
      <c r="T41" s="1292">
        <f t="shared" si="29"/>
        <v>0.61710515684414913</v>
      </c>
      <c r="U41" s="1292">
        <f t="shared" si="29"/>
        <v>0.61710515684414913</v>
      </c>
      <c r="V41" s="1292">
        <f t="shared" si="29"/>
        <v>0.61776911407931068</v>
      </c>
      <c r="W41" s="1292">
        <f t="shared" si="29"/>
        <v>0.61710515684414913</v>
      </c>
      <c r="X41" s="1292">
        <f t="shared" si="29"/>
        <v>0.61435415825167095</v>
      </c>
      <c r="Y41" s="1292">
        <f t="shared" si="29"/>
        <v>0.60618375299687144</v>
      </c>
      <c r="Z41" s="1292">
        <f t="shared" si="29"/>
        <v>0.59678284183497898</v>
      </c>
    </row>
    <row r="42" spans="1:45" s="1245" customFormat="1" ht="15" customHeight="1">
      <c r="A42" s="1244"/>
      <c r="B42" s="1238"/>
      <c r="C42" s="1239" t="s">
        <v>888</v>
      </c>
      <c r="D42" s="1240">
        <f t="shared" ref="D42:Z42" si="30">D43*D11</f>
        <v>0</v>
      </c>
      <c r="E42" s="1240">
        <f t="shared" si="30"/>
        <v>0</v>
      </c>
      <c r="F42" s="1240">
        <f t="shared" si="30"/>
        <v>0</v>
      </c>
      <c r="G42" s="1240">
        <f t="shared" si="30"/>
        <v>2052354.6568790022</v>
      </c>
      <c r="H42" s="1240">
        <f t="shared" si="30"/>
        <v>8135088.9963422352</v>
      </c>
      <c r="I42" s="1240">
        <f t="shared" si="30"/>
        <v>11733402.728689115</v>
      </c>
      <c r="J42" s="1297">
        <f t="shared" si="30"/>
        <v>12159111.6737171</v>
      </c>
      <c r="K42" s="1240">
        <f t="shared" si="30"/>
        <v>13203551.38310951</v>
      </c>
      <c r="L42" s="1240">
        <f t="shared" si="30"/>
        <v>14122401.588338301</v>
      </c>
      <c r="M42" s="1240">
        <f t="shared" si="30"/>
        <v>14687297.651871834</v>
      </c>
      <c r="N42" s="1240">
        <f t="shared" si="30"/>
        <v>15317785.789273046</v>
      </c>
      <c r="O42" s="1240">
        <f t="shared" si="30"/>
        <v>15885781.140264576</v>
      </c>
      <c r="P42" s="1240">
        <f t="shared" si="30"/>
        <v>16521212.385875162</v>
      </c>
      <c r="Q42" s="1240">
        <f t="shared" si="30"/>
        <v>17182060.881310169</v>
      </c>
      <c r="R42" s="1240">
        <f t="shared" si="30"/>
        <v>17919642.825827431</v>
      </c>
      <c r="S42" s="1240">
        <f t="shared" si="30"/>
        <v>18584117.049225077</v>
      </c>
      <c r="T42" s="1297">
        <f t="shared" si="30"/>
        <v>19327481.731194083</v>
      </c>
      <c r="U42" s="1240">
        <f t="shared" si="30"/>
        <v>20100581.000441846</v>
      </c>
      <c r="V42" s="1240">
        <f t="shared" si="30"/>
        <v>20963447.551936813</v>
      </c>
      <c r="W42" s="1240">
        <f t="shared" si="30"/>
        <v>21740788.410077907</v>
      </c>
      <c r="X42" s="1240">
        <f t="shared" si="30"/>
        <v>22349052.696559019</v>
      </c>
      <c r="Y42" s="1240">
        <f t="shared" si="30"/>
        <v>22458098.002309028</v>
      </c>
      <c r="Z42" s="1240">
        <f t="shared" si="30"/>
        <v>22458098.002309028</v>
      </c>
    </row>
    <row r="43" spans="1:45" s="1245" customFormat="1" ht="15" customHeight="1">
      <c r="A43" s="1244"/>
      <c r="B43" s="1238"/>
      <c r="C43" s="1222" t="s">
        <v>888</v>
      </c>
      <c r="D43" s="1242"/>
      <c r="E43" s="1242"/>
      <c r="F43" s="1242"/>
      <c r="G43" s="1242">
        <v>5.0000000000000001E-3</v>
      </c>
      <c r="H43" s="1242">
        <v>5.0000000000000001E-3</v>
      </c>
      <c r="I43" s="1242">
        <v>5.0000000000000001E-3</v>
      </c>
      <c r="J43" s="1242">
        <v>5.0000000000000001E-3</v>
      </c>
      <c r="K43" s="1242">
        <f>J43</f>
        <v>5.0000000000000001E-3</v>
      </c>
      <c r="L43" s="1242">
        <f>K43</f>
        <v>5.0000000000000001E-3</v>
      </c>
      <c r="M43" s="1242">
        <f>L43</f>
        <v>5.0000000000000001E-3</v>
      </c>
      <c r="N43" s="1242">
        <f t="shared" ref="N43:Z43" si="31">M43</f>
        <v>5.0000000000000001E-3</v>
      </c>
      <c r="O43" s="1242">
        <f t="shared" si="31"/>
        <v>5.0000000000000001E-3</v>
      </c>
      <c r="P43" s="1242">
        <f t="shared" si="31"/>
        <v>5.0000000000000001E-3</v>
      </c>
      <c r="Q43" s="1242">
        <f t="shared" si="31"/>
        <v>5.0000000000000001E-3</v>
      </c>
      <c r="R43" s="1242">
        <f t="shared" si="31"/>
        <v>5.0000000000000001E-3</v>
      </c>
      <c r="S43" s="1242">
        <f t="shared" si="31"/>
        <v>5.0000000000000001E-3</v>
      </c>
      <c r="T43" s="1242">
        <f t="shared" si="31"/>
        <v>5.0000000000000001E-3</v>
      </c>
      <c r="U43" s="1242">
        <f t="shared" si="31"/>
        <v>5.0000000000000001E-3</v>
      </c>
      <c r="V43" s="1242">
        <f t="shared" si="31"/>
        <v>5.0000000000000001E-3</v>
      </c>
      <c r="W43" s="1242">
        <f t="shared" si="31"/>
        <v>5.0000000000000001E-3</v>
      </c>
      <c r="X43" s="1242">
        <f t="shared" si="31"/>
        <v>5.0000000000000001E-3</v>
      </c>
      <c r="Y43" s="1242">
        <f t="shared" si="31"/>
        <v>5.0000000000000001E-3</v>
      </c>
      <c r="Z43" s="1242">
        <f t="shared" si="31"/>
        <v>5.0000000000000001E-3</v>
      </c>
    </row>
    <row r="44" spans="1:45" s="1237" customFormat="1" ht="15" customHeight="1" collapsed="1">
      <c r="B44" s="1238"/>
      <c r="C44" s="1239" t="s">
        <v>884</v>
      </c>
      <c r="D44" s="1240">
        <f>D35+D28+D21+D42</f>
        <v>0</v>
      </c>
      <c r="E44" s="1240">
        <f t="shared" ref="E44:Z44" si="32">E35+E28+E21+E42</f>
        <v>0</v>
      </c>
      <c r="F44" s="1240">
        <f t="shared" si="32"/>
        <v>0</v>
      </c>
      <c r="G44" s="1240">
        <f t="shared" si="32"/>
        <v>67872214.212675437</v>
      </c>
      <c r="H44" s="1240">
        <f t="shared" si="32"/>
        <v>94447969.107908458</v>
      </c>
      <c r="I44" s="1240">
        <f t="shared" si="32"/>
        <v>112326712.31491183</v>
      </c>
      <c r="J44" s="1240">
        <f t="shared" si="32"/>
        <v>114148009.07010718</v>
      </c>
      <c r="K44" s="1240">
        <f t="shared" si="32"/>
        <v>121671728.2178632</v>
      </c>
      <c r="L44" s="1240">
        <f t="shared" si="32"/>
        <v>128609350.54107112</v>
      </c>
      <c r="M44" s="1240">
        <f t="shared" si="32"/>
        <v>133753724.56271398</v>
      </c>
      <c r="N44" s="1240">
        <f t="shared" si="32"/>
        <v>139331753.57125214</v>
      </c>
      <c r="O44" s="1240">
        <f t="shared" si="32"/>
        <v>144668028.48703143</v>
      </c>
      <c r="P44" s="1240">
        <f t="shared" si="32"/>
        <v>150454749.62651271</v>
      </c>
      <c r="Q44" s="1240">
        <f t="shared" si="32"/>
        <v>156472939.61157322</v>
      </c>
      <c r="R44" s="1240">
        <f t="shared" si="32"/>
        <v>162998444.59513986</v>
      </c>
      <c r="S44" s="1240">
        <f t="shared" si="32"/>
        <v>169241131.4838776</v>
      </c>
      <c r="T44" s="1240">
        <f t="shared" si="32"/>
        <v>176010776.7432327</v>
      </c>
      <c r="U44" s="1240">
        <f t="shared" si="32"/>
        <v>183051207.81296203</v>
      </c>
      <c r="V44" s="1240">
        <f t="shared" si="32"/>
        <v>190685125.67631015</v>
      </c>
      <c r="W44" s="1240">
        <f t="shared" si="32"/>
        <v>197988186.37049976</v>
      </c>
      <c r="X44" s="1240">
        <f t="shared" si="32"/>
        <v>204522467.40073314</v>
      </c>
      <c r="Y44" s="1240">
        <f t="shared" si="32"/>
        <v>208543307.04556698</v>
      </c>
      <c r="Z44" s="1240">
        <f t="shared" si="32"/>
        <v>212123922.55090016</v>
      </c>
    </row>
    <row r="45" spans="1:45" s="1296" customFormat="1" ht="15" customHeight="1" collapsed="1">
      <c r="A45" s="1293"/>
      <c r="B45" s="1238"/>
      <c r="C45" s="1294" t="s">
        <v>885</v>
      </c>
      <c r="D45" s="1295" t="e">
        <f t="shared" ref="D45:Z45" si="33">D44/D11</f>
        <v>#DIV/0!</v>
      </c>
      <c r="E45" s="1295" t="e">
        <f t="shared" si="33"/>
        <v>#DIV/0!</v>
      </c>
      <c r="F45" s="1295" t="e">
        <f t="shared" si="33"/>
        <v>#DIV/0!</v>
      </c>
      <c r="G45" s="1295">
        <f t="shared" si="33"/>
        <v>0.1653520603400197</v>
      </c>
      <c r="H45" s="1295">
        <f t="shared" si="33"/>
        <v>5.8049745460913169E-2</v>
      </c>
      <c r="I45" s="1295">
        <f t="shared" si="33"/>
        <v>4.7866213626275675E-2</v>
      </c>
      <c r="J45" s="1295">
        <f t="shared" si="33"/>
        <v>4.6939288055412511E-2</v>
      </c>
      <c r="K45" s="1295">
        <f t="shared" si="33"/>
        <v>4.6075379527628586E-2</v>
      </c>
      <c r="L45" s="1295">
        <f t="shared" si="33"/>
        <v>4.5533810144328224E-2</v>
      </c>
      <c r="M45" s="1295">
        <f t="shared" si="33"/>
        <v>4.5533810144328231E-2</v>
      </c>
      <c r="N45" s="1295">
        <f t="shared" si="33"/>
        <v>4.5480383225108598E-2</v>
      </c>
      <c r="O45" s="1295">
        <f t="shared" si="33"/>
        <v>4.5533810144328224E-2</v>
      </c>
      <c r="P45" s="1295">
        <f t="shared" si="33"/>
        <v>4.5533810144328224E-2</v>
      </c>
      <c r="Q45" s="1295">
        <f t="shared" si="33"/>
        <v>4.5533810144328224E-2</v>
      </c>
      <c r="R45" s="1295">
        <f t="shared" si="33"/>
        <v>4.5480383225108591E-2</v>
      </c>
      <c r="S45" s="1295">
        <f t="shared" si="33"/>
        <v>4.5533810144328224E-2</v>
      </c>
      <c r="T45" s="1295">
        <f t="shared" si="33"/>
        <v>4.5533810144328224E-2</v>
      </c>
      <c r="U45" s="1295">
        <f t="shared" si="33"/>
        <v>4.5533810144328224E-2</v>
      </c>
      <c r="V45" s="1295">
        <f t="shared" si="33"/>
        <v>4.5480383225108591E-2</v>
      </c>
      <c r="W45" s="1295">
        <f t="shared" si="33"/>
        <v>4.5533810144328224E-2</v>
      </c>
      <c r="X45" s="1295">
        <f t="shared" si="33"/>
        <v>4.5756406362633555E-2</v>
      </c>
      <c r="Y45" s="1295">
        <f t="shared" si="33"/>
        <v>4.642942314708165E-2</v>
      </c>
      <c r="Z45" s="1295">
        <f t="shared" si="33"/>
        <v>4.7226600072964919E-2</v>
      </c>
    </row>
    <row r="46" spans="1:45" ht="15" customHeight="1">
      <c r="H46" s="1332"/>
      <c r="I46" s="1332"/>
      <c r="J46" s="1332"/>
      <c r="K46" s="1332"/>
      <c r="L46" s="1332"/>
      <c r="M46" s="1332"/>
    </row>
    <row r="48" spans="1:45" s="197" customFormat="1" ht="15" customHeight="1">
      <c r="C48" s="1533" t="s">
        <v>1081</v>
      </c>
      <c r="D48" s="1539">
        <f>D22+D29+D36</f>
        <v>0</v>
      </c>
      <c r="E48" s="1539">
        <f t="shared" ref="E48:Z48" si="34">E22+E29+E36</f>
        <v>0</v>
      </c>
      <c r="F48" s="1539">
        <f t="shared" si="34"/>
        <v>0</v>
      </c>
      <c r="G48" s="1539">
        <f t="shared" si="34"/>
        <v>42012545.536000013</v>
      </c>
      <c r="H48" s="1539">
        <f t="shared" si="34"/>
        <v>44823926.230220817</v>
      </c>
      <c r="I48" s="1539">
        <f t="shared" si="34"/>
        <v>47792997.307121679</v>
      </c>
      <c r="J48" s="1539">
        <f t="shared" si="34"/>
        <v>49704717.199406549</v>
      </c>
      <c r="K48" s="1539">
        <f t="shared" si="34"/>
        <v>51692905.887382813</v>
      </c>
      <c r="L48" s="1539">
        <f t="shared" si="34"/>
        <v>53760622.122878119</v>
      </c>
      <c r="M48" s="1539">
        <f t="shared" si="34"/>
        <v>55911047.007793255</v>
      </c>
      <c r="N48" s="1539">
        <f t="shared" si="34"/>
        <v>58147488.888105005</v>
      </c>
      <c r="O48" s="1539">
        <f t="shared" si="34"/>
        <v>60473388.44362919</v>
      </c>
      <c r="P48" s="1539">
        <f t="shared" si="34"/>
        <v>62892323.981374368</v>
      </c>
      <c r="Q48" s="1539">
        <f t="shared" si="34"/>
        <v>65408016.940629333</v>
      </c>
      <c r="R48" s="1539">
        <f t="shared" si="34"/>
        <v>68024337.618254513</v>
      </c>
      <c r="S48" s="1539">
        <f t="shared" si="34"/>
        <v>70745311.122984692</v>
      </c>
      <c r="T48" s="1539">
        <f t="shared" si="34"/>
        <v>73575123.567904085</v>
      </c>
      <c r="U48" s="1539">
        <f t="shared" si="34"/>
        <v>76518128.510620236</v>
      </c>
      <c r="V48" s="1539">
        <f t="shared" si="34"/>
        <v>79578853.651045054</v>
      </c>
      <c r="W48" s="1539">
        <f t="shared" si="34"/>
        <v>82762007.797086865</v>
      </c>
      <c r="X48" s="1539">
        <f t="shared" si="34"/>
        <v>86072488.108970329</v>
      </c>
      <c r="Y48" s="1539">
        <f t="shared" si="34"/>
        <v>89515387.633329138</v>
      </c>
      <c r="Z48" s="1539">
        <f t="shared" si="34"/>
        <v>93096003.138662323</v>
      </c>
      <c r="AA48" s="534"/>
      <c r="AB48" s="534"/>
      <c r="AC48" s="534"/>
      <c r="AD48" s="534"/>
      <c r="AE48" s="534"/>
      <c r="AF48" s="534"/>
      <c r="AG48" s="534"/>
      <c r="AH48" s="534"/>
      <c r="AI48" s="534"/>
      <c r="AJ48" s="534"/>
      <c r="AK48" s="534"/>
      <c r="AL48" s="534"/>
      <c r="AS48" s="823"/>
    </row>
  </sheetData>
  <conditionalFormatting sqref="L8:T9">
    <cfRule type="cellIs" dxfId="94" priority="14" operator="equal">
      <formula>0</formula>
    </cfRule>
  </conditionalFormatting>
  <conditionalFormatting sqref="D10:V10">
    <cfRule type="cellIs" dxfId="93" priority="13" operator="equal">
      <formula>0</formula>
    </cfRule>
  </conditionalFormatting>
  <conditionalFormatting sqref="D23:K23">
    <cfRule type="expression" dxfId="92" priority="12">
      <formula>$A$1=1</formula>
    </cfRule>
  </conditionalFormatting>
  <conditionalFormatting sqref="D30:K30">
    <cfRule type="expression" dxfId="91" priority="11">
      <formula>$A$1=1</formula>
    </cfRule>
  </conditionalFormatting>
  <conditionalFormatting sqref="D37:K37">
    <cfRule type="expression" dxfId="90" priority="10">
      <formula>$A$1=1</formula>
    </cfRule>
  </conditionalFormatting>
  <conditionalFormatting sqref="E24:F24">
    <cfRule type="expression" dxfId="89" priority="9">
      <formula>$A$1=1</formula>
    </cfRule>
  </conditionalFormatting>
  <conditionalFormatting sqref="E31:F31">
    <cfRule type="expression" dxfId="88" priority="8">
      <formula>$A$1=1</formula>
    </cfRule>
  </conditionalFormatting>
  <conditionalFormatting sqref="W10">
    <cfRule type="cellIs" dxfId="87" priority="7" operator="equal">
      <formula>0</formula>
    </cfRule>
  </conditionalFormatting>
  <conditionalFormatting sqref="X10">
    <cfRule type="cellIs" dxfId="86" priority="6" operator="equal">
      <formula>0</formula>
    </cfRule>
  </conditionalFormatting>
  <conditionalFormatting sqref="Y10">
    <cfRule type="cellIs" dxfId="85" priority="5" operator="equal">
      <formula>0</formula>
    </cfRule>
  </conditionalFormatting>
  <conditionalFormatting sqref="Z10">
    <cfRule type="cellIs" dxfId="84" priority="4" operator="equal">
      <formula>0</formula>
    </cfRule>
  </conditionalFormatting>
  <conditionalFormatting sqref="G43:K43">
    <cfRule type="expression" dxfId="83" priority="3">
      <formula>$A$1=1</formula>
    </cfRule>
  </conditionalFormatting>
  <conditionalFormatting sqref="D43:K43">
    <cfRule type="expression" dxfId="82" priority="2">
      <formula>$A$1=1</formula>
    </cfRule>
  </conditionalFormatting>
  <pageMargins left="0.7" right="0.7" top="0.75" bottom="0.75" header="0.3" footer="0.3"/>
  <pageSetup paperSize="9" orientation="portrait" r:id="rId1"/>
  <ignoredErrors>
    <ignoredError sqref="D13" formula="1"/>
    <ignoredError sqref="D28:M28 D35:M35 D30:F30 M30 D47:G47 L47:M47 D42:M42 D37:F37 D44:M45 D43:F43 D25:M25 D31:F32 I31:M31 H32:M32 D39:M39 I38:M38 D46:G46" evalError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9"/>
  <sheetViews>
    <sheetView showGridLines="0" topLeftCell="A10" zoomScale="80" zoomScaleNormal="80" workbookViewId="0">
      <selection activeCell="I38" sqref="I38"/>
    </sheetView>
  </sheetViews>
  <sheetFormatPr defaultColWidth="9.140625" defaultRowHeight="12"/>
  <cols>
    <col min="1" max="1" width="4.5703125" style="1163" customWidth="1"/>
    <col min="2" max="2" width="17.85546875" style="1163" customWidth="1"/>
    <col min="3" max="5" width="13" style="1162" customWidth="1"/>
    <col min="6" max="6" width="13" style="1163" customWidth="1"/>
    <col min="7" max="7" width="14.5703125" style="1163" customWidth="1"/>
    <col min="8" max="8" width="4" style="1163" customWidth="1"/>
    <col min="9" max="9" width="30.42578125" style="1163" customWidth="1"/>
    <col min="10" max="21" width="6.28515625" style="1163" customWidth="1"/>
    <col min="22" max="16384" width="9.140625" style="1163"/>
  </cols>
  <sheetData>
    <row r="2" spans="2:22" ht="12.75" thickBot="1">
      <c r="B2" s="1161" t="s">
        <v>841</v>
      </c>
    </row>
    <row r="3" spans="2:22" ht="12" customHeight="1">
      <c r="B3" s="1987" t="s">
        <v>842</v>
      </c>
      <c r="C3" s="1989" t="s">
        <v>179</v>
      </c>
      <c r="D3" s="1989"/>
      <c r="E3" s="1990"/>
      <c r="V3" s="1164">
        <f>SUM(J3:U3)</f>
        <v>0</v>
      </c>
    </row>
    <row r="4" spans="2:22" ht="24">
      <c r="B4" s="1988"/>
      <c r="C4" s="1165" t="s">
        <v>843</v>
      </c>
      <c r="D4" s="1165" t="s">
        <v>844</v>
      </c>
      <c r="E4" s="1166" t="s">
        <v>845</v>
      </c>
      <c r="I4" s="177"/>
      <c r="J4" s="177" t="s">
        <v>846</v>
      </c>
      <c r="K4" s="177" t="s">
        <v>847</v>
      </c>
      <c r="L4" s="177" t="s">
        <v>848</v>
      </c>
      <c r="M4" s="177" t="s">
        <v>849</v>
      </c>
      <c r="N4" s="177" t="s">
        <v>850</v>
      </c>
      <c r="O4" s="177" t="s">
        <v>851</v>
      </c>
      <c r="P4" s="177" t="s">
        <v>852</v>
      </c>
      <c r="Q4" s="177" t="s">
        <v>853</v>
      </c>
      <c r="R4" s="177" t="s">
        <v>854</v>
      </c>
      <c r="S4" s="177" t="s">
        <v>855</v>
      </c>
      <c r="T4" s="177" t="s">
        <v>856</v>
      </c>
      <c r="U4" s="177" t="s">
        <v>857</v>
      </c>
      <c r="V4" s="177" t="s">
        <v>59</v>
      </c>
    </row>
    <row r="5" spans="2:22" ht="12.75">
      <c r="B5" s="1167" t="s">
        <v>180</v>
      </c>
      <c r="C5" s="1168">
        <v>31</v>
      </c>
      <c r="D5" s="1168">
        <v>15</v>
      </c>
      <c r="E5" s="1169">
        <f t="shared" ref="E5:E16" si="0">C5-D5</f>
        <v>16</v>
      </c>
      <c r="I5" s="184" t="s">
        <v>243</v>
      </c>
      <c r="J5" s="1170">
        <f>E5</f>
        <v>16</v>
      </c>
      <c r="K5" s="1170">
        <f>E6</f>
        <v>9</v>
      </c>
      <c r="L5" s="1170">
        <f>E7</f>
        <v>9</v>
      </c>
      <c r="M5" s="1170">
        <f>E8</f>
        <v>8</v>
      </c>
      <c r="N5" s="1170">
        <f>E9</f>
        <v>12</v>
      </c>
      <c r="O5" s="1170">
        <f>E10</f>
        <v>9</v>
      </c>
      <c r="P5" s="1170">
        <f>E11</f>
        <v>9</v>
      </c>
      <c r="Q5" s="1170">
        <f>E12</f>
        <v>9</v>
      </c>
      <c r="R5" s="1170">
        <f>E13</f>
        <v>8</v>
      </c>
      <c r="S5" s="1170">
        <f>E14</f>
        <v>10</v>
      </c>
      <c r="T5" s="1170">
        <f>E15</f>
        <v>10</v>
      </c>
      <c r="U5" s="1170">
        <f>E16</f>
        <v>9</v>
      </c>
      <c r="V5" s="1217">
        <f>SUM(J5:U5)</f>
        <v>118</v>
      </c>
    </row>
    <row r="6" spans="2:22" ht="12.75">
      <c r="B6" s="1167" t="s">
        <v>181</v>
      </c>
      <c r="C6" s="1168">
        <v>28</v>
      </c>
      <c r="D6" s="1168">
        <v>19</v>
      </c>
      <c r="E6" s="1169">
        <f t="shared" si="0"/>
        <v>9</v>
      </c>
      <c r="I6" s="184" t="s">
        <v>244</v>
      </c>
      <c r="J6" s="1170">
        <f>D5</f>
        <v>15</v>
      </c>
      <c r="K6" s="1170">
        <f>D6</f>
        <v>19</v>
      </c>
      <c r="L6" s="1170">
        <f>D7</f>
        <v>22</v>
      </c>
      <c r="M6" s="1170">
        <f>D8</f>
        <v>22</v>
      </c>
      <c r="N6" s="1170">
        <f>D9</f>
        <v>19</v>
      </c>
      <c r="O6" s="1170">
        <f>D10</f>
        <v>21</v>
      </c>
      <c r="P6" s="1170">
        <f>D11</f>
        <v>22</v>
      </c>
      <c r="Q6" s="1170">
        <f>D12</f>
        <v>22</v>
      </c>
      <c r="R6" s="1170">
        <f>D13</f>
        <v>22</v>
      </c>
      <c r="S6" s="1170">
        <f>D14</f>
        <v>21</v>
      </c>
      <c r="T6" s="1170">
        <f>D15</f>
        <v>20</v>
      </c>
      <c r="U6" s="1170">
        <f>D16</f>
        <v>22</v>
      </c>
      <c r="V6" s="1217">
        <f>SUM(J6:U6)</f>
        <v>247</v>
      </c>
    </row>
    <row r="7" spans="2:22" ht="12.75">
      <c r="B7" s="1167" t="s">
        <v>182</v>
      </c>
      <c r="C7" s="1168">
        <v>31</v>
      </c>
      <c r="D7" s="1168">
        <v>22</v>
      </c>
      <c r="E7" s="1169">
        <f t="shared" si="0"/>
        <v>9</v>
      </c>
      <c r="J7" s="1170"/>
      <c r="K7" s="1170"/>
      <c r="L7" s="1170"/>
      <c r="M7" s="1170"/>
      <c r="N7" s="1170"/>
      <c r="O7" s="1170"/>
      <c r="P7" s="1170"/>
      <c r="Q7" s="1170"/>
      <c r="R7" s="1170"/>
      <c r="S7" s="1170"/>
      <c r="T7" s="1170"/>
      <c r="U7" s="1170"/>
      <c r="V7" s="1217"/>
    </row>
    <row r="8" spans="2:22" ht="12.75">
      <c r="B8" s="1171" t="s">
        <v>183</v>
      </c>
      <c r="C8" s="1172">
        <v>30</v>
      </c>
      <c r="D8" s="1172">
        <v>22</v>
      </c>
      <c r="E8" s="1173">
        <f t="shared" si="0"/>
        <v>8</v>
      </c>
      <c r="I8" s="184" t="s">
        <v>833</v>
      </c>
      <c r="J8" s="1170">
        <f>J6</f>
        <v>15</v>
      </c>
      <c r="K8" s="1170">
        <f>K6</f>
        <v>19</v>
      </c>
      <c r="L8" s="1170">
        <f>L6</f>
        <v>22</v>
      </c>
      <c r="M8" s="1170">
        <f>D30</f>
        <v>11</v>
      </c>
      <c r="N8" s="1170"/>
      <c r="O8" s="1170"/>
      <c r="P8" s="1170"/>
      <c r="Q8" s="1170"/>
      <c r="R8" s="1170"/>
      <c r="S8" s="1170"/>
      <c r="T8" s="1170">
        <f>COUNT(D53:F57)</f>
        <v>12</v>
      </c>
      <c r="U8" s="1170">
        <f>U6</f>
        <v>22</v>
      </c>
      <c r="V8" s="1217">
        <f>SUM(J8:U8)</f>
        <v>101</v>
      </c>
    </row>
    <row r="9" spans="2:22" ht="12.75">
      <c r="B9" s="1171" t="s">
        <v>184</v>
      </c>
      <c r="C9" s="1172">
        <v>31</v>
      </c>
      <c r="D9" s="1172">
        <v>19</v>
      </c>
      <c r="E9" s="1173">
        <f t="shared" si="0"/>
        <v>12</v>
      </c>
      <c r="I9" s="184" t="s">
        <v>834</v>
      </c>
      <c r="J9" s="1170">
        <f>J5</f>
        <v>16</v>
      </c>
      <c r="K9" s="1170">
        <f>K5</f>
        <v>9</v>
      </c>
      <c r="L9" s="1170">
        <f>L5</f>
        <v>9</v>
      </c>
      <c r="M9" s="1170">
        <f>D31</f>
        <v>4</v>
      </c>
      <c r="N9" s="1170"/>
      <c r="O9" s="1170"/>
      <c r="P9" s="1170"/>
      <c r="Q9" s="1170"/>
      <c r="R9" s="1170"/>
      <c r="S9" s="1170"/>
      <c r="T9" s="1170">
        <f>COUNT(D58:E59)</f>
        <v>4</v>
      </c>
      <c r="U9" s="1170">
        <f>U5</f>
        <v>9</v>
      </c>
      <c r="V9" s="1217">
        <f>SUM(J9:U9)</f>
        <v>51</v>
      </c>
    </row>
    <row r="10" spans="2:22" ht="12.75">
      <c r="B10" s="1171" t="s">
        <v>185</v>
      </c>
      <c r="C10" s="1172">
        <v>30</v>
      </c>
      <c r="D10" s="1172">
        <v>21</v>
      </c>
      <c r="E10" s="1173">
        <f t="shared" si="0"/>
        <v>9</v>
      </c>
      <c r="I10" s="184" t="s">
        <v>835</v>
      </c>
      <c r="J10" s="1170"/>
      <c r="K10" s="1170"/>
      <c r="L10" s="1170"/>
      <c r="M10" s="1170">
        <f>M6-M8</f>
        <v>11</v>
      </c>
      <c r="N10" s="1170">
        <f t="shared" ref="N10:S10" si="1">N6</f>
        <v>19</v>
      </c>
      <c r="O10" s="1170">
        <f t="shared" si="1"/>
        <v>21</v>
      </c>
      <c r="P10" s="1170">
        <f t="shared" si="1"/>
        <v>22</v>
      </c>
      <c r="Q10" s="1170">
        <f t="shared" si="1"/>
        <v>22</v>
      </c>
      <c r="R10" s="1170">
        <f t="shared" si="1"/>
        <v>22</v>
      </c>
      <c r="S10" s="1170">
        <f t="shared" si="1"/>
        <v>21</v>
      </c>
      <c r="T10" s="1170">
        <f>T6-T8</f>
        <v>8</v>
      </c>
      <c r="U10" s="1170"/>
      <c r="V10" s="1217">
        <f>SUM(J10:U10)</f>
        <v>146</v>
      </c>
    </row>
    <row r="11" spans="2:22" ht="12.75">
      <c r="B11" s="1167" t="s">
        <v>186</v>
      </c>
      <c r="C11" s="1168">
        <v>31</v>
      </c>
      <c r="D11" s="1168">
        <v>22</v>
      </c>
      <c r="E11" s="1169">
        <f t="shared" si="0"/>
        <v>9</v>
      </c>
      <c r="I11" s="184" t="s">
        <v>836</v>
      </c>
      <c r="J11" s="1170"/>
      <c r="K11" s="1170"/>
      <c r="L11" s="1170"/>
      <c r="M11" s="1170">
        <f>M5-M9</f>
        <v>4</v>
      </c>
      <c r="N11" s="1170">
        <f t="shared" ref="N11:S11" si="2">N5</f>
        <v>12</v>
      </c>
      <c r="O11" s="1170">
        <f t="shared" si="2"/>
        <v>9</v>
      </c>
      <c r="P11" s="1170">
        <f t="shared" si="2"/>
        <v>9</v>
      </c>
      <c r="Q11" s="1170">
        <f t="shared" si="2"/>
        <v>9</v>
      </c>
      <c r="R11" s="1170">
        <f t="shared" si="2"/>
        <v>8</v>
      </c>
      <c r="S11" s="1170">
        <f t="shared" si="2"/>
        <v>10</v>
      </c>
      <c r="T11" s="1170">
        <f>T5-T9</f>
        <v>6</v>
      </c>
      <c r="U11" s="1170"/>
      <c r="V11" s="1217">
        <f>SUM(J11:U11)</f>
        <v>67</v>
      </c>
    </row>
    <row r="12" spans="2:22">
      <c r="B12" s="1167" t="s">
        <v>187</v>
      </c>
      <c r="C12" s="1168">
        <v>31</v>
      </c>
      <c r="D12" s="1168">
        <v>22</v>
      </c>
      <c r="E12" s="1169">
        <f t="shared" si="0"/>
        <v>9</v>
      </c>
    </row>
    <row r="13" spans="2:22">
      <c r="B13" s="1167" t="s">
        <v>188</v>
      </c>
      <c r="C13" s="1168">
        <v>30</v>
      </c>
      <c r="D13" s="1168">
        <v>22</v>
      </c>
      <c r="E13" s="1169">
        <f t="shared" si="0"/>
        <v>8</v>
      </c>
    </row>
    <row r="14" spans="2:22">
      <c r="B14" s="1171" t="s">
        <v>189</v>
      </c>
      <c r="C14" s="1172">
        <v>31</v>
      </c>
      <c r="D14" s="1172">
        <v>21</v>
      </c>
      <c r="E14" s="1173">
        <f t="shared" si="0"/>
        <v>10</v>
      </c>
    </row>
    <row r="15" spans="2:22">
      <c r="B15" s="1171" t="s">
        <v>190</v>
      </c>
      <c r="C15" s="1172">
        <v>30</v>
      </c>
      <c r="D15" s="1172">
        <v>20</v>
      </c>
      <c r="E15" s="1173">
        <f t="shared" si="0"/>
        <v>10</v>
      </c>
    </row>
    <row r="16" spans="2:22">
      <c r="B16" s="1171" t="s">
        <v>191</v>
      </c>
      <c r="C16" s="1172">
        <v>31</v>
      </c>
      <c r="D16" s="1172">
        <v>22</v>
      </c>
      <c r="E16" s="1173">
        <f t="shared" si="0"/>
        <v>9</v>
      </c>
    </row>
    <row r="17" spans="2:6">
      <c r="B17" s="1174"/>
      <c r="C17" s="1165"/>
      <c r="D17" s="1165"/>
      <c r="E17" s="1166"/>
    </row>
    <row r="18" spans="2:6">
      <c r="B18" s="1174" t="s">
        <v>696</v>
      </c>
      <c r="C18" s="1165">
        <f>SUM(C5:C7)</f>
        <v>90</v>
      </c>
      <c r="D18" s="1165">
        <f>SUM(D5:D7)</f>
        <v>56</v>
      </c>
      <c r="E18" s="1166">
        <f>SUM(E5:E7)</f>
        <v>34</v>
      </c>
    </row>
    <row r="19" spans="2:6">
      <c r="B19" s="1174" t="s">
        <v>697</v>
      </c>
      <c r="C19" s="1165">
        <f>SUM(C8:C10)</f>
        <v>91</v>
      </c>
      <c r="D19" s="1165">
        <f>SUM(D8:D10)</f>
        <v>62</v>
      </c>
      <c r="E19" s="1166">
        <f>SUM(E8:E10)</f>
        <v>29</v>
      </c>
    </row>
    <row r="20" spans="2:6">
      <c r="B20" s="1174" t="s">
        <v>698</v>
      </c>
      <c r="C20" s="1165">
        <f>SUM(C11:C13)</f>
        <v>92</v>
      </c>
      <c r="D20" s="1165">
        <f>SUM(D11:D13)</f>
        <v>66</v>
      </c>
      <c r="E20" s="1166">
        <f>SUM(E11:E13)</f>
        <v>26</v>
      </c>
    </row>
    <row r="21" spans="2:6">
      <c r="B21" s="1174" t="s">
        <v>699</v>
      </c>
      <c r="C21" s="1165">
        <f>SUM(C14:C16)</f>
        <v>92</v>
      </c>
      <c r="D21" s="1165">
        <f>SUM(D14:D16)</f>
        <v>63</v>
      </c>
      <c r="E21" s="1166">
        <f>SUM(E14:E16)</f>
        <v>29</v>
      </c>
    </row>
    <row r="22" spans="2:6">
      <c r="B22" s="1174"/>
      <c r="C22" s="1165"/>
      <c r="D22" s="1165"/>
      <c r="E22" s="1166"/>
    </row>
    <row r="23" spans="2:6" ht="12.75" thickBot="1">
      <c r="B23" s="1175" t="s">
        <v>59</v>
      </c>
      <c r="C23" s="1176">
        <f>SUM(C18:C21)</f>
        <v>365</v>
      </c>
      <c r="D23" s="1176">
        <f>SUM(D18:D21)</f>
        <v>247</v>
      </c>
      <c r="E23" s="1177">
        <f>SUM(E18:E21)</f>
        <v>118</v>
      </c>
    </row>
    <row r="25" spans="2:6" s="1180" customFormat="1" ht="11.25">
      <c r="B25" s="1178" t="s">
        <v>858</v>
      </c>
      <c r="C25" s="1179"/>
      <c r="D25" s="1179"/>
      <c r="E25" s="1179"/>
    </row>
    <row r="27" spans="2:6">
      <c r="B27" s="1181" t="s">
        <v>918</v>
      </c>
      <c r="C27" s="1181" t="s">
        <v>919</v>
      </c>
      <c r="D27" s="1181"/>
      <c r="E27" s="1163"/>
    </row>
    <row r="29" spans="2:6" ht="12.75">
      <c r="B29" s="1182" t="s">
        <v>859</v>
      </c>
      <c r="C29" s="1183" t="s">
        <v>837</v>
      </c>
      <c r="D29" s="1183" t="s">
        <v>838</v>
      </c>
      <c r="E29" s="1183" t="s">
        <v>839</v>
      </c>
      <c r="F29" s="1183" t="s">
        <v>840</v>
      </c>
    </row>
    <row r="30" spans="2:6" ht="12.75">
      <c r="B30" s="1184" t="s">
        <v>833</v>
      </c>
      <c r="C30" s="148">
        <f>D18</f>
        <v>56</v>
      </c>
      <c r="D30" s="148">
        <f>COUNT(B46:B47,C43:C47,D43:D46)</f>
        <v>11</v>
      </c>
      <c r="E30" s="1185"/>
      <c r="F30" s="148">
        <f>COUNT(D53:F57)+D16</f>
        <v>34</v>
      </c>
    </row>
    <row r="31" spans="2:6" ht="12.75">
      <c r="B31" s="1184" t="s">
        <v>834</v>
      </c>
      <c r="C31" s="148">
        <f>E18</f>
        <v>34</v>
      </c>
      <c r="D31" s="148">
        <f>COUNT(B48:B49,C48:C49)</f>
        <v>4</v>
      </c>
      <c r="E31" s="1185"/>
      <c r="F31" s="148">
        <f>COUNT(D58:E59)+E16</f>
        <v>13</v>
      </c>
    </row>
    <row r="32" spans="2:6" ht="12.75">
      <c r="B32" s="1184" t="s">
        <v>835</v>
      </c>
      <c r="C32" s="1185"/>
      <c r="D32" s="148">
        <f>COUNT(D47,E43:E47,F43:F47)+D9+D10</f>
        <v>51</v>
      </c>
      <c r="E32" s="148">
        <f>D20</f>
        <v>66</v>
      </c>
      <c r="F32" s="148">
        <f>D14+COUNT(B53:B55,B57,C53:C57)</f>
        <v>30</v>
      </c>
    </row>
    <row r="33" spans="1:9" ht="12.75">
      <c r="B33" s="1184" t="s">
        <v>836</v>
      </c>
      <c r="C33" s="1185"/>
      <c r="D33" s="148">
        <f>COUNT(D48:D49,E48:E49)+E9+E10</f>
        <v>25</v>
      </c>
      <c r="E33" s="148">
        <f>E20</f>
        <v>26</v>
      </c>
      <c r="F33" s="148">
        <f>E14+COUNT(B56,B58:B59,C58:C59)</f>
        <v>15</v>
      </c>
    </row>
    <row r="34" spans="1:9" ht="12.75">
      <c r="B34" s="1186">
        <f>SUM(C34:F34)</f>
        <v>365</v>
      </c>
      <c r="C34" s="1187">
        <f>SUM(C30:C33)</f>
        <v>90</v>
      </c>
      <c r="D34" s="1187">
        <f>SUM(D30:D33)</f>
        <v>91</v>
      </c>
      <c r="E34" s="1187">
        <f>SUM(E30:E33)</f>
        <v>92</v>
      </c>
      <c r="F34" s="1187">
        <f>SUM(F30:F33)</f>
        <v>92</v>
      </c>
    </row>
    <row r="35" spans="1:9">
      <c r="B35" s="1188" t="b">
        <f>B34=C23</f>
        <v>1</v>
      </c>
      <c r="C35" s="1188" t="b">
        <f>C34=C18</f>
        <v>1</v>
      </c>
      <c r="D35" s="1188" t="b">
        <f>D34=C19</f>
        <v>1</v>
      </c>
      <c r="E35" s="1188" t="b">
        <f>E34=C20</f>
        <v>1</v>
      </c>
      <c r="F35" s="1189" t="b">
        <f>F34=C21</f>
        <v>1</v>
      </c>
    </row>
    <row r="37" spans="1:9" ht="25.5">
      <c r="B37" s="1203" t="s">
        <v>871</v>
      </c>
      <c r="C37" s="1183" t="s">
        <v>837</v>
      </c>
      <c r="D37" s="1183" t="s">
        <v>838</v>
      </c>
      <c r="E37" s="1183" t="s">
        <v>839</v>
      </c>
      <c r="F37" s="1183" t="s">
        <v>840</v>
      </c>
      <c r="G37" s="1183" t="s">
        <v>59</v>
      </c>
      <c r="I37" s="1183" t="s">
        <v>1035</v>
      </c>
    </row>
    <row r="38" spans="1:9" ht="12.75">
      <c r="B38" s="1157" t="s">
        <v>869</v>
      </c>
      <c r="C38" s="148">
        <f>SUM(C32:C33)</f>
        <v>0</v>
      </c>
      <c r="D38" s="148">
        <f>SUM(D32:D33)</f>
        <v>76</v>
      </c>
      <c r="E38" s="148">
        <f>SUM(E32:E33)</f>
        <v>92</v>
      </c>
      <c r="F38" s="148">
        <f>SUM(F32:F33)</f>
        <v>45</v>
      </c>
      <c r="G38" s="1471">
        <f>SUM(C38:F38)</f>
        <v>213</v>
      </c>
      <c r="I38" s="1471">
        <f>SUM(E38:F38)</f>
        <v>137</v>
      </c>
    </row>
    <row r="39" spans="1:9" ht="12.75">
      <c r="B39" s="1157" t="s">
        <v>870</v>
      </c>
      <c r="C39" s="148">
        <f>SUM(C30:C31)</f>
        <v>90</v>
      </c>
      <c r="D39" s="148">
        <f>SUM(D30:D31)</f>
        <v>15</v>
      </c>
      <c r="E39" s="148">
        <f>SUM(E30:E31)</f>
        <v>0</v>
      </c>
      <c r="F39" s="148">
        <f>SUM(F30:F31)</f>
        <v>47</v>
      </c>
      <c r="G39" s="148">
        <f>SUM(C39:F39)</f>
        <v>152</v>
      </c>
      <c r="I39" s="148">
        <f>SUM(E39:F39)</f>
        <v>47</v>
      </c>
    </row>
    <row r="42" spans="1:9">
      <c r="B42" s="1190" t="s">
        <v>860</v>
      </c>
      <c r="C42" s="1165"/>
      <c r="D42" s="1165"/>
      <c r="E42" s="1165"/>
      <c r="F42" s="1181"/>
    </row>
    <row r="43" spans="1:9">
      <c r="A43" s="1163" t="s">
        <v>861</v>
      </c>
      <c r="B43" s="1191"/>
      <c r="C43" s="1192">
        <f>B49+1</f>
        <v>5</v>
      </c>
      <c r="D43" s="1192">
        <f>C49+1</f>
        <v>12</v>
      </c>
      <c r="E43" s="1193">
        <f>D49+1</f>
        <v>19</v>
      </c>
      <c r="F43" s="1193">
        <f>E49+1</f>
        <v>26</v>
      </c>
      <c r="G43" s="1194"/>
    </row>
    <row r="44" spans="1:9">
      <c r="A44" s="1163" t="s">
        <v>862</v>
      </c>
      <c r="B44" s="1191"/>
      <c r="C44" s="1192">
        <f>C43+1</f>
        <v>6</v>
      </c>
      <c r="D44" s="1192">
        <f>D43+1</f>
        <v>13</v>
      </c>
      <c r="E44" s="1193">
        <f t="shared" ref="E44:F49" si="3">E43+1</f>
        <v>20</v>
      </c>
      <c r="F44" s="1193">
        <f t="shared" si="3"/>
        <v>27</v>
      </c>
      <c r="G44" s="1194"/>
    </row>
    <row r="45" spans="1:9">
      <c r="A45" s="1163" t="s">
        <v>863</v>
      </c>
      <c r="B45" s="1191"/>
      <c r="C45" s="1192">
        <f t="shared" ref="C45:D49" si="4">C44+1</f>
        <v>7</v>
      </c>
      <c r="D45" s="1192">
        <f t="shared" si="4"/>
        <v>14</v>
      </c>
      <c r="E45" s="1193">
        <f t="shared" si="3"/>
        <v>21</v>
      </c>
      <c r="F45" s="1193">
        <f t="shared" si="3"/>
        <v>28</v>
      </c>
      <c r="G45" s="1194"/>
    </row>
    <row r="46" spans="1:9">
      <c r="A46" s="1163" t="s">
        <v>864</v>
      </c>
      <c r="B46" s="1191">
        <v>1</v>
      </c>
      <c r="C46" s="1192">
        <f t="shared" si="4"/>
        <v>8</v>
      </c>
      <c r="D46" s="1192">
        <f t="shared" si="4"/>
        <v>15</v>
      </c>
      <c r="E46" s="1193">
        <f t="shared" si="3"/>
        <v>22</v>
      </c>
      <c r="F46" s="1193">
        <f t="shared" si="3"/>
        <v>29</v>
      </c>
      <c r="G46" s="1194"/>
    </row>
    <row r="47" spans="1:9">
      <c r="A47" s="1163" t="s">
        <v>865</v>
      </c>
      <c r="B47" s="1191">
        <v>2</v>
      </c>
      <c r="C47" s="1192">
        <f t="shared" si="4"/>
        <v>9</v>
      </c>
      <c r="D47" s="1193">
        <f t="shared" si="4"/>
        <v>16</v>
      </c>
      <c r="E47" s="1193">
        <f t="shared" si="3"/>
        <v>23</v>
      </c>
      <c r="F47" s="1193">
        <f t="shared" si="3"/>
        <v>30</v>
      </c>
      <c r="G47" s="1194"/>
    </row>
    <row r="48" spans="1:9">
      <c r="A48" s="1195" t="s">
        <v>866</v>
      </c>
      <c r="B48" s="1196">
        <v>3</v>
      </c>
      <c r="C48" s="1197">
        <f t="shared" si="4"/>
        <v>10</v>
      </c>
      <c r="D48" s="1198">
        <f t="shared" si="4"/>
        <v>17</v>
      </c>
      <c r="E48" s="1198">
        <f t="shared" si="3"/>
        <v>24</v>
      </c>
      <c r="F48" s="1198"/>
      <c r="G48" s="1199"/>
    </row>
    <row r="49" spans="1:7">
      <c r="A49" s="1195" t="s">
        <v>867</v>
      </c>
      <c r="B49" s="1196">
        <v>4</v>
      </c>
      <c r="C49" s="1197">
        <f t="shared" si="4"/>
        <v>11</v>
      </c>
      <c r="D49" s="1198">
        <f t="shared" si="4"/>
        <v>18</v>
      </c>
      <c r="E49" s="1198">
        <f t="shared" si="3"/>
        <v>25</v>
      </c>
      <c r="F49" s="1198"/>
      <c r="G49" s="1199"/>
    </row>
    <row r="52" spans="1:7">
      <c r="B52" s="1190" t="s">
        <v>868</v>
      </c>
      <c r="C52" s="1165"/>
      <c r="D52" s="1165"/>
      <c r="E52" s="1165"/>
      <c r="F52" s="1181"/>
    </row>
    <row r="53" spans="1:7">
      <c r="A53" s="1163" t="s">
        <v>861</v>
      </c>
      <c r="B53" s="1200">
        <v>1</v>
      </c>
      <c r="C53" s="1193">
        <f>B59+1</f>
        <v>8</v>
      </c>
      <c r="D53" s="1201">
        <f>C59+1</f>
        <v>15</v>
      </c>
      <c r="E53" s="1201">
        <f>D59+1</f>
        <v>22</v>
      </c>
      <c r="F53" s="1201">
        <f>E59+1</f>
        <v>29</v>
      </c>
      <c r="G53" s="1194"/>
    </row>
    <row r="54" spans="1:7">
      <c r="A54" s="1163" t="s">
        <v>862</v>
      </c>
      <c r="B54" s="1200">
        <v>2</v>
      </c>
      <c r="C54" s="1193">
        <f>C53+1</f>
        <v>9</v>
      </c>
      <c r="D54" s="1201">
        <f>D53+1</f>
        <v>16</v>
      </c>
      <c r="E54" s="1201">
        <f t="shared" ref="E54:F59" si="5">E53+1</f>
        <v>23</v>
      </c>
      <c r="F54" s="1201">
        <f t="shared" si="5"/>
        <v>30</v>
      </c>
      <c r="G54" s="1194"/>
    </row>
    <row r="55" spans="1:7">
      <c r="A55" s="1163" t="s">
        <v>863</v>
      </c>
      <c r="B55" s="1200">
        <v>3</v>
      </c>
      <c r="C55" s="1193">
        <f t="shared" ref="C55:D59" si="6">C54+1</f>
        <v>10</v>
      </c>
      <c r="D55" s="1201">
        <f t="shared" si="6"/>
        <v>17</v>
      </c>
      <c r="E55" s="1201">
        <f t="shared" si="5"/>
        <v>24</v>
      </c>
      <c r="F55" s="1201"/>
      <c r="G55" s="1194"/>
    </row>
    <row r="56" spans="1:7">
      <c r="A56" s="1163" t="s">
        <v>864</v>
      </c>
      <c r="B56" s="1202">
        <v>4</v>
      </c>
      <c r="C56" s="1193">
        <f t="shared" si="6"/>
        <v>11</v>
      </c>
      <c r="D56" s="1201">
        <f t="shared" si="6"/>
        <v>18</v>
      </c>
      <c r="E56" s="1201">
        <f t="shared" si="5"/>
        <v>25</v>
      </c>
      <c r="F56" s="1201"/>
      <c r="G56" s="1194"/>
    </row>
    <row r="57" spans="1:7">
      <c r="A57" s="1163" t="s">
        <v>865</v>
      </c>
      <c r="B57" s="1200">
        <v>5</v>
      </c>
      <c r="C57" s="1193">
        <f t="shared" si="6"/>
        <v>12</v>
      </c>
      <c r="D57" s="1201">
        <f t="shared" si="6"/>
        <v>19</v>
      </c>
      <c r="E57" s="1201">
        <f t="shared" si="5"/>
        <v>26</v>
      </c>
      <c r="F57" s="1201"/>
      <c r="G57" s="1194"/>
    </row>
    <row r="58" spans="1:7">
      <c r="A58" s="1195" t="s">
        <v>866</v>
      </c>
      <c r="B58" s="1202">
        <v>6</v>
      </c>
      <c r="C58" s="1198">
        <f t="shared" si="6"/>
        <v>13</v>
      </c>
      <c r="D58" s="1197">
        <f t="shared" si="6"/>
        <v>20</v>
      </c>
      <c r="E58" s="1197">
        <f t="shared" si="5"/>
        <v>27</v>
      </c>
      <c r="F58" s="1197"/>
      <c r="G58" s="1199"/>
    </row>
    <row r="59" spans="1:7">
      <c r="A59" s="1195" t="s">
        <v>867</v>
      </c>
      <c r="B59" s="1202">
        <v>7</v>
      </c>
      <c r="C59" s="1198">
        <f t="shared" si="6"/>
        <v>14</v>
      </c>
      <c r="D59" s="1197">
        <f t="shared" si="6"/>
        <v>21</v>
      </c>
      <c r="E59" s="1197">
        <f t="shared" si="5"/>
        <v>28</v>
      </c>
      <c r="F59" s="1197"/>
      <c r="G59" s="1199"/>
    </row>
  </sheetData>
  <mergeCells count="2">
    <mergeCell ref="B3:B4"/>
    <mergeCell ref="C3:E3"/>
  </mergeCells>
  <conditionalFormatting sqref="C35:F35">
    <cfRule type="cellIs" dxfId="81" priority="19" operator="equal">
      <formula>FALSE</formula>
    </cfRule>
  </conditionalFormatting>
  <conditionalFormatting sqref="B35">
    <cfRule type="cellIs" dxfId="80" priority="16" operator="equal">
      <formula>FALSE</formula>
    </cfRule>
  </conditionalFormatting>
  <conditionalFormatting sqref="K4:U4">
    <cfRule type="cellIs" dxfId="79" priority="15" operator="equal">
      <formula>0</formula>
    </cfRule>
  </conditionalFormatting>
  <conditionalFormatting sqref="J5:U6">
    <cfRule type="cellIs" dxfId="78" priority="14" operator="equal">
      <formula>0</formula>
    </cfRule>
  </conditionalFormatting>
  <conditionalFormatting sqref="V4">
    <cfRule type="cellIs" dxfId="77" priority="13" operator="equal">
      <formula>0</formula>
    </cfRule>
  </conditionalFormatting>
  <conditionalFormatting sqref="V5:V6">
    <cfRule type="cellIs" dxfId="76" priority="12" operator="equal">
      <formula>0</formula>
    </cfRule>
  </conditionalFormatting>
  <conditionalFormatting sqref="V3">
    <cfRule type="cellIs" dxfId="75" priority="11" operator="equal">
      <formula>0</formula>
    </cfRule>
  </conditionalFormatting>
  <conditionalFormatting sqref="J7:U7">
    <cfRule type="cellIs" dxfId="74" priority="10" operator="equal">
      <formula>0</formula>
    </cfRule>
  </conditionalFormatting>
  <conditionalFormatting sqref="V7">
    <cfRule type="cellIs" dxfId="73" priority="9" operator="equal">
      <formula>0</formula>
    </cfRule>
  </conditionalFormatting>
  <conditionalFormatting sqref="J8:T8">
    <cfRule type="cellIs" dxfId="72" priority="8" operator="equal">
      <formula>0</formula>
    </cfRule>
  </conditionalFormatting>
  <conditionalFormatting sqref="J9:T9">
    <cfRule type="cellIs" dxfId="71" priority="7" operator="equal">
      <formula>0</formula>
    </cfRule>
  </conditionalFormatting>
  <conditionalFormatting sqref="M11 J10:S10 U10">
    <cfRule type="cellIs" dxfId="70" priority="6" operator="equal">
      <formula>0</formula>
    </cfRule>
  </conditionalFormatting>
  <conditionalFormatting sqref="J11:L11 N11:S11 U11">
    <cfRule type="cellIs" dxfId="69" priority="5" operator="equal">
      <formula>0</formula>
    </cfRule>
  </conditionalFormatting>
  <conditionalFormatting sqref="U8">
    <cfRule type="cellIs" dxfId="68" priority="4" operator="equal">
      <formula>0</formula>
    </cfRule>
  </conditionalFormatting>
  <conditionalFormatting sqref="U9">
    <cfRule type="cellIs" dxfId="67" priority="3" operator="equal">
      <formula>0</formula>
    </cfRule>
  </conditionalFormatting>
  <conditionalFormatting sqref="V8:V11">
    <cfRule type="cellIs" dxfId="66" priority="2" operator="equal">
      <formula>0</formula>
    </cfRule>
  </conditionalFormatting>
  <conditionalFormatting sqref="T10:T11">
    <cfRule type="cellIs" dxfId="65" priority="1" operator="equal">
      <formula>0</formula>
    </cfRule>
  </conditionalFormatting>
  <hyperlinks>
    <hyperlink ref="B25" r:id="rId1"/>
  </hyperlinks>
  <pageMargins left="0.7" right="0.7" top="0.75" bottom="0.75" header="0.3" footer="0.3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67"/>
  <sheetViews>
    <sheetView showGridLines="0" zoomScale="85" zoomScaleNormal="85" workbookViewId="0">
      <pane ySplit="1" topLeftCell="A23" activePane="bottomLeft" state="frozen"/>
      <selection pane="bottomLeft" activeCell="D74" sqref="D74"/>
    </sheetView>
  </sheetViews>
  <sheetFormatPr defaultColWidth="9.140625" defaultRowHeight="15" customHeight="1" outlineLevelRow="1" outlineLevelCol="1"/>
  <cols>
    <col min="1" max="1" width="10.7109375" style="1258" bestFit="1" customWidth="1"/>
    <col min="2" max="2" width="18.85546875" style="1287" customWidth="1"/>
    <col min="3" max="3" width="39.140625" style="1258" customWidth="1"/>
    <col min="4" max="4" width="11.140625" style="1258" customWidth="1"/>
    <col min="5" max="5" width="9.85546875" style="1258" hidden="1" customWidth="1" outlineLevel="1" collapsed="1"/>
    <col min="6" max="7" width="9.85546875" style="1258" hidden="1" customWidth="1" outlineLevel="1"/>
    <col min="8" max="8" width="13.140625" style="1258" customWidth="1" collapsed="1"/>
    <col min="9" max="10" width="12" style="1258" customWidth="1"/>
    <col min="11" max="27" width="10.5703125" style="1258" customWidth="1"/>
    <col min="28" max="28" width="3.7109375" style="1258" customWidth="1"/>
    <col min="29" max="29" width="10" style="1258" customWidth="1"/>
    <col min="30" max="33" width="10.28515625" style="1258" bestFit="1" customWidth="1"/>
    <col min="34" max="53" width="10.7109375" style="1258" customWidth="1"/>
    <col min="54" max="54" width="10.7109375" style="1258" bestFit="1" customWidth="1"/>
    <col min="55" max="16384" width="9.140625" style="1258"/>
  </cols>
  <sheetData>
    <row r="1" spans="1:28" ht="15.75">
      <c r="A1" s="1253">
        <v>0</v>
      </c>
      <c r="B1" s="1254"/>
      <c r="C1" s="1255"/>
      <c r="D1" s="1256"/>
      <c r="E1" s="1255">
        <f>Вводные!D5</f>
        <v>2022</v>
      </c>
      <c r="F1" s="1255">
        <f>E1+1</f>
        <v>2023</v>
      </c>
      <c r="G1" s="1255">
        <f t="shared" ref="G1:AA1" si="0">F1+1</f>
        <v>2024</v>
      </c>
      <c r="H1" s="1255">
        <f t="shared" si="0"/>
        <v>2025</v>
      </c>
      <c r="I1" s="1255">
        <f>H1+1</f>
        <v>2026</v>
      </c>
      <c r="J1" s="1255">
        <f t="shared" si="0"/>
        <v>2027</v>
      </c>
      <c r="K1" s="1255">
        <f t="shared" si="0"/>
        <v>2028</v>
      </c>
      <c r="L1" s="1255">
        <f t="shared" si="0"/>
        <v>2029</v>
      </c>
      <c r="M1" s="1255">
        <f t="shared" si="0"/>
        <v>2030</v>
      </c>
      <c r="N1" s="1255">
        <f t="shared" si="0"/>
        <v>2031</v>
      </c>
      <c r="O1" s="1255">
        <f t="shared" si="0"/>
        <v>2032</v>
      </c>
      <c r="P1" s="1255">
        <f t="shared" si="0"/>
        <v>2033</v>
      </c>
      <c r="Q1" s="1255">
        <f t="shared" si="0"/>
        <v>2034</v>
      </c>
      <c r="R1" s="1255">
        <f t="shared" si="0"/>
        <v>2035</v>
      </c>
      <c r="S1" s="1255">
        <f t="shared" si="0"/>
        <v>2036</v>
      </c>
      <c r="T1" s="1255">
        <f t="shared" si="0"/>
        <v>2037</v>
      </c>
      <c r="U1" s="1255">
        <f t="shared" si="0"/>
        <v>2038</v>
      </c>
      <c r="V1" s="1255">
        <f t="shared" si="0"/>
        <v>2039</v>
      </c>
      <c r="W1" s="1255">
        <f t="shared" si="0"/>
        <v>2040</v>
      </c>
      <c r="X1" s="1255">
        <f t="shared" si="0"/>
        <v>2041</v>
      </c>
      <c r="Y1" s="1255">
        <f t="shared" si="0"/>
        <v>2042</v>
      </c>
      <c r="Z1" s="1255">
        <f t="shared" si="0"/>
        <v>2043</v>
      </c>
      <c r="AA1" s="1255">
        <f t="shared" si="0"/>
        <v>2044</v>
      </c>
      <c r="AB1" s="1257"/>
    </row>
    <row r="2" spans="1:28" ht="15.75" customHeight="1">
      <c r="A2" s="1259"/>
      <c r="B2" s="1260"/>
      <c r="C2" s="1261" t="s">
        <v>9</v>
      </c>
      <c r="D2" s="1262"/>
      <c r="E2" s="1263"/>
      <c r="F2" s="1263"/>
      <c r="G2" s="1263"/>
      <c r="H2" s="1265">
        <v>365</v>
      </c>
      <c r="I2" s="1265">
        <f>H2</f>
        <v>365</v>
      </c>
      <c r="J2" s="1265">
        <f>I2</f>
        <v>365</v>
      </c>
      <c r="K2" s="1264">
        <v>366</v>
      </c>
      <c r="L2" s="1265">
        <f>H2</f>
        <v>365</v>
      </c>
      <c r="M2" s="1265">
        <f t="shared" ref="M2:AA2" si="1">I2</f>
        <v>365</v>
      </c>
      <c r="N2" s="1265">
        <f t="shared" si="1"/>
        <v>365</v>
      </c>
      <c r="O2" s="1265">
        <f t="shared" si="1"/>
        <v>366</v>
      </c>
      <c r="P2" s="1265">
        <f t="shared" si="1"/>
        <v>365</v>
      </c>
      <c r="Q2" s="1265">
        <f t="shared" si="1"/>
        <v>365</v>
      </c>
      <c r="R2" s="1265">
        <f t="shared" si="1"/>
        <v>365</v>
      </c>
      <c r="S2" s="1265">
        <f t="shared" si="1"/>
        <v>366</v>
      </c>
      <c r="T2" s="1265">
        <f t="shared" si="1"/>
        <v>365</v>
      </c>
      <c r="U2" s="1265">
        <f t="shared" si="1"/>
        <v>365</v>
      </c>
      <c r="V2" s="1265">
        <f t="shared" si="1"/>
        <v>365</v>
      </c>
      <c r="W2" s="1265">
        <f t="shared" si="1"/>
        <v>366</v>
      </c>
      <c r="X2" s="1265">
        <f t="shared" si="1"/>
        <v>365</v>
      </c>
      <c r="Y2" s="1265">
        <f t="shared" si="1"/>
        <v>365</v>
      </c>
      <c r="Z2" s="1265">
        <f t="shared" si="1"/>
        <v>365</v>
      </c>
      <c r="AA2" s="1265">
        <f t="shared" si="1"/>
        <v>366</v>
      </c>
      <c r="AB2" s="1257"/>
    </row>
    <row r="3" spans="1:28" ht="15.75">
      <c r="A3" s="1259"/>
      <c r="B3" s="1266"/>
      <c r="C3" s="1261" t="s">
        <v>37</v>
      </c>
      <c r="D3" s="1267"/>
      <c r="E3" s="1263"/>
      <c r="F3" s="1263"/>
      <c r="G3" s="1263"/>
      <c r="H3" s="1264">
        <v>12</v>
      </c>
      <c r="I3" s="1265">
        <f>H3</f>
        <v>12</v>
      </c>
      <c r="J3" s="1265">
        <f>I3</f>
        <v>12</v>
      </c>
      <c r="K3" s="1265">
        <f t="shared" ref="K3:AA3" si="2">J3</f>
        <v>12</v>
      </c>
      <c r="L3" s="1265">
        <f t="shared" si="2"/>
        <v>12</v>
      </c>
      <c r="M3" s="1265">
        <f t="shared" si="2"/>
        <v>12</v>
      </c>
      <c r="N3" s="1265">
        <f t="shared" si="2"/>
        <v>12</v>
      </c>
      <c r="O3" s="1265">
        <f t="shared" si="2"/>
        <v>12</v>
      </c>
      <c r="P3" s="1265">
        <f t="shared" si="2"/>
        <v>12</v>
      </c>
      <c r="Q3" s="1265">
        <f t="shared" si="2"/>
        <v>12</v>
      </c>
      <c r="R3" s="1265">
        <f t="shared" si="2"/>
        <v>12</v>
      </c>
      <c r="S3" s="1265">
        <f t="shared" si="2"/>
        <v>12</v>
      </c>
      <c r="T3" s="1265">
        <f t="shared" si="2"/>
        <v>12</v>
      </c>
      <c r="U3" s="1265">
        <f t="shared" si="2"/>
        <v>12</v>
      </c>
      <c r="V3" s="1265">
        <f t="shared" si="2"/>
        <v>12</v>
      </c>
      <c r="W3" s="1265">
        <f t="shared" si="2"/>
        <v>12</v>
      </c>
      <c r="X3" s="1265">
        <f t="shared" si="2"/>
        <v>12</v>
      </c>
      <c r="Y3" s="1265">
        <f t="shared" si="2"/>
        <v>12</v>
      </c>
      <c r="Z3" s="1265">
        <f t="shared" si="2"/>
        <v>12</v>
      </c>
      <c r="AA3" s="1265">
        <f t="shared" si="2"/>
        <v>12</v>
      </c>
      <c r="AB3" s="1257"/>
    </row>
    <row r="4" spans="1:28" ht="15.75">
      <c r="A4" s="1259"/>
      <c r="B4" s="1266"/>
      <c r="C4" s="1261" t="s">
        <v>5</v>
      </c>
      <c r="D4" s="1267"/>
      <c r="E4" s="1268">
        <f>LOOKUP(E1,CPI!3:3,CPI!5:5)</f>
        <v>1.04</v>
      </c>
      <c r="F4" s="1268">
        <f>LOOKUP(F1,CPI!3:3,CPI!5:5)</f>
        <v>1.0816000000000001</v>
      </c>
      <c r="G4" s="1268">
        <f>LOOKUP(G1,CPI!3:3,CPI!5:5)</f>
        <v>1.1248640000000001</v>
      </c>
      <c r="H4" s="1268">
        <f>LOOKUP(H1,CPI!3:3,CPI!5:5)</f>
        <v>1.1698585600000002</v>
      </c>
      <c r="I4" s="1268">
        <f>LOOKUP(I1,CPI!3:3,CPI!5:5)</f>
        <v>1.2166529024000003</v>
      </c>
      <c r="J4" s="1268">
        <f>LOOKUP(J1,CPI!3:3,CPI!5:5)</f>
        <v>1.2653190184960004</v>
      </c>
      <c r="K4" s="1268">
        <f>LOOKUP(K1,CPI!3:3,CPI!5:5)</f>
        <v>1.3159317792358405</v>
      </c>
      <c r="L4" s="1268">
        <f>LOOKUP(L1,CPI!3:3,CPI!5:5)</f>
        <v>1.3685690504052741</v>
      </c>
      <c r="M4" s="1268">
        <f>LOOKUP(M1,CPI!3:3,CPI!5:5)</f>
        <v>1.4233118124214852</v>
      </c>
      <c r="N4" s="1268">
        <f>LOOKUP(N1,CPI!3:3,CPI!5:5)</f>
        <v>1.4802442849183446</v>
      </c>
      <c r="O4" s="1268">
        <f>LOOKUP(O1,CPI!3:3,CPI!5:5)</f>
        <v>1.5394540563150785</v>
      </c>
      <c r="P4" s="1268">
        <f>LOOKUP(P1,CPI!3:3,CPI!5:5)</f>
        <v>1.6010322185676817</v>
      </c>
      <c r="Q4" s="1268">
        <f>LOOKUP(Q1,CPI!3:3,CPI!5:5)</f>
        <v>1.6650735073103891</v>
      </c>
      <c r="R4" s="1268">
        <f>LOOKUP(R1,CPI!3:3,CPI!5:5)</f>
        <v>1.7316764476028046</v>
      </c>
      <c r="S4" s="1268">
        <f>LOOKUP(S1,CPI!3:3,CPI!5:5)</f>
        <v>1.8009435055069167</v>
      </c>
      <c r="T4" s="1268">
        <f>LOOKUP(T1,CPI!3:3,CPI!5:5)</f>
        <v>1.8729812457271935</v>
      </c>
      <c r="U4" s="1268">
        <f>LOOKUP(U1,CPI!3:3,CPI!5:5)</f>
        <v>1.9479004955562813</v>
      </c>
      <c r="V4" s="1268">
        <f>LOOKUP(V1,CPI!3:3,CPI!5:5)</f>
        <v>2.0258165153785326</v>
      </c>
      <c r="W4" s="1268">
        <f>LOOKUP(W1,CPI!3:3,CPI!5:5)</f>
        <v>2.1068491759936738</v>
      </c>
      <c r="X4" s="1268">
        <f>LOOKUP(X1,CPI!3:3,CPI!5:5)</f>
        <v>2.1911231430334208</v>
      </c>
      <c r="Y4" s="1268">
        <f>LOOKUP(Y1,CPI!3:3,CPI!5:5)</f>
        <v>2.2787680687547578</v>
      </c>
      <c r="Z4" s="1268">
        <f>LOOKUP(Z1,CPI!3:3,CPI!5:5)</f>
        <v>2.369918791504948</v>
      </c>
      <c r="AA4" s="1268">
        <f>LOOKUP(AA1,CPI!3:3,CPI!5:5)</f>
        <v>2.4647155431651462</v>
      </c>
      <c r="AB4" s="1257"/>
    </row>
    <row r="5" spans="1:28" ht="15.75">
      <c r="A5" s="1259"/>
      <c r="B5" s="1258"/>
      <c r="AB5" s="1257"/>
    </row>
    <row r="6" spans="1:28" ht="15" customHeight="1">
      <c r="A6" s="1259"/>
      <c r="B6" s="1269" t="s">
        <v>889</v>
      </c>
      <c r="C6" s="1270"/>
      <c r="D6" s="1271"/>
      <c r="E6" s="1270"/>
      <c r="F6" s="1270"/>
      <c r="G6" s="1270"/>
      <c r="H6" s="1270"/>
      <c r="I6" s="1270"/>
      <c r="J6" s="1270"/>
      <c r="K6" s="1270"/>
      <c r="L6" s="1270"/>
      <c r="M6" s="1270"/>
      <c r="N6" s="1270"/>
      <c r="O6" s="1270"/>
      <c r="P6" s="1270"/>
      <c r="Q6" s="1270"/>
      <c r="R6" s="1270"/>
      <c r="S6" s="1270"/>
      <c r="T6" s="1270"/>
      <c r="U6" s="1270"/>
      <c r="V6" s="1270"/>
      <c r="W6" s="1270"/>
      <c r="X6" s="1270"/>
      <c r="Y6" s="1270"/>
      <c r="Z6" s="1270"/>
      <c r="AA6" s="1270"/>
      <c r="AB6" s="1257"/>
    </row>
    <row r="7" spans="1:28" ht="39">
      <c r="A7" s="1272"/>
      <c r="B7" s="1859" t="s">
        <v>890</v>
      </c>
      <c r="C7" s="1274" t="s">
        <v>891</v>
      </c>
      <c r="D7" s="1275" t="s">
        <v>892</v>
      </c>
      <c r="E7" s="1255">
        <f t="shared" ref="E7:Z7" si="3">E1</f>
        <v>2022</v>
      </c>
      <c r="F7" s="1255">
        <f t="shared" si="3"/>
        <v>2023</v>
      </c>
      <c r="G7" s="1255">
        <f t="shared" si="3"/>
        <v>2024</v>
      </c>
      <c r="H7" s="1255">
        <f t="shared" si="3"/>
        <v>2025</v>
      </c>
      <c r="I7" s="1255">
        <f t="shared" si="3"/>
        <v>2026</v>
      </c>
      <c r="J7" s="1255">
        <f t="shared" si="3"/>
        <v>2027</v>
      </c>
      <c r="K7" s="1255">
        <f t="shared" si="3"/>
        <v>2028</v>
      </c>
      <c r="L7" s="1255">
        <f t="shared" si="3"/>
        <v>2029</v>
      </c>
      <c r="M7" s="1255">
        <f t="shared" si="3"/>
        <v>2030</v>
      </c>
      <c r="N7" s="1255">
        <f t="shared" si="3"/>
        <v>2031</v>
      </c>
      <c r="O7" s="1255">
        <f t="shared" si="3"/>
        <v>2032</v>
      </c>
      <c r="P7" s="1255">
        <f t="shared" si="3"/>
        <v>2033</v>
      </c>
      <c r="Q7" s="1255">
        <f t="shared" si="3"/>
        <v>2034</v>
      </c>
      <c r="R7" s="1255">
        <f t="shared" si="3"/>
        <v>2035</v>
      </c>
      <c r="S7" s="1255">
        <f t="shared" si="3"/>
        <v>2036</v>
      </c>
      <c r="T7" s="1255">
        <f t="shared" si="3"/>
        <v>2037</v>
      </c>
      <c r="U7" s="1255">
        <f t="shared" si="3"/>
        <v>2038</v>
      </c>
      <c r="V7" s="1255">
        <f t="shared" si="3"/>
        <v>2039</v>
      </c>
      <c r="W7" s="1255">
        <f t="shared" si="3"/>
        <v>2040</v>
      </c>
      <c r="X7" s="1255">
        <f t="shared" si="3"/>
        <v>2041</v>
      </c>
      <c r="Y7" s="1255">
        <f t="shared" si="3"/>
        <v>2042</v>
      </c>
      <c r="Z7" s="1255">
        <f t="shared" si="3"/>
        <v>2043</v>
      </c>
      <c r="AA7" s="1255">
        <f>AA1</f>
        <v>2044</v>
      </c>
      <c r="AB7" s="1257"/>
    </row>
    <row r="8" spans="1:28" ht="15" customHeight="1">
      <c r="A8" s="1276" t="s">
        <v>214</v>
      </c>
      <c r="B8" s="1277" t="s">
        <v>893</v>
      </c>
      <c r="C8" s="1278" t="s">
        <v>48</v>
      </c>
      <c r="D8" s="1279">
        <v>250000</v>
      </c>
      <c r="E8" s="1280"/>
      <c r="F8" s="1281"/>
      <c r="G8" s="1281"/>
      <c r="H8" s="1279">
        <v>1</v>
      </c>
      <c r="I8" s="1279">
        <v>1</v>
      </c>
      <c r="J8" s="1279">
        <v>1</v>
      </c>
      <c r="K8" s="1279">
        <v>1</v>
      </c>
      <c r="L8" s="1280">
        <f t="shared" ref="L8:L25" si="4">K8</f>
        <v>1</v>
      </c>
      <c r="M8" s="1280">
        <f t="shared" ref="M8:M25" si="5">L8</f>
        <v>1</v>
      </c>
      <c r="N8" s="1280">
        <f t="shared" ref="N8:N25" si="6">M8</f>
        <v>1</v>
      </c>
      <c r="O8" s="1280">
        <f t="shared" ref="O8:AA23" si="7">N8</f>
        <v>1</v>
      </c>
      <c r="P8" s="1280">
        <f t="shared" si="7"/>
        <v>1</v>
      </c>
      <c r="Q8" s="1280">
        <f t="shared" si="7"/>
        <v>1</v>
      </c>
      <c r="R8" s="1280">
        <f t="shared" si="7"/>
        <v>1</v>
      </c>
      <c r="S8" s="1280">
        <f t="shared" si="7"/>
        <v>1</v>
      </c>
      <c r="T8" s="1280">
        <f t="shared" si="7"/>
        <v>1</v>
      </c>
      <c r="U8" s="1280">
        <f t="shared" si="7"/>
        <v>1</v>
      </c>
      <c r="V8" s="1280">
        <f t="shared" si="7"/>
        <v>1</v>
      </c>
      <c r="W8" s="1280">
        <f t="shared" si="7"/>
        <v>1</v>
      </c>
      <c r="X8" s="1280">
        <f t="shared" si="7"/>
        <v>1</v>
      </c>
      <c r="Y8" s="1280">
        <f t="shared" si="7"/>
        <v>1</v>
      </c>
      <c r="Z8" s="1280">
        <f t="shared" si="7"/>
        <v>1</v>
      </c>
      <c r="AA8" s="1280">
        <f t="shared" si="7"/>
        <v>1</v>
      </c>
      <c r="AB8" s="1257"/>
    </row>
    <row r="9" spans="1:28" ht="15" customHeight="1">
      <c r="A9" s="1272"/>
      <c r="B9" s="1277" t="s">
        <v>893</v>
      </c>
      <c r="C9" s="1278" t="s">
        <v>49</v>
      </c>
      <c r="D9" s="1279">
        <v>180000</v>
      </c>
      <c r="E9" s="1280"/>
      <c r="F9" s="1281"/>
      <c r="G9" s="1281"/>
      <c r="H9" s="1279">
        <v>1</v>
      </c>
      <c r="I9" s="1279">
        <v>1</v>
      </c>
      <c r="J9" s="1279">
        <v>1</v>
      </c>
      <c r="K9" s="1279">
        <v>1</v>
      </c>
      <c r="L9" s="1280">
        <f t="shared" si="4"/>
        <v>1</v>
      </c>
      <c r="M9" s="1280">
        <f t="shared" si="5"/>
        <v>1</v>
      </c>
      <c r="N9" s="1280">
        <f t="shared" si="6"/>
        <v>1</v>
      </c>
      <c r="O9" s="1280">
        <f t="shared" si="7"/>
        <v>1</v>
      </c>
      <c r="P9" s="1280">
        <f t="shared" si="7"/>
        <v>1</v>
      </c>
      <c r="Q9" s="1280">
        <f t="shared" si="7"/>
        <v>1</v>
      </c>
      <c r="R9" s="1280">
        <f t="shared" si="7"/>
        <v>1</v>
      </c>
      <c r="S9" s="1280">
        <f t="shared" si="7"/>
        <v>1</v>
      </c>
      <c r="T9" s="1280">
        <f t="shared" si="7"/>
        <v>1</v>
      </c>
      <c r="U9" s="1280">
        <f t="shared" si="7"/>
        <v>1</v>
      </c>
      <c r="V9" s="1280">
        <f t="shared" si="7"/>
        <v>1</v>
      </c>
      <c r="W9" s="1280">
        <f t="shared" si="7"/>
        <v>1</v>
      </c>
      <c r="X9" s="1280">
        <f t="shared" si="7"/>
        <v>1</v>
      </c>
      <c r="Y9" s="1280">
        <f t="shared" si="7"/>
        <v>1</v>
      </c>
      <c r="Z9" s="1280">
        <f t="shared" si="7"/>
        <v>1</v>
      </c>
      <c r="AA9" s="1280">
        <f t="shared" si="7"/>
        <v>1</v>
      </c>
      <c r="AB9" s="1257"/>
    </row>
    <row r="10" spans="1:28" ht="15" customHeight="1">
      <c r="A10" s="1272"/>
      <c r="B10" s="1277" t="s">
        <v>893</v>
      </c>
      <c r="C10" s="1278" t="s">
        <v>50</v>
      </c>
      <c r="D10" s="1279">
        <v>80000</v>
      </c>
      <c r="E10" s="1280"/>
      <c r="F10" s="1281"/>
      <c r="G10" s="1281"/>
      <c r="H10" s="1279">
        <v>1</v>
      </c>
      <c r="I10" s="1279">
        <v>1</v>
      </c>
      <c r="J10" s="1279">
        <v>1</v>
      </c>
      <c r="K10" s="1279">
        <v>1</v>
      </c>
      <c r="L10" s="1280">
        <f t="shared" si="4"/>
        <v>1</v>
      </c>
      <c r="M10" s="1280">
        <f t="shared" si="5"/>
        <v>1</v>
      </c>
      <c r="N10" s="1280">
        <f t="shared" si="6"/>
        <v>1</v>
      </c>
      <c r="O10" s="1280">
        <f t="shared" si="7"/>
        <v>1</v>
      </c>
      <c r="P10" s="1280">
        <f t="shared" si="7"/>
        <v>1</v>
      </c>
      <c r="Q10" s="1280">
        <f t="shared" si="7"/>
        <v>1</v>
      </c>
      <c r="R10" s="1280">
        <f t="shared" si="7"/>
        <v>1</v>
      </c>
      <c r="S10" s="1280">
        <f t="shared" si="7"/>
        <v>1</v>
      </c>
      <c r="T10" s="1280">
        <f t="shared" si="7"/>
        <v>1</v>
      </c>
      <c r="U10" s="1280">
        <f t="shared" si="7"/>
        <v>1</v>
      </c>
      <c r="V10" s="1280">
        <f t="shared" si="7"/>
        <v>1</v>
      </c>
      <c r="W10" s="1280">
        <f t="shared" si="7"/>
        <v>1</v>
      </c>
      <c r="X10" s="1280">
        <f t="shared" si="7"/>
        <v>1</v>
      </c>
      <c r="Y10" s="1280">
        <f t="shared" si="7"/>
        <v>1</v>
      </c>
      <c r="Z10" s="1280">
        <f t="shared" si="7"/>
        <v>1</v>
      </c>
      <c r="AA10" s="1280">
        <f t="shared" si="7"/>
        <v>1</v>
      </c>
      <c r="AB10" s="1257"/>
    </row>
    <row r="11" spans="1:28" ht="15" customHeight="1">
      <c r="A11" s="1272"/>
      <c r="B11" s="1277" t="s">
        <v>893</v>
      </c>
      <c r="C11" s="1278" t="s">
        <v>51</v>
      </c>
      <c r="D11" s="1279">
        <v>100000</v>
      </c>
      <c r="E11" s="1280"/>
      <c r="F11" s="1281"/>
      <c r="G11" s="1281"/>
      <c r="H11" s="1279">
        <v>1</v>
      </c>
      <c r="I11" s="1279">
        <v>1</v>
      </c>
      <c r="J11" s="1279">
        <v>1</v>
      </c>
      <c r="K11" s="1279">
        <v>1</v>
      </c>
      <c r="L11" s="1280">
        <f t="shared" si="4"/>
        <v>1</v>
      </c>
      <c r="M11" s="1280">
        <f t="shared" si="5"/>
        <v>1</v>
      </c>
      <c r="N11" s="1280">
        <f t="shared" si="6"/>
        <v>1</v>
      </c>
      <c r="O11" s="1280">
        <f t="shared" si="7"/>
        <v>1</v>
      </c>
      <c r="P11" s="1280">
        <f t="shared" si="7"/>
        <v>1</v>
      </c>
      <c r="Q11" s="1280">
        <f t="shared" si="7"/>
        <v>1</v>
      </c>
      <c r="R11" s="1280">
        <f t="shared" si="7"/>
        <v>1</v>
      </c>
      <c r="S11" s="1280">
        <f t="shared" si="7"/>
        <v>1</v>
      </c>
      <c r="T11" s="1280">
        <f t="shared" si="7"/>
        <v>1</v>
      </c>
      <c r="U11" s="1280">
        <f t="shared" si="7"/>
        <v>1</v>
      </c>
      <c r="V11" s="1280">
        <f t="shared" si="7"/>
        <v>1</v>
      </c>
      <c r="W11" s="1280">
        <f t="shared" si="7"/>
        <v>1</v>
      </c>
      <c r="X11" s="1280">
        <f t="shared" si="7"/>
        <v>1</v>
      </c>
      <c r="Y11" s="1280">
        <f t="shared" si="7"/>
        <v>1</v>
      </c>
      <c r="Z11" s="1280">
        <f t="shared" si="7"/>
        <v>1</v>
      </c>
      <c r="AA11" s="1280">
        <f t="shared" si="7"/>
        <v>1</v>
      </c>
      <c r="AB11" s="1257"/>
    </row>
    <row r="12" spans="1:28" ht="15" customHeight="1">
      <c r="A12" s="1272"/>
      <c r="B12" s="1277" t="s">
        <v>893</v>
      </c>
      <c r="C12" s="1278" t="s">
        <v>52</v>
      </c>
      <c r="D12" s="1279">
        <v>45000</v>
      </c>
      <c r="E12" s="1280"/>
      <c r="F12" s="1281"/>
      <c r="G12" s="1281"/>
      <c r="H12" s="1279">
        <v>4</v>
      </c>
      <c r="I12" s="1279">
        <v>4</v>
      </c>
      <c r="J12" s="1279">
        <v>4</v>
      </c>
      <c r="K12" s="1279">
        <v>4</v>
      </c>
      <c r="L12" s="1280">
        <f t="shared" si="4"/>
        <v>4</v>
      </c>
      <c r="M12" s="1280">
        <f t="shared" si="5"/>
        <v>4</v>
      </c>
      <c r="N12" s="1280">
        <f t="shared" si="6"/>
        <v>4</v>
      </c>
      <c r="O12" s="1280">
        <f t="shared" si="7"/>
        <v>4</v>
      </c>
      <c r="P12" s="1280">
        <f t="shared" si="7"/>
        <v>4</v>
      </c>
      <c r="Q12" s="1280">
        <f t="shared" si="7"/>
        <v>4</v>
      </c>
      <c r="R12" s="1280">
        <f t="shared" si="7"/>
        <v>4</v>
      </c>
      <c r="S12" s="1280">
        <f t="shared" si="7"/>
        <v>4</v>
      </c>
      <c r="T12" s="1280">
        <f t="shared" si="7"/>
        <v>4</v>
      </c>
      <c r="U12" s="1280">
        <f t="shared" si="7"/>
        <v>4</v>
      </c>
      <c r="V12" s="1280">
        <f t="shared" si="7"/>
        <v>4</v>
      </c>
      <c r="W12" s="1280">
        <f t="shared" si="7"/>
        <v>4</v>
      </c>
      <c r="X12" s="1280">
        <f t="shared" si="7"/>
        <v>4</v>
      </c>
      <c r="Y12" s="1280">
        <f t="shared" si="7"/>
        <v>4</v>
      </c>
      <c r="Z12" s="1280">
        <f t="shared" si="7"/>
        <v>4</v>
      </c>
      <c r="AA12" s="1280">
        <f t="shared" si="7"/>
        <v>4</v>
      </c>
      <c r="AB12" s="1257"/>
    </row>
    <row r="13" spans="1:28" ht="15" customHeight="1">
      <c r="A13" s="1272"/>
      <c r="B13" s="1277" t="s">
        <v>893</v>
      </c>
      <c r="C13" s="1278" t="s">
        <v>53</v>
      </c>
      <c r="D13" s="1279">
        <v>45000</v>
      </c>
      <c r="E13" s="1280"/>
      <c r="F13" s="1281"/>
      <c r="G13" s="1281"/>
      <c r="H13" s="1279">
        <v>1</v>
      </c>
      <c r="I13" s="1279">
        <v>1</v>
      </c>
      <c r="J13" s="1279">
        <v>1</v>
      </c>
      <c r="K13" s="1279">
        <v>1</v>
      </c>
      <c r="L13" s="1280">
        <f t="shared" si="4"/>
        <v>1</v>
      </c>
      <c r="M13" s="1280">
        <f t="shared" si="5"/>
        <v>1</v>
      </c>
      <c r="N13" s="1280">
        <f t="shared" si="6"/>
        <v>1</v>
      </c>
      <c r="O13" s="1280">
        <f t="shared" si="7"/>
        <v>1</v>
      </c>
      <c r="P13" s="1280">
        <f t="shared" si="7"/>
        <v>1</v>
      </c>
      <c r="Q13" s="1280">
        <f t="shared" si="7"/>
        <v>1</v>
      </c>
      <c r="R13" s="1280">
        <f t="shared" si="7"/>
        <v>1</v>
      </c>
      <c r="S13" s="1280">
        <f t="shared" si="7"/>
        <v>1</v>
      </c>
      <c r="T13" s="1280">
        <f t="shared" si="7"/>
        <v>1</v>
      </c>
      <c r="U13" s="1280">
        <f t="shared" si="7"/>
        <v>1</v>
      </c>
      <c r="V13" s="1280">
        <f t="shared" si="7"/>
        <v>1</v>
      </c>
      <c r="W13" s="1280">
        <f t="shared" si="7"/>
        <v>1</v>
      </c>
      <c r="X13" s="1280">
        <f t="shared" si="7"/>
        <v>1</v>
      </c>
      <c r="Y13" s="1280">
        <f t="shared" si="7"/>
        <v>1</v>
      </c>
      <c r="Z13" s="1280">
        <f t="shared" si="7"/>
        <v>1</v>
      </c>
      <c r="AA13" s="1280">
        <f t="shared" si="7"/>
        <v>1</v>
      </c>
      <c r="AB13" s="1257"/>
    </row>
    <row r="14" spans="1:28" ht="15" customHeight="1">
      <c r="A14" s="1272"/>
      <c r="B14" s="1277" t="s">
        <v>893</v>
      </c>
      <c r="C14" s="1278" t="s">
        <v>36</v>
      </c>
      <c r="D14" s="1279">
        <v>35000</v>
      </c>
      <c r="E14" s="1280"/>
      <c r="F14" s="1281"/>
      <c r="G14" s="1281"/>
      <c r="H14" s="1279">
        <v>1</v>
      </c>
      <c r="I14" s="1279">
        <v>1</v>
      </c>
      <c r="J14" s="1279">
        <v>1</v>
      </c>
      <c r="K14" s="1279">
        <v>1</v>
      </c>
      <c r="L14" s="1280">
        <f t="shared" si="4"/>
        <v>1</v>
      </c>
      <c r="M14" s="1280">
        <f t="shared" si="5"/>
        <v>1</v>
      </c>
      <c r="N14" s="1280">
        <f t="shared" si="6"/>
        <v>1</v>
      </c>
      <c r="O14" s="1280">
        <f t="shared" si="7"/>
        <v>1</v>
      </c>
      <c r="P14" s="1280">
        <f t="shared" si="7"/>
        <v>1</v>
      </c>
      <c r="Q14" s="1280">
        <f t="shared" si="7"/>
        <v>1</v>
      </c>
      <c r="R14" s="1280">
        <f t="shared" si="7"/>
        <v>1</v>
      </c>
      <c r="S14" s="1280">
        <f t="shared" si="7"/>
        <v>1</v>
      </c>
      <c r="T14" s="1280">
        <f t="shared" si="7"/>
        <v>1</v>
      </c>
      <c r="U14" s="1280">
        <f t="shared" si="7"/>
        <v>1</v>
      </c>
      <c r="V14" s="1280">
        <f t="shared" si="7"/>
        <v>1</v>
      </c>
      <c r="W14" s="1280">
        <f t="shared" si="7"/>
        <v>1</v>
      </c>
      <c r="X14" s="1280">
        <f t="shared" si="7"/>
        <v>1</v>
      </c>
      <c r="Y14" s="1280">
        <f t="shared" si="7"/>
        <v>1</v>
      </c>
      <c r="Z14" s="1280">
        <f t="shared" si="7"/>
        <v>1</v>
      </c>
      <c r="AA14" s="1280">
        <f t="shared" si="7"/>
        <v>1</v>
      </c>
      <c r="AB14" s="1257"/>
    </row>
    <row r="15" spans="1:28" ht="15" customHeight="1">
      <c r="A15" s="1272"/>
      <c r="B15" s="1277" t="s">
        <v>893</v>
      </c>
      <c r="C15" s="1278" t="s">
        <v>42</v>
      </c>
      <c r="D15" s="1279">
        <v>70000</v>
      </c>
      <c r="E15" s="1280"/>
      <c r="F15" s="1281"/>
      <c r="G15" s="1281"/>
      <c r="H15" s="1279">
        <v>1</v>
      </c>
      <c r="I15" s="1279">
        <v>1</v>
      </c>
      <c r="J15" s="1279">
        <v>1</v>
      </c>
      <c r="K15" s="1279">
        <v>1</v>
      </c>
      <c r="L15" s="1280">
        <f t="shared" si="4"/>
        <v>1</v>
      </c>
      <c r="M15" s="1280">
        <f t="shared" si="5"/>
        <v>1</v>
      </c>
      <c r="N15" s="1280">
        <f t="shared" si="6"/>
        <v>1</v>
      </c>
      <c r="O15" s="1280">
        <f t="shared" si="7"/>
        <v>1</v>
      </c>
      <c r="P15" s="1280">
        <f t="shared" si="7"/>
        <v>1</v>
      </c>
      <c r="Q15" s="1280">
        <f t="shared" si="7"/>
        <v>1</v>
      </c>
      <c r="R15" s="1280">
        <f t="shared" si="7"/>
        <v>1</v>
      </c>
      <c r="S15" s="1280">
        <f t="shared" si="7"/>
        <v>1</v>
      </c>
      <c r="T15" s="1280">
        <f t="shared" si="7"/>
        <v>1</v>
      </c>
      <c r="U15" s="1280">
        <f t="shared" si="7"/>
        <v>1</v>
      </c>
      <c r="V15" s="1280">
        <f t="shared" si="7"/>
        <v>1</v>
      </c>
      <c r="W15" s="1280">
        <f t="shared" si="7"/>
        <v>1</v>
      </c>
      <c r="X15" s="1280">
        <f t="shared" si="7"/>
        <v>1</v>
      </c>
      <c r="Y15" s="1280">
        <f t="shared" si="7"/>
        <v>1</v>
      </c>
      <c r="Z15" s="1280">
        <f t="shared" si="7"/>
        <v>1</v>
      </c>
      <c r="AA15" s="1280">
        <f t="shared" si="7"/>
        <v>1</v>
      </c>
      <c r="AB15" s="1257"/>
    </row>
    <row r="16" spans="1:28" ht="15" customHeight="1">
      <c r="A16" s="1272"/>
      <c r="B16" s="1277" t="s">
        <v>893</v>
      </c>
      <c r="C16" s="1278" t="s">
        <v>894</v>
      </c>
      <c r="D16" s="1279">
        <v>35000</v>
      </c>
      <c r="E16" s="1280"/>
      <c r="F16" s="1281"/>
      <c r="G16" s="1281"/>
      <c r="H16" s="1279">
        <v>6</v>
      </c>
      <c r="I16" s="1279">
        <v>6</v>
      </c>
      <c r="J16" s="1279">
        <v>6</v>
      </c>
      <c r="K16" s="1279">
        <v>6</v>
      </c>
      <c r="L16" s="1280">
        <f t="shared" si="4"/>
        <v>6</v>
      </c>
      <c r="M16" s="1280">
        <f t="shared" si="5"/>
        <v>6</v>
      </c>
      <c r="N16" s="1280">
        <f t="shared" si="6"/>
        <v>6</v>
      </c>
      <c r="O16" s="1280">
        <f t="shared" si="7"/>
        <v>6</v>
      </c>
      <c r="P16" s="1280">
        <f t="shared" si="7"/>
        <v>6</v>
      </c>
      <c r="Q16" s="1280">
        <f t="shared" si="7"/>
        <v>6</v>
      </c>
      <c r="R16" s="1280">
        <f t="shared" si="7"/>
        <v>6</v>
      </c>
      <c r="S16" s="1280">
        <f t="shared" si="7"/>
        <v>6</v>
      </c>
      <c r="T16" s="1280">
        <f t="shared" si="7"/>
        <v>6</v>
      </c>
      <c r="U16" s="1280">
        <f t="shared" si="7"/>
        <v>6</v>
      </c>
      <c r="V16" s="1280">
        <f t="shared" si="7"/>
        <v>6</v>
      </c>
      <c r="W16" s="1280">
        <f t="shared" si="7"/>
        <v>6</v>
      </c>
      <c r="X16" s="1280">
        <f t="shared" si="7"/>
        <v>6</v>
      </c>
      <c r="Y16" s="1280">
        <f t="shared" si="7"/>
        <v>6</v>
      </c>
      <c r="Z16" s="1280">
        <f t="shared" si="7"/>
        <v>6</v>
      </c>
      <c r="AA16" s="1280">
        <f t="shared" si="7"/>
        <v>6</v>
      </c>
      <c r="AB16" s="1257"/>
    </row>
    <row r="17" spans="1:28" ht="15" customHeight="1">
      <c r="A17" s="1272"/>
      <c r="B17" s="1277" t="s">
        <v>893</v>
      </c>
      <c r="C17" s="1277" t="s">
        <v>38</v>
      </c>
      <c r="D17" s="1279">
        <v>70000</v>
      </c>
      <c r="E17" s="1280"/>
      <c r="F17" s="1281"/>
      <c r="G17" s="1281"/>
      <c r="H17" s="1279">
        <v>1</v>
      </c>
      <c r="I17" s="1279">
        <v>1</v>
      </c>
      <c r="J17" s="1279">
        <v>1</v>
      </c>
      <c r="K17" s="1279">
        <v>1</v>
      </c>
      <c r="L17" s="1280">
        <f t="shared" si="4"/>
        <v>1</v>
      </c>
      <c r="M17" s="1280">
        <f t="shared" si="5"/>
        <v>1</v>
      </c>
      <c r="N17" s="1280">
        <f t="shared" si="6"/>
        <v>1</v>
      </c>
      <c r="O17" s="1280">
        <f t="shared" si="7"/>
        <v>1</v>
      </c>
      <c r="P17" s="1280">
        <f t="shared" si="7"/>
        <v>1</v>
      </c>
      <c r="Q17" s="1280">
        <f t="shared" si="7"/>
        <v>1</v>
      </c>
      <c r="R17" s="1280">
        <f t="shared" si="7"/>
        <v>1</v>
      </c>
      <c r="S17" s="1280">
        <f t="shared" si="7"/>
        <v>1</v>
      </c>
      <c r="T17" s="1280">
        <f t="shared" si="7"/>
        <v>1</v>
      </c>
      <c r="U17" s="1280">
        <f t="shared" si="7"/>
        <v>1</v>
      </c>
      <c r="V17" s="1280">
        <f t="shared" si="7"/>
        <v>1</v>
      </c>
      <c r="W17" s="1280">
        <f t="shared" si="7"/>
        <v>1</v>
      </c>
      <c r="X17" s="1280">
        <f t="shared" si="7"/>
        <v>1</v>
      </c>
      <c r="Y17" s="1280">
        <f t="shared" si="7"/>
        <v>1</v>
      </c>
      <c r="Z17" s="1280">
        <f t="shared" si="7"/>
        <v>1</v>
      </c>
      <c r="AA17" s="1280">
        <f t="shared" si="7"/>
        <v>1</v>
      </c>
      <c r="AB17" s="1257"/>
    </row>
    <row r="18" spans="1:28" ht="15" customHeight="1">
      <c r="A18" s="1272"/>
      <c r="B18" s="1277" t="s">
        <v>893</v>
      </c>
      <c r="C18" s="1278" t="s">
        <v>39</v>
      </c>
      <c r="D18" s="1279">
        <v>45000</v>
      </c>
      <c r="E18" s="1280"/>
      <c r="F18" s="1281"/>
      <c r="G18" s="1281"/>
      <c r="H18" s="1279">
        <v>2</v>
      </c>
      <c r="I18" s="1279">
        <v>2</v>
      </c>
      <c r="J18" s="1279">
        <v>2</v>
      </c>
      <c r="K18" s="1279">
        <v>2</v>
      </c>
      <c r="L18" s="1280">
        <f t="shared" si="4"/>
        <v>2</v>
      </c>
      <c r="M18" s="1280">
        <f t="shared" si="5"/>
        <v>2</v>
      </c>
      <c r="N18" s="1280">
        <f t="shared" si="6"/>
        <v>2</v>
      </c>
      <c r="O18" s="1280">
        <f t="shared" si="7"/>
        <v>2</v>
      </c>
      <c r="P18" s="1280">
        <f t="shared" si="7"/>
        <v>2</v>
      </c>
      <c r="Q18" s="1280">
        <f t="shared" si="7"/>
        <v>2</v>
      </c>
      <c r="R18" s="1280">
        <f t="shared" si="7"/>
        <v>2</v>
      </c>
      <c r="S18" s="1280">
        <f t="shared" si="7"/>
        <v>2</v>
      </c>
      <c r="T18" s="1280">
        <f t="shared" si="7"/>
        <v>2</v>
      </c>
      <c r="U18" s="1280">
        <f t="shared" si="7"/>
        <v>2</v>
      </c>
      <c r="V18" s="1280">
        <f t="shared" si="7"/>
        <v>2</v>
      </c>
      <c r="W18" s="1280">
        <f t="shared" si="7"/>
        <v>2</v>
      </c>
      <c r="X18" s="1280">
        <f t="shared" si="7"/>
        <v>2</v>
      </c>
      <c r="Y18" s="1280">
        <f t="shared" si="7"/>
        <v>2</v>
      </c>
      <c r="Z18" s="1280">
        <f t="shared" si="7"/>
        <v>2</v>
      </c>
      <c r="AA18" s="1280">
        <f t="shared" si="7"/>
        <v>2</v>
      </c>
      <c r="AB18" s="1257"/>
    </row>
    <row r="19" spans="1:28" ht="15" customHeight="1">
      <c r="A19" s="1272"/>
      <c r="B19" s="1277" t="s">
        <v>895</v>
      </c>
      <c r="C19" s="1278" t="s">
        <v>32</v>
      </c>
      <c r="D19" s="1279">
        <v>120000</v>
      </c>
      <c r="E19" s="1280"/>
      <c r="F19" s="1281"/>
      <c r="G19" s="1281"/>
      <c r="H19" s="1279">
        <v>1</v>
      </c>
      <c r="I19" s="1279">
        <v>1</v>
      </c>
      <c r="J19" s="1279">
        <v>1</v>
      </c>
      <c r="K19" s="1279">
        <v>1</v>
      </c>
      <c r="L19" s="1280">
        <f t="shared" si="4"/>
        <v>1</v>
      </c>
      <c r="M19" s="1280">
        <f t="shared" si="5"/>
        <v>1</v>
      </c>
      <c r="N19" s="1280">
        <f t="shared" si="6"/>
        <v>1</v>
      </c>
      <c r="O19" s="1280">
        <f t="shared" si="7"/>
        <v>1</v>
      </c>
      <c r="P19" s="1280">
        <f t="shared" si="7"/>
        <v>1</v>
      </c>
      <c r="Q19" s="1280">
        <f t="shared" si="7"/>
        <v>1</v>
      </c>
      <c r="R19" s="1280">
        <f t="shared" si="7"/>
        <v>1</v>
      </c>
      <c r="S19" s="1280">
        <f t="shared" si="7"/>
        <v>1</v>
      </c>
      <c r="T19" s="1280">
        <f t="shared" si="7"/>
        <v>1</v>
      </c>
      <c r="U19" s="1280">
        <f t="shared" si="7"/>
        <v>1</v>
      </c>
      <c r="V19" s="1280">
        <f t="shared" si="7"/>
        <v>1</v>
      </c>
      <c r="W19" s="1280">
        <f t="shared" si="7"/>
        <v>1</v>
      </c>
      <c r="X19" s="1280">
        <f t="shared" si="7"/>
        <v>1</v>
      </c>
      <c r="Y19" s="1280">
        <f t="shared" si="7"/>
        <v>1</v>
      </c>
      <c r="Z19" s="1280">
        <f t="shared" si="7"/>
        <v>1</v>
      </c>
      <c r="AA19" s="1280">
        <f t="shared" si="7"/>
        <v>1</v>
      </c>
      <c r="AB19" s="1257"/>
    </row>
    <row r="20" spans="1:28" ht="15" customHeight="1">
      <c r="A20" s="1272"/>
      <c r="B20" s="1277" t="s">
        <v>895</v>
      </c>
      <c r="C20" s="1278" t="s">
        <v>54</v>
      </c>
      <c r="D20" s="1279">
        <v>60000</v>
      </c>
      <c r="E20" s="1280"/>
      <c r="F20" s="1281"/>
      <c r="G20" s="1281"/>
      <c r="H20" s="1279">
        <v>1</v>
      </c>
      <c r="I20" s="1279">
        <v>1</v>
      </c>
      <c r="J20" s="1279">
        <v>1</v>
      </c>
      <c r="K20" s="1279">
        <v>1</v>
      </c>
      <c r="L20" s="1280">
        <f t="shared" si="4"/>
        <v>1</v>
      </c>
      <c r="M20" s="1280">
        <f t="shared" si="5"/>
        <v>1</v>
      </c>
      <c r="N20" s="1280">
        <f t="shared" si="6"/>
        <v>1</v>
      </c>
      <c r="O20" s="1280">
        <f t="shared" si="7"/>
        <v>1</v>
      </c>
      <c r="P20" s="1280">
        <f t="shared" si="7"/>
        <v>1</v>
      </c>
      <c r="Q20" s="1280">
        <f t="shared" si="7"/>
        <v>1</v>
      </c>
      <c r="R20" s="1280">
        <f t="shared" si="7"/>
        <v>1</v>
      </c>
      <c r="S20" s="1280">
        <f t="shared" si="7"/>
        <v>1</v>
      </c>
      <c r="T20" s="1280">
        <f t="shared" si="7"/>
        <v>1</v>
      </c>
      <c r="U20" s="1280">
        <f t="shared" si="7"/>
        <v>1</v>
      </c>
      <c r="V20" s="1280">
        <f t="shared" si="7"/>
        <v>1</v>
      </c>
      <c r="W20" s="1280">
        <f t="shared" si="7"/>
        <v>1</v>
      </c>
      <c r="X20" s="1280">
        <f t="shared" si="7"/>
        <v>1</v>
      </c>
      <c r="Y20" s="1280">
        <f t="shared" si="7"/>
        <v>1</v>
      </c>
      <c r="Z20" s="1280">
        <f t="shared" si="7"/>
        <v>1</v>
      </c>
      <c r="AA20" s="1280">
        <f t="shared" si="7"/>
        <v>1</v>
      </c>
      <c r="AB20" s="1257"/>
    </row>
    <row r="21" spans="1:28" ht="15" customHeight="1">
      <c r="A21" s="1272"/>
      <c r="B21" s="1277" t="s">
        <v>895</v>
      </c>
      <c r="C21" s="1278" t="s">
        <v>44</v>
      </c>
      <c r="D21" s="1279">
        <v>60000</v>
      </c>
      <c r="E21" s="1280"/>
      <c r="F21" s="1281"/>
      <c r="G21" s="1281"/>
      <c r="H21" s="1279">
        <v>2</v>
      </c>
      <c r="I21" s="1279">
        <v>2</v>
      </c>
      <c r="J21" s="1279">
        <v>2</v>
      </c>
      <c r="K21" s="1279">
        <v>2</v>
      </c>
      <c r="L21" s="1280">
        <f t="shared" si="4"/>
        <v>2</v>
      </c>
      <c r="M21" s="1280">
        <f t="shared" si="5"/>
        <v>2</v>
      </c>
      <c r="N21" s="1280">
        <f t="shared" si="6"/>
        <v>2</v>
      </c>
      <c r="O21" s="1280">
        <f t="shared" si="7"/>
        <v>2</v>
      </c>
      <c r="P21" s="1280">
        <f t="shared" si="7"/>
        <v>2</v>
      </c>
      <c r="Q21" s="1280">
        <f t="shared" si="7"/>
        <v>2</v>
      </c>
      <c r="R21" s="1280">
        <f t="shared" si="7"/>
        <v>2</v>
      </c>
      <c r="S21" s="1280">
        <f t="shared" si="7"/>
        <v>2</v>
      </c>
      <c r="T21" s="1280">
        <f t="shared" si="7"/>
        <v>2</v>
      </c>
      <c r="U21" s="1280">
        <f t="shared" si="7"/>
        <v>2</v>
      </c>
      <c r="V21" s="1280">
        <f t="shared" si="7"/>
        <v>2</v>
      </c>
      <c r="W21" s="1280">
        <f t="shared" si="7"/>
        <v>2</v>
      </c>
      <c r="X21" s="1280">
        <f t="shared" si="7"/>
        <v>2</v>
      </c>
      <c r="Y21" s="1280">
        <f t="shared" si="7"/>
        <v>2</v>
      </c>
      <c r="Z21" s="1280">
        <f t="shared" si="7"/>
        <v>2</v>
      </c>
      <c r="AA21" s="1280">
        <f t="shared" si="7"/>
        <v>2</v>
      </c>
      <c r="AB21" s="1257"/>
    </row>
    <row r="22" spans="1:28" ht="15" customHeight="1">
      <c r="A22" s="1272"/>
      <c r="B22" s="1277" t="s">
        <v>895</v>
      </c>
      <c r="C22" s="1278" t="s">
        <v>40</v>
      </c>
      <c r="D22" s="1279">
        <v>45000</v>
      </c>
      <c r="E22" s="1280"/>
      <c r="F22" s="1281"/>
      <c r="G22" s="1281"/>
      <c r="H22" s="1279">
        <v>2</v>
      </c>
      <c r="I22" s="1279">
        <v>2</v>
      </c>
      <c r="J22" s="1279">
        <v>2</v>
      </c>
      <c r="K22" s="1279">
        <v>2</v>
      </c>
      <c r="L22" s="1280">
        <f t="shared" si="4"/>
        <v>2</v>
      </c>
      <c r="M22" s="1280">
        <f t="shared" si="5"/>
        <v>2</v>
      </c>
      <c r="N22" s="1280">
        <f t="shared" si="6"/>
        <v>2</v>
      </c>
      <c r="O22" s="1280">
        <f t="shared" si="7"/>
        <v>2</v>
      </c>
      <c r="P22" s="1280">
        <f t="shared" si="7"/>
        <v>2</v>
      </c>
      <c r="Q22" s="1280">
        <f t="shared" si="7"/>
        <v>2</v>
      </c>
      <c r="R22" s="1280">
        <f t="shared" si="7"/>
        <v>2</v>
      </c>
      <c r="S22" s="1280">
        <f t="shared" si="7"/>
        <v>2</v>
      </c>
      <c r="T22" s="1280">
        <f t="shared" si="7"/>
        <v>2</v>
      </c>
      <c r="U22" s="1280">
        <f t="shared" si="7"/>
        <v>2</v>
      </c>
      <c r="V22" s="1280">
        <f t="shared" si="7"/>
        <v>2</v>
      </c>
      <c r="W22" s="1280">
        <f t="shared" si="7"/>
        <v>2</v>
      </c>
      <c r="X22" s="1280">
        <f t="shared" si="7"/>
        <v>2</v>
      </c>
      <c r="Y22" s="1280">
        <f t="shared" si="7"/>
        <v>2</v>
      </c>
      <c r="Z22" s="1280">
        <f t="shared" si="7"/>
        <v>2</v>
      </c>
      <c r="AA22" s="1280">
        <f t="shared" si="7"/>
        <v>2</v>
      </c>
      <c r="AB22" s="1257"/>
    </row>
    <row r="23" spans="1:28" ht="15" customHeight="1">
      <c r="A23" s="1272"/>
      <c r="B23" s="1277" t="s">
        <v>895</v>
      </c>
      <c r="C23" s="1278" t="s">
        <v>896</v>
      </c>
      <c r="D23" s="1279">
        <v>25000</v>
      </c>
      <c r="E23" s="1280"/>
      <c r="F23" s="1281"/>
      <c r="G23" s="1281"/>
      <c r="H23" s="1279">
        <v>1</v>
      </c>
      <c r="I23" s="1279">
        <v>1</v>
      </c>
      <c r="J23" s="1279">
        <v>1</v>
      </c>
      <c r="K23" s="1279">
        <v>1</v>
      </c>
      <c r="L23" s="1280">
        <f t="shared" si="4"/>
        <v>1</v>
      </c>
      <c r="M23" s="1280">
        <f t="shared" si="5"/>
        <v>1</v>
      </c>
      <c r="N23" s="1280">
        <f t="shared" si="6"/>
        <v>1</v>
      </c>
      <c r="O23" s="1280">
        <f t="shared" si="7"/>
        <v>1</v>
      </c>
      <c r="P23" s="1280">
        <f t="shared" si="7"/>
        <v>1</v>
      </c>
      <c r="Q23" s="1280">
        <f t="shared" si="7"/>
        <v>1</v>
      </c>
      <c r="R23" s="1280">
        <f t="shared" si="7"/>
        <v>1</v>
      </c>
      <c r="S23" s="1280">
        <f t="shared" si="7"/>
        <v>1</v>
      </c>
      <c r="T23" s="1280">
        <f t="shared" si="7"/>
        <v>1</v>
      </c>
      <c r="U23" s="1280">
        <f t="shared" si="7"/>
        <v>1</v>
      </c>
      <c r="V23" s="1280">
        <f t="shared" si="7"/>
        <v>1</v>
      </c>
      <c r="W23" s="1280">
        <f t="shared" si="7"/>
        <v>1</v>
      </c>
      <c r="X23" s="1280">
        <f t="shared" si="7"/>
        <v>1</v>
      </c>
      <c r="Y23" s="1280">
        <f t="shared" si="7"/>
        <v>1</v>
      </c>
      <c r="Z23" s="1280">
        <f t="shared" si="7"/>
        <v>1</v>
      </c>
      <c r="AA23" s="1280">
        <f t="shared" si="7"/>
        <v>1</v>
      </c>
      <c r="AB23" s="1257"/>
    </row>
    <row r="24" spans="1:28" ht="15" customHeight="1">
      <c r="A24" s="1272"/>
      <c r="B24" s="1277" t="s">
        <v>897</v>
      </c>
      <c r="C24" s="1278" t="s">
        <v>47</v>
      </c>
      <c r="D24" s="1279">
        <v>180000</v>
      </c>
      <c r="E24" s="1280"/>
      <c r="F24" s="1281"/>
      <c r="G24" s="1281"/>
      <c r="H24" s="1280">
        <v>1</v>
      </c>
      <c r="I24" s="1280">
        <v>1</v>
      </c>
      <c r="J24" s="1280">
        <v>1</v>
      </c>
      <c r="K24" s="1280">
        <v>1</v>
      </c>
      <c r="L24" s="1280">
        <f t="shared" si="4"/>
        <v>1</v>
      </c>
      <c r="M24" s="1280">
        <f t="shared" si="5"/>
        <v>1</v>
      </c>
      <c r="N24" s="1280">
        <f t="shared" si="6"/>
        <v>1</v>
      </c>
      <c r="O24" s="1280">
        <f t="shared" ref="M24:AA30" si="8">N24</f>
        <v>1</v>
      </c>
      <c r="P24" s="1280">
        <f t="shared" si="8"/>
        <v>1</v>
      </c>
      <c r="Q24" s="1280">
        <f t="shared" si="8"/>
        <v>1</v>
      </c>
      <c r="R24" s="1280">
        <f t="shared" si="8"/>
        <v>1</v>
      </c>
      <c r="S24" s="1280">
        <f t="shared" si="8"/>
        <v>1</v>
      </c>
      <c r="T24" s="1280">
        <f t="shared" si="8"/>
        <v>1</v>
      </c>
      <c r="U24" s="1280">
        <f t="shared" si="8"/>
        <v>1</v>
      </c>
      <c r="V24" s="1280">
        <f t="shared" si="8"/>
        <v>1</v>
      </c>
      <c r="W24" s="1280">
        <f t="shared" si="8"/>
        <v>1</v>
      </c>
      <c r="X24" s="1280">
        <f t="shared" si="8"/>
        <v>1</v>
      </c>
      <c r="Y24" s="1280">
        <f t="shared" si="8"/>
        <v>1</v>
      </c>
      <c r="Z24" s="1280">
        <f t="shared" si="8"/>
        <v>1</v>
      </c>
      <c r="AA24" s="1280">
        <f t="shared" si="8"/>
        <v>1</v>
      </c>
      <c r="AB24" s="1257"/>
    </row>
    <row r="25" spans="1:28" ht="15" customHeight="1">
      <c r="A25" s="1272"/>
      <c r="B25" s="1277" t="s">
        <v>897</v>
      </c>
      <c r="C25" s="1278" t="s">
        <v>898</v>
      </c>
      <c r="D25" s="1279">
        <v>55000</v>
      </c>
      <c r="E25" s="1280"/>
      <c r="F25" s="1281"/>
      <c r="G25" s="1281"/>
      <c r="H25" s="1280">
        <v>4</v>
      </c>
      <c r="I25" s="1280">
        <v>5</v>
      </c>
      <c r="J25" s="1280">
        <v>6</v>
      </c>
      <c r="K25" s="1280">
        <v>6</v>
      </c>
      <c r="L25" s="1280">
        <f t="shared" si="4"/>
        <v>6</v>
      </c>
      <c r="M25" s="1280">
        <f t="shared" si="5"/>
        <v>6</v>
      </c>
      <c r="N25" s="1280">
        <f t="shared" si="6"/>
        <v>6</v>
      </c>
      <c r="O25" s="1280">
        <f t="shared" si="8"/>
        <v>6</v>
      </c>
      <c r="P25" s="1280">
        <f t="shared" si="8"/>
        <v>6</v>
      </c>
      <c r="Q25" s="1280">
        <f t="shared" si="8"/>
        <v>6</v>
      </c>
      <c r="R25" s="1280">
        <f t="shared" si="8"/>
        <v>6</v>
      </c>
      <c r="S25" s="1280">
        <f t="shared" si="8"/>
        <v>6</v>
      </c>
      <c r="T25" s="1280">
        <f t="shared" si="8"/>
        <v>6</v>
      </c>
      <c r="U25" s="1280">
        <f t="shared" si="8"/>
        <v>6</v>
      </c>
      <c r="V25" s="1280">
        <f t="shared" si="8"/>
        <v>6</v>
      </c>
      <c r="W25" s="1280">
        <f t="shared" si="8"/>
        <v>6</v>
      </c>
      <c r="X25" s="1280">
        <f t="shared" si="8"/>
        <v>6</v>
      </c>
      <c r="Y25" s="1280">
        <f t="shared" si="8"/>
        <v>6</v>
      </c>
      <c r="Z25" s="1280">
        <f t="shared" si="8"/>
        <v>6</v>
      </c>
      <c r="AA25" s="1280">
        <f t="shared" si="8"/>
        <v>6</v>
      </c>
      <c r="AB25" s="1257"/>
    </row>
    <row r="26" spans="1:28" ht="15" hidden="1" customHeight="1" outlineLevel="1">
      <c r="A26" s="1272"/>
      <c r="B26" s="1277"/>
      <c r="C26" s="1278"/>
      <c r="D26" s="1279"/>
      <c r="E26" s="1280"/>
      <c r="F26" s="1280"/>
      <c r="G26" s="1280"/>
      <c r="H26" s="1280"/>
      <c r="I26" s="1280"/>
      <c r="J26" s="1280"/>
      <c r="K26" s="1280"/>
      <c r="L26" s="1280"/>
      <c r="M26" s="1280">
        <f t="shared" si="8"/>
        <v>0</v>
      </c>
      <c r="N26" s="1280">
        <f t="shared" si="8"/>
        <v>0</v>
      </c>
      <c r="O26" s="1280">
        <f t="shared" si="8"/>
        <v>0</v>
      </c>
      <c r="P26" s="1280">
        <f t="shared" si="8"/>
        <v>0</v>
      </c>
      <c r="Q26" s="1280">
        <f t="shared" si="8"/>
        <v>0</v>
      </c>
      <c r="R26" s="1280">
        <f t="shared" si="8"/>
        <v>0</v>
      </c>
      <c r="S26" s="1280">
        <f t="shared" si="8"/>
        <v>0</v>
      </c>
      <c r="T26" s="1280">
        <f t="shared" si="8"/>
        <v>0</v>
      </c>
      <c r="U26" s="1280">
        <f t="shared" si="8"/>
        <v>0</v>
      </c>
      <c r="V26" s="1280">
        <f t="shared" si="8"/>
        <v>0</v>
      </c>
      <c r="W26" s="1280">
        <f t="shared" si="8"/>
        <v>0</v>
      </c>
      <c r="X26" s="1280">
        <f t="shared" si="8"/>
        <v>0</v>
      </c>
      <c r="Y26" s="1280">
        <f t="shared" si="8"/>
        <v>0</v>
      </c>
      <c r="Z26" s="1280">
        <f t="shared" si="8"/>
        <v>0</v>
      </c>
      <c r="AA26" s="1280">
        <f t="shared" si="8"/>
        <v>0</v>
      </c>
      <c r="AB26" s="1257"/>
    </row>
    <row r="27" spans="1:28" ht="15" hidden="1" customHeight="1" outlineLevel="1">
      <c r="A27" s="1272"/>
      <c r="B27" s="1277"/>
      <c r="C27" s="1278"/>
      <c r="D27" s="1279"/>
      <c r="E27" s="1280"/>
      <c r="F27" s="1280"/>
      <c r="G27" s="1280"/>
      <c r="H27" s="1280"/>
      <c r="I27" s="1280"/>
      <c r="J27" s="1280"/>
      <c r="K27" s="1280"/>
      <c r="L27" s="1280"/>
      <c r="M27" s="1280">
        <f t="shared" si="8"/>
        <v>0</v>
      </c>
      <c r="N27" s="1280">
        <f t="shared" si="8"/>
        <v>0</v>
      </c>
      <c r="O27" s="1280">
        <f t="shared" si="8"/>
        <v>0</v>
      </c>
      <c r="P27" s="1280">
        <f t="shared" si="8"/>
        <v>0</v>
      </c>
      <c r="Q27" s="1280">
        <f t="shared" si="8"/>
        <v>0</v>
      </c>
      <c r="R27" s="1280">
        <f t="shared" si="8"/>
        <v>0</v>
      </c>
      <c r="S27" s="1280">
        <f t="shared" si="8"/>
        <v>0</v>
      </c>
      <c r="T27" s="1280">
        <f t="shared" si="8"/>
        <v>0</v>
      </c>
      <c r="U27" s="1280">
        <f t="shared" si="8"/>
        <v>0</v>
      </c>
      <c r="V27" s="1280">
        <f t="shared" si="8"/>
        <v>0</v>
      </c>
      <c r="W27" s="1280">
        <f t="shared" si="8"/>
        <v>0</v>
      </c>
      <c r="X27" s="1280">
        <f t="shared" si="8"/>
        <v>0</v>
      </c>
      <c r="Y27" s="1280">
        <f t="shared" si="8"/>
        <v>0</v>
      </c>
      <c r="Z27" s="1280">
        <f t="shared" si="8"/>
        <v>0</v>
      </c>
      <c r="AA27" s="1280">
        <f t="shared" si="8"/>
        <v>0</v>
      </c>
      <c r="AB27" s="1257"/>
    </row>
    <row r="28" spans="1:28" ht="15" hidden="1" customHeight="1" outlineLevel="1">
      <c r="A28" s="1272"/>
      <c r="B28" s="1277"/>
      <c r="C28" s="1278"/>
      <c r="D28" s="1279"/>
      <c r="E28" s="1280"/>
      <c r="F28" s="1280"/>
      <c r="G28" s="1280"/>
      <c r="H28" s="1280"/>
      <c r="I28" s="1280"/>
      <c r="J28" s="1280"/>
      <c r="K28" s="1280"/>
      <c r="L28" s="1280"/>
      <c r="M28" s="1280">
        <f t="shared" si="8"/>
        <v>0</v>
      </c>
      <c r="N28" s="1280">
        <f t="shared" si="8"/>
        <v>0</v>
      </c>
      <c r="O28" s="1280">
        <f t="shared" si="8"/>
        <v>0</v>
      </c>
      <c r="P28" s="1280">
        <f t="shared" si="8"/>
        <v>0</v>
      </c>
      <c r="Q28" s="1280">
        <f t="shared" si="8"/>
        <v>0</v>
      </c>
      <c r="R28" s="1280">
        <f t="shared" si="8"/>
        <v>0</v>
      </c>
      <c r="S28" s="1280">
        <f t="shared" si="8"/>
        <v>0</v>
      </c>
      <c r="T28" s="1280">
        <f t="shared" si="8"/>
        <v>0</v>
      </c>
      <c r="U28" s="1280">
        <f t="shared" si="8"/>
        <v>0</v>
      </c>
      <c r="V28" s="1280">
        <f t="shared" si="8"/>
        <v>0</v>
      </c>
      <c r="W28" s="1280">
        <f t="shared" si="8"/>
        <v>0</v>
      </c>
      <c r="X28" s="1280">
        <f t="shared" si="8"/>
        <v>0</v>
      </c>
      <c r="Y28" s="1280">
        <f t="shared" si="8"/>
        <v>0</v>
      </c>
      <c r="Z28" s="1280">
        <f t="shared" si="8"/>
        <v>0</v>
      </c>
      <c r="AA28" s="1280">
        <f t="shared" si="8"/>
        <v>0</v>
      </c>
      <c r="AB28" s="1257"/>
    </row>
    <row r="29" spans="1:28" ht="15" hidden="1" customHeight="1" outlineLevel="1">
      <c r="A29" s="1272"/>
      <c r="B29" s="1277"/>
      <c r="C29" s="1278"/>
      <c r="D29" s="1279"/>
      <c r="E29" s="1280"/>
      <c r="F29" s="1280"/>
      <c r="G29" s="1280"/>
      <c r="H29" s="1280"/>
      <c r="I29" s="1280"/>
      <c r="J29" s="1280"/>
      <c r="K29" s="1280"/>
      <c r="L29" s="1280"/>
      <c r="M29" s="1280">
        <f t="shared" si="8"/>
        <v>0</v>
      </c>
      <c r="N29" s="1280">
        <f t="shared" si="8"/>
        <v>0</v>
      </c>
      <c r="O29" s="1280">
        <f t="shared" si="8"/>
        <v>0</v>
      </c>
      <c r="P29" s="1280">
        <f t="shared" si="8"/>
        <v>0</v>
      </c>
      <c r="Q29" s="1280">
        <f t="shared" si="8"/>
        <v>0</v>
      </c>
      <c r="R29" s="1280">
        <f t="shared" si="8"/>
        <v>0</v>
      </c>
      <c r="S29" s="1280">
        <f t="shared" si="8"/>
        <v>0</v>
      </c>
      <c r="T29" s="1280">
        <f t="shared" si="8"/>
        <v>0</v>
      </c>
      <c r="U29" s="1280">
        <f t="shared" si="8"/>
        <v>0</v>
      </c>
      <c r="V29" s="1280">
        <f t="shared" si="8"/>
        <v>0</v>
      </c>
      <c r="W29" s="1280">
        <f t="shared" si="8"/>
        <v>0</v>
      </c>
      <c r="X29" s="1280">
        <f t="shared" si="8"/>
        <v>0</v>
      </c>
      <c r="Y29" s="1280">
        <f t="shared" si="8"/>
        <v>0</v>
      </c>
      <c r="Z29" s="1280">
        <f t="shared" si="8"/>
        <v>0</v>
      </c>
      <c r="AA29" s="1280">
        <f t="shared" si="8"/>
        <v>0</v>
      </c>
      <c r="AB29" s="1257"/>
    </row>
    <row r="30" spans="1:28" ht="15" hidden="1" customHeight="1" outlineLevel="1">
      <c r="A30" s="1272"/>
      <c r="B30" s="1277"/>
      <c r="C30" s="1278"/>
      <c r="D30" s="1279"/>
      <c r="E30" s="1280"/>
      <c r="F30" s="1280"/>
      <c r="G30" s="1280"/>
      <c r="H30" s="1280"/>
      <c r="I30" s="1280"/>
      <c r="J30" s="1280"/>
      <c r="K30" s="1280"/>
      <c r="L30" s="1280"/>
      <c r="M30" s="1280">
        <f t="shared" si="8"/>
        <v>0</v>
      </c>
      <c r="N30" s="1280">
        <f t="shared" si="8"/>
        <v>0</v>
      </c>
      <c r="O30" s="1280">
        <f t="shared" si="8"/>
        <v>0</v>
      </c>
      <c r="P30" s="1280">
        <f t="shared" si="8"/>
        <v>0</v>
      </c>
      <c r="Q30" s="1280">
        <f t="shared" si="8"/>
        <v>0</v>
      </c>
      <c r="R30" s="1280">
        <f t="shared" si="8"/>
        <v>0</v>
      </c>
      <c r="S30" s="1280">
        <f t="shared" si="8"/>
        <v>0</v>
      </c>
      <c r="T30" s="1280">
        <f t="shared" si="8"/>
        <v>0</v>
      </c>
      <c r="U30" s="1280">
        <f t="shared" si="8"/>
        <v>0</v>
      </c>
      <c r="V30" s="1280">
        <f t="shared" si="8"/>
        <v>0</v>
      </c>
      <c r="W30" s="1280">
        <f t="shared" si="8"/>
        <v>0</v>
      </c>
      <c r="X30" s="1280">
        <f t="shared" si="8"/>
        <v>0</v>
      </c>
      <c r="Y30" s="1280">
        <f t="shared" si="8"/>
        <v>0</v>
      </c>
      <c r="Z30" s="1280">
        <f t="shared" si="8"/>
        <v>0</v>
      </c>
      <c r="AA30" s="1280">
        <f t="shared" si="8"/>
        <v>0</v>
      </c>
      <c r="AB30" s="1257"/>
    </row>
    <row r="31" spans="1:28" ht="15" hidden="1" customHeight="1" outlineLevel="1">
      <c r="A31" s="1272"/>
      <c r="B31" s="1277"/>
      <c r="C31" s="1278"/>
      <c r="D31" s="1279"/>
      <c r="E31" s="1280"/>
      <c r="F31" s="1280"/>
      <c r="G31" s="1280"/>
      <c r="H31" s="1280"/>
      <c r="I31" s="1280"/>
      <c r="J31" s="1280"/>
      <c r="K31" s="1280"/>
      <c r="L31" s="1280"/>
      <c r="M31" s="1280">
        <f t="shared" ref="M31:AA32" si="9">L31</f>
        <v>0</v>
      </c>
      <c r="N31" s="1280">
        <f t="shared" si="9"/>
        <v>0</v>
      </c>
      <c r="O31" s="1280">
        <f t="shared" si="9"/>
        <v>0</v>
      </c>
      <c r="P31" s="1280">
        <f t="shared" si="9"/>
        <v>0</v>
      </c>
      <c r="Q31" s="1280">
        <f t="shared" si="9"/>
        <v>0</v>
      </c>
      <c r="R31" s="1280">
        <f t="shared" si="9"/>
        <v>0</v>
      </c>
      <c r="S31" s="1280">
        <f t="shared" si="9"/>
        <v>0</v>
      </c>
      <c r="T31" s="1280">
        <f t="shared" si="9"/>
        <v>0</v>
      </c>
      <c r="U31" s="1280">
        <f t="shared" si="9"/>
        <v>0</v>
      </c>
      <c r="V31" s="1280">
        <f t="shared" si="9"/>
        <v>0</v>
      </c>
      <c r="W31" s="1280">
        <f t="shared" si="9"/>
        <v>0</v>
      </c>
      <c r="X31" s="1280">
        <f t="shared" si="9"/>
        <v>0</v>
      </c>
      <c r="Y31" s="1280">
        <f t="shared" si="9"/>
        <v>0</v>
      </c>
      <c r="Z31" s="1280">
        <f t="shared" si="9"/>
        <v>0</v>
      </c>
      <c r="AA31" s="1280">
        <f t="shared" si="9"/>
        <v>0</v>
      </c>
      <c r="AB31" s="1257"/>
    </row>
    <row r="32" spans="1:28" ht="15" hidden="1" customHeight="1" outlineLevel="1">
      <c r="A32" s="1272"/>
      <c r="B32" s="1277"/>
      <c r="C32" s="1278"/>
      <c r="D32" s="1279"/>
      <c r="E32" s="1280"/>
      <c r="F32" s="1280"/>
      <c r="G32" s="1280"/>
      <c r="H32" s="1280"/>
      <c r="I32" s="1280"/>
      <c r="J32" s="1282"/>
      <c r="K32" s="1282"/>
      <c r="L32" s="1282"/>
      <c r="M32" s="1280">
        <f t="shared" si="9"/>
        <v>0</v>
      </c>
      <c r="N32" s="1280">
        <f t="shared" si="9"/>
        <v>0</v>
      </c>
      <c r="O32" s="1280">
        <f t="shared" si="9"/>
        <v>0</v>
      </c>
      <c r="P32" s="1280">
        <f t="shared" si="9"/>
        <v>0</v>
      </c>
      <c r="Q32" s="1280">
        <f t="shared" si="9"/>
        <v>0</v>
      </c>
      <c r="R32" s="1280">
        <f t="shared" si="9"/>
        <v>0</v>
      </c>
      <c r="S32" s="1280">
        <f t="shared" si="9"/>
        <v>0</v>
      </c>
      <c r="T32" s="1280">
        <f t="shared" si="9"/>
        <v>0</v>
      </c>
      <c r="U32" s="1280">
        <f t="shared" si="9"/>
        <v>0</v>
      </c>
      <c r="V32" s="1280">
        <f t="shared" si="9"/>
        <v>0</v>
      </c>
      <c r="W32" s="1280">
        <f t="shared" si="9"/>
        <v>0</v>
      </c>
      <c r="X32" s="1280">
        <f t="shared" si="9"/>
        <v>0</v>
      </c>
      <c r="Y32" s="1280">
        <f t="shared" si="9"/>
        <v>0</v>
      </c>
      <c r="Z32" s="1280">
        <f t="shared" si="9"/>
        <v>0</v>
      </c>
      <c r="AA32" s="1280">
        <f t="shared" si="9"/>
        <v>0</v>
      </c>
      <c r="AB32" s="1257"/>
    </row>
    <row r="33" spans="1:55" ht="15" customHeight="1" collapsed="1">
      <c r="A33" s="1259"/>
      <c r="B33" s="1857" t="s">
        <v>0</v>
      </c>
      <c r="C33" s="1857"/>
      <c r="D33" s="1857"/>
      <c r="E33" s="1857"/>
      <c r="F33" s="1857"/>
      <c r="G33" s="1857"/>
      <c r="H33" s="1858">
        <f>SUM(H8:H32)</f>
        <v>32</v>
      </c>
      <c r="I33" s="1858">
        <f t="shared" ref="I33:AA33" si="10">SUM(I8:I32)</f>
        <v>33</v>
      </c>
      <c r="J33" s="1858">
        <f t="shared" si="10"/>
        <v>34</v>
      </c>
      <c r="K33" s="1858">
        <f t="shared" si="10"/>
        <v>34</v>
      </c>
      <c r="L33" s="1858">
        <f t="shared" si="10"/>
        <v>34</v>
      </c>
      <c r="M33" s="1858">
        <f t="shared" si="10"/>
        <v>34</v>
      </c>
      <c r="N33" s="1858">
        <f t="shared" si="10"/>
        <v>34</v>
      </c>
      <c r="O33" s="1858">
        <f t="shared" si="10"/>
        <v>34</v>
      </c>
      <c r="P33" s="1858">
        <f t="shared" si="10"/>
        <v>34</v>
      </c>
      <c r="Q33" s="1858">
        <f t="shared" si="10"/>
        <v>34</v>
      </c>
      <c r="R33" s="1858">
        <f t="shared" si="10"/>
        <v>34</v>
      </c>
      <c r="S33" s="1858">
        <f t="shared" si="10"/>
        <v>34</v>
      </c>
      <c r="T33" s="1858">
        <f t="shared" si="10"/>
        <v>34</v>
      </c>
      <c r="U33" s="1858">
        <f t="shared" si="10"/>
        <v>34</v>
      </c>
      <c r="V33" s="1858">
        <f t="shared" si="10"/>
        <v>34</v>
      </c>
      <c r="W33" s="1858">
        <f t="shared" si="10"/>
        <v>34</v>
      </c>
      <c r="X33" s="1858">
        <f t="shared" si="10"/>
        <v>34</v>
      </c>
      <c r="Y33" s="1858">
        <f t="shared" si="10"/>
        <v>34</v>
      </c>
      <c r="Z33" s="1858">
        <f t="shared" si="10"/>
        <v>34</v>
      </c>
      <c r="AA33" s="1858">
        <f t="shared" si="10"/>
        <v>34</v>
      </c>
      <c r="AB33" s="1257"/>
    </row>
    <row r="34" spans="1:55" ht="15" customHeight="1">
      <c r="A34" s="1259"/>
      <c r="B34" s="1283"/>
      <c r="C34" s="1270"/>
      <c r="D34" s="1284"/>
      <c r="E34" s="1285"/>
      <c r="F34" s="1285"/>
      <c r="G34" s="1285"/>
      <c r="H34" s="1618"/>
      <c r="I34" s="1285"/>
      <c r="J34" s="1285"/>
      <c r="K34" s="1285"/>
      <c r="L34" s="1285"/>
      <c r="M34" s="1285"/>
      <c r="N34" s="1285"/>
      <c r="O34" s="1285"/>
      <c r="P34" s="1285"/>
      <c r="Q34" s="1285"/>
      <c r="R34" s="1285"/>
      <c r="S34" s="1285"/>
      <c r="T34" s="1285"/>
      <c r="U34" s="1285"/>
      <c r="V34" s="1285"/>
      <c r="W34" s="1285"/>
      <c r="X34" s="1285"/>
      <c r="Y34" s="1285"/>
      <c r="Z34" s="1285"/>
      <c r="AA34" s="1285"/>
      <c r="AB34" s="1257"/>
    </row>
    <row r="35" spans="1:55" ht="15" customHeight="1">
      <c r="A35" s="1259"/>
      <c r="B35" s="1283"/>
      <c r="C35" s="1270"/>
      <c r="D35" s="1284"/>
      <c r="E35" s="1285"/>
      <c r="F35" s="1285"/>
      <c r="G35" s="1285"/>
      <c r="H35" s="1618"/>
      <c r="I35" s="1285"/>
      <c r="J35" s="1285"/>
      <c r="K35" s="1285"/>
      <c r="L35" s="1285"/>
      <c r="M35" s="1285"/>
      <c r="N35" s="1285"/>
      <c r="O35" s="1285"/>
      <c r="P35" s="1285"/>
      <c r="Q35" s="1285"/>
      <c r="R35" s="1285"/>
      <c r="S35" s="1285"/>
      <c r="T35" s="1285"/>
      <c r="U35" s="1285"/>
      <c r="V35" s="1285"/>
      <c r="W35" s="1285"/>
      <c r="X35" s="1285"/>
      <c r="Y35" s="1285"/>
      <c r="Z35" s="1285"/>
      <c r="AA35" s="1285"/>
      <c r="AB35" s="1257"/>
    </row>
    <row r="36" spans="1:55" ht="15" customHeight="1">
      <c r="A36" s="1259"/>
      <c r="B36" s="1269" t="s">
        <v>899</v>
      </c>
      <c r="C36" s="1270"/>
      <c r="D36" s="1284"/>
      <c r="E36" s="1270"/>
      <c r="F36" s="1270"/>
      <c r="G36" s="1270"/>
      <c r="H36" s="1270"/>
      <c r="I36" s="1270"/>
      <c r="J36" s="1270"/>
      <c r="K36" s="1270"/>
      <c r="L36" s="1270"/>
      <c r="M36" s="1270"/>
      <c r="N36" s="1270"/>
      <c r="O36" s="1270"/>
      <c r="P36" s="1270"/>
      <c r="Q36" s="1270"/>
      <c r="R36" s="1270"/>
      <c r="S36" s="1270"/>
      <c r="T36" s="1270"/>
      <c r="U36" s="1270"/>
      <c r="V36" s="1270"/>
      <c r="W36" s="1270"/>
      <c r="X36" s="1270"/>
      <c r="Y36" s="1270"/>
      <c r="Z36" s="1270"/>
      <c r="AA36" s="1270"/>
      <c r="AB36" s="1270"/>
      <c r="AC36" s="1270"/>
      <c r="AD36" s="1270"/>
      <c r="AE36" s="1270"/>
      <c r="AF36" s="1270"/>
      <c r="AG36" s="1270"/>
      <c r="AH36" s="1270"/>
      <c r="AI36" s="1270"/>
      <c r="AJ36" s="1270"/>
      <c r="AK36" s="1270"/>
      <c r="AL36" s="1270"/>
      <c r="AM36" s="1270"/>
      <c r="AN36" s="1270"/>
      <c r="AO36" s="1270"/>
      <c r="AP36" s="1270"/>
      <c r="AQ36" s="1270"/>
      <c r="AR36" s="1270"/>
      <c r="AS36" s="1270"/>
      <c r="AT36" s="1270"/>
      <c r="AU36" s="1270"/>
      <c r="AV36" s="1270"/>
      <c r="AW36" s="1270"/>
      <c r="AX36" s="1270"/>
      <c r="AY36" s="1270"/>
      <c r="AZ36" s="1270"/>
      <c r="BA36" s="1270"/>
      <c r="BB36" s="1270"/>
      <c r="BC36" s="1270"/>
    </row>
    <row r="37" spans="1:55" ht="15" customHeight="1">
      <c r="B37" s="1273" t="str">
        <f t="shared" ref="B37:AA37" si="11">B7</f>
        <v>Департамент</v>
      </c>
      <c r="C37" s="1274" t="str">
        <f t="shared" si="11"/>
        <v>Штатная единица</v>
      </c>
      <c r="D37" s="1275" t="str">
        <f t="shared" si="11"/>
        <v xml:space="preserve">Оклад, руб./мес. GROSS </v>
      </c>
      <c r="E37" s="1255">
        <f t="shared" si="11"/>
        <v>2022</v>
      </c>
      <c r="F37" s="1255">
        <f t="shared" si="11"/>
        <v>2023</v>
      </c>
      <c r="G37" s="1255">
        <f t="shared" si="11"/>
        <v>2024</v>
      </c>
      <c r="H37" s="1255">
        <f t="shared" si="11"/>
        <v>2025</v>
      </c>
      <c r="I37" s="1255">
        <f t="shared" si="11"/>
        <v>2026</v>
      </c>
      <c r="J37" s="1255">
        <f t="shared" si="11"/>
        <v>2027</v>
      </c>
      <c r="K37" s="1255">
        <f t="shared" si="11"/>
        <v>2028</v>
      </c>
      <c r="L37" s="1255">
        <f t="shared" si="11"/>
        <v>2029</v>
      </c>
      <c r="M37" s="1255">
        <f t="shared" si="11"/>
        <v>2030</v>
      </c>
      <c r="N37" s="1255">
        <f t="shared" si="11"/>
        <v>2031</v>
      </c>
      <c r="O37" s="1255">
        <f t="shared" si="11"/>
        <v>2032</v>
      </c>
      <c r="P37" s="1255">
        <f t="shared" si="11"/>
        <v>2033</v>
      </c>
      <c r="Q37" s="1255">
        <f t="shared" si="11"/>
        <v>2034</v>
      </c>
      <c r="R37" s="1255">
        <f t="shared" si="11"/>
        <v>2035</v>
      </c>
      <c r="S37" s="1255">
        <f t="shared" si="11"/>
        <v>2036</v>
      </c>
      <c r="T37" s="1255">
        <f t="shared" si="11"/>
        <v>2037</v>
      </c>
      <c r="U37" s="1255">
        <f t="shared" si="11"/>
        <v>2038</v>
      </c>
      <c r="V37" s="1255">
        <f t="shared" si="11"/>
        <v>2039</v>
      </c>
      <c r="W37" s="1255">
        <f t="shared" si="11"/>
        <v>2040</v>
      </c>
      <c r="X37" s="1255">
        <f t="shared" si="11"/>
        <v>2041</v>
      </c>
      <c r="Y37" s="1255">
        <f t="shared" si="11"/>
        <v>2042</v>
      </c>
      <c r="Z37" s="1255">
        <f t="shared" si="11"/>
        <v>2043</v>
      </c>
      <c r="AA37" s="1255">
        <f t="shared" si="11"/>
        <v>2044</v>
      </c>
      <c r="AB37" s="1270"/>
      <c r="AC37" s="1270"/>
      <c r="AD37" s="1270"/>
      <c r="AE37" s="1270"/>
      <c r="AF37" s="1270"/>
      <c r="AG37" s="1270"/>
      <c r="AH37" s="1270"/>
      <c r="AI37" s="1270"/>
      <c r="AJ37" s="1270"/>
      <c r="AK37" s="1270"/>
      <c r="AL37" s="1270"/>
      <c r="AM37" s="1270"/>
      <c r="AN37" s="1270"/>
      <c r="AO37" s="1270"/>
      <c r="AP37" s="1270"/>
      <c r="AQ37" s="1270"/>
      <c r="AR37" s="1270"/>
      <c r="AS37" s="1270"/>
      <c r="AT37" s="1270"/>
      <c r="AU37" s="1270"/>
      <c r="AV37" s="1270"/>
      <c r="AW37" s="1270"/>
      <c r="AX37" s="1270"/>
      <c r="AY37" s="1270"/>
      <c r="AZ37" s="1270"/>
      <c r="BA37" s="1270"/>
      <c r="BB37" s="1270"/>
      <c r="BC37" s="1270"/>
    </row>
    <row r="38" spans="1:55" ht="15" customHeight="1">
      <c r="B38" s="1277" t="str">
        <f t="shared" ref="B38:D62" si="12">B8</f>
        <v>УК</v>
      </c>
      <c r="C38" s="1278" t="str">
        <f t="shared" si="12"/>
        <v>Генеральный директор</v>
      </c>
      <c r="D38" s="1279">
        <f t="shared" si="12"/>
        <v>250000</v>
      </c>
      <c r="E38" s="1286">
        <f>($D8+$D8*Вводные!$D$32)*(1+Вводные!$D$33)*E$4*E$3*ФОТ_УК!E8</f>
        <v>0</v>
      </c>
      <c r="F38" s="1286">
        <f>($D8+$D8*Вводные!$D$32)*(1+Вводные!$D$33)*F$4*F$3*ФОТ_УК!F8</f>
        <v>0</v>
      </c>
      <c r="G38" s="1286">
        <f>($D8+$D8*Вводные!$D$32)*(1+Вводные!$D$33)*G$4*G$3*ФОТ_УК!G8</f>
        <v>0</v>
      </c>
      <c r="H38" s="1288">
        <f>($D8+$D8*Вводные!$D$32)*(1+Вводные!$D$33)*H$4*H$3*ФОТ_УК!H8</f>
        <v>4942652.4160000011</v>
      </c>
      <c r="I38" s="1286">
        <f>($D8+$D8*Вводные!$D$32)*(1+Вводные!$D$33)*I$4*I$3*ФОТ_УК!I8</f>
        <v>5140358.5126400013</v>
      </c>
      <c r="J38" s="1286">
        <f>($D8+$D8*Вводные!$D$32)*(1+Вводные!$D$33)*J$4*J$3*ФОТ_УК!J8</f>
        <v>5345972.8531456012</v>
      </c>
      <c r="K38" s="1286">
        <f>($D8+$D8*Вводные!$D$32)*(1+Вводные!$D$33)*K$4*K$3*ФОТ_УК!K8</f>
        <v>5559811.7672714256</v>
      </c>
      <c r="L38" s="1286">
        <f>($D8+$D8*Вводные!$D$32)*(1+Вводные!$D$33)*L$4*L$3*ФОТ_УК!L8</f>
        <v>5782204.2379622823</v>
      </c>
      <c r="M38" s="1286">
        <f>($D8+$D8*Вводные!$D$32)*(1+Вводные!$D$33)*M$4*M$3*ФОТ_УК!M8</f>
        <v>6013492.4074807744</v>
      </c>
      <c r="N38" s="1286">
        <f>($D8+$D8*Вводные!$D$32)*(1+Вводные!$D$33)*N$4*N$3*ФОТ_УК!N8</f>
        <v>6254032.1037800061</v>
      </c>
      <c r="O38" s="1286">
        <f>($D8+$D8*Вводные!$D$32)*(1+Вводные!$D$33)*O$4*O$3*ФОТ_УК!O8</f>
        <v>6504193.3879312072</v>
      </c>
      <c r="P38" s="1286">
        <f>($D8+$D8*Вводные!$D$32)*(1+Вводные!$D$33)*P$4*P$3*ФОТ_УК!P8</f>
        <v>6764361.1234484548</v>
      </c>
      <c r="Q38" s="1286">
        <f>($D8+$D8*Вводные!$D$32)*(1+Вводные!$D$33)*Q$4*Q$3*ФОТ_УК!Q8</f>
        <v>7034935.5683863927</v>
      </c>
      <c r="R38" s="1286">
        <f>($D8+$D8*Вводные!$D$32)*(1+Вводные!$D$33)*R$4*R$3*ФОТ_УК!R8</f>
        <v>7316332.991121849</v>
      </c>
      <c r="S38" s="1286">
        <f>($D8+$D8*Вводные!$D$32)*(1+Вводные!$D$33)*S$4*S$3*ФОТ_УК!S8</f>
        <v>7608986.3107667221</v>
      </c>
      <c r="T38" s="1286">
        <f>($D8+$D8*Вводные!$D$32)*(1+Вводные!$D$33)*T$4*T$3*ФОТ_УК!T8</f>
        <v>7913345.7631973922</v>
      </c>
      <c r="U38" s="1286">
        <f>($D8+$D8*Вводные!$D$32)*(1+Вводные!$D$33)*U$4*U$3*ФОТ_УК!U8</f>
        <v>8229879.5937252883</v>
      </c>
      <c r="V38" s="1286">
        <f>($D8+$D8*Вводные!$D$32)*(1+Вводные!$D$33)*V$4*V$3*ФОТ_УК!V8</f>
        <v>8559074.7774742991</v>
      </c>
      <c r="W38" s="1286">
        <f>($D8+$D8*Вводные!$D$32)*(1+Вводные!$D$33)*W$4*W$3*ФОТ_УК!W8</f>
        <v>8901437.7685732711</v>
      </c>
      <c r="X38" s="1286">
        <f>($D8+$D8*Вводные!$D$32)*(1+Вводные!$D$33)*X$4*X$3*ФОТ_УК!X8</f>
        <v>9257495.2793162018</v>
      </c>
      <c r="Y38" s="1286">
        <f>($D8+$D8*Вводные!$D$32)*(1+Вводные!$D$33)*Y$4*Y$3*ФОТ_УК!Y8</f>
        <v>9627795.0904888511</v>
      </c>
      <c r="Z38" s="1286">
        <f>($D8+$D8*Вводные!$D$32)*(1+Вводные!$D$33)*Z$4*Z$3*ФОТ_УК!Z8</f>
        <v>10012906.894108405</v>
      </c>
      <c r="AA38" s="1286">
        <f>($D8+$D8*Вводные!$D$32)*(1+Вводные!$D$33)*AA$4*AA$3*ФОТ_УК!AA8</f>
        <v>10413423.169872742</v>
      </c>
      <c r="AB38" s="1270"/>
      <c r="AC38" s="1270"/>
      <c r="AD38" s="1270"/>
      <c r="AE38" s="1270"/>
      <c r="AF38" s="1270"/>
      <c r="AG38" s="1270"/>
      <c r="AH38" s="1270"/>
      <c r="AI38" s="1270"/>
      <c r="AJ38" s="1270"/>
      <c r="AK38" s="1270"/>
      <c r="AL38" s="1270"/>
      <c r="AM38" s="1270"/>
      <c r="AN38" s="1270"/>
      <c r="AO38" s="1270"/>
      <c r="AP38" s="1270"/>
      <c r="AQ38" s="1270"/>
      <c r="AR38" s="1270"/>
      <c r="AS38" s="1270"/>
      <c r="AT38" s="1270"/>
      <c r="AU38" s="1270"/>
      <c r="AV38" s="1270"/>
      <c r="AW38" s="1270"/>
      <c r="AX38" s="1270"/>
      <c r="AY38" s="1270"/>
      <c r="AZ38" s="1270"/>
      <c r="BA38" s="1270"/>
      <c r="BB38" s="1270"/>
      <c r="BC38" s="1270"/>
    </row>
    <row r="39" spans="1:55" ht="15" customHeight="1">
      <c r="B39" s="1277" t="str">
        <f t="shared" si="12"/>
        <v>УК</v>
      </c>
      <c r="C39" s="1278" t="str">
        <f t="shared" si="12"/>
        <v>Заместитель генерального директора</v>
      </c>
      <c r="D39" s="1279">
        <f t="shared" si="12"/>
        <v>180000</v>
      </c>
      <c r="E39" s="1286">
        <f>($D9+$D9*Вводные!$D$32)*(1+Вводные!$D$33)*E$4*E$3*ФОТ_УК!E9</f>
        <v>0</v>
      </c>
      <c r="F39" s="1286">
        <f>($D9+$D9*Вводные!$D$32)*(1+Вводные!$D$33)*F$4*F$3*ФОТ_УК!F9</f>
        <v>0</v>
      </c>
      <c r="G39" s="1286">
        <f>($D9+$D9*Вводные!$D$32)*(1+Вводные!$D$33)*G$4*G$3*ФОТ_УК!G9</f>
        <v>0</v>
      </c>
      <c r="H39" s="1288">
        <f>($D9+$D9*Вводные!$D$32)*(1+Вводные!$D$33)*H$4*H$3*ФОТ_УК!H9</f>
        <v>3558709.7395200008</v>
      </c>
      <c r="I39" s="1286">
        <f>($D9+$D9*Вводные!$D$32)*(1+Вводные!$D$33)*I$4*I$3*ФОТ_УК!I9</f>
        <v>3701058.129100801</v>
      </c>
      <c r="J39" s="1286">
        <f>($D9+$D9*Вводные!$D$32)*(1+Вводные!$D$33)*J$4*J$3*ФОТ_УК!J9</f>
        <v>3849100.4542648336</v>
      </c>
      <c r="K39" s="1286">
        <f>($D9+$D9*Вводные!$D$32)*(1+Вводные!$D$33)*K$4*K$3*ФОТ_УК!K9</f>
        <v>4003064.4724354269</v>
      </c>
      <c r="L39" s="1286">
        <f>($D9+$D9*Вводные!$D$32)*(1+Вводные!$D$33)*L$4*L$3*ФОТ_УК!L9</f>
        <v>4163187.051332844</v>
      </c>
      <c r="M39" s="1286">
        <f>($D9+$D9*Вводные!$D$32)*(1+Вводные!$D$33)*M$4*M$3*ФОТ_УК!M9</f>
        <v>4329714.5333861578</v>
      </c>
      <c r="N39" s="1286">
        <f>($D9+$D9*Вводные!$D$32)*(1+Вводные!$D$33)*N$4*N$3*ФОТ_УК!N9</f>
        <v>4502903.1147216046</v>
      </c>
      <c r="O39" s="1286">
        <f>($D9+$D9*Вводные!$D$32)*(1+Вводные!$D$33)*O$4*O$3*ФОТ_УК!O9</f>
        <v>4683019.2393104695</v>
      </c>
      <c r="P39" s="1286">
        <f>($D9+$D9*Вводные!$D$32)*(1+Вводные!$D$33)*P$4*P$3*ФОТ_УК!P9</f>
        <v>4870340.0088828877</v>
      </c>
      <c r="Q39" s="1286">
        <f>($D9+$D9*Вводные!$D$32)*(1+Вводные!$D$33)*Q$4*Q$3*ФОТ_УК!Q9</f>
        <v>5065153.6092382036</v>
      </c>
      <c r="R39" s="1286">
        <f>($D9+$D9*Вводные!$D$32)*(1+Вводные!$D$33)*R$4*R$3*ФОТ_УК!R9</f>
        <v>5267759.7536077313</v>
      </c>
      <c r="S39" s="1286">
        <f>($D9+$D9*Вводные!$D$32)*(1+Вводные!$D$33)*S$4*S$3*ФОТ_УК!S9</f>
        <v>5478470.1437520413</v>
      </c>
      <c r="T39" s="1286">
        <f>($D9+$D9*Вводные!$D$32)*(1+Вводные!$D$33)*T$4*T$3*ФОТ_УК!T9</f>
        <v>5697608.9495021226</v>
      </c>
      <c r="U39" s="1286">
        <f>($D9+$D9*Вводные!$D$32)*(1+Вводные!$D$33)*U$4*U$3*ФОТ_УК!U9</f>
        <v>5925513.3074822072</v>
      </c>
      <c r="V39" s="1286">
        <f>($D9+$D9*Вводные!$D$32)*(1+Вводные!$D$33)*V$4*V$3*ФОТ_УК!V9</f>
        <v>6162533.8397814957</v>
      </c>
      <c r="W39" s="1286">
        <f>($D9+$D9*Вводные!$D$32)*(1+Вводные!$D$33)*W$4*W$3*ФОТ_УК!W9</f>
        <v>6409035.1933727553</v>
      </c>
      <c r="X39" s="1286">
        <f>($D9+$D9*Вводные!$D$32)*(1+Вводные!$D$33)*X$4*X$3*ФОТ_УК!X9</f>
        <v>6665396.6011076663</v>
      </c>
      <c r="Y39" s="1286">
        <f>($D9+$D9*Вводные!$D$32)*(1+Вводные!$D$33)*Y$4*Y$3*ФОТ_УК!Y9</f>
        <v>6932012.4651519731</v>
      </c>
      <c r="Z39" s="1286">
        <f>($D9+$D9*Вводные!$D$32)*(1+Вводные!$D$33)*Z$4*Z$3*ФОТ_УК!Z9</f>
        <v>7209292.9637580514</v>
      </c>
      <c r="AA39" s="1286">
        <f>($D9+$D9*Вводные!$D$32)*(1+Вводные!$D$33)*AA$4*AA$3*ФОТ_УК!AA9</f>
        <v>7497664.6823083749</v>
      </c>
      <c r="AB39" s="1270"/>
      <c r="AC39" s="1270"/>
      <c r="AD39" s="1270"/>
      <c r="AE39" s="1270"/>
      <c r="AF39" s="1270"/>
      <c r="AG39" s="1270"/>
      <c r="AH39" s="1270"/>
      <c r="AI39" s="1270"/>
      <c r="AJ39" s="1270"/>
      <c r="AK39" s="1270"/>
      <c r="AL39" s="1270"/>
      <c r="AM39" s="1270"/>
      <c r="AN39" s="1270"/>
      <c r="AO39" s="1270"/>
      <c r="AP39" s="1270"/>
      <c r="AQ39" s="1270"/>
      <c r="AR39" s="1270"/>
      <c r="AS39" s="1270"/>
      <c r="AT39" s="1270"/>
      <c r="AU39" s="1270"/>
      <c r="AV39" s="1270"/>
      <c r="AW39" s="1270"/>
      <c r="AX39" s="1270"/>
      <c r="AY39" s="1270"/>
      <c r="AZ39" s="1270"/>
      <c r="BA39" s="1270"/>
      <c r="BB39" s="1270"/>
      <c r="BC39" s="1270"/>
    </row>
    <row r="40" spans="1:55" ht="15" customHeight="1">
      <c r="B40" s="1277" t="str">
        <f t="shared" si="12"/>
        <v>УК</v>
      </c>
      <c r="C40" s="1278" t="str">
        <f t="shared" si="12"/>
        <v>Юрисконсульт</v>
      </c>
      <c r="D40" s="1279">
        <f t="shared" si="12"/>
        <v>80000</v>
      </c>
      <c r="E40" s="1286">
        <f>($D10+$D10*Вводные!$D$32)*(1+Вводные!$D$33)*E$4*E$3*ФОТ_УК!E10</f>
        <v>0</v>
      </c>
      <c r="F40" s="1286">
        <f>($D10+$D10*Вводные!$D$32)*(1+Вводные!$D$33)*F$4*F$3*ФОТ_УК!F10</f>
        <v>0</v>
      </c>
      <c r="G40" s="1286">
        <f>($D10+$D10*Вводные!$D$32)*(1+Вводные!$D$33)*G$4*G$3*ФОТ_УК!G10</f>
        <v>0</v>
      </c>
      <c r="H40" s="1288">
        <f>($D10+$D10*Вводные!$D$32)*(1+Вводные!$D$33)*H$4*H$3*ФОТ_УК!H10</f>
        <v>1581648.7731200005</v>
      </c>
      <c r="I40" s="1286">
        <f>($D10+$D10*Вводные!$D$32)*(1+Вводные!$D$33)*I$4*I$3*ФОТ_УК!I10</f>
        <v>1644914.7240448003</v>
      </c>
      <c r="J40" s="1286">
        <f>($D10+$D10*Вводные!$D$32)*(1+Вводные!$D$33)*J$4*J$3*ФОТ_УК!J10</f>
        <v>1710711.3130065927</v>
      </c>
      <c r="K40" s="1286">
        <f>($D10+$D10*Вводные!$D$32)*(1+Вводные!$D$33)*K$4*K$3*ФОТ_УК!K10</f>
        <v>1779139.7655268565</v>
      </c>
      <c r="L40" s="1286">
        <f>($D10+$D10*Вводные!$D$32)*(1+Вводные!$D$33)*L$4*L$3*ФОТ_УК!L10</f>
        <v>1850305.3561479305</v>
      </c>
      <c r="M40" s="1286">
        <f>($D10+$D10*Вводные!$D$32)*(1+Вводные!$D$33)*M$4*M$3*ФОТ_УК!M10</f>
        <v>1924317.570393848</v>
      </c>
      <c r="N40" s="1286">
        <f>($D10+$D10*Вводные!$D$32)*(1+Вводные!$D$33)*N$4*N$3*ФОТ_УК!N10</f>
        <v>2001290.2732096021</v>
      </c>
      <c r="O40" s="1286">
        <f>($D10+$D10*Вводные!$D$32)*(1+Вводные!$D$33)*O$4*O$3*ФОТ_УК!O10</f>
        <v>2081341.8841379862</v>
      </c>
      <c r="P40" s="1286">
        <f>($D10+$D10*Вводные!$D$32)*(1+Вводные!$D$33)*P$4*P$3*ФОТ_УК!P10</f>
        <v>2164595.5595035059</v>
      </c>
      <c r="Q40" s="1286">
        <f>($D10+$D10*Вводные!$D$32)*(1+Вводные!$D$33)*Q$4*Q$3*ФОТ_УК!Q10</f>
        <v>2251179.3818836459</v>
      </c>
      <c r="R40" s="1286">
        <f>($D10+$D10*Вводные!$D$32)*(1+Вводные!$D$33)*R$4*R$3*ФОТ_УК!R10</f>
        <v>2341226.5571589917</v>
      </c>
      <c r="S40" s="1286">
        <f>($D10+$D10*Вводные!$D$32)*(1+Вводные!$D$33)*S$4*S$3*ФОТ_УК!S10</f>
        <v>2434875.6194453519</v>
      </c>
      <c r="T40" s="1286">
        <f>($D10+$D10*Вводные!$D$32)*(1+Вводные!$D$33)*T$4*T$3*ФОТ_УК!T10</f>
        <v>2532270.6442231657</v>
      </c>
      <c r="U40" s="1286">
        <f>($D10+$D10*Вводные!$D$32)*(1+Вводные!$D$33)*U$4*U$3*ФОТ_УК!U10</f>
        <v>2633561.4699920923</v>
      </c>
      <c r="V40" s="1286">
        <f>($D10+$D10*Вводные!$D$32)*(1+Вводные!$D$33)*V$4*V$3*ФОТ_УК!V10</f>
        <v>2738903.9287917763</v>
      </c>
      <c r="W40" s="1286">
        <f>($D10+$D10*Вводные!$D$32)*(1+Вводные!$D$33)*W$4*W$3*ФОТ_УК!W10</f>
        <v>2848460.0859434474</v>
      </c>
      <c r="X40" s="1286">
        <f>($D10+$D10*Вводные!$D$32)*(1+Вводные!$D$33)*X$4*X$3*ФОТ_УК!X10</f>
        <v>2962398.4893811848</v>
      </c>
      <c r="Y40" s="1286">
        <f>($D10+$D10*Вводные!$D$32)*(1+Вводные!$D$33)*Y$4*Y$3*ФОТ_УК!Y10</f>
        <v>3080894.4289564327</v>
      </c>
      <c r="Z40" s="1286">
        <f>($D10+$D10*Вводные!$D$32)*(1+Вводные!$D$33)*Z$4*Z$3*ФОТ_УК!Z10</f>
        <v>3204130.2061146898</v>
      </c>
      <c r="AA40" s="1286">
        <f>($D10+$D10*Вводные!$D$32)*(1+Вводные!$D$33)*AA$4*AA$3*ФОТ_УК!AA10</f>
        <v>3332295.414359278</v>
      </c>
      <c r="AB40" s="1270"/>
      <c r="AC40" s="1270"/>
      <c r="AD40" s="1270"/>
      <c r="AE40" s="1270"/>
      <c r="AF40" s="1270"/>
      <c r="AG40" s="1270"/>
      <c r="AH40" s="1270"/>
      <c r="AI40" s="1270"/>
      <c r="AJ40" s="1270"/>
      <c r="AK40" s="1270"/>
      <c r="AL40" s="1270"/>
      <c r="AM40" s="1270"/>
      <c r="AN40" s="1270"/>
      <c r="AO40" s="1270"/>
      <c r="AP40" s="1270"/>
      <c r="AQ40" s="1270"/>
      <c r="AR40" s="1270"/>
      <c r="AS40" s="1270"/>
      <c r="AT40" s="1270"/>
      <c r="AU40" s="1270"/>
      <c r="AV40" s="1270"/>
      <c r="AW40" s="1270"/>
      <c r="AX40" s="1270"/>
      <c r="AY40" s="1270"/>
      <c r="AZ40" s="1270"/>
      <c r="BA40" s="1270"/>
      <c r="BB40" s="1270"/>
      <c r="BC40" s="1270"/>
    </row>
    <row r="41" spans="1:55" ht="15" customHeight="1">
      <c r="B41" s="1277" t="str">
        <f t="shared" si="12"/>
        <v>УК</v>
      </c>
      <c r="C41" s="1278" t="str">
        <f t="shared" si="12"/>
        <v>Главный бухгалтер</v>
      </c>
      <c r="D41" s="1279">
        <f t="shared" si="12"/>
        <v>100000</v>
      </c>
      <c r="E41" s="1286">
        <f>($D11+$D11*Вводные!$D$32)*(1+Вводные!$D$33)*E$4*E$3*ФОТ_УК!E11</f>
        <v>0</v>
      </c>
      <c r="F41" s="1286">
        <f>($D11+$D11*Вводные!$D$32)*(1+Вводные!$D$33)*F$4*F$3*ФОТ_УК!F11</f>
        <v>0</v>
      </c>
      <c r="G41" s="1286">
        <f>($D11+$D11*Вводные!$D$32)*(1+Вводные!$D$33)*G$4*G$3*ФОТ_УК!G11</f>
        <v>0</v>
      </c>
      <c r="H41" s="1288">
        <f>($D11+$D11*Вводные!$D$32)*(1+Вводные!$D$33)*H$4*H$3*ФОТ_УК!H11</f>
        <v>1977060.9664000007</v>
      </c>
      <c r="I41" s="1286">
        <f>($D11+$D11*Вводные!$D$32)*(1+Вводные!$D$33)*I$4*I$3*ФОТ_УК!I11</f>
        <v>2056143.4050560007</v>
      </c>
      <c r="J41" s="1286">
        <f>($D11+$D11*Вводные!$D$32)*(1+Вводные!$D$33)*J$4*J$3*ФОТ_УК!J11</f>
        <v>2138389.1412582407</v>
      </c>
      <c r="K41" s="1286">
        <f>($D11+$D11*Вводные!$D$32)*(1+Вводные!$D$33)*K$4*K$3*ФОТ_УК!K11</f>
        <v>2223924.7069085706</v>
      </c>
      <c r="L41" s="1286">
        <f>($D11+$D11*Вводные!$D$32)*(1+Вводные!$D$33)*L$4*L$3*ФОТ_УК!L11</f>
        <v>2312881.6951849135</v>
      </c>
      <c r="M41" s="1286">
        <f>($D11+$D11*Вводные!$D$32)*(1+Вводные!$D$33)*M$4*M$3*ФОТ_УК!M11</f>
        <v>2405396.9629923101</v>
      </c>
      <c r="N41" s="1286">
        <f>($D11+$D11*Вводные!$D$32)*(1+Вводные!$D$33)*N$4*N$3*ФОТ_УК!N11</f>
        <v>2501612.8415120025</v>
      </c>
      <c r="O41" s="1286">
        <f>($D11+$D11*Вводные!$D$32)*(1+Вводные!$D$33)*O$4*O$3*ФОТ_УК!O11</f>
        <v>2601677.3551724828</v>
      </c>
      <c r="P41" s="1286">
        <f>($D11+$D11*Вводные!$D$32)*(1+Вводные!$D$33)*P$4*P$3*ФОТ_УК!P11</f>
        <v>2705744.4493793822</v>
      </c>
      <c r="Q41" s="1286">
        <f>($D11+$D11*Вводные!$D$32)*(1+Вводные!$D$33)*Q$4*Q$3*ФОТ_УК!Q11</f>
        <v>2813974.2273545577</v>
      </c>
      <c r="R41" s="1286">
        <f>($D11+$D11*Вводные!$D$32)*(1+Вводные!$D$33)*R$4*R$3*ФОТ_УК!R11</f>
        <v>2926533.1964487396</v>
      </c>
      <c r="S41" s="1286">
        <f>($D11+$D11*Вводные!$D$32)*(1+Вводные!$D$33)*S$4*S$3*ФОТ_УК!S11</f>
        <v>3043594.5243066894</v>
      </c>
      <c r="T41" s="1286">
        <f>($D11+$D11*Вводные!$D$32)*(1+Вводные!$D$33)*T$4*T$3*ФОТ_УК!T11</f>
        <v>3165338.3052789574</v>
      </c>
      <c r="U41" s="1286">
        <f>($D11+$D11*Вводные!$D$32)*(1+Вводные!$D$33)*U$4*U$3*ФОТ_УК!U11</f>
        <v>3291951.8374901153</v>
      </c>
      <c r="V41" s="1286">
        <f>($D11+$D11*Вводные!$D$32)*(1+Вводные!$D$33)*V$4*V$3*ФОТ_УК!V11</f>
        <v>3423629.9109897204</v>
      </c>
      <c r="W41" s="1286">
        <f>($D11+$D11*Вводные!$D$32)*(1+Вводные!$D$33)*W$4*W$3*ФОТ_УК!W11</f>
        <v>3560575.1074293088</v>
      </c>
      <c r="X41" s="1286">
        <f>($D11+$D11*Вводные!$D$32)*(1+Вводные!$D$33)*X$4*X$3*ФОТ_УК!X11</f>
        <v>3702998.1117264815</v>
      </c>
      <c r="Y41" s="1286">
        <f>($D11+$D11*Вводные!$D$32)*(1+Вводные!$D$33)*Y$4*Y$3*ФОТ_УК!Y11</f>
        <v>3851118.0361955408</v>
      </c>
      <c r="Z41" s="1286">
        <f>($D11+$D11*Вводные!$D$32)*(1+Вводные!$D$33)*Z$4*Z$3*ФОТ_УК!Z11</f>
        <v>4005162.7576433625</v>
      </c>
      <c r="AA41" s="1286">
        <f>($D11+$D11*Вводные!$D$32)*(1+Вводные!$D$33)*AA$4*AA$3*ФОТ_УК!AA11</f>
        <v>4165369.2679490969</v>
      </c>
      <c r="AB41" s="1270"/>
      <c r="AC41" s="1270"/>
      <c r="AD41" s="1270"/>
      <c r="AE41" s="1270"/>
      <c r="AF41" s="1270"/>
      <c r="AG41" s="1270"/>
      <c r="AH41" s="1270"/>
      <c r="AI41" s="1270"/>
      <c r="AJ41" s="1270"/>
      <c r="AK41" s="1270"/>
      <c r="AL41" s="1270"/>
      <c r="AM41" s="1270"/>
      <c r="AN41" s="1270"/>
      <c r="AO41" s="1270"/>
      <c r="AP41" s="1270"/>
      <c r="AQ41" s="1270"/>
      <c r="AR41" s="1270"/>
      <c r="AS41" s="1270"/>
      <c r="AT41" s="1270"/>
      <c r="AU41" s="1270"/>
      <c r="AV41" s="1270"/>
      <c r="AW41" s="1270"/>
      <c r="AX41" s="1270"/>
      <c r="AY41" s="1270"/>
      <c r="AZ41" s="1270"/>
      <c r="BA41" s="1270"/>
      <c r="BB41" s="1270"/>
      <c r="BC41" s="1270"/>
    </row>
    <row r="42" spans="1:55" ht="15" customHeight="1">
      <c r="B42" s="1277" t="str">
        <f t="shared" si="12"/>
        <v>УК</v>
      </c>
      <c r="C42" s="1278" t="str">
        <f t="shared" si="12"/>
        <v>Бухгалтер</v>
      </c>
      <c r="D42" s="1279">
        <f t="shared" si="12"/>
        <v>45000</v>
      </c>
      <c r="E42" s="1286">
        <f>($D12+$D12*Вводные!$D$32)*(1+Вводные!$D$33)*E$4*E$3*ФОТ_УК!E12</f>
        <v>0</v>
      </c>
      <c r="F42" s="1286">
        <f>($D12+$D12*Вводные!$D$32)*(1+Вводные!$D$33)*F$4*F$3*ФОТ_УК!F12</f>
        <v>0</v>
      </c>
      <c r="G42" s="1286">
        <f>($D12+$D12*Вводные!$D$32)*(1+Вводные!$D$33)*G$4*G$3*ФОТ_УК!G12</f>
        <v>0</v>
      </c>
      <c r="H42" s="1288">
        <f>($D12+$D12*Вводные!$D$32)*(1+Вводные!$D$33)*H$4*H$3*ФОТ_УК!H12</f>
        <v>3558709.7395200008</v>
      </c>
      <c r="I42" s="1286">
        <f>($D12+$D12*Вводные!$D$32)*(1+Вводные!$D$33)*I$4*I$3*ФОТ_УК!I12</f>
        <v>3701058.129100801</v>
      </c>
      <c r="J42" s="1286">
        <f>($D12+$D12*Вводные!$D$32)*(1+Вводные!$D$33)*J$4*J$3*ФОТ_УК!J12</f>
        <v>3849100.4542648336</v>
      </c>
      <c r="K42" s="1286">
        <f>($D12+$D12*Вводные!$D$32)*(1+Вводные!$D$33)*K$4*K$3*ФОТ_УК!K12</f>
        <v>4003064.4724354269</v>
      </c>
      <c r="L42" s="1286">
        <f>($D12+$D12*Вводные!$D$32)*(1+Вводные!$D$33)*L$4*L$3*ФОТ_УК!L12</f>
        <v>4163187.051332844</v>
      </c>
      <c r="M42" s="1286">
        <f>($D12+$D12*Вводные!$D$32)*(1+Вводные!$D$33)*M$4*M$3*ФОТ_УК!M12</f>
        <v>4329714.5333861578</v>
      </c>
      <c r="N42" s="1286">
        <f>($D12+$D12*Вводные!$D$32)*(1+Вводные!$D$33)*N$4*N$3*ФОТ_УК!N12</f>
        <v>4502903.1147216046</v>
      </c>
      <c r="O42" s="1286">
        <f>($D12+$D12*Вводные!$D$32)*(1+Вводные!$D$33)*O$4*O$3*ФОТ_УК!O12</f>
        <v>4683019.2393104695</v>
      </c>
      <c r="P42" s="1286">
        <f>($D12+$D12*Вводные!$D$32)*(1+Вводные!$D$33)*P$4*P$3*ФОТ_УК!P12</f>
        <v>4870340.0088828877</v>
      </c>
      <c r="Q42" s="1286">
        <f>($D12+$D12*Вводные!$D$32)*(1+Вводные!$D$33)*Q$4*Q$3*ФОТ_УК!Q12</f>
        <v>5065153.6092382036</v>
      </c>
      <c r="R42" s="1286">
        <f>($D12+$D12*Вводные!$D$32)*(1+Вводные!$D$33)*R$4*R$3*ФОТ_УК!R12</f>
        <v>5267759.7536077313</v>
      </c>
      <c r="S42" s="1286">
        <f>($D12+$D12*Вводные!$D$32)*(1+Вводные!$D$33)*S$4*S$3*ФОТ_УК!S12</f>
        <v>5478470.1437520413</v>
      </c>
      <c r="T42" s="1286">
        <f>($D12+$D12*Вводные!$D$32)*(1+Вводные!$D$33)*T$4*T$3*ФОТ_УК!T12</f>
        <v>5697608.9495021226</v>
      </c>
      <c r="U42" s="1286">
        <f>($D12+$D12*Вводные!$D$32)*(1+Вводные!$D$33)*U$4*U$3*ФОТ_УК!U12</f>
        <v>5925513.3074822072</v>
      </c>
      <c r="V42" s="1286">
        <f>($D12+$D12*Вводные!$D$32)*(1+Вводные!$D$33)*V$4*V$3*ФОТ_УК!V12</f>
        <v>6162533.8397814957</v>
      </c>
      <c r="W42" s="1286">
        <f>($D12+$D12*Вводные!$D$32)*(1+Вводные!$D$33)*W$4*W$3*ФОТ_УК!W12</f>
        <v>6409035.1933727553</v>
      </c>
      <c r="X42" s="1286">
        <f>($D12+$D12*Вводные!$D$32)*(1+Вводные!$D$33)*X$4*X$3*ФОТ_УК!X12</f>
        <v>6665396.6011076663</v>
      </c>
      <c r="Y42" s="1286">
        <f>($D12+$D12*Вводные!$D$32)*(1+Вводные!$D$33)*Y$4*Y$3*ФОТ_УК!Y12</f>
        <v>6932012.4651519731</v>
      </c>
      <c r="Z42" s="1286">
        <f>($D12+$D12*Вводные!$D$32)*(1+Вводные!$D$33)*Z$4*Z$3*ФОТ_УК!Z12</f>
        <v>7209292.9637580514</v>
      </c>
      <c r="AA42" s="1286">
        <f>($D12+$D12*Вводные!$D$32)*(1+Вводные!$D$33)*AA$4*AA$3*ФОТ_УК!AA12</f>
        <v>7497664.6823083749</v>
      </c>
      <c r="AB42" s="1270"/>
      <c r="AC42" s="1270"/>
      <c r="AD42" s="1270"/>
      <c r="AE42" s="1270"/>
      <c r="AF42" s="1270"/>
      <c r="AG42" s="1270"/>
      <c r="AH42" s="1270"/>
      <c r="AI42" s="1270"/>
      <c r="AJ42" s="1270"/>
      <c r="AK42" s="1270"/>
      <c r="AL42" s="1270"/>
      <c r="AM42" s="1270"/>
      <c r="AN42" s="1270"/>
      <c r="AO42" s="1270"/>
      <c r="AP42" s="1270"/>
      <c r="AQ42" s="1270"/>
      <c r="AR42" s="1270"/>
      <c r="AS42" s="1270"/>
      <c r="AT42" s="1270"/>
      <c r="AU42" s="1270"/>
      <c r="AV42" s="1270"/>
      <c r="AW42" s="1270"/>
      <c r="AX42" s="1270"/>
      <c r="AY42" s="1270"/>
      <c r="AZ42" s="1270"/>
      <c r="BA42" s="1270"/>
      <c r="BB42" s="1270"/>
      <c r="BC42" s="1270"/>
    </row>
    <row r="43" spans="1:55" ht="15" customHeight="1">
      <c r="B43" s="1277" t="str">
        <f t="shared" si="12"/>
        <v>УК</v>
      </c>
      <c r="C43" s="1278" t="str">
        <f t="shared" si="12"/>
        <v>Ассистент генерального директора</v>
      </c>
      <c r="D43" s="1279">
        <f t="shared" si="12"/>
        <v>45000</v>
      </c>
      <c r="E43" s="1286">
        <f>($D13+$D13*Вводные!$D$32)*(1+Вводные!$D$33)*E$4*E$3*ФОТ_УК!E13</f>
        <v>0</v>
      </c>
      <c r="F43" s="1286">
        <f>($D13+$D13*Вводные!$D$32)*(1+Вводные!$D$33)*F$4*F$3*ФОТ_УК!F13</f>
        <v>0</v>
      </c>
      <c r="G43" s="1286">
        <f>($D13+$D13*Вводные!$D$32)*(1+Вводные!$D$33)*G$4*G$3*ФОТ_УК!G13</f>
        <v>0</v>
      </c>
      <c r="H43" s="1288">
        <f>($D13+$D13*Вводные!$D$32)*(1+Вводные!$D$33)*H$4*H$3*ФОТ_УК!H13</f>
        <v>889677.43488000019</v>
      </c>
      <c r="I43" s="1286">
        <f>($D13+$D13*Вводные!$D$32)*(1+Вводные!$D$33)*I$4*I$3*ФОТ_УК!I13</f>
        <v>925264.53227520024</v>
      </c>
      <c r="J43" s="1286">
        <f>($D13+$D13*Вводные!$D$32)*(1+Вводные!$D$33)*J$4*J$3*ФОТ_УК!J13</f>
        <v>962275.1135662084</v>
      </c>
      <c r="K43" s="1286">
        <f>($D13+$D13*Вводные!$D$32)*(1+Вводные!$D$33)*K$4*K$3*ФОТ_УК!K13</f>
        <v>1000766.1181088567</v>
      </c>
      <c r="L43" s="1286">
        <f>($D13+$D13*Вводные!$D$32)*(1+Вводные!$D$33)*L$4*L$3*ФОТ_УК!L13</f>
        <v>1040796.762833211</v>
      </c>
      <c r="M43" s="1286">
        <f>($D13+$D13*Вводные!$D$32)*(1+Вводные!$D$33)*M$4*M$3*ФОТ_УК!M13</f>
        <v>1082428.6333465395</v>
      </c>
      <c r="N43" s="1286">
        <f>($D13+$D13*Вводные!$D$32)*(1+Вводные!$D$33)*N$4*N$3*ФОТ_УК!N13</f>
        <v>1125725.7786804012</v>
      </c>
      <c r="O43" s="1286">
        <f>($D13+$D13*Вводные!$D$32)*(1+Вводные!$D$33)*O$4*O$3*ФОТ_УК!O13</f>
        <v>1170754.8098276174</v>
      </c>
      <c r="P43" s="1286">
        <f>($D13+$D13*Вводные!$D$32)*(1+Вводные!$D$33)*P$4*P$3*ФОТ_УК!P13</f>
        <v>1217585.0022207219</v>
      </c>
      <c r="Q43" s="1286">
        <f>($D13+$D13*Вводные!$D$32)*(1+Вводные!$D$33)*Q$4*Q$3*ФОТ_УК!Q13</f>
        <v>1266288.4023095509</v>
      </c>
      <c r="R43" s="1286">
        <f>($D13+$D13*Вводные!$D$32)*(1+Вводные!$D$33)*R$4*R$3*ФОТ_УК!R13</f>
        <v>1316939.9384019328</v>
      </c>
      <c r="S43" s="1286">
        <f>($D13+$D13*Вводные!$D$32)*(1+Вводные!$D$33)*S$4*S$3*ФОТ_УК!S13</f>
        <v>1369617.5359380103</v>
      </c>
      <c r="T43" s="1286">
        <f>($D13+$D13*Вводные!$D$32)*(1+Вводные!$D$33)*T$4*T$3*ФОТ_УК!T13</f>
        <v>1424402.2373755306</v>
      </c>
      <c r="U43" s="1286">
        <f>($D13+$D13*Вводные!$D$32)*(1+Вводные!$D$33)*U$4*U$3*ФОТ_УК!U13</f>
        <v>1481378.3268705518</v>
      </c>
      <c r="V43" s="1286">
        <f>($D13+$D13*Вводные!$D$32)*(1+Вводные!$D$33)*V$4*V$3*ФОТ_УК!V13</f>
        <v>1540633.4599453739</v>
      </c>
      <c r="W43" s="1286">
        <f>($D13+$D13*Вводные!$D$32)*(1+Вводные!$D$33)*W$4*W$3*ФОТ_УК!W13</f>
        <v>1602258.7983431888</v>
      </c>
      <c r="X43" s="1286">
        <f>($D13+$D13*Вводные!$D$32)*(1+Вводные!$D$33)*X$4*X$3*ФОТ_УК!X13</f>
        <v>1666349.1502769166</v>
      </c>
      <c r="Y43" s="1286">
        <f>($D13+$D13*Вводные!$D$32)*(1+Вводные!$D$33)*Y$4*Y$3*ФОТ_УК!Y13</f>
        <v>1733003.1162879933</v>
      </c>
      <c r="Z43" s="1286">
        <f>($D13+$D13*Вводные!$D$32)*(1+Вводные!$D$33)*Z$4*Z$3*ФОТ_УК!Z13</f>
        <v>1802323.2409395128</v>
      </c>
      <c r="AA43" s="1286">
        <f>($D13+$D13*Вводные!$D$32)*(1+Вводные!$D$33)*AA$4*AA$3*ФОТ_УК!AA13</f>
        <v>1874416.1705770937</v>
      </c>
      <c r="AB43" s="1270"/>
      <c r="AC43" s="1270"/>
      <c r="AD43" s="1270"/>
      <c r="AE43" s="1270"/>
      <c r="AF43" s="1270"/>
      <c r="AG43" s="1270"/>
      <c r="AH43" s="1270"/>
      <c r="AI43" s="1270"/>
      <c r="AJ43" s="1270"/>
      <c r="AK43" s="1270"/>
      <c r="AL43" s="1270"/>
      <c r="AM43" s="1270"/>
      <c r="AN43" s="1270"/>
      <c r="AO43" s="1270"/>
      <c r="AP43" s="1270"/>
      <c r="AQ43" s="1270"/>
      <c r="AR43" s="1270"/>
      <c r="AS43" s="1270"/>
      <c r="AT43" s="1270"/>
      <c r="AU43" s="1270"/>
      <c r="AV43" s="1270"/>
      <c r="AW43" s="1270"/>
      <c r="AX43" s="1270"/>
      <c r="AY43" s="1270"/>
      <c r="AZ43" s="1270"/>
      <c r="BA43" s="1270"/>
      <c r="BB43" s="1270"/>
      <c r="BC43" s="1270"/>
    </row>
    <row r="44" spans="1:55" ht="15" customHeight="1">
      <c r="B44" s="1277" t="str">
        <f t="shared" si="12"/>
        <v>УК</v>
      </c>
      <c r="C44" s="1278" t="str">
        <f t="shared" si="12"/>
        <v xml:space="preserve">Водитель </v>
      </c>
      <c r="D44" s="1279">
        <f t="shared" si="12"/>
        <v>35000</v>
      </c>
      <c r="E44" s="1286">
        <f>($D14+$D14*Вводные!$D$32)*(1+Вводные!$D$33)*E$4*E$3*ФОТ_УК!E14</f>
        <v>0</v>
      </c>
      <c r="F44" s="1286">
        <f>($D14+$D14*Вводные!$D$32)*(1+Вводные!$D$33)*F$4*F$3*ФОТ_УК!F14</f>
        <v>0</v>
      </c>
      <c r="G44" s="1286">
        <f>($D14+$D14*Вводные!$D$32)*(1+Вводные!$D$33)*G$4*G$3*ФОТ_УК!G14</f>
        <v>0</v>
      </c>
      <c r="H44" s="1288">
        <f>($D14+$D14*Вводные!$D$32)*(1+Вводные!$D$33)*H$4*H$3*ФОТ_УК!H14</f>
        <v>691971.33824000019</v>
      </c>
      <c r="I44" s="1286">
        <f>($D14+$D14*Вводные!$D$32)*(1+Вводные!$D$33)*I$4*I$3*ФОТ_УК!I14</f>
        <v>719650.19176960015</v>
      </c>
      <c r="J44" s="1286">
        <f>($D14+$D14*Вводные!$D$32)*(1+Вводные!$D$33)*J$4*J$3*ФОТ_УК!J14</f>
        <v>748436.19944038417</v>
      </c>
      <c r="K44" s="1286">
        <f>($D14+$D14*Вводные!$D$32)*(1+Вводные!$D$33)*K$4*K$3*ФОТ_УК!K14</f>
        <v>778373.64741799957</v>
      </c>
      <c r="L44" s="1286">
        <f>($D14+$D14*Вводные!$D$32)*(1+Вводные!$D$33)*L$4*L$3*ФОТ_УК!L14</f>
        <v>809508.59331471962</v>
      </c>
      <c r="M44" s="1286">
        <f>($D14+$D14*Вводные!$D$32)*(1+Вводные!$D$33)*M$4*M$3*ФОТ_УК!M14</f>
        <v>841888.93704730831</v>
      </c>
      <c r="N44" s="1286">
        <f>($D14+$D14*Вводные!$D$32)*(1+Вводные!$D$33)*N$4*N$3*ФОТ_УК!N14</f>
        <v>875564.49452920072</v>
      </c>
      <c r="O44" s="1286">
        <f>($D14+$D14*Вводные!$D$32)*(1+Вводные!$D$33)*O$4*O$3*ФОТ_УК!O14</f>
        <v>910587.07431036886</v>
      </c>
      <c r="P44" s="1286">
        <f>($D14+$D14*Вводные!$D$32)*(1+Вводные!$D$33)*P$4*P$3*ФОТ_УК!P14</f>
        <v>947010.55728278379</v>
      </c>
      <c r="Q44" s="1286">
        <f>($D14+$D14*Вводные!$D$32)*(1+Вводные!$D$33)*Q$4*Q$3*ФОТ_УК!Q14</f>
        <v>984890.97957409511</v>
      </c>
      <c r="R44" s="1286">
        <f>($D14+$D14*Вводные!$D$32)*(1+Вводные!$D$33)*R$4*R$3*ФОТ_УК!R14</f>
        <v>1024286.6187570589</v>
      </c>
      <c r="S44" s="1286">
        <f>($D14+$D14*Вводные!$D$32)*(1+Вводные!$D$33)*S$4*S$3*ФОТ_УК!S14</f>
        <v>1065258.0835073413</v>
      </c>
      <c r="T44" s="1286">
        <f>($D14+$D14*Вводные!$D$32)*(1+Вводные!$D$33)*T$4*T$3*ФОТ_УК!T14</f>
        <v>1107868.4068476348</v>
      </c>
      <c r="U44" s="1286">
        <f>($D14+$D14*Вводные!$D$32)*(1+Вводные!$D$33)*U$4*U$3*ФОТ_УК!U14</f>
        <v>1152183.1431215403</v>
      </c>
      <c r="V44" s="1286">
        <f>($D14+$D14*Вводные!$D$32)*(1+Вводные!$D$33)*V$4*V$3*ФОТ_УК!V14</f>
        <v>1198270.4688464019</v>
      </c>
      <c r="W44" s="1286">
        <f>($D14+$D14*Вводные!$D$32)*(1+Вводные!$D$33)*W$4*W$3*ФОТ_УК!W14</f>
        <v>1246201.2876002579</v>
      </c>
      <c r="X44" s="1286">
        <f>($D14+$D14*Вводные!$D$32)*(1+Вводные!$D$33)*X$4*X$3*ФОТ_УК!X14</f>
        <v>1296049.3391042685</v>
      </c>
      <c r="Y44" s="1286">
        <f>($D14+$D14*Вводные!$D$32)*(1+Вводные!$D$33)*Y$4*Y$3*ФОТ_УК!Y14</f>
        <v>1347891.312668439</v>
      </c>
      <c r="Z44" s="1286">
        <f>($D14+$D14*Вводные!$D$32)*(1+Вводные!$D$33)*Z$4*Z$3*ФОТ_УК!Z14</f>
        <v>1401806.9651751767</v>
      </c>
      <c r="AA44" s="1286">
        <f>($D14+$D14*Вводные!$D$32)*(1+Вводные!$D$33)*AA$4*AA$3*ФОТ_УК!AA14</f>
        <v>1457879.2437821839</v>
      </c>
      <c r="AB44" s="1270"/>
      <c r="AC44" s="1270"/>
      <c r="AD44" s="1270"/>
      <c r="AE44" s="1270"/>
      <c r="AF44" s="1270"/>
      <c r="AG44" s="1270"/>
      <c r="AH44" s="1270"/>
      <c r="AI44" s="1270"/>
      <c r="AJ44" s="1270"/>
      <c r="AK44" s="1270"/>
      <c r="AL44" s="1270"/>
      <c r="AM44" s="1270"/>
      <c r="AN44" s="1270"/>
      <c r="AO44" s="1270"/>
      <c r="AP44" s="1270"/>
      <c r="AQ44" s="1270"/>
      <c r="AR44" s="1270"/>
      <c r="AS44" s="1270"/>
      <c r="AT44" s="1270"/>
      <c r="AU44" s="1270"/>
      <c r="AV44" s="1270"/>
      <c r="AW44" s="1270"/>
      <c r="AX44" s="1270"/>
      <c r="AY44" s="1270"/>
      <c r="AZ44" s="1270"/>
      <c r="BA44" s="1270"/>
      <c r="BB44" s="1270"/>
      <c r="BC44" s="1270"/>
    </row>
    <row r="45" spans="1:55" ht="15" customHeight="1">
      <c r="B45" s="1277" t="str">
        <f t="shared" si="12"/>
        <v>УК</v>
      </c>
      <c r="C45" s="1278" t="str">
        <f t="shared" si="12"/>
        <v>Начальник службы охраны</v>
      </c>
      <c r="D45" s="1279">
        <f t="shared" si="12"/>
        <v>70000</v>
      </c>
      <c r="E45" s="1286">
        <f>($D15+$D15*Вводные!$D$32)*(1+Вводные!$D$33)*E$4*E$3*ФОТ_УК!E15</f>
        <v>0</v>
      </c>
      <c r="F45" s="1286">
        <f>($D15+$D15*Вводные!$D$32)*(1+Вводные!$D$33)*F$4*F$3*ФОТ_УК!F15</f>
        <v>0</v>
      </c>
      <c r="G45" s="1286">
        <f>($D15+$D15*Вводные!$D$32)*(1+Вводные!$D$33)*G$4*G$3*ФОТ_УК!G15</f>
        <v>0</v>
      </c>
      <c r="H45" s="1288">
        <f>($D15+$D15*Вводные!$D$32)*(1+Вводные!$D$33)*H$4*H$3*ФОТ_УК!H15</f>
        <v>1383942.6764800004</v>
      </c>
      <c r="I45" s="1286">
        <f>($D15+$D15*Вводные!$D$32)*(1+Вводные!$D$33)*I$4*I$3*ФОТ_УК!I15</f>
        <v>1439300.3835392003</v>
      </c>
      <c r="J45" s="1286">
        <f>($D15+$D15*Вводные!$D$32)*(1+Вводные!$D$33)*J$4*J$3*ФОТ_УК!J15</f>
        <v>1496872.3988807683</v>
      </c>
      <c r="K45" s="1286">
        <f>($D15+$D15*Вводные!$D$32)*(1+Вводные!$D$33)*K$4*K$3*ФОТ_УК!K15</f>
        <v>1556747.2948359991</v>
      </c>
      <c r="L45" s="1286">
        <f>($D15+$D15*Вводные!$D$32)*(1+Вводные!$D$33)*L$4*L$3*ФОТ_УК!L15</f>
        <v>1619017.1866294392</v>
      </c>
      <c r="M45" s="1286">
        <f>($D15+$D15*Вводные!$D$32)*(1+Вводные!$D$33)*M$4*M$3*ФОТ_УК!M15</f>
        <v>1683777.8740946166</v>
      </c>
      <c r="N45" s="1286">
        <f>($D15+$D15*Вводные!$D$32)*(1+Вводные!$D$33)*N$4*N$3*ФОТ_УК!N15</f>
        <v>1751128.9890584014</v>
      </c>
      <c r="O45" s="1286">
        <f>($D15+$D15*Вводные!$D$32)*(1+Вводные!$D$33)*O$4*O$3*ФОТ_УК!O15</f>
        <v>1821174.1486207377</v>
      </c>
      <c r="P45" s="1286">
        <f>($D15+$D15*Вводные!$D$32)*(1+Вводные!$D$33)*P$4*P$3*ФОТ_УК!P15</f>
        <v>1894021.1145655676</v>
      </c>
      <c r="Q45" s="1286">
        <f>($D15+$D15*Вводные!$D$32)*(1+Вводные!$D$33)*Q$4*Q$3*ФОТ_УК!Q15</f>
        <v>1969781.9591481902</v>
      </c>
      <c r="R45" s="1286">
        <f>($D15+$D15*Вводные!$D$32)*(1+Вводные!$D$33)*R$4*R$3*ФОТ_УК!R15</f>
        <v>2048573.2375141177</v>
      </c>
      <c r="S45" s="1286">
        <f>($D15+$D15*Вводные!$D$32)*(1+Вводные!$D$33)*S$4*S$3*ФОТ_УК!S15</f>
        <v>2130516.1670146827</v>
      </c>
      <c r="T45" s="1286">
        <f>($D15+$D15*Вводные!$D$32)*(1+Вводные!$D$33)*T$4*T$3*ФОТ_УК!T15</f>
        <v>2215736.8136952696</v>
      </c>
      <c r="U45" s="1286">
        <f>($D15+$D15*Вводные!$D$32)*(1+Вводные!$D$33)*U$4*U$3*ФОТ_УК!U15</f>
        <v>2304366.2862430806</v>
      </c>
      <c r="V45" s="1286">
        <f>($D15+$D15*Вводные!$D$32)*(1+Вводные!$D$33)*V$4*V$3*ФОТ_УК!V15</f>
        <v>2396540.9376928038</v>
      </c>
      <c r="W45" s="1286">
        <f>($D15+$D15*Вводные!$D$32)*(1+Вводные!$D$33)*W$4*W$3*ФОТ_УК!W15</f>
        <v>2492402.5752005158</v>
      </c>
      <c r="X45" s="1286">
        <f>($D15+$D15*Вводные!$D$32)*(1+Вводные!$D$33)*X$4*X$3*ФОТ_УК!X15</f>
        <v>2592098.6782085369</v>
      </c>
      <c r="Y45" s="1286">
        <f>($D15+$D15*Вводные!$D$32)*(1+Вводные!$D$33)*Y$4*Y$3*ФОТ_УК!Y15</f>
        <v>2695782.625336878</v>
      </c>
      <c r="Z45" s="1286">
        <f>($D15+$D15*Вводные!$D$32)*(1+Вводные!$D$33)*Z$4*Z$3*ФОТ_УК!Z15</f>
        <v>2803613.9303503535</v>
      </c>
      <c r="AA45" s="1286">
        <f>($D15+$D15*Вводные!$D$32)*(1+Вводные!$D$33)*AA$4*AA$3*ФОТ_УК!AA15</f>
        <v>2915758.4875643677</v>
      </c>
      <c r="AB45" s="1270"/>
      <c r="AC45" s="1270"/>
      <c r="AD45" s="1270"/>
      <c r="AE45" s="1270"/>
      <c r="AF45" s="1270"/>
      <c r="AG45" s="1270"/>
      <c r="AH45" s="1270"/>
      <c r="AI45" s="1270"/>
      <c r="AJ45" s="1270"/>
      <c r="AK45" s="1270"/>
      <c r="AL45" s="1270"/>
      <c r="AM45" s="1270"/>
      <c r="AN45" s="1270"/>
      <c r="AO45" s="1270"/>
      <c r="AP45" s="1270"/>
      <c r="AQ45" s="1270"/>
      <c r="AR45" s="1270"/>
      <c r="AS45" s="1270"/>
      <c r="AT45" s="1270"/>
      <c r="AU45" s="1270"/>
      <c r="AV45" s="1270"/>
      <c r="AW45" s="1270"/>
      <c r="AX45" s="1270"/>
      <c r="AY45" s="1270"/>
      <c r="AZ45" s="1270"/>
      <c r="BA45" s="1270"/>
      <c r="BB45" s="1270"/>
      <c r="BC45" s="1270"/>
    </row>
    <row r="46" spans="1:55" ht="15" customHeight="1">
      <c r="B46" s="1277" t="str">
        <f t="shared" si="12"/>
        <v>УК</v>
      </c>
      <c r="C46" s="1278" t="str">
        <f t="shared" si="12"/>
        <v>Служба охраны</v>
      </c>
      <c r="D46" s="1279">
        <f t="shared" si="12"/>
        <v>35000</v>
      </c>
      <c r="E46" s="1286">
        <f>($D16+$D16*Вводные!$D$32)*(1+Вводные!$D$33)*E$4*E$3*ФОТ_УК!E16</f>
        <v>0</v>
      </c>
      <c r="F46" s="1286">
        <f>($D16+$D16*Вводные!$D$32)*(1+Вводные!$D$33)*F$4*F$3*ФОТ_УК!F16</f>
        <v>0</v>
      </c>
      <c r="G46" s="1286">
        <f>($D16+$D16*Вводные!$D$32)*(1+Вводные!$D$33)*G$4*G$3*ФОТ_УК!G16</f>
        <v>0</v>
      </c>
      <c r="H46" s="1288">
        <f>($D16+$D16*Вводные!$D$32)*(1+Вводные!$D$33)*H$4*H$3*ФОТ_УК!H16</f>
        <v>4151828.0294400011</v>
      </c>
      <c r="I46" s="1286">
        <f>($D16+$D16*Вводные!$D$32)*(1+Вводные!$D$33)*I$4*I$3*ФОТ_УК!I16</f>
        <v>4317901.1506176013</v>
      </c>
      <c r="J46" s="1286">
        <f>($D16+$D16*Вводные!$D$32)*(1+Вводные!$D$33)*J$4*J$3*ФОТ_УК!J16</f>
        <v>4490617.1966423048</v>
      </c>
      <c r="K46" s="1286">
        <f>($D16+$D16*Вводные!$D$32)*(1+Вводные!$D$33)*K$4*K$3*ФОТ_УК!K16</f>
        <v>4670241.884507997</v>
      </c>
      <c r="L46" s="1286">
        <f>($D16+$D16*Вводные!$D$32)*(1+Вводные!$D$33)*L$4*L$3*ФОТ_УК!L16</f>
        <v>4857051.5598883182</v>
      </c>
      <c r="M46" s="1286">
        <f>($D16+$D16*Вводные!$D$32)*(1+Вводные!$D$33)*M$4*M$3*ФОТ_УК!M16</f>
        <v>5051333.6222838499</v>
      </c>
      <c r="N46" s="1286">
        <f>($D16+$D16*Вводные!$D$32)*(1+Вводные!$D$33)*N$4*N$3*ФОТ_УК!N16</f>
        <v>5253386.9671752043</v>
      </c>
      <c r="O46" s="1286">
        <f>($D16+$D16*Вводные!$D$32)*(1+Вводные!$D$33)*O$4*O$3*ФОТ_УК!O16</f>
        <v>5463522.4458622131</v>
      </c>
      <c r="P46" s="1286">
        <f>($D16+$D16*Вводные!$D$32)*(1+Вводные!$D$33)*P$4*P$3*ФОТ_УК!P16</f>
        <v>5682063.3436967023</v>
      </c>
      <c r="Q46" s="1286">
        <f>($D16+$D16*Вводные!$D$32)*(1+Вводные!$D$33)*Q$4*Q$3*ФОТ_УК!Q16</f>
        <v>5909345.8774445709</v>
      </c>
      <c r="R46" s="1286">
        <f>($D16+$D16*Вводные!$D$32)*(1+Вводные!$D$33)*R$4*R$3*ФОТ_УК!R16</f>
        <v>6145719.7125423532</v>
      </c>
      <c r="S46" s="1286">
        <f>($D16+$D16*Вводные!$D$32)*(1+Вводные!$D$33)*S$4*S$3*ФОТ_УК!S16</f>
        <v>6391548.501044048</v>
      </c>
      <c r="T46" s="1286">
        <f>($D16+$D16*Вводные!$D$32)*(1+Вводные!$D$33)*T$4*T$3*ФОТ_УК!T16</f>
        <v>6647210.4410858089</v>
      </c>
      <c r="U46" s="1286">
        <f>($D16+$D16*Вводные!$D$32)*(1+Вводные!$D$33)*U$4*U$3*ФОТ_УК!U16</f>
        <v>6913098.8587292414</v>
      </c>
      <c r="V46" s="1286">
        <f>($D16+$D16*Вводные!$D$32)*(1+Вводные!$D$33)*V$4*V$3*ФОТ_УК!V16</f>
        <v>7189622.8130784109</v>
      </c>
      <c r="W46" s="1286">
        <f>($D16+$D16*Вводные!$D$32)*(1+Вводные!$D$33)*W$4*W$3*ФОТ_УК!W16</f>
        <v>7477207.7256015474</v>
      </c>
      <c r="X46" s="1286">
        <f>($D16+$D16*Вводные!$D$32)*(1+Вводные!$D$33)*X$4*X$3*ФОТ_УК!X16</f>
        <v>7776296.0346256103</v>
      </c>
      <c r="Y46" s="1286">
        <f>($D16+$D16*Вводные!$D$32)*(1+Вводные!$D$33)*Y$4*Y$3*ФОТ_УК!Y16</f>
        <v>8087347.876010634</v>
      </c>
      <c r="Z46" s="1286">
        <f>($D16+$D16*Вводные!$D$32)*(1+Вводные!$D$33)*Z$4*Z$3*ФОТ_УК!Z16</f>
        <v>8410841.79105106</v>
      </c>
      <c r="AA46" s="1286">
        <f>($D16+$D16*Вводные!$D$32)*(1+Вводные!$D$33)*AA$4*AA$3*ФОТ_УК!AA16</f>
        <v>8747275.4626931027</v>
      </c>
      <c r="AB46" s="1270"/>
      <c r="AC46" s="1270"/>
      <c r="AD46" s="1270"/>
      <c r="AE46" s="1270"/>
      <c r="AF46" s="1270"/>
      <c r="AG46" s="1270"/>
      <c r="AH46" s="1270"/>
      <c r="AI46" s="1270"/>
      <c r="AJ46" s="1270"/>
      <c r="AK46" s="1270"/>
      <c r="AL46" s="1270"/>
      <c r="AM46" s="1270"/>
      <c r="AN46" s="1270"/>
      <c r="AO46" s="1270"/>
      <c r="AP46" s="1270"/>
      <c r="AQ46" s="1270"/>
      <c r="AR46" s="1270"/>
      <c r="AS46" s="1270"/>
      <c r="AT46" s="1270"/>
      <c r="AU46" s="1270"/>
      <c r="AV46" s="1270"/>
      <c r="AW46" s="1270"/>
      <c r="AX46" s="1270"/>
      <c r="AY46" s="1270"/>
      <c r="AZ46" s="1270"/>
      <c r="BA46" s="1270"/>
      <c r="BB46" s="1270"/>
      <c r="BC46" s="1270"/>
    </row>
    <row r="47" spans="1:55" ht="15" customHeight="1">
      <c r="B47" s="1277" t="str">
        <f t="shared" si="12"/>
        <v>УК</v>
      </c>
      <c r="C47" s="1277" t="str">
        <f t="shared" si="12"/>
        <v xml:space="preserve">Начальник отдела управления персоналом </v>
      </c>
      <c r="D47" s="1279">
        <f t="shared" si="12"/>
        <v>70000</v>
      </c>
      <c r="E47" s="1286">
        <f>($D17+$D17*Вводные!$D$32)*(1+Вводные!$D$33)*E$4*E$3*ФОТ_УК!E17</f>
        <v>0</v>
      </c>
      <c r="F47" s="1286">
        <f>($D17+$D17*Вводные!$D$32)*(1+Вводные!$D$33)*F$4*F$3*ФОТ_УК!F17</f>
        <v>0</v>
      </c>
      <c r="G47" s="1286">
        <f>($D17+$D17*Вводные!$D$32)*(1+Вводные!$D$33)*G$4*G$3*ФОТ_УК!G17</f>
        <v>0</v>
      </c>
      <c r="H47" s="1288">
        <f>($D17+$D17*Вводные!$D$32)*(1+Вводные!$D$33)*H$4*H$3*ФОТ_УК!H17</f>
        <v>1383942.6764800004</v>
      </c>
      <c r="I47" s="1286">
        <f>($D17+$D17*Вводные!$D$32)*(1+Вводные!$D$33)*I$4*I$3*ФОТ_УК!I17</f>
        <v>1439300.3835392003</v>
      </c>
      <c r="J47" s="1286">
        <f>($D17+$D17*Вводные!$D$32)*(1+Вводные!$D$33)*J$4*J$3*ФОТ_УК!J17</f>
        <v>1496872.3988807683</v>
      </c>
      <c r="K47" s="1286">
        <f>($D17+$D17*Вводные!$D$32)*(1+Вводные!$D$33)*K$4*K$3*ФОТ_УК!K17</f>
        <v>1556747.2948359991</v>
      </c>
      <c r="L47" s="1286">
        <f>($D17+$D17*Вводные!$D$32)*(1+Вводные!$D$33)*L$4*L$3*ФОТ_УК!L17</f>
        <v>1619017.1866294392</v>
      </c>
      <c r="M47" s="1286">
        <f>($D17+$D17*Вводные!$D$32)*(1+Вводные!$D$33)*M$4*M$3*ФОТ_УК!M17</f>
        <v>1683777.8740946166</v>
      </c>
      <c r="N47" s="1286">
        <f>($D17+$D17*Вводные!$D$32)*(1+Вводные!$D$33)*N$4*N$3*ФОТ_УК!N17</f>
        <v>1751128.9890584014</v>
      </c>
      <c r="O47" s="1286">
        <f>($D17+$D17*Вводные!$D$32)*(1+Вводные!$D$33)*O$4*O$3*ФОТ_УК!O17</f>
        <v>1821174.1486207377</v>
      </c>
      <c r="P47" s="1286">
        <f>($D17+$D17*Вводные!$D$32)*(1+Вводные!$D$33)*P$4*P$3*ФОТ_УК!P17</f>
        <v>1894021.1145655676</v>
      </c>
      <c r="Q47" s="1286">
        <f>($D17+$D17*Вводные!$D$32)*(1+Вводные!$D$33)*Q$4*Q$3*ФОТ_УК!Q17</f>
        <v>1969781.9591481902</v>
      </c>
      <c r="R47" s="1286">
        <f>($D17+$D17*Вводные!$D$32)*(1+Вводные!$D$33)*R$4*R$3*ФОТ_УК!R17</f>
        <v>2048573.2375141177</v>
      </c>
      <c r="S47" s="1286">
        <f>($D17+$D17*Вводные!$D$32)*(1+Вводные!$D$33)*S$4*S$3*ФОТ_УК!S17</f>
        <v>2130516.1670146827</v>
      </c>
      <c r="T47" s="1286">
        <f>($D17+$D17*Вводные!$D$32)*(1+Вводные!$D$33)*T$4*T$3*ФОТ_УК!T17</f>
        <v>2215736.8136952696</v>
      </c>
      <c r="U47" s="1286">
        <f>($D17+$D17*Вводные!$D$32)*(1+Вводные!$D$33)*U$4*U$3*ФОТ_УК!U17</f>
        <v>2304366.2862430806</v>
      </c>
      <c r="V47" s="1286">
        <f>($D17+$D17*Вводные!$D$32)*(1+Вводные!$D$33)*V$4*V$3*ФОТ_УК!V17</f>
        <v>2396540.9376928038</v>
      </c>
      <c r="W47" s="1286">
        <f>($D17+$D17*Вводные!$D$32)*(1+Вводные!$D$33)*W$4*W$3*ФОТ_УК!W17</f>
        <v>2492402.5752005158</v>
      </c>
      <c r="X47" s="1286">
        <f>($D17+$D17*Вводные!$D$32)*(1+Вводные!$D$33)*X$4*X$3*ФОТ_УК!X17</f>
        <v>2592098.6782085369</v>
      </c>
      <c r="Y47" s="1286">
        <f>($D17+$D17*Вводные!$D$32)*(1+Вводные!$D$33)*Y$4*Y$3*ФОТ_УК!Y17</f>
        <v>2695782.625336878</v>
      </c>
      <c r="Z47" s="1286">
        <f>($D17+$D17*Вводные!$D$32)*(1+Вводные!$D$33)*Z$4*Z$3*ФОТ_УК!Z17</f>
        <v>2803613.9303503535</v>
      </c>
      <c r="AA47" s="1286">
        <f>($D17+$D17*Вводные!$D$32)*(1+Вводные!$D$33)*AA$4*AA$3*ФОТ_УК!AA17</f>
        <v>2915758.4875643677</v>
      </c>
      <c r="AB47" s="1270"/>
      <c r="AC47" s="1270"/>
      <c r="AD47" s="1270"/>
      <c r="AE47" s="1270"/>
      <c r="AF47" s="1270"/>
      <c r="AG47" s="1270"/>
      <c r="AH47" s="1270"/>
      <c r="AI47" s="1270"/>
      <c r="AJ47" s="1270"/>
      <c r="AK47" s="1270"/>
      <c r="AL47" s="1270"/>
      <c r="AM47" s="1270"/>
      <c r="AN47" s="1270"/>
      <c r="AO47" s="1270"/>
      <c r="AP47" s="1270"/>
      <c r="AQ47" s="1270"/>
      <c r="AR47" s="1270"/>
      <c r="AS47" s="1270"/>
      <c r="AT47" s="1270"/>
      <c r="AU47" s="1270"/>
      <c r="AV47" s="1270"/>
      <c r="AW47" s="1270"/>
      <c r="AX47" s="1270"/>
      <c r="AY47" s="1270"/>
      <c r="AZ47" s="1270"/>
      <c r="BA47" s="1270"/>
      <c r="BB47" s="1270"/>
      <c r="BC47" s="1270"/>
    </row>
    <row r="48" spans="1:55" ht="15" customHeight="1">
      <c r="B48" s="1277" t="str">
        <f t="shared" si="12"/>
        <v>УК</v>
      </c>
      <c r="C48" s="1278" t="str">
        <f t="shared" si="12"/>
        <v xml:space="preserve">Специалист по кадрам </v>
      </c>
      <c r="D48" s="1279">
        <f t="shared" si="12"/>
        <v>45000</v>
      </c>
      <c r="E48" s="1286">
        <f>($D18+$D18*Вводные!$D$32)*(1+Вводные!$D$33)*E$4*E$3*ФОТ_УК!E18</f>
        <v>0</v>
      </c>
      <c r="F48" s="1286">
        <f>($D18+$D18*Вводные!$D$32)*(1+Вводные!$D$33)*F$4*F$3*ФОТ_УК!F18</f>
        <v>0</v>
      </c>
      <c r="G48" s="1286">
        <f>($D18+$D18*Вводные!$D$32)*(1+Вводные!$D$33)*G$4*G$3*ФОТ_УК!G18</f>
        <v>0</v>
      </c>
      <c r="H48" s="1288">
        <f>($D18+$D18*Вводные!$D$32)*(1+Вводные!$D$33)*H$4*H$3*ФОТ_УК!H18</f>
        <v>1779354.8697600004</v>
      </c>
      <c r="I48" s="1286">
        <f>($D18+$D18*Вводные!$D$32)*(1+Вводные!$D$33)*I$4*I$3*ФОТ_УК!I18</f>
        <v>1850529.0645504005</v>
      </c>
      <c r="J48" s="1286">
        <f>($D18+$D18*Вводные!$D$32)*(1+Вводные!$D$33)*J$4*J$3*ФОТ_УК!J18</f>
        <v>1924550.2271324168</v>
      </c>
      <c r="K48" s="1286">
        <f>($D18+$D18*Вводные!$D$32)*(1+Вводные!$D$33)*K$4*K$3*ФОТ_УК!K18</f>
        <v>2001532.2362177134</v>
      </c>
      <c r="L48" s="1286">
        <f>($D18+$D18*Вводные!$D$32)*(1+Вводные!$D$33)*L$4*L$3*ФОТ_УК!L18</f>
        <v>2081593.525666422</v>
      </c>
      <c r="M48" s="1286">
        <f>($D18+$D18*Вводные!$D$32)*(1+Вводные!$D$33)*M$4*M$3*ФОТ_УК!M18</f>
        <v>2164857.2666930789</v>
      </c>
      <c r="N48" s="1286">
        <f>($D18+$D18*Вводные!$D$32)*(1+Вводные!$D$33)*N$4*N$3*ФОТ_УК!N18</f>
        <v>2251451.5573608023</v>
      </c>
      <c r="O48" s="1286">
        <f>($D18+$D18*Вводные!$D$32)*(1+Вводные!$D$33)*O$4*O$3*ФОТ_УК!O18</f>
        <v>2341509.6196552347</v>
      </c>
      <c r="P48" s="1286">
        <f>($D18+$D18*Вводные!$D$32)*(1+Вводные!$D$33)*P$4*P$3*ФОТ_УК!P18</f>
        <v>2435170.0044414438</v>
      </c>
      <c r="Q48" s="1286">
        <f>($D18+$D18*Вводные!$D$32)*(1+Вводные!$D$33)*Q$4*Q$3*ФОТ_УК!Q18</f>
        <v>2532576.8046191018</v>
      </c>
      <c r="R48" s="1286">
        <f>($D18+$D18*Вводные!$D$32)*(1+Вводные!$D$33)*R$4*R$3*ФОТ_УК!R18</f>
        <v>2633879.8768038657</v>
      </c>
      <c r="S48" s="1286">
        <f>($D18+$D18*Вводные!$D$32)*(1+Вводные!$D$33)*S$4*S$3*ФОТ_УК!S18</f>
        <v>2739235.0718760206</v>
      </c>
      <c r="T48" s="1286">
        <f>($D18+$D18*Вводные!$D$32)*(1+Вводные!$D$33)*T$4*T$3*ФОТ_УК!T18</f>
        <v>2848804.4747510613</v>
      </c>
      <c r="U48" s="1286">
        <f>($D18+$D18*Вводные!$D$32)*(1+Вводные!$D$33)*U$4*U$3*ФОТ_УК!U18</f>
        <v>2962756.6537411036</v>
      </c>
      <c r="V48" s="1286">
        <f>($D18+$D18*Вводные!$D$32)*(1+Вводные!$D$33)*V$4*V$3*ФОТ_УК!V18</f>
        <v>3081266.9198907479</v>
      </c>
      <c r="W48" s="1286">
        <f>($D18+$D18*Вводные!$D$32)*(1+Вводные!$D$33)*W$4*W$3*ФОТ_УК!W18</f>
        <v>3204517.5966863777</v>
      </c>
      <c r="X48" s="1286">
        <f>($D18+$D18*Вводные!$D$32)*(1+Вводные!$D$33)*X$4*X$3*ФОТ_УК!X18</f>
        <v>3332698.3005538331</v>
      </c>
      <c r="Y48" s="1286">
        <f>($D18+$D18*Вводные!$D$32)*(1+Вводные!$D$33)*Y$4*Y$3*ФОТ_УК!Y18</f>
        <v>3466006.2325759865</v>
      </c>
      <c r="Z48" s="1286">
        <f>($D18+$D18*Вводные!$D$32)*(1+Вводные!$D$33)*Z$4*Z$3*ФОТ_УК!Z18</f>
        <v>3604646.4818790257</v>
      </c>
      <c r="AA48" s="1286">
        <f>($D18+$D18*Вводные!$D$32)*(1+Вводные!$D$33)*AA$4*AA$3*ФОТ_УК!AA18</f>
        <v>3748832.3411541875</v>
      </c>
      <c r="AB48" s="1270"/>
      <c r="AC48" s="1270"/>
      <c r="AD48" s="1270"/>
      <c r="AE48" s="1270"/>
      <c r="AF48" s="1270"/>
      <c r="AG48" s="1270"/>
      <c r="AH48" s="1270"/>
      <c r="AI48" s="1270"/>
      <c r="AJ48" s="1270"/>
      <c r="AK48" s="1270"/>
      <c r="AL48" s="1270"/>
      <c r="AM48" s="1270"/>
      <c r="AN48" s="1270"/>
      <c r="AO48" s="1270"/>
      <c r="AP48" s="1270"/>
      <c r="AQ48" s="1270"/>
      <c r="AR48" s="1270"/>
      <c r="AS48" s="1270"/>
      <c r="AT48" s="1270"/>
      <c r="AU48" s="1270"/>
      <c r="AV48" s="1270"/>
      <c r="AW48" s="1270"/>
      <c r="AX48" s="1270"/>
      <c r="AY48" s="1270"/>
      <c r="AZ48" s="1270"/>
      <c r="BA48" s="1270"/>
      <c r="BB48" s="1270"/>
      <c r="BC48" s="1270"/>
    </row>
    <row r="49" spans="2:27" ht="15" customHeight="1">
      <c r="B49" s="1277" t="str">
        <f t="shared" si="12"/>
        <v>УК - маркетинг</v>
      </c>
      <c r="C49" s="1278" t="str">
        <f t="shared" si="12"/>
        <v>Начальник отдела продаж</v>
      </c>
      <c r="D49" s="1279">
        <f t="shared" si="12"/>
        <v>120000</v>
      </c>
      <c r="E49" s="1286">
        <f>($D19+$D19*Вводные!$D$32)*(1+Вводные!$D$33)*E$4*E$3*ФОТ_УК!E19</f>
        <v>0</v>
      </c>
      <c r="F49" s="1286">
        <f>($D19+$D19*Вводные!$D$32)*(1+Вводные!$D$33)*F$4*F$3*ФОТ_УК!F19</f>
        <v>0</v>
      </c>
      <c r="G49" s="1286">
        <f>($D19+$D19*Вводные!$D$32)*(1+Вводные!$D$33)*G$4*G$3*ФОТ_УК!G19</f>
        <v>0</v>
      </c>
      <c r="H49" s="1286">
        <f>($D19+$D19*Вводные!$D$32)*(1+Вводные!$D$33)*H$4*H$3*ФОТ_УК!H19</f>
        <v>2372473.1596800005</v>
      </c>
      <c r="I49" s="1286">
        <f>($D19+$D19*Вводные!$D$32)*(1+Вводные!$D$33)*I$4*I$3*ФОТ_УК!I19</f>
        <v>2467372.0860672006</v>
      </c>
      <c r="J49" s="1286">
        <f>($D19+$D19*Вводные!$D$32)*(1+Вводные!$D$33)*J$4*J$3*ФОТ_УК!J19</f>
        <v>2566066.9695098884</v>
      </c>
      <c r="K49" s="1286">
        <f>($D19+$D19*Вводные!$D$32)*(1+Вводные!$D$33)*K$4*K$3*ФОТ_УК!K19</f>
        <v>2668709.6482902844</v>
      </c>
      <c r="L49" s="1286">
        <f>($D19+$D19*Вводные!$D$32)*(1+Вводные!$D$33)*L$4*L$3*ФОТ_УК!L19</f>
        <v>2775458.034221896</v>
      </c>
      <c r="M49" s="1286">
        <f>($D19+$D19*Вводные!$D$32)*(1+Вводные!$D$33)*M$4*M$3*ФОТ_УК!M19</f>
        <v>2886476.3555907719</v>
      </c>
      <c r="N49" s="1286">
        <f>($D19+$D19*Вводные!$D$32)*(1+Вводные!$D$33)*N$4*N$3*ФОТ_УК!N19</f>
        <v>3001935.4098144029</v>
      </c>
      <c r="O49" s="1286">
        <f>($D19+$D19*Вводные!$D$32)*(1+Вводные!$D$33)*O$4*O$3*ФОТ_УК!O19</f>
        <v>3122012.8262069789</v>
      </c>
      <c r="P49" s="1286">
        <f>($D19+$D19*Вводные!$D$32)*(1+Вводные!$D$33)*P$4*P$3*ФОТ_УК!P19</f>
        <v>3246893.3392552589</v>
      </c>
      <c r="Q49" s="1286">
        <f>($D19+$D19*Вводные!$D$32)*(1+Вводные!$D$33)*Q$4*Q$3*ФОТ_УК!Q19</f>
        <v>3376769.0728254691</v>
      </c>
      <c r="R49" s="1286">
        <f>($D19+$D19*Вводные!$D$32)*(1+Вводные!$D$33)*R$4*R$3*ФОТ_УК!R19</f>
        <v>3511839.8357384875</v>
      </c>
      <c r="S49" s="1286">
        <f>($D19+$D19*Вводные!$D$32)*(1+Вводные!$D$33)*S$4*S$3*ФОТ_УК!S19</f>
        <v>3652313.4291680269</v>
      </c>
      <c r="T49" s="1286">
        <f>($D19+$D19*Вводные!$D$32)*(1+Вводные!$D$33)*T$4*T$3*ФОТ_УК!T19</f>
        <v>3798405.9663347485</v>
      </c>
      <c r="U49" s="1286">
        <f>($D19+$D19*Вводные!$D$32)*(1+Вводные!$D$33)*U$4*U$3*ФОТ_УК!U19</f>
        <v>3950342.2049881388</v>
      </c>
      <c r="V49" s="1286">
        <f>($D19+$D19*Вводные!$D$32)*(1+Вводные!$D$33)*V$4*V$3*ФОТ_УК!V19</f>
        <v>4108355.8931876635</v>
      </c>
      <c r="W49" s="1286">
        <f>($D19+$D19*Вводные!$D$32)*(1+Вводные!$D$33)*W$4*W$3*ФОТ_УК!W19</f>
        <v>4272690.1289151702</v>
      </c>
      <c r="X49" s="1286">
        <f>($D19+$D19*Вводные!$D$32)*(1+Вводные!$D$33)*X$4*X$3*ФОТ_УК!X19</f>
        <v>4443597.7340717772</v>
      </c>
      <c r="Y49" s="1286">
        <f>($D19+$D19*Вводные!$D$32)*(1+Вводные!$D$33)*Y$4*Y$3*ФОТ_УК!Y19</f>
        <v>4621341.6434346493</v>
      </c>
      <c r="Z49" s="1286">
        <f>($D19+$D19*Вводные!$D$32)*(1+Вводные!$D$33)*Z$4*Z$3*ФОТ_УК!Z19</f>
        <v>4806195.3091720343</v>
      </c>
      <c r="AA49" s="1286">
        <f>($D19+$D19*Вводные!$D$32)*(1+Вводные!$D$33)*AA$4*AA$3*ФОТ_УК!AA19</f>
        <v>4998443.1215389166</v>
      </c>
    </row>
    <row r="50" spans="2:27" ht="15" customHeight="1">
      <c r="B50" s="1277" t="str">
        <f t="shared" si="12"/>
        <v>УК - маркетинг</v>
      </c>
      <c r="C50" s="1278" t="str">
        <f t="shared" si="12"/>
        <v xml:space="preserve">Менеджер по  работе с клиентами </v>
      </c>
      <c r="D50" s="1279">
        <f t="shared" si="12"/>
        <v>60000</v>
      </c>
      <c r="E50" s="1286">
        <f>($D20+$D20*Вводные!$D$32)*(1+Вводные!$D$33)*E$4*E$3*ФОТ_УК!E20</f>
        <v>0</v>
      </c>
      <c r="F50" s="1286">
        <f>($D20+$D20*Вводные!$D$32)*(1+Вводные!$D$33)*F$4*F$3*ФОТ_УК!F20</f>
        <v>0</v>
      </c>
      <c r="G50" s="1286">
        <f>($D20+$D20*Вводные!$D$32)*(1+Вводные!$D$33)*G$4*G$3*ФОТ_УК!G20</f>
        <v>0</v>
      </c>
      <c r="H50" s="1286">
        <f>($D20+$D20*Вводные!$D$32)*(1+Вводные!$D$33)*H$4*H$3*ФОТ_УК!H20</f>
        <v>1186236.5798400003</v>
      </c>
      <c r="I50" s="1286">
        <f>($D20+$D20*Вводные!$D$32)*(1+Вводные!$D$33)*I$4*I$3*ФОТ_УК!I20</f>
        <v>1233686.0430336003</v>
      </c>
      <c r="J50" s="1286">
        <f>($D20+$D20*Вводные!$D$32)*(1+Вводные!$D$33)*J$4*J$3*ФОТ_УК!J20</f>
        <v>1283033.4847549442</v>
      </c>
      <c r="K50" s="1286">
        <f>($D20+$D20*Вводные!$D$32)*(1+Вводные!$D$33)*K$4*K$3*ФОТ_УК!K20</f>
        <v>1334354.8241451422</v>
      </c>
      <c r="L50" s="1286">
        <f>($D20+$D20*Вводные!$D$32)*(1+Вводные!$D$33)*L$4*L$3*ФОТ_УК!L20</f>
        <v>1387729.017110948</v>
      </c>
      <c r="M50" s="1286">
        <f>($D20+$D20*Вводные!$D$32)*(1+Вводные!$D$33)*M$4*M$3*ФОТ_УК!M20</f>
        <v>1443238.1777953859</v>
      </c>
      <c r="N50" s="1286">
        <f>($D20+$D20*Вводные!$D$32)*(1+Вводные!$D$33)*N$4*N$3*ФОТ_УК!N20</f>
        <v>1500967.7049072015</v>
      </c>
      <c r="O50" s="1286">
        <f>($D20+$D20*Вводные!$D$32)*(1+Вводные!$D$33)*O$4*O$3*ФОТ_УК!O20</f>
        <v>1561006.4131034894</v>
      </c>
      <c r="P50" s="1286">
        <f>($D20+$D20*Вводные!$D$32)*(1+Вводные!$D$33)*P$4*P$3*ФОТ_УК!P20</f>
        <v>1623446.6696276295</v>
      </c>
      <c r="Q50" s="1286">
        <f>($D20+$D20*Вводные!$D$32)*(1+Вводные!$D$33)*Q$4*Q$3*ФОТ_УК!Q20</f>
        <v>1688384.5364127345</v>
      </c>
      <c r="R50" s="1286">
        <f>($D20+$D20*Вводные!$D$32)*(1+Вводные!$D$33)*R$4*R$3*ФОТ_УК!R20</f>
        <v>1755919.9178692438</v>
      </c>
      <c r="S50" s="1286">
        <f>($D20+$D20*Вводные!$D$32)*(1+Вводные!$D$33)*S$4*S$3*ФОТ_УК!S20</f>
        <v>1826156.7145840134</v>
      </c>
      <c r="T50" s="1286">
        <f>($D20+$D20*Вводные!$D$32)*(1+Вводные!$D$33)*T$4*T$3*ФОТ_УК!T20</f>
        <v>1899202.9831673743</v>
      </c>
      <c r="U50" s="1286">
        <f>($D20+$D20*Вводные!$D$32)*(1+Вводные!$D$33)*U$4*U$3*ФОТ_УК!U20</f>
        <v>1975171.1024940694</v>
      </c>
      <c r="V50" s="1286">
        <f>($D20+$D20*Вводные!$D$32)*(1+Вводные!$D$33)*V$4*V$3*ФОТ_УК!V20</f>
        <v>2054177.9465938318</v>
      </c>
      <c r="W50" s="1286">
        <f>($D20+$D20*Вводные!$D$32)*(1+Вводные!$D$33)*W$4*W$3*ФОТ_УК!W20</f>
        <v>2136345.0644575851</v>
      </c>
      <c r="X50" s="1286">
        <f>($D20+$D20*Вводные!$D$32)*(1+Вводные!$D$33)*X$4*X$3*ФОТ_УК!X20</f>
        <v>2221798.8670358886</v>
      </c>
      <c r="Y50" s="1286">
        <f>($D20+$D20*Вводные!$D$32)*(1+Вводные!$D$33)*Y$4*Y$3*ФОТ_УК!Y20</f>
        <v>2310670.8217173247</v>
      </c>
      <c r="Z50" s="1286">
        <f>($D20+$D20*Вводные!$D$32)*(1+Вводные!$D$33)*Z$4*Z$3*ФОТ_УК!Z20</f>
        <v>2403097.6545860171</v>
      </c>
      <c r="AA50" s="1286">
        <f>($D20+$D20*Вводные!$D$32)*(1+Вводные!$D$33)*AA$4*AA$3*ФОТ_УК!AA20</f>
        <v>2499221.5607694583</v>
      </c>
    </row>
    <row r="51" spans="2:27" ht="15" customHeight="1">
      <c r="B51" s="1277" t="str">
        <f t="shared" si="12"/>
        <v>УК - маркетинг</v>
      </c>
      <c r="C51" s="1278" t="str">
        <f t="shared" si="12"/>
        <v>Менеджер по маркетингу</v>
      </c>
      <c r="D51" s="1279">
        <f t="shared" si="12"/>
        <v>60000</v>
      </c>
      <c r="E51" s="1286">
        <f>($D21+$D21*Вводные!$D$32)*(1+Вводные!$D$33)*E$4*E$3*ФОТ_УК!E21</f>
        <v>0</v>
      </c>
      <c r="F51" s="1286">
        <f>($D21+$D21*Вводные!$D$32)*(1+Вводные!$D$33)*F$4*F$3*ФОТ_УК!F21</f>
        <v>0</v>
      </c>
      <c r="G51" s="1286">
        <f>($D21+$D21*Вводные!$D$32)*(1+Вводные!$D$33)*G$4*G$3*ФОТ_УК!G21</f>
        <v>0</v>
      </c>
      <c r="H51" s="1286">
        <f>($D21+$D21*Вводные!$D$32)*(1+Вводные!$D$33)*H$4*H$3*ФОТ_УК!H21</f>
        <v>2372473.1596800005</v>
      </c>
      <c r="I51" s="1286">
        <f>($D21+$D21*Вводные!$D$32)*(1+Вводные!$D$33)*I$4*I$3*ФОТ_УК!I21</f>
        <v>2467372.0860672006</v>
      </c>
      <c r="J51" s="1286">
        <f>($D21+$D21*Вводные!$D$32)*(1+Вводные!$D$33)*J$4*J$3*ФОТ_УК!J21</f>
        <v>2566066.9695098884</v>
      </c>
      <c r="K51" s="1286">
        <f>($D21+$D21*Вводные!$D$32)*(1+Вводные!$D$33)*K$4*K$3*ФОТ_УК!K21</f>
        <v>2668709.6482902844</v>
      </c>
      <c r="L51" s="1286">
        <f>($D21+$D21*Вводные!$D$32)*(1+Вводные!$D$33)*L$4*L$3*ФОТ_УК!L21</f>
        <v>2775458.034221896</v>
      </c>
      <c r="M51" s="1286">
        <f>($D21+$D21*Вводные!$D$32)*(1+Вводные!$D$33)*M$4*M$3*ФОТ_УК!M21</f>
        <v>2886476.3555907719</v>
      </c>
      <c r="N51" s="1286">
        <f>($D21+$D21*Вводные!$D$32)*(1+Вводные!$D$33)*N$4*N$3*ФОТ_УК!N21</f>
        <v>3001935.4098144029</v>
      </c>
      <c r="O51" s="1286">
        <f>($D21+$D21*Вводные!$D$32)*(1+Вводные!$D$33)*O$4*O$3*ФОТ_УК!O21</f>
        <v>3122012.8262069789</v>
      </c>
      <c r="P51" s="1286">
        <f>($D21+$D21*Вводные!$D$32)*(1+Вводные!$D$33)*P$4*P$3*ФОТ_УК!P21</f>
        <v>3246893.3392552589</v>
      </c>
      <c r="Q51" s="1286">
        <f>($D21+$D21*Вводные!$D$32)*(1+Вводные!$D$33)*Q$4*Q$3*ФОТ_УК!Q21</f>
        <v>3376769.0728254691</v>
      </c>
      <c r="R51" s="1286">
        <f>($D21+$D21*Вводные!$D$32)*(1+Вводные!$D$33)*R$4*R$3*ФОТ_УК!R21</f>
        <v>3511839.8357384875</v>
      </c>
      <c r="S51" s="1286">
        <f>($D21+$D21*Вводные!$D$32)*(1+Вводные!$D$33)*S$4*S$3*ФОТ_УК!S21</f>
        <v>3652313.4291680269</v>
      </c>
      <c r="T51" s="1286">
        <f>($D21+$D21*Вводные!$D$32)*(1+Вводные!$D$33)*T$4*T$3*ФОТ_УК!T21</f>
        <v>3798405.9663347485</v>
      </c>
      <c r="U51" s="1286">
        <f>($D21+$D21*Вводные!$D$32)*(1+Вводные!$D$33)*U$4*U$3*ФОТ_УК!U21</f>
        <v>3950342.2049881388</v>
      </c>
      <c r="V51" s="1286">
        <f>($D21+$D21*Вводные!$D$32)*(1+Вводные!$D$33)*V$4*V$3*ФОТ_УК!V21</f>
        <v>4108355.8931876635</v>
      </c>
      <c r="W51" s="1286">
        <f>($D21+$D21*Вводные!$D$32)*(1+Вводные!$D$33)*W$4*W$3*ФОТ_УК!W21</f>
        <v>4272690.1289151702</v>
      </c>
      <c r="X51" s="1286">
        <f>($D21+$D21*Вводные!$D$32)*(1+Вводные!$D$33)*X$4*X$3*ФОТ_УК!X21</f>
        <v>4443597.7340717772</v>
      </c>
      <c r="Y51" s="1286">
        <f>($D21+$D21*Вводные!$D$32)*(1+Вводные!$D$33)*Y$4*Y$3*ФОТ_УК!Y21</f>
        <v>4621341.6434346493</v>
      </c>
      <c r="Z51" s="1286">
        <f>($D21+$D21*Вводные!$D$32)*(1+Вводные!$D$33)*Z$4*Z$3*ФОТ_УК!Z21</f>
        <v>4806195.3091720343</v>
      </c>
      <c r="AA51" s="1286">
        <f>($D21+$D21*Вводные!$D$32)*(1+Вводные!$D$33)*AA$4*AA$3*ФОТ_УК!AA21</f>
        <v>4998443.1215389166</v>
      </c>
    </row>
    <row r="52" spans="2:27" ht="15" customHeight="1">
      <c r="B52" s="1277" t="str">
        <f t="shared" si="12"/>
        <v>УК - маркетинг</v>
      </c>
      <c r="C52" s="1278" t="str">
        <f t="shared" si="12"/>
        <v>Маркетолог</v>
      </c>
      <c r="D52" s="1279">
        <f t="shared" si="12"/>
        <v>45000</v>
      </c>
      <c r="E52" s="1286">
        <f>($D22+$D22*Вводные!$D$32)*(1+Вводные!$D$33)*E$4*E$3*ФОТ_УК!E22</f>
        <v>0</v>
      </c>
      <c r="F52" s="1286">
        <f>($D22+$D22*Вводные!$D$32)*(1+Вводные!$D$33)*F$4*F$3*ФОТ_УК!F22</f>
        <v>0</v>
      </c>
      <c r="G52" s="1286">
        <f>($D22+$D22*Вводные!$D$32)*(1+Вводные!$D$33)*G$4*G$3*ФОТ_УК!G22</f>
        <v>0</v>
      </c>
      <c r="H52" s="1286">
        <f>($D22+$D22*Вводные!$D$32)*(1+Вводные!$D$33)*H$4*H$3*ФОТ_УК!H22</f>
        <v>1779354.8697600004</v>
      </c>
      <c r="I52" s="1286">
        <f>($D22+$D22*Вводные!$D$32)*(1+Вводные!$D$33)*I$4*I$3*ФОТ_УК!I22</f>
        <v>1850529.0645504005</v>
      </c>
      <c r="J52" s="1286">
        <f>($D22+$D22*Вводные!$D$32)*(1+Вводные!$D$33)*J$4*J$3*ФОТ_УК!J22</f>
        <v>1924550.2271324168</v>
      </c>
      <c r="K52" s="1286">
        <f>($D22+$D22*Вводные!$D$32)*(1+Вводные!$D$33)*K$4*K$3*ФОТ_УК!K22</f>
        <v>2001532.2362177134</v>
      </c>
      <c r="L52" s="1286">
        <f>($D22+$D22*Вводные!$D$32)*(1+Вводные!$D$33)*L$4*L$3*ФОТ_УК!L22</f>
        <v>2081593.525666422</v>
      </c>
      <c r="M52" s="1286">
        <f>($D22+$D22*Вводные!$D$32)*(1+Вводные!$D$33)*M$4*M$3*ФОТ_УК!M22</f>
        <v>2164857.2666930789</v>
      </c>
      <c r="N52" s="1286">
        <f>($D22+$D22*Вводные!$D$32)*(1+Вводные!$D$33)*N$4*N$3*ФОТ_УК!N22</f>
        <v>2251451.5573608023</v>
      </c>
      <c r="O52" s="1286">
        <f>($D22+$D22*Вводные!$D$32)*(1+Вводные!$D$33)*O$4*O$3*ФОТ_УК!O22</f>
        <v>2341509.6196552347</v>
      </c>
      <c r="P52" s="1286">
        <f>($D22+$D22*Вводные!$D$32)*(1+Вводные!$D$33)*P$4*P$3*ФОТ_УК!P22</f>
        <v>2435170.0044414438</v>
      </c>
      <c r="Q52" s="1286">
        <f>($D22+$D22*Вводные!$D$32)*(1+Вводные!$D$33)*Q$4*Q$3*ФОТ_УК!Q22</f>
        <v>2532576.8046191018</v>
      </c>
      <c r="R52" s="1286">
        <f>($D22+$D22*Вводные!$D$32)*(1+Вводные!$D$33)*R$4*R$3*ФОТ_УК!R22</f>
        <v>2633879.8768038657</v>
      </c>
      <c r="S52" s="1286">
        <f>($D22+$D22*Вводные!$D$32)*(1+Вводные!$D$33)*S$4*S$3*ФОТ_УК!S22</f>
        <v>2739235.0718760206</v>
      </c>
      <c r="T52" s="1286">
        <f>($D22+$D22*Вводные!$D$32)*(1+Вводные!$D$33)*T$4*T$3*ФОТ_УК!T22</f>
        <v>2848804.4747510613</v>
      </c>
      <c r="U52" s="1286">
        <f>($D22+$D22*Вводные!$D$32)*(1+Вводные!$D$33)*U$4*U$3*ФОТ_УК!U22</f>
        <v>2962756.6537411036</v>
      </c>
      <c r="V52" s="1286">
        <f>($D22+$D22*Вводные!$D$32)*(1+Вводные!$D$33)*V$4*V$3*ФОТ_УК!V22</f>
        <v>3081266.9198907479</v>
      </c>
      <c r="W52" s="1286">
        <f>($D22+$D22*Вводные!$D$32)*(1+Вводные!$D$33)*W$4*W$3*ФОТ_УК!W22</f>
        <v>3204517.5966863777</v>
      </c>
      <c r="X52" s="1286">
        <f>($D22+$D22*Вводные!$D$32)*(1+Вводные!$D$33)*X$4*X$3*ФОТ_УК!X22</f>
        <v>3332698.3005538331</v>
      </c>
      <c r="Y52" s="1286">
        <f>($D22+$D22*Вводные!$D$32)*(1+Вводные!$D$33)*Y$4*Y$3*ФОТ_УК!Y22</f>
        <v>3466006.2325759865</v>
      </c>
      <c r="Z52" s="1286">
        <f>($D22+$D22*Вводные!$D$32)*(1+Вводные!$D$33)*Z$4*Z$3*ФОТ_УК!Z22</f>
        <v>3604646.4818790257</v>
      </c>
      <c r="AA52" s="1286">
        <f>($D22+$D22*Вводные!$D$32)*(1+Вводные!$D$33)*AA$4*AA$3*ФОТ_УК!AA22</f>
        <v>3748832.3411541875</v>
      </c>
    </row>
    <row r="53" spans="2:27" ht="15" customHeight="1">
      <c r="B53" s="1277" t="str">
        <f t="shared" si="12"/>
        <v>УК - маркетинг</v>
      </c>
      <c r="C53" s="1278" t="str">
        <f t="shared" si="12"/>
        <v>SMM менеджер</v>
      </c>
      <c r="D53" s="1279">
        <f t="shared" si="12"/>
        <v>25000</v>
      </c>
      <c r="E53" s="1286">
        <f>($D23+$D23*Вводные!$D$32)*(1+Вводные!$D$33)*E$4*E$3*ФОТ_УК!E23</f>
        <v>0</v>
      </c>
      <c r="F53" s="1286">
        <f>($D23+$D23*Вводные!$D$32)*(1+Вводные!$D$33)*F$4*F$3*ФОТ_УК!F23</f>
        <v>0</v>
      </c>
      <c r="G53" s="1286">
        <f>($D23+$D23*Вводные!$D$32)*(1+Вводные!$D$33)*G$4*G$3*ФОТ_УК!G23</f>
        <v>0</v>
      </c>
      <c r="H53" s="1286">
        <f>($D23+$D23*Вводные!$D$32)*(1+Вводные!$D$33)*H$4*H$3*ФОТ_УК!H23</f>
        <v>494265.24160000018</v>
      </c>
      <c r="I53" s="1286">
        <f>($D23+$D23*Вводные!$D$32)*(1+Вводные!$D$33)*I$4*I$3*ФОТ_УК!I23</f>
        <v>514035.85126400017</v>
      </c>
      <c r="J53" s="1286">
        <f>($D23+$D23*Вводные!$D$32)*(1+Вводные!$D$33)*J$4*J$3*ФОТ_УК!J23</f>
        <v>534597.28531456017</v>
      </c>
      <c r="K53" s="1286">
        <f>($D23+$D23*Вводные!$D$32)*(1+Вводные!$D$33)*K$4*K$3*ФОТ_УК!K23</f>
        <v>555981.17672714265</v>
      </c>
      <c r="L53" s="1286">
        <f>($D23+$D23*Вводные!$D$32)*(1+Вводные!$D$33)*L$4*L$3*ФОТ_УК!L23</f>
        <v>578220.42379622837</v>
      </c>
      <c r="M53" s="1286">
        <f>($D23+$D23*Вводные!$D$32)*(1+Вводные!$D$33)*M$4*M$3*ФОТ_УК!M23</f>
        <v>601349.24074807751</v>
      </c>
      <c r="N53" s="1286">
        <f>($D23+$D23*Вводные!$D$32)*(1+Вводные!$D$33)*N$4*N$3*ФОТ_УК!N23</f>
        <v>625403.21037800063</v>
      </c>
      <c r="O53" s="1286">
        <f>($D23+$D23*Вводные!$D$32)*(1+Вводные!$D$33)*O$4*O$3*ФОТ_УК!O23</f>
        <v>650419.3387931207</v>
      </c>
      <c r="P53" s="1286">
        <f>($D23+$D23*Вводные!$D$32)*(1+Вводные!$D$33)*P$4*P$3*ФОТ_УК!P23</f>
        <v>676436.11234484555</v>
      </c>
      <c r="Q53" s="1286">
        <f>($D23+$D23*Вводные!$D$32)*(1+Вводные!$D$33)*Q$4*Q$3*ФОТ_УК!Q23</f>
        <v>703493.55683863943</v>
      </c>
      <c r="R53" s="1286">
        <f>($D23+$D23*Вводные!$D$32)*(1+Вводные!$D$33)*R$4*R$3*ФОТ_УК!R23</f>
        <v>731633.2991121849</v>
      </c>
      <c r="S53" s="1286">
        <f>($D23+$D23*Вводные!$D$32)*(1+Вводные!$D$33)*S$4*S$3*ФОТ_УК!S23</f>
        <v>760898.63107667235</v>
      </c>
      <c r="T53" s="1286">
        <f>($D23+$D23*Вводные!$D$32)*(1+Вводные!$D$33)*T$4*T$3*ФОТ_УК!T23</f>
        <v>791334.57631973934</v>
      </c>
      <c r="U53" s="1286">
        <f>($D23+$D23*Вводные!$D$32)*(1+Вводные!$D$33)*U$4*U$3*ФОТ_УК!U23</f>
        <v>822987.95937252883</v>
      </c>
      <c r="V53" s="1286">
        <f>($D23+$D23*Вводные!$D$32)*(1+Вводные!$D$33)*V$4*V$3*ФОТ_УК!V23</f>
        <v>855907.47774743009</v>
      </c>
      <c r="W53" s="1286">
        <f>($D23+$D23*Вводные!$D$32)*(1+Вводные!$D$33)*W$4*W$3*ФОТ_УК!W23</f>
        <v>890143.7768573272</v>
      </c>
      <c r="X53" s="1286">
        <f>($D23+$D23*Вводные!$D$32)*(1+Вводные!$D$33)*X$4*X$3*ФОТ_УК!X23</f>
        <v>925749.52793162037</v>
      </c>
      <c r="Y53" s="1286">
        <f>($D23+$D23*Вводные!$D$32)*(1+Вводные!$D$33)*Y$4*Y$3*ФОТ_УК!Y23</f>
        <v>962779.5090488852</v>
      </c>
      <c r="Z53" s="1286">
        <f>($D23+$D23*Вводные!$D$32)*(1+Вводные!$D$33)*Z$4*Z$3*ФОТ_УК!Z23</f>
        <v>1001290.6894108406</v>
      </c>
      <c r="AA53" s="1286">
        <f>($D23+$D23*Вводные!$D$32)*(1+Вводные!$D$33)*AA$4*AA$3*ФОТ_УК!AA23</f>
        <v>1041342.3169872742</v>
      </c>
    </row>
    <row r="54" spans="2:27" ht="15" customHeight="1">
      <c r="B54" s="1277" t="str">
        <f t="shared" si="12"/>
        <v>УК - эксплуатация</v>
      </c>
      <c r="C54" s="1278" t="str">
        <f t="shared" si="12"/>
        <v>Главный инженер</v>
      </c>
      <c r="D54" s="1279">
        <f t="shared" si="12"/>
        <v>180000</v>
      </c>
      <c r="E54" s="1286">
        <f>($D24+$D24*Вводные!$D$32)*(1+Вводные!$D$33)*E$4*E$3*ФОТ_УК!E24</f>
        <v>0</v>
      </c>
      <c r="F54" s="1286">
        <f>($D24+$D24*Вводные!$D$32)*(1+Вводные!$D$33)*F$4*F$3*ФОТ_УК!F24</f>
        <v>0</v>
      </c>
      <c r="G54" s="1286">
        <f>($D24+$D24*Вводные!$D$32)*(1+Вводные!$D$33)*G$4*G$3*ФОТ_УК!G24</f>
        <v>0</v>
      </c>
      <c r="H54" s="1286">
        <f>($D24+$D24*Вводные!$D$32)*(1+Вводные!$D$33)*H$4*H$3*ФОТ_УК!H24</f>
        <v>3558709.7395200008</v>
      </c>
      <c r="I54" s="1286">
        <f>($D24+$D24*Вводные!$D$32)*(1+Вводные!$D$33)*I$4*I$3*ФОТ_УК!I24</f>
        <v>3701058.129100801</v>
      </c>
      <c r="J54" s="1286">
        <f>($D24+$D24*Вводные!$D$32)*(1+Вводные!$D$33)*J$4*J$3*ФОТ_УК!J24</f>
        <v>3849100.4542648336</v>
      </c>
      <c r="K54" s="1286">
        <f>($D24+$D24*Вводные!$D$32)*(1+Вводные!$D$33)*K$4*K$3*ФОТ_УК!K24</f>
        <v>4003064.4724354269</v>
      </c>
      <c r="L54" s="1286">
        <f>($D24+$D24*Вводные!$D$32)*(1+Вводные!$D$33)*L$4*L$3*ФОТ_УК!L24</f>
        <v>4163187.051332844</v>
      </c>
      <c r="M54" s="1286">
        <f>($D24+$D24*Вводные!$D$32)*(1+Вводные!$D$33)*M$4*M$3*ФОТ_УК!M24</f>
        <v>4329714.5333861578</v>
      </c>
      <c r="N54" s="1286">
        <f>($D24+$D24*Вводные!$D$32)*(1+Вводные!$D$33)*N$4*N$3*ФОТ_УК!N24</f>
        <v>4502903.1147216046</v>
      </c>
      <c r="O54" s="1286">
        <f>($D24+$D24*Вводные!$D$32)*(1+Вводные!$D$33)*O$4*O$3*ФОТ_УК!O24</f>
        <v>4683019.2393104695</v>
      </c>
      <c r="P54" s="1286">
        <f>($D24+$D24*Вводные!$D$32)*(1+Вводные!$D$33)*P$4*P$3*ФОТ_УК!P24</f>
        <v>4870340.0088828877</v>
      </c>
      <c r="Q54" s="1286">
        <f>($D24+$D24*Вводные!$D$32)*(1+Вводные!$D$33)*Q$4*Q$3*ФОТ_УК!Q24</f>
        <v>5065153.6092382036</v>
      </c>
      <c r="R54" s="1286">
        <f>($D24+$D24*Вводные!$D$32)*(1+Вводные!$D$33)*R$4*R$3*ФОТ_УК!R24</f>
        <v>5267759.7536077313</v>
      </c>
      <c r="S54" s="1286">
        <f>($D24+$D24*Вводные!$D$32)*(1+Вводные!$D$33)*S$4*S$3*ФОТ_УК!S24</f>
        <v>5478470.1437520413</v>
      </c>
      <c r="T54" s="1286">
        <f>($D24+$D24*Вводные!$D$32)*(1+Вводные!$D$33)*T$4*T$3*ФОТ_УК!T24</f>
        <v>5697608.9495021226</v>
      </c>
      <c r="U54" s="1286">
        <f>($D24+$D24*Вводные!$D$32)*(1+Вводные!$D$33)*U$4*U$3*ФОТ_УК!U24</f>
        <v>5925513.3074822072</v>
      </c>
      <c r="V54" s="1286">
        <f>($D24+$D24*Вводные!$D$32)*(1+Вводные!$D$33)*V$4*V$3*ФОТ_УК!V24</f>
        <v>6162533.8397814957</v>
      </c>
      <c r="W54" s="1286">
        <f>($D24+$D24*Вводные!$D$32)*(1+Вводные!$D$33)*W$4*W$3*ФОТ_УК!W24</f>
        <v>6409035.1933727553</v>
      </c>
      <c r="X54" s="1286">
        <f>($D24+$D24*Вводные!$D$32)*(1+Вводные!$D$33)*X$4*X$3*ФОТ_УК!X24</f>
        <v>6665396.6011076663</v>
      </c>
      <c r="Y54" s="1286">
        <f>($D24+$D24*Вводные!$D$32)*(1+Вводные!$D$33)*Y$4*Y$3*ФОТ_УК!Y24</f>
        <v>6932012.4651519731</v>
      </c>
      <c r="Z54" s="1286">
        <f>($D24+$D24*Вводные!$D$32)*(1+Вводные!$D$33)*Z$4*Z$3*ФОТ_УК!Z24</f>
        <v>7209292.9637580514</v>
      </c>
      <c r="AA54" s="1286">
        <f>($D24+$D24*Вводные!$D$32)*(1+Вводные!$D$33)*AA$4*AA$3*ФОТ_УК!AA24</f>
        <v>7497664.6823083749</v>
      </c>
    </row>
    <row r="55" spans="2:27" ht="15" customHeight="1">
      <c r="B55" s="1277" t="str">
        <f t="shared" si="12"/>
        <v>УК - эксплуатация</v>
      </c>
      <c r="C55" s="1278" t="str">
        <f t="shared" si="12"/>
        <v>Сотрудник службы эксплуатации</v>
      </c>
      <c r="D55" s="1279">
        <f t="shared" si="12"/>
        <v>55000</v>
      </c>
      <c r="E55" s="1286">
        <f>($D25+$D25*Вводные!$D$32)*(1+Вводные!$D$33)*E$4*E$3*ФОТ_УК!E25</f>
        <v>0</v>
      </c>
      <c r="F55" s="1286">
        <f>($D25+$D25*Вводные!$D$32)*(1+Вводные!$D$33)*F$4*F$3*ФОТ_УК!F25</f>
        <v>0</v>
      </c>
      <c r="G55" s="1286">
        <f>($D25+$D25*Вводные!$D$32)*(1+Вводные!$D$33)*G$4*G$3*ФОТ_УК!G25</f>
        <v>0</v>
      </c>
      <c r="H55" s="1286">
        <f>($D25+$D25*Вводные!$D$32)*(1+Вводные!$D$33)*H$4*H$3*ФОТ_УК!H25</f>
        <v>4349534.1260800008</v>
      </c>
      <c r="I55" s="1286">
        <f>($D25+$D25*Вводные!$D$32)*(1+Вводные!$D$33)*I$4*I$3*ФОТ_УК!I25</f>
        <v>5654394.3639040031</v>
      </c>
      <c r="J55" s="1286">
        <f>($D25+$D25*Вводные!$D$32)*(1+Вводные!$D$33)*J$4*J$3*ФОТ_УК!J25</f>
        <v>7056684.1661521951</v>
      </c>
      <c r="K55" s="1286">
        <f>($D25+$D25*Вводные!$D$32)*(1+Вводные!$D$33)*K$4*K$3*ФОТ_УК!K25</f>
        <v>7338951.5327982828</v>
      </c>
      <c r="L55" s="1286">
        <f>($D25+$D25*Вводные!$D$32)*(1+Вводные!$D$33)*L$4*L$3*ФОТ_УК!L25</f>
        <v>7632509.5941102142</v>
      </c>
      <c r="M55" s="1286">
        <f>($D25+$D25*Вводные!$D$32)*(1+Вводные!$D$33)*M$4*M$3*ФОТ_УК!M25</f>
        <v>7937809.9778746236</v>
      </c>
      <c r="N55" s="1286">
        <f>($D25+$D25*Вводные!$D$32)*(1+Вводные!$D$33)*N$4*N$3*ФОТ_УК!N25</f>
        <v>8255322.3769896096</v>
      </c>
      <c r="O55" s="1286">
        <f>($D25+$D25*Вводные!$D$32)*(1+Вводные!$D$33)*O$4*O$3*ФОТ_УК!O25</f>
        <v>8585535.2720691934</v>
      </c>
      <c r="P55" s="1286">
        <f>($D25+$D25*Вводные!$D$32)*(1+Вводные!$D$33)*P$4*P$3*ФОТ_УК!P25</f>
        <v>8928956.6829519626</v>
      </c>
      <c r="Q55" s="1286">
        <f>($D25+$D25*Вводные!$D$32)*(1+Вводные!$D$33)*Q$4*Q$3*ФОТ_УК!Q25</f>
        <v>9286114.9502700418</v>
      </c>
      <c r="R55" s="1286">
        <f>($D25+$D25*Вводные!$D$32)*(1+Вводные!$D$33)*R$4*R$3*ФОТ_УК!R25</f>
        <v>9657559.5482808426</v>
      </c>
      <c r="S55" s="1286">
        <f>($D25+$D25*Вводные!$D$32)*(1+Вводные!$D$33)*S$4*S$3*ФОТ_УК!S25</f>
        <v>10043861.930212077</v>
      </c>
      <c r="T55" s="1286">
        <f>($D25+$D25*Вводные!$D$32)*(1+Вводные!$D$33)*T$4*T$3*ФОТ_УК!T25</f>
        <v>10445616.407420559</v>
      </c>
      <c r="U55" s="1286">
        <f>($D25+$D25*Вводные!$D$32)*(1+Вводные!$D$33)*U$4*U$3*ФОТ_УК!U25</f>
        <v>10863441.06371738</v>
      </c>
      <c r="V55" s="1286">
        <f>($D25+$D25*Вводные!$D$32)*(1+Вводные!$D$33)*V$4*V$3*ФОТ_УК!V25</f>
        <v>11297978.706266077</v>
      </c>
      <c r="W55" s="1286">
        <f>($D25+$D25*Вводные!$D$32)*(1+Вводные!$D$33)*W$4*W$3*ФОТ_УК!W25</f>
        <v>11749897.854516722</v>
      </c>
      <c r="X55" s="1286">
        <f>($D25+$D25*Вводные!$D$32)*(1+Вводные!$D$33)*X$4*X$3*ФОТ_УК!X25</f>
        <v>12219893.768697388</v>
      </c>
      <c r="Y55" s="1286">
        <f>($D25+$D25*Вводные!$D$32)*(1+Вводные!$D$33)*Y$4*Y$3*ФОТ_УК!Y25</f>
        <v>12708689.519445285</v>
      </c>
      <c r="Z55" s="1286">
        <f>($D25+$D25*Вводные!$D$32)*(1+Вводные!$D$33)*Z$4*Z$3*ФОТ_УК!Z25</f>
        <v>13217037.100223094</v>
      </c>
      <c r="AA55" s="1286">
        <f>($D25+$D25*Вводные!$D$32)*(1+Вводные!$D$33)*AA$4*AA$3*ФОТ_УК!AA25</f>
        <v>13745718.584232023</v>
      </c>
    </row>
    <row r="56" spans="2:27" ht="15" hidden="1" customHeight="1" outlineLevel="1">
      <c r="B56" s="1277">
        <f t="shared" si="12"/>
        <v>0</v>
      </c>
      <c r="C56" s="1278">
        <f t="shared" si="12"/>
        <v>0</v>
      </c>
      <c r="D56" s="1279">
        <f t="shared" si="12"/>
        <v>0</v>
      </c>
      <c r="E56" s="1286">
        <f>($D26+$D26*Вводные!$D$32)*(1+Вводные!$D$33)*E$4*E$3*ФОТ_УК!E26</f>
        <v>0</v>
      </c>
      <c r="F56" s="1286">
        <f>($D26+$D26*Вводные!$D$32)*(1+Вводные!$D$33)*F$4*F$3*ФОТ_УК!F26</f>
        <v>0</v>
      </c>
      <c r="G56" s="1286">
        <f>($D26+$D26*Вводные!$D$32)*(1+Вводные!$D$33)*G$4*G$3*ФОТ_УК!G26</f>
        <v>0</v>
      </c>
      <c r="H56" s="1286">
        <f>($D26+$D26*Вводные!$D$32)*(1+Вводные!$D$33)*H$4*H$3*ФОТ_УК!H26</f>
        <v>0</v>
      </c>
      <c r="I56" s="1286">
        <f>($D26+$D26*Вводные!$D$32)*(1+Вводные!$D$33)*I$4*I$3*ФОТ_УК!I26</f>
        <v>0</v>
      </c>
      <c r="J56" s="1286">
        <f>($D26+$D26*Вводные!$D$32)*(1+Вводные!$D$33)*J$4*J$3*ФОТ_УК!J26</f>
        <v>0</v>
      </c>
      <c r="K56" s="1286">
        <f>($D26+$D26*Вводные!$D$32)*(1+Вводные!$D$33)*K$4*K$3*ФОТ_УК!K26</f>
        <v>0</v>
      </c>
      <c r="L56" s="1286">
        <f>($D26+$D26*Вводные!$D$32)*(1+Вводные!$D$33)*L$4*L$3*ФОТ_УК!L26</f>
        <v>0</v>
      </c>
      <c r="M56" s="1286">
        <f>($D26+$D26*Вводные!$D$32)*(1+Вводные!$D$33)*M$4*M$3*ФОТ_УК!M26</f>
        <v>0</v>
      </c>
      <c r="N56" s="1286">
        <f>($D26+$D26*Вводные!$D$32)*(1+Вводные!$D$33)*N$4*N$3*ФОТ_УК!N26</f>
        <v>0</v>
      </c>
      <c r="O56" s="1286">
        <f>($D26+$D26*Вводные!$D$32)*(1+Вводные!$D$33)*O$4*O$3*ФОТ_УК!O26</f>
        <v>0</v>
      </c>
      <c r="P56" s="1286">
        <f>($D26+$D26*Вводные!$D$32)*(1+Вводные!$D$33)*P$4*P$3*ФОТ_УК!P26</f>
        <v>0</v>
      </c>
      <c r="Q56" s="1286">
        <f>($D26+$D26*Вводные!$D$32)*(1+Вводные!$D$33)*Q$4*Q$3*ФОТ_УК!Q26</f>
        <v>0</v>
      </c>
      <c r="R56" s="1286">
        <f>($D26+$D26*Вводные!$D$32)*(1+Вводные!$D$33)*R$4*R$3*ФОТ_УК!R26</f>
        <v>0</v>
      </c>
      <c r="S56" s="1286">
        <f>($D26+$D26*Вводные!$D$32)*(1+Вводные!$D$33)*S$4*S$3*ФОТ_УК!S26</f>
        <v>0</v>
      </c>
      <c r="T56" s="1286">
        <f>($D26+$D26*Вводные!$D$32)*(1+Вводные!$D$33)*T$4*T$3*ФОТ_УК!T26</f>
        <v>0</v>
      </c>
      <c r="U56" s="1286">
        <f>($D26+$D26*Вводные!$D$32)*(1+Вводные!$D$33)*U$4*U$3*ФОТ_УК!U26</f>
        <v>0</v>
      </c>
      <c r="V56" s="1286">
        <f>($D26+$D26*Вводные!$D$32)*(1+Вводные!$D$33)*V$4*V$3*ФОТ_УК!V26</f>
        <v>0</v>
      </c>
      <c r="W56" s="1286">
        <f>($D26+$D26*Вводные!$D$32)*(1+Вводные!$D$33)*W$4*W$3*ФОТ_УК!W26</f>
        <v>0</v>
      </c>
      <c r="X56" s="1286">
        <f>($D26+$D26*Вводные!$D$32)*(1+Вводные!$D$33)*X$4*X$3*ФОТ_УК!X26</f>
        <v>0</v>
      </c>
      <c r="Y56" s="1286">
        <f>($D26+$D26*Вводные!$D$32)*(1+Вводные!$D$33)*Y$4*Y$3*ФОТ_УК!Y26</f>
        <v>0</v>
      </c>
      <c r="Z56" s="1286">
        <f>($D26+$D26*Вводные!$D$32)*(1+Вводные!$D$33)*Z$4*Z$3*ФОТ_УК!Z26</f>
        <v>0</v>
      </c>
      <c r="AA56" s="1286">
        <f>($D26+$D26*Вводные!$D$32)*(1+Вводные!$D$33)*AA$4*AA$3*ФОТ_УК!AA26</f>
        <v>0</v>
      </c>
    </row>
    <row r="57" spans="2:27" ht="15" hidden="1" customHeight="1" outlineLevel="1">
      <c r="B57" s="1277">
        <f t="shared" si="12"/>
        <v>0</v>
      </c>
      <c r="C57" s="1278">
        <f t="shared" si="12"/>
        <v>0</v>
      </c>
      <c r="D57" s="1279">
        <f t="shared" si="12"/>
        <v>0</v>
      </c>
      <c r="E57" s="1286">
        <f>($D27+$D27*Вводные!$D$32)*(1+Вводные!$D$33)*E$4*E$3*ФОТ_УК!E27</f>
        <v>0</v>
      </c>
      <c r="F57" s="1286">
        <f>($D27+$D27*Вводные!$D$32)*(1+Вводные!$D$33)*F$4*F$3*ФОТ_УК!F27</f>
        <v>0</v>
      </c>
      <c r="G57" s="1286">
        <f>($D27+$D27*Вводные!$D$32)*(1+Вводные!$D$33)*G$4*G$3*ФОТ_УК!G27</f>
        <v>0</v>
      </c>
      <c r="H57" s="1286">
        <f>($D27+$D27*Вводные!$D$32)*(1+Вводные!$D$33)*H$4*H$3*ФОТ_УК!H27</f>
        <v>0</v>
      </c>
      <c r="I57" s="1286">
        <f>($D27+$D27*Вводные!$D$32)*(1+Вводные!$D$33)*I$4*I$3*ФОТ_УК!I27</f>
        <v>0</v>
      </c>
      <c r="J57" s="1286">
        <f>($D27+$D27*Вводные!$D$32)*(1+Вводные!$D$33)*J$4*J$3*ФОТ_УК!J27</f>
        <v>0</v>
      </c>
      <c r="K57" s="1286">
        <f>($D27+$D27*Вводные!$D$32)*(1+Вводные!$D$33)*K$4*K$3*ФОТ_УК!K27</f>
        <v>0</v>
      </c>
      <c r="L57" s="1286">
        <f>($D27+$D27*Вводные!$D$32)*(1+Вводные!$D$33)*L$4*L$3*ФОТ_УК!L27</f>
        <v>0</v>
      </c>
      <c r="M57" s="1286">
        <f>($D27+$D27*Вводные!$D$32)*(1+Вводные!$D$33)*M$4*M$3*ФОТ_УК!M27</f>
        <v>0</v>
      </c>
      <c r="N57" s="1286">
        <f>($D27+$D27*Вводные!$D$32)*(1+Вводные!$D$33)*N$4*N$3*ФОТ_УК!N27</f>
        <v>0</v>
      </c>
      <c r="O57" s="1286">
        <f>($D27+$D27*Вводные!$D$32)*(1+Вводные!$D$33)*O$4*O$3*ФОТ_УК!O27</f>
        <v>0</v>
      </c>
      <c r="P57" s="1286">
        <f>($D27+$D27*Вводные!$D$32)*(1+Вводные!$D$33)*P$4*P$3*ФОТ_УК!P27</f>
        <v>0</v>
      </c>
      <c r="Q57" s="1286">
        <f>($D27+$D27*Вводные!$D$32)*(1+Вводные!$D$33)*Q$4*Q$3*ФОТ_УК!Q27</f>
        <v>0</v>
      </c>
      <c r="R57" s="1286">
        <f>($D27+$D27*Вводные!$D$32)*(1+Вводные!$D$33)*R$4*R$3*ФОТ_УК!R27</f>
        <v>0</v>
      </c>
      <c r="S57" s="1286">
        <f>($D27+$D27*Вводные!$D$32)*(1+Вводные!$D$33)*S$4*S$3*ФОТ_УК!S27</f>
        <v>0</v>
      </c>
      <c r="T57" s="1286">
        <f>($D27+$D27*Вводные!$D$32)*(1+Вводные!$D$33)*T$4*T$3*ФОТ_УК!T27</f>
        <v>0</v>
      </c>
      <c r="U57" s="1286">
        <f>($D27+$D27*Вводные!$D$32)*(1+Вводные!$D$33)*U$4*U$3*ФОТ_УК!U27</f>
        <v>0</v>
      </c>
      <c r="V57" s="1286">
        <f>($D27+$D27*Вводные!$D$32)*(1+Вводные!$D$33)*V$4*V$3*ФОТ_УК!V27</f>
        <v>0</v>
      </c>
      <c r="W57" s="1286">
        <f>($D27+$D27*Вводные!$D$32)*(1+Вводные!$D$33)*W$4*W$3*ФОТ_УК!W27</f>
        <v>0</v>
      </c>
      <c r="X57" s="1286">
        <f>($D27+$D27*Вводные!$D$32)*(1+Вводные!$D$33)*X$4*X$3*ФОТ_УК!X27</f>
        <v>0</v>
      </c>
      <c r="Y57" s="1286">
        <f>($D27+$D27*Вводные!$D$32)*(1+Вводные!$D$33)*Y$4*Y$3*ФОТ_УК!Y27</f>
        <v>0</v>
      </c>
      <c r="Z57" s="1286">
        <f>($D27+$D27*Вводные!$D$32)*(1+Вводные!$D$33)*Z$4*Z$3*ФОТ_УК!Z27</f>
        <v>0</v>
      </c>
      <c r="AA57" s="1286">
        <f>($D27+$D27*Вводные!$D$32)*(1+Вводные!$D$33)*AA$4*AA$3*ФОТ_УК!AA27</f>
        <v>0</v>
      </c>
    </row>
    <row r="58" spans="2:27" ht="15" hidden="1" customHeight="1" outlineLevel="1">
      <c r="B58" s="1277">
        <f t="shared" si="12"/>
        <v>0</v>
      </c>
      <c r="C58" s="1278">
        <f t="shared" si="12"/>
        <v>0</v>
      </c>
      <c r="D58" s="1279">
        <f t="shared" si="12"/>
        <v>0</v>
      </c>
      <c r="E58" s="1286">
        <f>($D28+$D28*Вводные!$D$32)*(1+Вводные!$D$33)*E$4*E$3*ФОТ_УК!E28</f>
        <v>0</v>
      </c>
      <c r="F58" s="1286">
        <f>($D28+$D28*Вводные!$D$32)*(1+Вводные!$D$33)*F$4*F$3*ФОТ_УК!F28</f>
        <v>0</v>
      </c>
      <c r="G58" s="1286">
        <f>($D28+$D28*Вводные!$D$32)*(1+Вводные!$D$33)*G$4*G$3*ФОТ_УК!G28</f>
        <v>0</v>
      </c>
      <c r="H58" s="1286">
        <f>($D28+$D28*Вводные!$D$32)*(1+Вводные!$D$33)*H$4*H$3*ФОТ_УК!H28</f>
        <v>0</v>
      </c>
      <c r="I58" s="1286">
        <f>($D28+$D28*Вводные!$D$32)*(1+Вводные!$D$33)*I$4*I$3*ФОТ_УК!I28</f>
        <v>0</v>
      </c>
      <c r="J58" s="1286">
        <f>($D28+$D28*Вводные!$D$32)*(1+Вводные!$D$33)*J$4*J$3*ФОТ_УК!J28</f>
        <v>0</v>
      </c>
      <c r="K58" s="1286">
        <f>($D28+$D28*Вводные!$D$32)*(1+Вводные!$D$33)*K$4*K$3*ФОТ_УК!K28</f>
        <v>0</v>
      </c>
      <c r="L58" s="1286">
        <f>($D28+$D28*Вводные!$D$32)*(1+Вводные!$D$33)*L$4*L$3*ФОТ_УК!L28</f>
        <v>0</v>
      </c>
      <c r="M58" s="1286">
        <f>($D28+$D28*Вводные!$D$32)*(1+Вводные!$D$33)*M$4*M$3*ФОТ_УК!M28</f>
        <v>0</v>
      </c>
      <c r="N58" s="1286">
        <f>($D28+$D28*Вводные!$D$32)*(1+Вводные!$D$33)*N$4*N$3*ФОТ_УК!N28</f>
        <v>0</v>
      </c>
      <c r="O58" s="1286">
        <f>($D28+$D28*Вводные!$D$32)*(1+Вводные!$D$33)*O$4*O$3*ФОТ_УК!O28</f>
        <v>0</v>
      </c>
      <c r="P58" s="1286">
        <f>($D28+$D28*Вводные!$D$32)*(1+Вводные!$D$33)*P$4*P$3*ФОТ_УК!P28</f>
        <v>0</v>
      </c>
      <c r="Q58" s="1286">
        <f>($D28+$D28*Вводные!$D$32)*(1+Вводные!$D$33)*Q$4*Q$3*ФОТ_УК!Q28</f>
        <v>0</v>
      </c>
      <c r="R58" s="1286">
        <f>($D28+$D28*Вводные!$D$32)*(1+Вводные!$D$33)*R$4*R$3*ФОТ_УК!R28</f>
        <v>0</v>
      </c>
      <c r="S58" s="1286">
        <f>($D28+$D28*Вводные!$D$32)*(1+Вводные!$D$33)*S$4*S$3*ФОТ_УК!S28</f>
        <v>0</v>
      </c>
      <c r="T58" s="1286">
        <f>($D28+$D28*Вводные!$D$32)*(1+Вводные!$D$33)*T$4*T$3*ФОТ_УК!T28</f>
        <v>0</v>
      </c>
      <c r="U58" s="1286">
        <f>($D28+$D28*Вводные!$D$32)*(1+Вводные!$D$33)*U$4*U$3*ФОТ_УК!U28</f>
        <v>0</v>
      </c>
      <c r="V58" s="1286">
        <f>($D28+$D28*Вводные!$D$32)*(1+Вводные!$D$33)*V$4*V$3*ФОТ_УК!V28</f>
        <v>0</v>
      </c>
      <c r="W58" s="1286">
        <f>($D28+$D28*Вводные!$D$32)*(1+Вводные!$D$33)*W$4*W$3*ФОТ_УК!W28</f>
        <v>0</v>
      </c>
      <c r="X58" s="1286">
        <f>($D28+$D28*Вводные!$D$32)*(1+Вводные!$D$33)*X$4*X$3*ФОТ_УК!X28</f>
        <v>0</v>
      </c>
      <c r="Y58" s="1286">
        <f>($D28+$D28*Вводные!$D$32)*(1+Вводные!$D$33)*Y$4*Y$3*ФОТ_УК!Y28</f>
        <v>0</v>
      </c>
      <c r="Z58" s="1286">
        <f>($D28+$D28*Вводные!$D$32)*(1+Вводные!$D$33)*Z$4*Z$3*ФОТ_УК!Z28</f>
        <v>0</v>
      </c>
      <c r="AA58" s="1286">
        <f>($D28+$D28*Вводные!$D$32)*(1+Вводные!$D$33)*AA$4*AA$3*ФОТ_УК!AA28</f>
        <v>0</v>
      </c>
    </row>
    <row r="59" spans="2:27" ht="15" hidden="1" customHeight="1" outlineLevel="1">
      <c r="B59" s="1277">
        <f t="shared" si="12"/>
        <v>0</v>
      </c>
      <c r="C59" s="1278">
        <f t="shared" si="12"/>
        <v>0</v>
      </c>
      <c r="D59" s="1279">
        <f t="shared" si="12"/>
        <v>0</v>
      </c>
      <c r="E59" s="1286">
        <f>($D29+$D29*Вводные!$D$32)*(1+Вводные!$D$33)*E$4*E$3*ФОТ_УК!E29</f>
        <v>0</v>
      </c>
      <c r="F59" s="1286">
        <f>($D29+$D29*Вводные!$D$32)*(1+Вводные!$D$33)*F$4*F$3*ФОТ_УК!F29</f>
        <v>0</v>
      </c>
      <c r="G59" s="1286">
        <f>($D29+$D29*Вводные!$D$32)*(1+Вводные!$D$33)*G$4*G$3*ФОТ_УК!G29</f>
        <v>0</v>
      </c>
      <c r="H59" s="1286">
        <f>($D29+$D29*Вводные!$D$32)*(1+Вводные!$D$33)*H$4*H$3*ФОТ_УК!H29</f>
        <v>0</v>
      </c>
      <c r="I59" s="1286">
        <f>($D29+$D29*Вводные!$D$32)*(1+Вводные!$D$33)*I$4*I$3*ФОТ_УК!I29</f>
        <v>0</v>
      </c>
      <c r="J59" s="1286">
        <f>($D29+$D29*Вводные!$D$32)*(1+Вводные!$D$33)*J$4*J$3*ФОТ_УК!J29</f>
        <v>0</v>
      </c>
      <c r="K59" s="1286">
        <f>($D29+$D29*Вводные!$D$32)*(1+Вводные!$D$33)*K$4*K$3*ФОТ_УК!K29</f>
        <v>0</v>
      </c>
      <c r="L59" s="1286">
        <f>($D29+$D29*Вводные!$D$32)*(1+Вводные!$D$33)*L$4*L$3*ФОТ_УК!L29</f>
        <v>0</v>
      </c>
      <c r="M59" s="1286">
        <f>($D29+$D29*Вводные!$D$32)*(1+Вводные!$D$33)*M$4*M$3*ФОТ_УК!M29</f>
        <v>0</v>
      </c>
      <c r="N59" s="1286">
        <f>($D29+$D29*Вводные!$D$32)*(1+Вводные!$D$33)*N$4*N$3*ФОТ_УК!N29</f>
        <v>0</v>
      </c>
      <c r="O59" s="1286">
        <f>($D29+$D29*Вводные!$D$32)*(1+Вводные!$D$33)*O$4*O$3*ФОТ_УК!O29</f>
        <v>0</v>
      </c>
      <c r="P59" s="1286">
        <f>($D29+$D29*Вводные!$D$32)*(1+Вводные!$D$33)*P$4*P$3*ФОТ_УК!P29</f>
        <v>0</v>
      </c>
      <c r="Q59" s="1286">
        <f>($D29+$D29*Вводные!$D$32)*(1+Вводные!$D$33)*Q$4*Q$3*ФОТ_УК!Q29</f>
        <v>0</v>
      </c>
      <c r="R59" s="1286">
        <f>($D29+$D29*Вводные!$D$32)*(1+Вводные!$D$33)*R$4*R$3*ФОТ_УК!R29</f>
        <v>0</v>
      </c>
      <c r="S59" s="1286">
        <f>($D29+$D29*Вводные!$D$32)*(1+Вводные!$D$33)*S$4*S$3*ФОТ_УК!S29</f>
        <v>0</v>
      </c>
      <c r="T59" s="1286">
        <f>($D29+$D29*Вводные!$D$32)*(1+Вводные!$D$33)*T$4*T$3*ФОТ_УК!T29</f>
        <v>0</v>
      </c>
      <c r="U59" s="1286">
        <f>($D29+$D29*Вводные!$D$32)*(1+Вводные!$D$33)*U$4*U$3*ФОТ_УК!U29</f>
        <v>0</v>
      </c>
      <c r="V59" s="1286">
        <f>($D29+$D29*Вводные!$D$32)*(1+Вводные!$D$33)*V$4*V$3*ФОТ_УК!V29</f>
        <v>0</v>
      </c>
      <c r="W59" s="1286">
        <f>($D29+$D29*Вводные!$D$32)*(1+Вводные!$D$33)*W$4*W$3*ФОТ_УК!W29</f>
        <v>0</v>
      </c>
      <c r="X59" s="1286">
        <f>($D29+$D29*Вводные!$D$32)*(1+Вводные!$D$33)*X$4*X$3*ФОТ_УК!X29</f>
        <v>0</v>
      </c>
      <c r="Y59" s="1286">
        <f>($D29+$D29*Вводные!$D$32)*(1+Вводные!$D$33)*Y$4*Y$3*ФОТ_УК!Y29</f>
        <v>0</v>
      </c>
      <c r="Z59" s="1286">
        <f>($D29+$D29*Вводные!$D$32)*(1+Вводные!$D$33)*Z$4*Z$3*ФОТ_УК!Z29</f>
        <v>0</v>
      </c>
      <c r="AA59" s="1286">
        <f>($D29+$D29*Вводные!$D$32)*(1+Вводные!$D$33)*AA$4*AA$3*ФОТ_УК!AA29</f>
        <v>0</v>
      </c>
    </row>
    <row r="60" spans="2:27" ht="15" hidden="1" customHeight="1" outlineLevel="1">
      <c r="B60" s="1277">
        <f t="shared" si="12"/>
        <v>0</v>
      </c>
      <c r="C60" s="1278">
        <f t="shared" si="12"/>
        <v>0</v>
      </c>
      <c r="D60" s="1279">
        <f t="shared" si="12"/>
        <v>0</v>
      </c>
      <c r="E60" s="1286">
        <f>($D30+$D30*Вводные!$D$32)*(1+Вводные!$D$33)*E$4*E$3*ФОТ_УК!E30</f>
        <v>0</v>
      </c>
      <c r="F60" s="1286">
        <f>($D30+$D30*Вводные!$D$32)*(1+Вводные!$D$33)*F$4*F$3*ФОТ_УК!F30</f>
        <v>0</v>
      </c>
      <c r="G60" s="1286">
        <f>($D30+$D30*Вводные!$D$32)*(1+Вводные!$D$33)*G$4*G$3*ФОТ_УК!G30</f>
        <v>0</v>
      </c>
      <c r="H60" s="1286">
        <f>($D30+$D30*Вводные!$D$32)*(1+Вводные!$D$33)*H$4*H$3*ФОТ_УК!H30</f>
        <v>0</v>
      </c>
      <c r="I60" s="1286">
        <f>($D30+$D30*Вводные!$D$32)*(1+Вводные!$D$33)*I$4*I$3*ФОТ_УК!I30</f>
        <v>0</v>
      </c>
      <c r="J60" s="1286">
        <f>($D30+$D30*Вводные!$D$32)*(1+Вводные!$D$33)*J$4*J$3*ФОТ_УК!J30</f>
        <v>0</v>
      </c>
      <c r="K60" s="1286">
        <f>($D30+$D30*Вводные!$D$32)*(1+Вводные!$D$33)*K$4*K$3*ФОТ_УК!K30</f>
        <v>0</v>
      </c>
      <c r="L60" s="1286">
        <f>($D30+$D30*Вводные!$D$32)*(1+Вводные!$D$33)*L$4*L$3*ФОТ_УК!L30</f>
        <v>0</v>
      </c>
      <c r="M60" s="1286">
        <f>($D30+$D30*Вводные!$D$32)*(1+Вводные!$D$33)*M$4*M$3*ФОТ_УК!M30</f>
        <v>0</v>
      </c>
      <c r="N60" s="1286">
        <f>($D30+$D30*Вводные!$D$32)*(1+Вводные!$D$33)*N$4*N$3*ФОТ_УК!N30</f>
        <v>0</v>
      </c>
      <c r="O60" s="1286">
        <f>($D30+$D30*Вводные!$D$32)*(1+Вводные!$D$33)*O$4*O$3*ФОТ_УК!O30</f>
        <v>0</v>
      </c>
      <c r="P60" s="1286">
        <f>($D30+$D30*Вводные!$D$32)*(1+Вводные!$D$33)*P$4*P$3*ФОТ_УК!P30</f>
        <v>0</v>
      </c>
      <c r="Q60" s="1286">
        <f>($D30+$D30*Вводные!$D$32)*(1+Вводные!$D$33)*Q$4*Q$3*ФОТ_УК!Q30</f>
        <v>0</v>
      </c>
      <c r="R60" s="1286">
        <f>($D30+$D30*Вводные!$D$32)*(1+Вводные!$D$33)*R$4*R$3*ФОТ_УК!R30</f>
        <v>0</v>
      </c>
      <c r="S60" s="1286">
        <f>($D30+$D30*Вводные!$D$32)*(1+Вводные!$D$33)*S$4*S$3*ФОТ_УК!S30</f>
        <v>0</v>
      </c>
      <c r="T60" s="1286">
        <f>($D30+$D30*Вводные!$D$32)*(1+Вводные!$D$33)*T$4*T$3*ФОТ_УК!T30</f>
        <v>0</v>
      </c>
      <c r="U60" s="1286">
        <f>($D30+$D30*Вводные!$D$32)*(1+Вводные!$D$33)*U$4*U$3*ФОТ_УК!U30</f>
        <v>0</v>
      </c>
      <c r="V60" s="1286">
        <f>($D30+$D30*Вводные!$D$32)*(1+Вводные!$D$33)*V$4*V$3*ФОТ_УК!V30</f>
        <v>0</v>
      </c>
      <c r="W60" s="1286">
        <f>($D30+$D30*Вводные!$D$32)*(1+Вводные!$D$33)*W$4*W$3*ФОТ_УК!W30</f>
        <v>0</v>
      </c>
      <c r="X60" s="1286">
        <f>($D30+$D30*Вводные!$D$32)*(1+Вводные!$D$33)*X$4*X$3*ФОТ_УК!X30</f>
        <v>0</v>
      </c>
      <c r="Y60" s="1286">
        <f>($D30+$D30*Вводные!$D$32)*(1+Вводные!$D$33)*Y$4*Y$3*ФОТ_УК!Y30</f>
        <v>0</v>
      </c>
      <c r="Z60" s="1286">
        <f>($D30+$D30*Вводные!$D$32)*(1+Вводные!$D$33)*Z$4*Z$3*ФОТ_УК!Z30</f>
        <v>0</v>
      </c>
      <c r="AA60" s="1286">
        <f>($D30+$D30*Вводные!$D$32)*(1+Вводные!$D$33)*AA$4*AA$3*ФОТ_УК!AA30</f>
        <v>0</v>
      </c>
    </row>
    <row r="61" spans="2:27" ht="15" hidden="1" customHeight="1" outlineLevel="1">
      <c r="B61" s="1277">
        <f t="shared" si="12"/>
        <v>0</v>
      </c>
      <c r="C61" s="1278">
        <f t="shared" si="12"/>
        <v>0</v>
      </c>
      <c r="D61" s="1279">
        <f t="shared" si="12"/>
        <v>0</v>
      </c>
      <c r="E61" s="1286">
        <f>($D31+$D31*Вводные!$D$32)*(1+Вводные!$D$33)*E$4*E$3*ФОТ_УК!E31</f>
        <v>0</v>
      </c>
      <c r="F61" s="1286">
        <f>($D31+$D31*Вводные!$D$32)*(1+Вводные!$D$33)*F$4*F$3*ФОТ_УК!F31</f>
        <v>0</v>
      </c>
      <c r="G61" s="1286">
        <f>($D31+$D31*Вводные!$D$32)*(1+Вводные!$D$33)*G$4*G$3*ФОТ_УК!G31</f>
        <v>0</v>
      </c>
      <c r="H61" s="1286">
        <f>($D31+$D31*Вводные!$D$32)*(1+Вводные!$D$33)*H$4*H$3*ФОТ_УК!H31</f>
        <v>0</v>
      </c>
      <c r="I61" s="1286">
        <f>($D31+$D31*Вводные!$D$32)*(1+Вводные!$D$33)*I$4*I$3*ФОТ_УК!I31</f>
        <v>0</v>
      </c>
      <c r="J61" s="1286">
        <f>($D31+$D31*Вводные!$D$32)*(1+Вводные!$D$33)*J$4*J$3*ФОТ_УК!J31</f>
        <v>0</v>
      </c>
      <c r="K61" s="1286">
        <f>($D31+$D31*Вводные!$D$32)*(1+Вводные!$D$33)*K$4*K$3*ФОТ_УК!K31</f>
        <v>0</v>
      </c>
      <c r="L61" s="1286">
        <f>($D31+$D31*Вводные!$D$32)*(1+Вводные!$D$33)*L$4*L$3*ФОТ_УК!L31</f>
        <v>0</v>
      </c>
      <c r="M61" s="1286">
        <f>($D31+$D31*Вводные!$D$32)*(1+Вводные!$D$33)*M$4*M$3*ФОТ_УК!M31</f>
        <v>0</v>
      </c>
      <c r="N61" s="1286">
        <f>($D31+$D31*Вводные!$D$32)*(1+Вводные!$D$33)*N$4*N$3*ФОТ_УК!N31</f>
        <v>0</v>
      </c>
      <c r="O61" s="1286">
        <f>($D31+$D31*Вводные!$D$32)*(1+Вводные!$D$33)*O$4*O$3*ФОТ_УК!O31</f>
        <v>0</v>
      </c>
      <c r="P61" s="1286">
        <f>($D31+$D31*Вводные!$D$32)*(1+Вводные!$D$33)*P$4*P$3*ФОТ_УК!P31</f>
        <v>0</v>
      </c>
      <c r="Q61" s="1286">
        <f>($D31+$D31*Вводные!$D$32)*(1+Вводные!$D$33)*Q$4*Q$3*ФОТ_УК!Q31</f>
        <v>0</v>
      </c>
      <c r="R61" s="1286">
        <f>($D31+$D31*Вводные!$D$32)*(1+Вводные!$D$33)*R$4*R$3*ФОТ_УК!R31</f>
        <v>0</v>
      </c>
      <c r="S61" s="1286">
        <f>($D31+$D31*Вводные!$D$32)*(1+Вводные!$D$33)*S$4*S$3*ФОТ_УК!S31</f>
        <v>0</v>
      </c>
      <c r="T61" s="1286">
        <f>($D31+$D31*Вводные!$D$32)*(1+Вводные!$D$33)*T$4*T$3*ФОТ_УК!T31</f>
        <v>0</v>
      </c>
      <c r="U61" s="1286">
        <f>($D31+$D31*Вводные!$D$32)*(1+Вводные!$D$33)*U$4*U$3*ФОТ_УК!U31</f>
        <v>0</v>
      </c>
      <c r="V61" s="1286">
        <f>($D31+$D31*Вводные!$D$32)*(1+Вводные!$D$33)*V$4*V$3*ФОТ_УК!V31</f>
        <v>0</v>
      </c>
      <c r="W61" s="1286">
        <f>($D31+$D31*Вводные!$D$32)*(1+Вводные!$D$33)*W$4*W$3*ФОТ_УК!W31</f>
        <v>0</v>
      </c>
      <c r="X61" s="1286">
        <f>($D31+$D31*Вводные!$D$32)*(1+Вводные!$D$33)*X$4*X$3*ФОТ_УК!X31</f>
        <v>0</v>
      </c>
      <c r="Y61" s="1286">
        <f>($D31+$D31*Вводные!$D$32)*(1+Вводные!$D$33)*Y$4*Y$3*ФОТ_УК!Y31</f>
        <v>0</v>
      </c>
      <c r="Z61" s="1286">
        <f>($D31+$D31*Вводные!$D$32)*(1+Вводные!$D$33)*Z$4*Z$3*ФОТ_УК!Z31</f>
        <v>0</v>
      </c>
      <c r="AA61" s="1286">
        <f>($D31+$D31*Вводные!$D$32)*(1+Вводные!$D$33)*AA$4*AA$3*ФОТ_УК!AA31</f>
        <v>0</v>
      </c>
    </row>
    <row r="62" spans="2:27" ht="15" hidden="1" customHeight="1" outlineLevel="1">
      <c r="B62" s="1277">
        <f t="shared" si="12"/>
        <v>0</v>
      </c>
      <c r="C62" s="1278">
        <f t="shared" si="12"/>
        <v>0</v>
      </c>
      <c r="D62" s="1279">
        <f t="shared" si="12"/>
        <v>0</v>
      </c>
      <c r="E62" s="1286">
        <f>($D32+$D32*Вводные!$D$32)*(1+Вводные!$D$33)*E$4*E$3*ФОТ_УК!E32</f>
        <v>0</v>
      </c>
      <c r="F62" s="1286">
        <f>($D32+$D32*Вводные!$D$32)*(1+Вводные!$D$33)*F$4*F$3*ФОТ_УК!F32</f>
        <v>0</v>
      </c>
      <c r="G62" s="1286">
        <f>($D32+$D32*Вводные!$D$32)*(1+Вводные!$D$33)*G$4*G$3*ФОТ_УК!G32</f>
        <v>0</v>
      </c>
      <c r="H62" s="1286">
        <f>($D32+$D32*Вводные!$D$32)*(1+Вводные!$D$33)*H$4*H$3*ФОТ_УК!H32</f>
        <v>0</v>
      </c>
      <c r="I62" s="1286">
        <f>($D32+$D32*Вводные!$D$32)*(1+Вводные!$D$33)*I$4*I$3*ФОТ_УК!I32</f>
        <v>0</v>
      </c>
      <c r="J62" s="1286">
        <f>($D32+$D32*Вводные!$D$32)*(1+Вводные!$D$33)*J$4*J$3*ФОТ_УК!J32</f>
        <v>0</v>
      </c>
      <c r="K62" s="1286">
        <f>($D32+$D32*Вводные!$D$32)*(1+Вводные!$D$33)*K$4*K$3*ФОТ_УК!K32</f>
        <v>0</v>
      </c>
      <c r="L62" s="1286">
        <f>($D32+$D32*Вводные!$D$32)*(1+Вводные!$D$33)*L$4*L$3*ФОТ_УК!L32</f>
        <v>0</v>
      </c>
      <c r="M62" s="1286">
        <f>($D32+$D32*Вводные!$D$32)*(1+Вводные!$D$33)*M$4*M$3*ФОТ_УК!M32</f>
        <v>0</v>
      </c>
      <c r="N62" s="1286">
        <f>($D32+$D32*Вводные!$D$32)*(1+Вводные!$D$33)*N$4*N$3*ФОТ_УК!N32</f>
        <v>0</v>
      </c>
      <c r="O62" s="1286">
        <f>($D32+$D32*Вводные!$D$32)*(1+Вводные!$D$33)*O$4*O$3*ФОТ_УК!O32</f>
        <v>0</v>
      </c>
      <c r="P62" s="1286">
        <f>($D32+$D32*Вводные!$D$32)*(1+Вводные!$D$33)*P$4*P$3*ФОТ_УК!P32</f>
        <v>0</v>
      </c>
      <c r="Q62" s="1286">
        <f>($D32+$D32*Вводные!$D$32)*(1+Вводные!$D$33)*Q$4*Q$3*ФОТ_УК!Q32</f>
        <v>0</v>
      </c>
      <c r="R62" s="1286">
        <f>($D32+$D32*Вводные!$D$32)*(1+Вводные!$D$33)*R$4*R$3*ФОТ_УК!R32</f>
        <v>0</v>
      </c>
      <c r="S62" s="1286">
        <f>($D32+$D32*Вводные!$D$32)*(1+Вводные!$D$33)*S$4*S$3*ФОТ_УК!S32</f>
        <v>0</v>
      </c>
      <c r="T62" s="1286">
        <f>($D32+$D32*Вводные!$D$32)*(1+Вводные!$D$33)*T$4*T$3*ФОТ_УК!T32</f>
        <v>0</v>
      </c>
      <c r="U62" s="1286">
        <f>($D32+$D32*Вводные!$D$32)*(1+Вводные!$D$33)*U$4*U$3*ФОТ_УК!U32</f>
        <v>0</v>
      </c>
      <c r="V62" s="1286">
        <f>($D32+$D32*Вводные!$D$32)*(1+Вводные!$D$33)*V$4*V$3*ФОТ_УК!V32</f>
        <v>0</v>
      </c>
      <c r="W62" s="1286">
        <f>($D32+$D32*Вводные!$D$32)*(1+Вводные!$D$33)*W$4*W$3*ФОТ_УК!W32</f>
        <v>0</v>
      </c>
      <c r="X62" s="1286">
        <f>($D32+$D32*Вводные!$D$32)*(1+Вводные!$D$33)*X$4*X$3*ФОТ_УК!X32</f>
        <v>0</v>
      </c>
      <c r="Y62" s="1286">
        <f>($D32+$D32*Вводные!$D$32)*(1+Вводные!$D$33)*Y$4*Y$3*ФОТ_УК!Y32</f>
        <v>0</v>
      </c>
      <c r="Z62" s="1286">
        <f>($D32+$D32*Вводные!$D$32)*(1+Вводные!$D$33)*Z$4*Z$3*ФОТ_УК!Z32</f>
        <v>0</v>
      </c>
      <c r="AA62" s="1286">
        <f>($D32+$D32*Вводные!$D$32)*(1+Вводные!$D$33)*AA$4*AA$3*ФОТ_УК!AA32</f>
        <v>0</v>
      </c>
    </row>
    <row r="63" spans="2:27" ht="15" hidden="1" customHeight="1" outlineLevel="1"/>
    <row r="64" spans="2:27" ht="15" customHeight="1" collapsed="1">
      <c r="B64" s="1866" t="str">
        <f>B38</f>
        <v>УК</v>
      </c>
      <c r="C64" s="1867"/>
      <c r="D64" s="1282"/>
      <c r="E64" s="1868">
        <f t="shared" ref="E64:AA64" si="13">SUMIF($B$38:$B$62,$B$64,E38:E62)</f>
        <v>0</v>
      </c>
      <c r="F64" s="1868">
        <f t="shared" si="13"/>
        <v>0</v>
      </c>
      <c r="G64" s="1869">
        <f t="shared" si="13"/>
        <v>0</v>
      </c>
      <c r="H64" s="1869">
        <f t="shared" si="13"/>
        <v>25899498.659840003</v>
      </c>
      <c r="I64" s="1868">
        <f t="shared" si="13"/>
        <v>26935478.606233604</v>
      </c>
      <c r="J64" s="1868">
        <f t="shared" si="13"/>
        <v>28012897.750482954</v>
      </c>
      <c r="K64" s="1868">
        <f t="shared" si="13"/>
        <v>29133413.660502277</v>
      </c>
      <c r="L64" s="1868">
        <f t="shared" si="13"/>
        <v>30298750.206922363</v>
      </c>
      <c r="M64" s="1868">
        <f t="shared" si="13"/>
        <v>31510700.215199258</v>
      </c>
      <c r="N64" s="1868">
        <f t="shared" si="13"/>
        <v>32771128.223807231</v>
      </c>
      <c r="O64" s="1868">
        <f t="shared" si="13"/>
        <v>34081973.352759533</v>
      </c>
      <c r="P64" s="1869">
        <f t="shared" si="13"/>
        <v>35445252.286869898</v>
      </c>
      <c r="Q64" s="1868">
        <f t="shared" si="13"/>
        <v>36863062.378344707</v>
      </c>
      <c r="R64" s="1868">
        <f t="shared" si="13"/>
        <v>38337584.873478495</v>
      </c>
      <c r="S64" s="1868">
        <f t="shared" si="13"/>
        <v>39871088.268417627</v>
      </c>
      <c r="T64" s="1868">
        <f t="shared" si="13"/>
        <v>41465931.799154334</v>
      </c>
      <c r="U64" s="1868">
        <f t="shared" si="13"/>
        <v>43124569.071120515</v>
      </c>
      <c r="V64" s="1868">
        <f t="shared" si="13"/>
        <v>44849551.833965331</v>
      </c>
      <c r="W64" s="1868">
        <f t="shared" si="13"/>
        <v>46643533.907323942</v>
      </c>
      <c r="X64" s="1868">
        <f t="shared" si="13"/>
        <v>48509275.263616912</v>
      </c>
      <c r="Y64" s="1868">
        <f t="shared" si="13"/>
        <v>50449646.274161577</v>
      </c>
      <c r="Z64" s="1868">
        <f t="shared" si="13"/>
        <v>52467632.125128046</v>
      </c>
      <c r="AA64" s="1868">
        <f t="shared" si="13"/>
        <v>54566337.410133176</v>
      </c>
    </row>
    <row r="65" spans="2:27" ht="15" customHeight="1">
      <c r="B65" s="1866" t="str">
        <f>B49</f>
        <v>УК - маркетинг</v>
      </c>
      <c r="C65" s="1867"/>
      <c r="D65" s="1282"/>
      <c r="E65" s="1868">
        <f t="shared" ref="E65:AA65" si="14">SUMIF($B$38:$B$62,$B$65,E38:E62)</f>
        <v>0</v>
      </c>
      <c r="F65" s="1868">
        <f t="shared" si="14"/>
        <v>0</v>
      </c>
      <c r="G65" s="1868">
        <f t="shared" si="14"/>
        <v>0</v>
      </c>
      <c r="H65" s="1868">
        <f t="shared" si="14"/>
        <v>8204803.0105600022</v>
      </c>
      <c r="I65" s="1869">
        <f t="shared" si="14"/>
        <v>8532995.1309824027</v>
      </c>
      <c r="J65" s="1868">
        <f t="shared" si="14"/>
        <v>8874314.9362216983</v>
      </c>
      <c r="K65" s="1868">
        <f t="shared" si="14"/>
        <v>9229287.533670567</v>
      </c>
      <c r="L65" s="1868">
        <f t="shared" si="14"/>
        <v>9598459.0350173898</v>
      </c>
      <c r="M65" s="1868">
        <f t="shared" si="14"/>
        <v>9982397.3964180872</v>
      </c>
      <c r="N65" s="1868">
        <f t="shared" si="14"/>
        <v>10381693.29227481</v>
      </c>
      <c r="O65" s="1868">
        <f t="shared" si="14"/>
        <v>10796961.023965804</v>
      </c>
      <c r="P65" s="1868">
        <f t="shared" si="14"/>
        <v>11228839.464924438</v>
      </c>
      <c r="Q65" s="1868">
        <f t="shared" si="14"/>
        <v>11677993.043521414</v>
      </c>
      <c r="R65" s="1868">
        <f t="shared" si="14"/>
        <v>12145112.765262268</v>
      </c>
      <c r="S65" s="1868">
        <f t="shared" si="14"/>
        <v>12630917.275872761</v>
      </c>
      <c r="T65" s="1868">
        <f t="shared" si="14"/>
        <v>13136153.966907671</v>
      </c>
      <c r="U65" s="1868">
        <f t="shared" si="14"/>
        <v>13661600.125583977</v>
      </c>
      <c r="V65" s="1868">
        <f t="shared" si="14"/>
        <v>14208064.130607337</v>
      </c>
      <c r="W65" s="1868">
        <f t="shared" si="14"/>
        <v>14776386.69583163</v>
      </c>
      <c r="X65" s="1868">
        <f t="shared" si="14"/>
        <v>15367442.163664896</v>
      </c>
      <c r="Y65" s="1868">
        <f t="shared" si="14"/>
        <v>15982139.850211496</v>
      </c>
      <c r="Z65" s="1868">
        <f t="shared" si="14"/>
        <v>16621425.444219952</v>
      </c>
      <c r="AA65" s="1868">
        <f t="shared" si="14"/>
        <v>17286282.461988755</v>
      </c>
    </row>
    <row r="66" spans="2:27" ht="15" customHeight="1">
      <c r="B66" s="1866" t="str">
        <f>B54</f>
        <v>УК - эксплуатация</v>
      </c>
      <c r="C66" s="1867"/>
      <c r="D66" s="1282"/>
      <c r="E66" s="1868">
        <f t="shared" ref="E66:AA66" si="15">SUMIF($B$38:$B$62,$B$66,E38:E62)</f>
        <v>0</v>
      </c>
      <c r="F66" s="1868">
        <f t="shared" si="15"/>
        <v>0</v>
      </c>
      <c r="G66" s="1868">
        <f t="shared" si="15"/>
        <v>0</v>
      </c>
      <c r="H66" s="1868">
        <f t="shared" si="15"/>
        <v>7908243.8656000011</v>
      </c>
      <c r="I66" s="1869">
        <f t="shared" si="15"/>
        <v>9355452.4930048045</v>
      </c>
      <c r="J66" s="1868">
        <f t="shared" si="15"/>
        <v>10905784.620417029</v>
      </c>
      <c r="K66" s="1868">
        <f t="shared" si="15"/>
        <v>11342016.005233709</v>
      </c>
      <c r="L66" s="1869">
        <f t="shared" si="15"/>
        <v>11795696.645443058</v>
      </c>
      <c r="M66" s="1868">
        <f t="shared" si="15"/>
        <v>12267524.511260781</v>
      </c>
      <c r="N66" s="1868">
        <f t="shared" si="15"/>
        <v>12758225.491711214</v>
      </c>
      <c r="O66" s="1868">
        <f t="shared" si="15"/>
        <v>13268554.511379663</v>
      </c>
      <c r="P66" s="1868">
        <f t="shared" si="15"/>
        <v>13799296.69183485</v>
      </c>
      <c r="Q66" s="1868">
        <f t="shared" si="15"/>
        <v>14351268.559508245</v>
      </c>
      <c r="R66" s="1868">
        <f t="shared" si="15"/>
        <v>14925319.301888574</v>
      </c>
      <c r="S66" s="1868">
        <f t="shared" si="15"/>
        <v>15522332.073964119</v>
      </c>
      <c r="T66" s="1868">
        <f t="shared" si="15"/>
        <v>16143225.356922682</v>
      </c>
      <c r="U66" s="1868">
        <f t="shared" si="15"/>
        <v>16788954.371199585</v>
      </c>
      <c r="V66" s="1868">
        <f t="shared" si="15"/>
        <v>17460512.546047572</v>
      </c>
      <c r="W66" s="1868">
        <f t="shared" si="15"/>
        <v>18158933.047889479</v>
      </c>
      <c r="X66" s="1868">
        <f t="shared" si="15"/>
        <v>18885290.369805053</v>
      </c>
      <c r="Y66" s="1868">
        <f t="shared" si="15"/>
        <v>19640701.984597258</v>
      </c>
      <c r="Z66" s="1868">
        <f t="shared" si="15"/>
        <v>20426330.063981146</v>
      </c>
      <c r="AA66" s="1868">
        <f t="shared" si="15"/>
        <v>21243383.266540397</v>
      </c>
    </row>
    <row r="67" spans="2:27" ht="15" customHeight="1">
      <c r="B67" s="1870" t="s">
        <v>0</v>
      </c>
      <c r="H67" s="1871">
        <f>H64+H65+H66</f>
        <v>42012545.536000013</v>
      </c>
      <c r="I67" s="1871">
        <f t="shared" ref="I67:AA67" si="16">I64+I65+I66</f>
        <v>44823926.230220817</v>
      </c>
      <c r="J67" s="1871">
        <f t="shared" si="16"/>
        <v>47792997.307121679</v>
      </c>
      <c r="K67" s="1871">
        <f t="shared" si="16"/>
        <v>49704717.199406549</v>
      </c>
      <c r="L67" s="1871">
        <f t="shared" si="16"/>
        <v>51692905.887382813</v>
      </c>
      <c r="M67" s="1871">
        <f t="shared" si="16"/>
        <v>53760622.122878119</v>
      </c>
      <c r="N67" s="1871">
        <f t="shared" si="16"/>
        <v>55911047.007793255</v>
      </c>
      <c r="O67" s="1871">
        <f t="shared" si="16"/>
        <v>58147488.888105005</v>
      </c>
      <c r="P67" s="1871">
        <f t="shared" si="16"/>
        <v>60473388.44362919</v>
      </c>
      <c r="Q67" s="1871">
        <f t="shared" si="16"/>
        <v>62892323.981374368</v>
      </c>
      <c r="R67" s="1871">
        <f t="shared" si="16"/>
        <v>65408016.940629333</v>
      </c>
      <c r="S67" s="1871">
        <f t="shared" si="16"/>
        <v>68024337.618254513</v>
      </c>
      <c r="T67" s="1871">
        <f t="shared" si="16"/>
        <v>70745311.122984692</v>
      </c>
      <c r="U67" s="1871">
        <f t="shared" si="16"/>
        <v>73575123.567904085</v>
      </c>
      <c r="V67" s="1871">
        <f t="shared" si="16"/>
        <v>76518128.510620236</v>
      </c>
      <c r="W67" s="1871">
        <f t="shared" si="16"/>
        <v>79578853.651045054</v>
      </c>
      <c r="X67" s="1871">
        <f t="shared" si="16"/>
        <v>82762007.797086865</v>
      </c>
      <c r="Y67" s="1871">
        <f t="shared" si="16"/>
        <v>86072488.108970329</v>
      </c>
      <c r="Z67" s="1871">
        <f t="shared" si="16"/>
        <v>89515387.633329138</v>
      </c>
      <c r="AA67" s="1871">
        <f t="shared" si="16"/>
        <v>93096003.138662323</v>
      </c>
    </row>
  </sheetData>
  <conditionalFormatting sqref="E8:E25 E26:L32 B24:D32 B56:D61 H24:L25">
    <cfRule type="expression" dxfId="64" priority="43">
      <formula>$A$1=1</formula>
    </cfRule>
    <cfRule type="expression" dxfId="63" priority="44">
      <formula>$A$1=1</formula>
    </cfRule>
  </conditionalFormatting>
  <conditionalFormatting sqref="B8:C23">
    <cfRule type="expression" dxfId="62" priority="41">
      <formula>$A$1=1</formula>
    </cfRule>
    <cfRule type="expression" dxfId="61" priority="42">
      <formula>$A$1=1</formula>
    </cfRule>
  </conditionalFormatting>
  <conditionalFormatting sqref="H8:L18">
    <cfRule type="expression" dxfId="60" priority="39">
      <formula>$A$1=1</formula>
    </cfRule>
    <cfRule type="expression" dxfId="59" priority="40">
      <formula>$A$1=1</formula>
    </cfRule>
  </conditionalFormatting>
  <conditionalFormatting sqref="D8:D23">
    <cfRule type="expression" dxfId="58" priority="37">
      <formula>$A$1=1</formula>
    </cfRule>
    <cfRule type="expression" dxfId="57" priority="38">
      <formula>$A$1=1</formula>
    </cfRule>
  </conditionalFormatting>
  <conditionalFormatting sqref="D38:D55 D62">
    <cfRule type="expression" dxfId="56" priority="33">
      <formula>$A$1=1</formula>
    </cfRule>
    <cfRule type="expression" dxfId="55" priority="34">
      <formula>$A$1=1</formula>
    </cfRule>
  </conditionalFormatting>
  <conditionalFormatting sqref="B38:C55 B62:C62">
    <cfRule type="expression" dxfId="54" priority="35">
      <formula>$A$1=1</formula>
    </cfRule>
    <cfRule type="expression" dxfId="53" priority="36">
      <formula>$A$1=1</formula>
    </cfRule>
  </conditionalFormatting>
  <conditionalFormatting sqref="B64:C65">
    <cfRule type="expression" dxfId="52" priority="31">
      <formula>$A$1=1</formula>
    </cfRule>
    <cfRule type="expression" dxfId="51" priority="32">
      <formula>$A$1=1</formula>
    </cfRule>
  </conditionalFormatting>
  <conditionalFormatting sqref="D64:D65">
    <cfRule type="expression" dxfId="50" priority="29">
      <formula>$A$1=1</formula>
    </cfRule>
    <cfRule type="expression" dxfId="49" priority="30">
      <formula>$A$1=1</formula>
    </cfRule>
  </conditionalFormatting>
  <conditionalFormatting sqref="B66:C66">
    <cfRule type="expression" dxfId="48" priority="25">
      <formula>$A$1=1</formula>
    </cfRule>
    <cfRule type="expression" dxfId="47" priority="26">
      <formula>$A$1=1</formula>
    </cfRule>
  </conditionalFormatting>
  <conditionalFormatting sqref="D66">
    <cfRule type="expression" dxfId="46" priority="23">
      <formula>$A$1=1</formula>
    </cfRule>
    <cfRule type="expression" dxfId="45" priority="24">
      <formula>$A$1=1</formula>
    </cfRule>
  </conditionalFormatting>
  <conditionalFormatting sqref="F8:F18 F25:G25 F24">
    <cfRule type="expression" dxfId="44" priority="13">
      <formula>$A$1=1</formula>
    </cfRule>
    <cfRule type="expression" dxfId="43" priority="14">
      <formula>$A$1=1</formula>
    </cfRule>
  </conditionalFormatting>
  <conditionalFormatting sqref="H19:L23">
    <cfRule type="expression" dxfId="42" priority="11">
      <formula>$A$1=1</formula>
    </cfRule>
    <cfRule type="expression" dxfId="41" priority="12">
      <formula>$A$1=1</formula>
    </cfRule>
  </conditionalFormatting>
  <conditionalFormatting sqref="F19:F23">
    <cfRule type="expression" dxfId="40" priority="9">
      <formula>$A$1=1</formula>
    </cfRule>
    <cfRule type="expression" dxfId="39" priority="10">
      <formula>$A$1=1</formula>
    </cfRule>
  </conditionalFormatting>
  <conditionalFormatting sqref="H19:H25">
    <cfRule type="expression" dxfId="38" priority="7">
      <formula>$A$1=1</formula>
    </cfRule>
    <cfRule type="expression" dxfId="37" priority="8">
      <formula>$A$1=1</formula>
    </cfRule>
  </conditionalFormatting>
  <conditionalFormatting sqref="G25">
    <cfRule type="expression" dxfId="36" priority="5">
      <formula>$A$1=1</formula>
    </cfRule>
    <cfRule type="expression" dxfId="35" priority="6">
      <formula>$A$1=1</formula>
    </cfRule>
  </conditionalFormatting>
  <conditionalFormatting sqref="G8:G24">
    <cfRule type="expression" dxfId="34" priority="3">
      <formula>$A$1=1</formula>
    </cfRule>
    <cfRule type="expression" dxfId="33" priority="4">
      <formula>$A$1=1</formula>
    </cfRule>
  </conditionalFormatting>
  <conditionalFormatting sqref="B67">
    <cfRule type="expression" dxfId="32" priority="1">
      <formula>$A$1=1</formula>
    </cfRule>
    <cfRule type="expression" dxfId="31" priority="2">
      <formula>$A$1=1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47</vt:i4>
      </vt:variant>
      <vt:variant>
        <vt:lpstr>Именованные диапазоны</vt:lpstr>
      </vt:variant>
      <vt:variant>
        <vt:i4>1</vt:i4>
      </vt:variant>
    </vt:vector>
  </HeadingPairs>
  <TitlesOfParts>
    <vt:vector size="48" baseType="lpstr">
      <vt:lpstr>PEAK'ING ----&gt;&gt;</vt:lpstr>
      <vt:lpstr>Отель5</vt:lpstr>
      <vt:lpstr>Отель4</vt:lpstr>
      <vt:lpstr>Отель3</vt:lpstr>
      <vt:lpstr>Отель2</vt:lpstr>
      <vt:lpstr>Резиденции</vt:lpstr>
      <vt:lpstr>Хостел</vt:lpstr>
      <vt:lpstr>Шале</vt:lpstr>
      <vt:lpstr>Бюджет_Синара</vt:lpstr>
      <vt:lpstr>CW ---&gt;&gt;</vt:lpstr>
      <vt:lpstr>Вводные</vt:lpstr>
      <vt:lpstr>CPI</vt:lpstr>
      <vt:lpstr>Земля</vt:lpstr>
      <vt:lpstr>Бюджетный эффект</vt:lpstr>
      <vt:lpstr>Турпоток</vt:lpstr>
      <vt:lpstr>ШР</vt:lpstr>
      <vt:lpstr>CF_mln</vt:lpstr>
      <vt:lpstr>CF_15</vt:lpstr>
      <vt:lpstr>WACC</vt:lpstr>
      <vt:lpstr>Sensitivity</vt:lpstr>
      <vt:lpstr>KPI</vt:lpstr>
      <vt:lpstr>Объекты</vt:lpstr>
      <vt:lpstr>Бюджет</vt:lpstr>
      <vt:lpstr>Строительство</vt:lpstr>
      <vt:lpstr>Амортизация</vt:lpstr>
      <vt:lpstr>1</vt:lpstr>
      <vt:lpstr>К дв.загр</vt:lpstr>
      <vt:lpstr>СОЧИ_РЫНОК</vt:lpstr>
      <vt:lpstr>ADR_OCC</vt:lpstr>
      <vt:lpstr>Прогноз расходов</vt:lpstr>
      <vt:lpstr>Прогноз F&amp;B</vt:lpstr>
      <vt:lpstr>Прогноз прочих</vt:lpstr>
      <vt:lpstr>Отель5_PL</vt:lpstr>
      <vt:lpstr>Отель4_PL</vt:lpstr>
      <vt:lpstr>Отель3_PL</vt:lpstr>
      <vt:lpstr>Отель2_PL</vt:lpstr>
      <vt:lpstr>Хостел_PL</vt:lpstr>
      <vt:lpstr>Шале_PL</vt:lpstr>
      <vt:lpstr>Резиденции_PL</vt:lpstr>
      <vt:lpstr>СВОД_PL</vt:lpstr>
      <vt:lpstr>Ресторан</vt:lpstr>
      <vt:lpstr>Retail</vt:lpstr>
      <vt:lpstr>Паркинг_PL</vt:lpstr>
      <vt:lpstr>ПРОДАЖА_lease_back</vt:lpstr>
      <vt:lpstr>Курорт-расходы</vt:lpstr>
      <vt:lpstr>Календарь</vt:lpstr>
      <vt:lpstr>ФОТ_УК</vt:lpstr>
      <vt:lpstr>Шале!_Toc95402285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Meshcheryakova</dc:creator>
  <cp:lastModifiedBy>Соломаха Эдуард Викторович</cp:lastModifiedBy>
  <dcterms:created xsi:type="dcterms:W3CDTF">2018-07-16T11:01:00Z</dcterms:created>
  <dcterms:modified xsi:type="dcterms:W3CDTF">2022-07-29T11:49:56Z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" linkTarget="PROP_TAX">
    <vt:r8>0</vt:r8>
  </property>
</Properties>
</file>